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codeName="ThisWorkbook" defaultThemeVersion="124226"/>
  <bookViews>
    <workbookView xWindow="-3090" yWindow="645" windowWidth="23670" windowHeight="9795" tabRatio="845" firstSheet="1" activeTab="1"/>
  </bookViews>
  <sheets>
    <sheet name="Exhibit &amp; Schedules===&gt;" sheetId="1" r:id="rId1"/>
    <sheet name="Class Summary-FOR NOTICES" sheetId="66" r:id="rId2"/>
    <sheet name="Rate Summary-FOR NOTICES" sheetId="70" r:id="rId3"/>
    <sheet name="Exh R10-Summary of Increase" sheetId="65" r:id="rId4"/>
    <sheet name="Exh R11Proposed Increase Detail" sheetId="64" r:id="rId5"/>
    <sheet name="Exh R9-Reconst Billings Summary" sheetId="8" r:id="rId6"/>
    <sheet name="Exh R9-Reconst Billings Detail" sheetId="9" r:id="rId7"/>
    <sheet name="Exh P6-Year-End Customer Adj" sheetId="14" r:id="rId8"/>
    <sheet name="Exh P9-SpecContCancel TY Detail" sheetId="68" r:id="rId9"/>
    <sheet name="Exh P10-Rate Switch Adj" sheetId="15" r:id="rId10"/>
    <sheet name="Exh P11-Gas Supply Rev" sheetId="12" r:id="rId11"/>
    <sheet name="Exh P11-Gas Supply Exp" sheetId="11" r:id="rId12"/>
    <sheet name="Exh P12-Temp Adj" sheetId="6" r:id="rId13"/>
    <sheet name="Exh C8-Demand Allocation Factor" sheetId="62" r:id="rId14"/>
    <sheet name="Support Schedules===&gt;" sheetId="2" r:id="rId15"/>
    <sheet name="Summary SBR-Transport" sheetId="52" r:id="rId16"/>
    <sheet name="SBR" sheetId="50" r:id="rId17"/>
    <sheet name="12-MO Billed Summary RETAIL" sheetId="17" r:id="rId18"/>
    <sheet name="Apr11-Mar12 Billed-RETAIL" sheetId="18" r:id="rId19"/>
    <sheet name="Apr11-Mar12 FT-TS-Cashout-LG&amp;E" sheetId="58" r:id="rId20"/>
    <sheet name="GSC Support" sheetId="19" r:id="rId21"/>
    <sheet name="SOURCE DATA===&gt;" sheetId="5" r:id="rId22"/>
    <sheet name="Data-Retail" sheetId="20" r:id="rId23"/>
    <sheet name="Adjustments" sheetId="29" r:id="rId24"/>
    <sheet name="Data FT-TS-Cashout-Paddys" sheetId="59" r:id="rId25"/>
    <sheet name="Data LGE SpecContract MC-CR" sheetId="61" r:id="rId26"/>
    <sheet name="Retail Rates" sheetId="27" r:id="rId27"/>
    <sheet name="Rate Categories" sheetId="26" r:id="rId28"/>
    <sheet name="GSC-DSM Factors" sheetId="24" r:id="rId29"/>
    <sheet name="Sales by Rates===&gt;" sheetId="3" r:id="rId30"/>
    <sheet name="FT_Cashouts_IntraCo-PR" sheetId="53" r:id="rId31"/>
    <sheet name="SBR Mar11" sheetId="37" r:id="rId32"/>
    <sheet name="SBR Apr11" sheetId="7" r:id="rId33"/>
    <sheet name="SBR May11" sheetId="4" r:id="rId34"/>
    <sheet name="SBR Jun11" sheetId="30" r:id="rId35"/>
    <sheet name="SBR Jul11" sheetId="31" r:id="rId36"/>
    <sheet name="SBR Aug11" sheetId="32" r:id="rId37"/>
    <sheet name="SBR Sep11" sheetId="33" r:id="rId38"/>
    <sheet name="SBR Oct11" sheetId="38" r:id="rId39"/>
    <sheet name="SBR Nov11" sheetId="39" r:id="rId40"/>
    <sheet name="SBR Dec11" sheetId="48" r:id="rId41"/>
    <sheet name="SBR Jan12" sheetId="54" r:id="rId42"/>
    <sheet name="SBR Feb12" sheetId="55" r:id="rId43"/>
    <sheet name="SBR Mar12" sheetId="63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xlnm._FilterDatabase" localSheetId="17" hidden="1">'12-MO Billed Summary RETAIL'!$A$5:$E$16</definedName>
    <definedName name="_xlnm._FilterDatabase" localSheetId="23" hidden="1">Adjustments!$A$5:$E$146</definedName>
    <definedName name="_xlnm._FilterDatabase" localSheetId="18" hidden="1">'Apr11-Mar12 Billed-RETAIL'!$A$5:$E$146</definedName>
    <definedName name="_xlnm._FilterDatabase" localSheetId="24" hidden="1">'Data FT-TS-Cashout-Paddys'!$A$5:$J$755</definedName>
    <definedName name="_xlnm._FilterDatabase" localSheetId="22" hidden="1">'Data-Retail'!$A$4:$AD$246</definedName>
    <definedName name="_xlnm._FilterDatabase" localSheetId="30" hidden="1">'FT_Cashouts_IntraCo-PR'!$A$4:$Z$124</definedName>
    <definedName name="_xlnm._FilterDatabase" localSheetId="20" hidden="1">'GSC Support'!$A$5:$W$353</definedName>
    <definedName name="_xlnm._FilterDatabase" localSheetId="27" hidden="1">'Rate Categories'!$A$1:$G$33</definedName>
    <definedName name="_xlnm._FilterDatabase" localSheetId="26" hidden="1">'Retail Rates'!$B$6:$E$6</definedName>
    <definedName name="BNE_MESSAGES_HIDDEN" localSheetId="4" hidden="1">#REF!</definedName>
    <definedName name="BNE_MESSAGES_HIDDEN" localSheetId="36" hidden="1">#REF!</definedName>
    <definedName name="BNE_MESSAGES_HIDDEN" localSheetId="40" hidden="1">#REF!</definedName>
    <definedName name="BNE_MESSAGES_HIDDEN" localSheetId="42" hidden="1">#REF!</definedName>
    <definedName name="BNE_MESSAGES_HIDDEN" localSheetId="41" hidden="1">#REF!</definedName>
    <definedName name="BNE_MESSAGES_HIDDEN" localSheetId="35" hidden="1">#REF!</definedName>
    <definedName name="BNE_MESSAGES_HIDDEN" localSheetId="34" hidden="1">#REF!</definedName>
    <definedName name="BNE_MESSAGES_HIDDEN" localSheetId="31" hidden="1">#REF!</definedName>
    <definedName name="BNE_MESSAGES_HIDDEN" localSheetId="43" hidden="1">#REF!</definedName>
    <definedName name="BNE_MESSAGES_HIDDEN" localSheetId="39" hidden="1">#REF!</definedName>
    <definedName name="BNE_MESSAGES_HIDDEN" localSheetId="38" hidden="1">#REF!</definedName>
    <definedName name="BNE_MESSAGES_HIDDEN" localSheetId="37" hidden="1">#REF!</definedName>
    <definedName name="BNE_MESSAGES_HIDDEN" hidden="1">#REF!</definedName>
    <definedName name="BudCol01" localSheetId="13">#REF!</definedName>
    <definedName name="BudCol01" localSheetId="4">#REF!</definedName>
    <definedName name="BudCol01" localSheetId="16">#REF!</definedName>
    <definedName name="BudCol01" localSheetId="35">#REF!</definedName>
    <definedName name="BudCol01" localSheetId="34">#REF!</definedName>
    <definedName name="BudCol01" localSheetId="31">#REF!</definedName>
    <definedName name="BudCol01" localSheetId="43">#REF!</definedName>
    <definedName name="BudCol01" localSheetId="15">#REF!</definedName>
    <definedName name="BudCol01">#REF!</definedName>
    <definedName name="BudCol02" localSheetId="13">#REF!</definedName>
    <definedName name="BudCol02" localSheetId="4">#REF!</definedName>
    <definedName name="BudCol02" localSheetId="16">#REF!</definedName>
    <definedName name="BudCol02" localSheetId="35">#REF!</definedName>
    <definedName name="BudCol02" localSheetId="34">#REF!</definedName>
    <definedName name="BudCol02" localSheetId="31">#REF!</definedName>
    <definedName name="BudCol02" localSheetId="43">#REF!</definedName>
    <definedName name="BudCol02" localSheetId="15">#REF!</definedName>
    <definedName name="BudCol02">#REF!</definedName>
    <definedName name="BudCol03" localSheetId="13">#REF!</definedName>
    <definedName name="BudCol03" localSheetId="4">#REF!</definedName>
    <definedName name="BudCol03" localSheetId="16">#REF!</definedName>
    <definedName name="BudCol03" localSheetId="35">#REF!</definedName>
    <definedName name="BudCol03" localSheetId="34">#REF!</definedName>
    <definedName name="BudCol03" localSheetId="31">#REF!</definedName>
    <definedName name="BudCol03" localSheetId="43">#REF!</definedName>
    <definedName name="BudCol03" localSheetId="15">#REF!</definedName>
    <definedName name="BudCol03">#REF!</definedName>
    <definedName name="BudCol04" localSheetId="13">#REF!</definedName>
    <definedName name="BudCol04" localSheetId="4">#REF!</definedName>
    <definedName name="BudCol04" localSheetId="16">#REF!</definedName>
    <definedName name="BudCol04" localSheetId="35">#REF!</definedName>
    <definedName name="BudCol04" localSheetId="34">#REF!</definedName>
    <definedName name="BudCol04" localSheetId="31">#REF!</definedName>
    <definedName name="BudCol04" localSheetId="43">#REF!</definedName>
    <definedName name="BudCol04" localSheetId="15">#REF!</definedName>
    <definedName name="BudCol04">#REF!</definedName>
    <definedName name="BudCol05" localSheetId="13">#REF!</definedName>
    <definedName name="BudCol05" localSheetId="4">#REF!</definedName>
    <definedName name="BudCol05" localSheetId="16">#REF!</definedName>
    <definedName name="BudCol05" localSheetId="35">#REF!</definedName>
    <definedName name="BudCol05" localSheetId="34">#REF!</definedName>
    <definedName name="BudCol05" localSheetId="31">#REF!</definedName>
    <definedName name="BudCol05" localSheetId="43">#REF!</definedName>
    <definedName name="BudCol05" localSheetId="15">#REF!</definedName>
    <definedName name="BudCol05">#REF!</definedName>
    <definedName name="BudCol06" localSheetId="13">#REF!</definedName>
    <definedName name="BudCol06" localSheetId="4">#REF!</definedName>
    <definedName name="BudCol06" localSheetId="16">#REF!</definedName>
    <definedName name="BudCol06" localSheetId="35">#REF!</definedName>
    <definedName name="BudCol06" localSheetId="34">#REF!</definedName>
    <definedName name="BudCol06" localSheetId="31">#REF!</definedName>
    <definedName name="BudCol06" localSheetId="43">#REF!</definedName>
    <definedName name="BudCol06" localSheetId="15">#REF!</definedName>
    <definedName name="BudCol06">#REF!</definedName>
    <definedName name="BudCol07" localSheetId="13">#REF!</definedName>
    <definedName name="BudCol07" localSheetId="4">#REF!</definedName>
    <definedName name="BudCol07" localSheetId="16">#REF!</definedName>
    <definedName name="BudCol07" localSheetId="35">#REF!</definedName>
    <definedName name="BudCol07" localSheetId="34">#REF!</definedName>
    <definedName name="BudCol07" localSheetId="31">#REF!</definedName>
    <definedName name="BudCol07" localSheetId="43">#REF!</definedName>
    <definedName name="BudCol07" localSheetId="15">#REF!</definedName>
    <definedName name="BudCol07">#REF!</definedName>
    <definedName name="BudCol08" localSheetId="13">#REF!</definedName>
    <definedName name="BudCol08" localSheetId="4">#REF!</definedName>
    <definedName name="BudCol08" localSheetId="16">#REF!</definedName>
    <definedName name="BudCol08" localSheetId="35">#REF!</definedName>
    <definedName name="BudCol08" localSheetId="34">#REF!</definedName>
    <definedName name="BudCol08" localSheetId="31">#REF!</definedName>
    <definedName name="BudCol08" localSheetId="43">#REF!</definedName>
    <definedName name="BudCol08" localSheetId="15">#REF!</definedName>
    <definedName name="BudCol08">#REF!</definedName>
    <definedName name="BudCol09" localSheetId="13">#REF!</definedName>
    <definedName name="BudCol09" localSheetId="4">#REF!</definedName>
    <definedName name="BudCol09" localSheetId="16">#REF!</definedName>
    <definedName name="BudCol09" localSheetId="35">#REF!</definedName>
    <definedName name="BudCol09" localSheetId="34">#REF!</definedName>
    <definedName name="BudCol09" localSheetId="31">#REF!</definedName>
    <definedName name="BudCol09" localSheetId="43">#REF!</definedName>
    <definedName name="BudCol09" localSheetId="15">#REF!</definedName>
    <definedName name="BudCol09">#REF!</definedName>
    <definedName name="BudCol10" localSheetId="13">#REF!</definedName>
    <definedName name="BudCol10" localSheetId="4">#REF!</definedName>
    <definedName name="BudCol10" localSheetId="16">#REF!</definedName>
    <definedName name="BudCol10" localSheetId="35">#REF!</definedName>
    <definedName name="BudCol10" localSheetId="34">#REF!</definedName>
    <definedName name="BudCol10" localSheetId="31">#REF!</definedName>
    <definedName name="BudCol10" localSheetId="43">#REF!</definedName>
    <definedName name="BudCol10" localSheetId="15">#REF!</definedName>
    <definedName name="BudCol10">#REF!</definedName>
    <definedName name="BudCol11" localSheetId="13">#REF!</definedName>
    <definedName name="BudCol11" localSheetId="4">#REF!</definedName>
    <definedName name="BudCol11" localSheetId="16">#REF!</definedName>
    <definedName name="BudCol11" localSheetId="35">#REF!</definedName>
    <definedName name="BudCol11" localSheetId="34">#REF!</definedName>
    <definedName name="BudCol11" localSheetId="31">#REF!</definedName>
    <definedName name="BudCol11" localSheetId="43">#REF!</definedName>
    <definedName name="BudCol11" localSheetId="15">#REF!</definedName>
    <definedName name="BudCol11">#REF!</definedName>
    <definedName name="BudCol12" localSheetId="13">#REF!</definedName>
    <definedName name="BudCol12" localSheetId="4">#REF!</definedName>
    <definedName name="BudCol12" localSheetId="16">#REF!</definedName>
    <definedName name="BudCol12" localSheetId="35">#REF!</definedName>
    <definedName name="BudCol12" localSheetId="34">#REF!</definedName>
    <definedName name="BudCol12" localSheetId="31">#REF!</definedName>
    <definedName name="BudCol12" localSheetId="43">#REF!</definedName>
    <definedName name="BudCol12" localSheetId="15">#REF!</definedName>
    <definedName name="BudCol12">#REF!</definedName>
    <definedName name="BudCol13" localSheetId="13">#REF!</definedName>
    <definedName name="BudCol13" localSheetId="4">#REF!</definedName>
    <definedName name="BudCol13" localSheetId="16">#REF!</definedName>
    <definedName name="BudCol13" localSheetId="35">#REF!</definedName>
    <definedName name="BudCol13" localSheetId="34">#REF!</definedName>
    <definedName name="BudCol13" localSheetId="31">#REF!</definedName>
    <definedName name="BudCol13" localSheetId="43">#REF!</definedName>
    <definedName name="BudCol13" localSheetId="15">#REF!</definedName>
    <definedName name="BudCol13">#REF!</definedName>
    <definedName name="BudCol14" localSheetId="13">#REF!</definedName>
    <definedName name="BudCol14" localSheetId="4">#REF!</definedName>
    <definedName name="BudCol14" localSheetId="16">#REF!</definedName>
    <definedName name="BudCol14" localSheetId="35">#REF!</definedName>
    <definedName name="BudCol14" localSheetId="34">#REF!</definedName>
    <definedName name="BudCol14" localSheetId="31">#REF!</definedName>
    <definedName name="BudCol14" localSheetId="43">#REF!</definedName>
    <definedName name="BudCol14" localSheetId="15">#REF!</definedName>
    <definedName name="BudCol14">#REF!</definedName>
    <definedName name="BudCol15" localSheetId="13">#REF!</definedName>
    <definedName name="BudCol15" localSheetId="4">#REF!</definedName>
    <definedName name="BudCol15" localSheetId="16">#REF!</definedName>
    <definedName name="BudCol15" localSheetId="35">#REF!</definedName>
    <definedName name="BudCol15" localSheetId="34">#REF!</definedName>
    <definedName name="BudCol15" localSheetId="31">#REF!</definedName>
    <definedName name="BudCol15" localSheetId="43">#REF!</definedName>
    <definedName name="BudCol15" localSheetId="15">#REF!</definedName>
    <definedName name="BudCol15">#REF!</definedName>
    <definedName name="BudCol16" localSheetId="13">#REF!</definedName>
    <definedName name="BudCol16" localSheetId="4">#REF!</definedName>
    <definedName name="BudCol16" localSheetId="16">#REF!</definedName>
    <definedName name="BudCol16" localSheetId="35">#REF!</definedName>
    <definedName name="BudCol16" localSheetId="34">#REF!</definedName>
    <definedName name="BudCol16" localSheetId="31">#REF!</definedName>
    <definedName name="BudCol16" localSheetId="43">#REF!</definedName>
    <definedName name="BudCol16" localSheetId="15">#REF!</definedName>
    <definedName name="BudCol16">#REF!</definedName>
    <definedName name="BudCol17" localSheetId="13">#REF!</definedName>
    <definedName name="BudCol17" localSheetId="4">#REF!</definedName>
    <definedName name="BudCol17" localSheetId="16">#REF!</definedName>
    <definedName name="BudCol17" localSheetId="35">#REF!</definedName>
    <definedName name="BudCol17" localSheetId="34">#REF!</definedName>
    <definedName name="BudCol17" localSheetId="31">#REF!</definedName>
    <definedName name="BudCol17" localSheetId="43">#REF!</definedName>
    <definedName name="BudCol17" localSheetId="15">#REF!</definedName>
    <definedName name="BudCol17">#REF!</definedName>
    <definedName name="BudCol18" localSheetId="13">#REF!</definedName>
    <definedName name="BudCol18" localSheetId="4">#REF!</definedName>
    <definedName name="BudCol18" localSheetId="16">#REF!</definedName>
    <definedName name="BudCol18" localSheetId="35">#REF!</definedName>
    <definedName name="BudCol18" localSheetId="34">#REF!</definedName>
    <definedName name="BudCol18" localSheetId="31">#REF!</definedName>
    <definedName name="BudCol18" localSheetId="43">#REF!</definedName>
    <definedName name="BudCol18" localSheetId="15">#REF!</definedName>
    <definedName name="BudCol18">#REF!</definedName>
    <definedName name="BudCol19" localSheetId="13">#REF!</definedName>
    <definedName name="BudCol19" localSheetId="4">#REF!</definedName>
    <definedName name="BudCol19" localSheetId="16">#REF!</definedName>
    <definedName name="BudCol19" localSheetId="35">#REF!</definedName>
    <definedName name="BudCol19" localSheetId="34">#REF!</definedName>
    <definedName name="BudCol19" localSheetId="31">#REF!</definedName>
    <definedName name="BudCol19" localSheetId="43">#REF!</definedName>
    <definedName name="BudCol19" localSheetId="15">#REF!</definedName>
    <definedName name="BudCol19">#REF!</definedName>
    <definedName name="BudCol20" localSheetId="13">#REF!</definedName>
    <definedName name="BudCol20" localSheetId="4">#REF!</definedName>
    <definedName name="BudCol20" localSheetId="16">#REF!</definedName>
    <definedName name="BudCol20" localSheetId="35">#REF!</definedName>
    <definedName name="BudCol20" localSheetId="34">#REF!</definedName>
    <definedName name="BudCol20" localSheetId="31">#REF!</definedName>
    <definedName name="BudCol20" localSheetId="43">#REF!</definedName>
    <definedName name="BudCol20" localSheetId="15">#REF!</definedName>
    <definedName name="BudCol20">#REF!</definedName>
    <definedName name="BudCol21" localSheetId="13">#REF!</definedName>
    <definedName name="BudCol21" localSheetId="4">#REF!</definedName>
    <definedName name="BudCol21" localSheetId="16">#REF!</definedName>
    <definedName name="BudCol21" localSheetId="35">#REF!</definedName>
    <definedName name="BudCol21" localSheetId="34">#REF!</definedName>
    <definedName name="BudCol21" localSheetId="31">#REF!</definedName>
    <definedName name="BudCol21" localSheetId="43">#REF!</definedName>
    <definedName name="BudCol21" localSheetId="15">#REF!</definedName>
    <definedName name="BudCol21">#REF!</definedName>
    <definedName name="BudCol22" localSheetId="13">#REF!</definedName>
    <definedName name="BudCol22" localSheetId="4">#REF!</definedName>
    <definedName name="BudCol22" localSheetId="16">#REF!</definedName>
    <definedName name="BudCol22" localSheetId="35">#REF!</definedName>
    <definedName name="BudCol22" localSheetId="34">#REF!</definedName>
    <definedName name="BudCol22" localSheetId="31">#REF!</definedName>
    <definedName name="BudCol22" localSheetId="43">#REF!</definedName>
    <definedName name="BudCol22" localSheetId="15">#REF!</definedName>
    <definedName name="BudCol22">#REF!</definedName>
    <definedName name="BudCol23" localSheetId="13">#REF!</definedName>
    <definedName name="BudCol23" localSheetId="4">#REF!</definedName>
    <definedName name="BudCol23" localSheetId="16">#REF!</definedName>
    <definedName name="BudCol23" localSheetId="35">#REF!</definedName>
    <definedName name="BudCol23" localSheetId="34">#REF!</definedName>
    <definedName name="BudCol23" localSheetId="31">#REF!</definedName>
    <definedName name="BudCol23" localSheetId="43">#REF!</definedName>
    <definedName name="BudCol23" localSheetId="15">#REF!</definedName>
    <definedName name="BudCol23">#REF!</definedName>
    <definedName name="BudCol24" localSheetId="13">#REF!</definedName>
    <definedName name="BudCol24" localSheetId="4">#REF!</definedName>
    <definedName name="BudCol24" localSheetId="16">#REF!</definedName>
    <definedName name="BudCol24" localSheetId="35">#REF!</definedName>
    <definedName name="BudCol24" localSheetId="34">#REF!</definedName>
    <definedName name="BudCol24" localSheetId="31">#REF!</definedName>
    <definedName name="BudCol24" localSheetId="43">#REF!</definedName>
    <definedName name="BudCol24" localSheetId="15">#REF!</definedName>
    <definedName name="BudCol24">#REF!</definedName>
    <definedName name="BudCol25" localSheetId="13">#REF!</definedName>
    <definedName name="BudCol25" localSheetId="4">#REF!</definedName>
    <definedName name="BudCol25" localSheetId="16">#REF!</definedName>
    <definedName name="BudCol25" localSheetId="35">#REF!</definedName>
    <definedName name="BudCol25" localSheetId="34">#REF!</definedName>
    <definedName name="BudCol25" localSheetId="31">#REF!</definedName>
    <definedName name="BudCol25" localSheetId="43">#REF!</definedName>
    <definedName name="BudCol25" localSheetId="15">#REF!</definedName>
    <definedName name="BudCol25">#REF!</definedName>
    <definedName name="BudColTmp" localSheetId="13">#REF!</definedName>
    <definedName name="BudColTmp" localSheetId="4">#REF!</definedName>
    <definedName name="BudColTmp" localSheetId="16">#REF!</definedName>
    <definedName name="BudColTmp" localSheetId="35">#REF!</definedName>
    <definedName name="BudColTmp" localSheetId="34">#REF!</definedName>
    <definedName name="BudColTmp" localSheetId="31">#REF!</definedName>
    <definedName name="BudColTmp" localSheetId="43">#REF!</definedName>
    <definedName name="BudColTmp" localSheetId="15">#REF!</definedName>
    <definedName name="BudColTmp">#REF!</definedName>
    <definedName name="ClearedSubtotal" localSheetId="4">#REF!</definedName>
    <definedName name="ClearedSubtotal" localSheetId="35">#REF!</definedName>
    <definedName name="ClearedSubtotal" localSheetId="34">#REF!</definedName>
    <definedName name="ClearedSubtotal" localSheetId="31">#REF!</definedName>
    <definedName name="ClearedSubtotal" localSheetId="43">#REF!</definedName>
    <definedName name="ClearedSubtotal">#REF!</definedName>
    <definedName name="CMUnclearedSubtotal" localSheetId="4">#REF!</definedName>
    <definedName name="CMUnclearedSubtotal" localSheetId="35">#REF!</definedName>
    <definedName name="CMUnclearedSubtotal" localSheetId="34">#REF!</definedName>
    <definedName name="CMUnclearedSubtotal" localSheetId="31">#REF!</definedName>
    <definedName name="CMUnclearedSubtotal" localSheetId="43">#REF!</definedName>
    <definedName name="CMUnclearedSubtotal">#REF!</definedName>
    <definedName name="CurDateTime" localSheetId="13">[1]Input!#REF!</definedName>
    <definedName name="CurDateTime" localSheetId="4">[1]Input!#REF!</definedName>
    <definedName name="CurDateTime" localSheetId="16">[1]Input!#REF!</definedName>
    <definedName name="CurDateTime" localSheetId="35">[1]Input!#REF!</definedName>
    <definedName name="CurDateTime" localSheetId="34">[1]Input!#REF!</definedName>
    <definedName name="CurDateTime" localSheetId="31">[1]Input!#REF!</definedName>
    <definedName name="CurDateTime" localSheetId="15">[1]Input!#REF!</definedName>
    <definedName name="CurDateTime">[1]Input!#REF!</definedName>
    <definedName name="CurrMonth">[2]Instructions!$C$5</definedName>
    <definedName name="DataCol_02" localSheetId="13">'[3]Data Table'!#REF!</definedName>
    <definedName name="DataCol_02" localSheetId="4">'[3]Data Table'!#REF!</definedName>
    <definedName name="DataCol_02" localSheetId="16">'[3]Data Table'!#REF!</definedName>
    <definedName name="DataCol_02" localSheetId="15">'[3]Data Table'!#REF!</definedName>
    <definedName name="DataCol_02">'[3]Data Table'!#REF!</definedName>
    <definedName name="DataCol_03" localSheetId="4">'[3]Data Table'!#REF!</definedName>
    <definedName name="DataCol_03" localSheetId="16">'[3]Data Table'!#REF!</definedName>
    <definedName name="DataCol_03" localSheetId="15">'[3]Data Table'!#REF!</definedName>
    <definedName name="DataCol_03">'[3]Data Table'!#REF!</definedName>
    <definedName name="DataCol_04" localSheetId="4">'[3]Data Table'!#REF!</definedName>
    <definedName name="DataCol_04" localSheetId="16">'[3]Data Table'!#REF!</definedName>
    <definedName name="DataCol_04">'[3]Data Table'!#REF!</definedName>
    <definedName name="DataCol_05" localSheetId="4">'[3]Data Table'!#REF!</definedName>
    <definedName name="DataCol_05" localSheetId="16">'[3]Data Table'!#REF!</definedName>
    <definedName name="DataCol_05">'[3]Data Table'!#REF!</definedName>
    <definedName name="DataCol_06" localSheetId="4">'[3]Data Table'!#REF!</definedName>
    <definedName name="DataCol_06">'[3]Data Table'!#REF!</definedName>
    <definedName name="DataCol_07" localSheetId="4">'[3]Data Table'!#REF!</definedName>
    <definedName name="DataCol_07">'[3]Data Table'!#REF!</definedName>
    <definedName name="DataCol_08" localSheetId="4">'[3]Data Table'!#REF!</definedName>
    <definedName name="DataCol_08">'[3]Data Table'!#REF!</definedName>
    <definedName name="DataCol_09" localSheetId="4">'[3]Data Table'!#REF!</definedName>
    <definedName name="DataCol_09">'[3]Data Table'!#REF!</definedName>
    <definedName name="DataCol_10" localSheetId="4">'[3]Data Table'!#REF!</definedName>
    <definedName name="DataCol_10">'[3]Data Table'!#REF!</definedName>
    <definedName name="DataCol_11" localSheetId="4">'[3]Data Table'!#REF!</definedName>
    <definedName name="DataCol_11">'[3]Data Table'!#REF!</definedName>
    <definedName name="DataCol_12" localSheetId="4">'[3]Data Table'!#REF!</definedName>
    <definedName name="DataCol_12">'[3]Data Table'!#REF!</definedName>
    <definedName name="DataCol_13" localSheetId="4">'[3]Data Table'!#REF!</definedName>
    <definedName name="DataCol_13">'[3]Data Table'!#REF!</definedName>
    <definedName name="DataCol_14" localSheetId="4">'[3]Data Table'!#REF!</definedName>
    <definedName name="DataCol_14">'[3]Data Table'!#REF!</definedName>
    <definedName name="DataCol_15" localSheetId="4">'[3]Data Table'!#REF!</definedName>
    <definedName name="DataCol_15">'[3]Data Table'!#REF!</definedName>
    <definedName name="DataCol_16" localSheetId="4">'[3]Data Table'!#REF!</definedName>
    <definedName name="DataCol_16">'[3]Data Table'!#REF!</definedName>
    <definedName name="DataCol_17" localSheetId="4">'[3]Data Table'!#REF!</definedName>
    <definedName name="DataCol_17">'[3]Data Table'!#REF!</definedName>
    <definedName name="DataCol_18" localSheetId="4">'[3]Data Table'!#REF!</definedName>
    <definedName name="DataCol_18">'[3]Data Table'!#REF!</definedName>
    <definedName name="DataCol_19" localSheetId="4">'[3]Data Table'!#REF!</definedName>
    <definedName name="DataCol_19">'[3]Data Table'!#REF!</definedName>
    <definedName name="DataCol_20" localSheetId="4">'[3]Data Table'!#REF!</definedName>
    <definedName name="DataCol_20">'[3]Data Table'!#REF!</definedName>
    <definedName name="DataCol_21" localSheetId="4">'[3]Data Table'!#REF!</definedName>
    <definedName name="DataCol_21">'[3]Data Table'!#REF!</definedName>
    <definedName name="DataCol_22" localSheetId="4">'[3]Data Table'!#REF!</definedName>
    <definedName name="DataCol_22">'[3]Data Table'!#REF!</definedName>
    <definedName name="DataCol_23" localSheetId="4">'[3]Data Table'!#REF!</definedName>
    <definedName name="DataCol_23">'[3]Data Table'!#REF!</definedName>
    <definedName name="DataCol_24" localSheetId="4">'[3]Data Table'!#REF!</definedName>
    <definedName name="DataCol_24">'[3]Data Table'!#REF!</definedName>
    <definedName name="DataCol_25" localSheetId="4">'[3]Data Table'!#REF!</definedName>
    <definedName name="DataCol_25">'[3]Data Table'!#REF!</definedName>
    <definedName name="DataCol_26" localSheetId="4">'[3]Data Table'!#REF!</definedName>
    <definedName name="DataCol_26">'[3]Data Table'!#REF!</definedName>
    <definedName name="DataCol_27" localSheetId="4">'[3]Data Table'!#REF!</definedName>
    <definedName name="DataCol_27">'[3]Data Table'!#REF!</definedName>
    <definedName name="DataCol_28" localSheetId="4">'[3]Data Table'!#REF!</definedName>
    <definedName name="DataCol_28">'[3]Data Table'!#REF!</definedName>
    <definedName name="DataCol_29" localSheetId="4">'[3]Data Table'!#REF!</definedName>
    <definedName name="DataCol_29">'[3]Data Table'!#REF!</definedName>
    <definedName name="DataCol_30" localSheetId="4">'[3]Data Table'!#REF!</definedName>
    <definedName name="DataCol_30">'[3]Data Table'!#REF!</definedName>
    <definedName name="DataCol_31" localSheetId="4">'[3]Data Table'!#REF!</definedName>
    <definedName name="DataCol_31">'[3]Data Table'!#REF!</definedName>
    <definedName name="DataCol_32" localSheetId="4">'[3]Data Table'!#REF!</definedName>
    <definedName name="DataCol_32">'[3]Data Table'!#REF!</definedName>
    <definedName name="DataCol_33" localSheetId="4">'[3]Data Table'!#REF!</definedName>
    <definedName name="DataCol_33">'[3]Data Table'!#REF!</definedName>
    <definedName name="DataCol_34" localSheetId="4">'[3]Data Table'!#REF!</definedName>
    <definedName name="DataCol_34">'[3]Data Table'!#REF!</definedName>
    <definedName name="DataCol_35" localSheetId="4">'[3]Data Table'!#REF!</definedName>
    <definedName name="DataCol_35">'[3]Data Table'!#REF!</definedName>
    <definedName name="DataCol_36" localSheetId="4">'[3]Data Table'!#REF!</definedName>
    <definedName name="DataCol_36">'[3]Data Table'!#REF!</definedName>
    <definedName name="DataCol_37" localSheetId="4">'[3]Data Table'!#REF!</definedName>
    <definedName name="DataCol_37">'[3]Data Table'!#REF!</definedName>
    <definedName name="GasUnitFactor">[4]ListsValues!$M$44</definedName>
    <definedName name="IDTable">[2]IDTable!$A$5:$C$11</definedName>
    <definedName name="InputSec_01" localSheetId="13">[5]Input!#REF!</definedName>
    <definedName name="InputSec_01" localSheetId="4">[5]Input!#REF!</definedName>
    <definedName name="InputSec_01" localSheetId="16">[5]Input!#REF!</definedName>
    <definedName name="InputSec_01" localSheetId="15">[5]Input!#REF!</definedName>
    <definedName name="InputSec_01">[5]Input!#REF!</definedName>
    <definedName name="InputSec01a" localSheetId="4">#REF!</definedName>
    <definedName name="InputSec01a" localSheetId="35">#REF!</definedName>
    <definedName name="InputSec01a" localSheetId="34">#REF!</definedName>
    <definedName name="InputSec01a" localSheetId="31">#REF!</definedName>
    <definedName name="InputSec01a" localSheetId="43">#REF!</definedName>
    <definedName name="InputSec01a">#REF!</definedName>
    <definedName name="InputSec01b" localSheetId="4">#REF!</definedName>
    <definedName name="InputSec01b" localSheetId="35">#REF!</definedName>
    <definedName name="InputSec01b" localSheetId="34">#REF!</definedName>
    <definedName name="InputSec01b" localSheetId="31">#REF!</definedName>
    <definedName name="InputSec01b" localSheetId="43">#REF!</definedName>
    <definedName name="InputSec01b">#REF!</definedName>
    <definedName name="InputSec01c" localSheetId="4">#REF!</definedName>
    <definedName name="InputSec01c" localSheetId="35">#REF!</definedName>
    <definedName name="InputSec01c" localSheetId="34">#REF!</definedName>
    <definedName name="InputSec01c" localSheetId="31">#REF!</definedName>
    <definedName name="InputSec01c" localSheetId="43">#REF!</definedName>
    <definedName name="InputSec01c">#REF!</definedName>
    <definedName name="InputSec01d" localSheetId="4">#REF!</definedName>
    <definedName name="InputSec01d" localSheetId="35">#REF!</definedName>
    <definedName name="InputSec01d" localSheetId="34">#REF!</definedName>
    <definedName name="InputSec01d" localSheetId="31">#REF!</definedName>
    <definedName name="InputSec01d" localSheetId="43">#REF!</definedName>
    <definedName name="InputSec01d">#REF!</definedName>
    <definedName name="InputSec02" localSheetId="13">[1]Input!#REF!</definedName>
    <definedName name="InputSec02" localSheetId="4">[1]Input!#REF!</definedName>
    <definedName name="InputSec02" localSheetId="16">[1]Input!#REF!</definedName>
    <definedName name="InputSec02" localSheetId="35">[1]Input!#REF!</definedName>
    <definedName name="InputSec02" localSheetId="34">[1]Input!#REF!</definedName>
    <definedName name="InputSec02" localSheetId="31">[1]Input!#REF!</definedName>
    <definedName name="InputSec02" localSheetId="15">[1]Input!#REF!</definedName>
    <definedName name="InputSec02">[1]Input!#REF!</definedName>
    <definedName name="InputSec03a" localSheetId="4">#REF!</definedName>
    <definedName name="InputSec03a" localSheetId="35">#REF!</definedName>
    <definedName name="InputSec03a" localSheetId="34">#REF!</definedName>
    <definedName name="InputSec03a" localSheetId="31">#REF!</definedName>
    <definedName name="InputSec03a" localSheetId="43">#REF!</definedName>
    <definedName name="InputSec03a">#REF!</definedName>
    <definedName name="InputSec03b" localSheetId="4">#REF!</definedName>
    <definedName name="InputSec03b" localSheetId="35">#REF!</definedName>
    <definedName name="InputSec03b" localSheetId="34">#REF!</definedName>
    <definedName name="InputSec03b" localSheetId="31">#REF!</definedName>
    <definedName name="InputSec03b" localSheetId="43">#REF!</definedName>
    <definedName name="InputSec03b">#REF!</definedName>
    <definedName name="InputSec04a" localSheetId="4">#REF!</definedName>
    <definedName name="InputSec04a" localSheetId="35">#REF!</definedName>
    <definedName name="InputSec04a" localSheetId="34">#REF!</definedName>
    <definedName name="InputSec04a" localSheetId="31">#REF!</definedName>
    <definedName name="InputSec04a" localSheetId="43">#REF!</definedName>
    <definedName name="InputSec04a">#REF!</definedName>
    <definedName name="InputSec04b" localSheetId="4">#REF!</definedName>
    <definedName name="InputSec04b" localSheetId="35">#REF!</definedName>
    <definedName name="InputSec04b" localSheetId="34">#REF!</definedName>
    <definedName name="InputSec04b" localSheetId="31">#REF!</definedName>
    <definedName name="InputSec04b" localSheetId="43">#REF!</definedName>
    <definedName name="InputSec04b">#REF!</definedName>
    <definedName name="InputSec05a" localSheetId="4">[6]Input!#REF!</definedName>
    <definedName name="InputSec05a" localSheetId="35">[6]Input!#REF!</definedName>
    <definedName name="InputSec05a" localSheetId="34">[6]Input!#REF!</definedName>
    <definedName name="InputSec05a" localSheetId="31">[6]Input!#REF!</definedName>
    <definedName name="InputSec05a" localSheetId="43">[6]Input!#REF!</definedName>
    <definedName name="InputSec05a">[6]Input!#REF!</definedName>
    <definedName name="InputSec05b" localSheetId="4">[6]Input!#REF!</definedName>
    <definedName name="InputSec05b" localSheetId="35">[6]Input!#REF!</definedName>
    <definedName name="InputSec05b" localSheetId="34">[6]Input!#REF!</definedName>
    <definedName name="InputSec05b" localSheetId="31">[6]Input!#REF!</definedName>
    <definedName name="InputSec05b">[6]Input!#REF!</definedName>
    <definedName name="InputSec05c" localSheetId="4">[6]Input!#REF!</definedName>
    <definedName name="InputSec05c" localSheetId="35">[6]Input!#REF!</definedName>
    <definedName name="InputSec05c" localSheetId="34">[6]Input!#REF!</definedName>
    <definedName name="InputSec05c" localSheetId="31">[6]Input!#REF!</definedName>
    <definedName name="InputSec05c">[6]Input!#REF!</definedName>
    <definedName name="InputSec05d" localSheetId="4">[6]Input!#REF!</definedName>
    <definedName name="InputSec05d" localSheetId="35">[6]Input!#REF!</definedName>
    <definedName name="InputSec05d" localSheetId="34">[6]Input!#REF!</definedName>
    <definedName name="InputSec05d" localSheetId="31">[6]Input!#REF!</definedName>
    <definedName name="InputSec05d">[6]Input!#REF!</definedName>
    <definedName name="InputSec05e" localSheetId="4">[6]Input!#REF!</definedName>
    <definedName name="InputSec05e" localSheetId="35">[6]Input!#REF!</definedName>
    <definedName name="InputSec05e" localSheetId="34">[6]Input!#REF!</definedName>
    <definedName name="InputSec05e" localSheetId="31">[6]Input!#REF!</definedName>
    <definedName name="InputSec05e">[6]Input!#REF!</definedName>
    <definedName name="InputSec05f" localSheetId="4">[6]Input!#REF!</definedName>
    <definedName name="InputSec05f" localSheetId="35">[6]Input!#REF!</definedName>
    <definedName name="InputSec05f" localSheetId="34">[6]Input!#REF!</definedName>
    <definedName name="InputSec05f" localSheetId="31">[6]Input!#REF!</definedName>
    <definedName name="InputSec05f">[6]Input!#REF!</definedName>
    <definedName name="InputSec05g" localSheetId="4">[6]Input!#REF!</definedName>
    <definedName name="InputSec05g" localSheetId="35">[6]Input!#REF!</definedName>
    <definedName name="InputSec05g" localSheetId="34">[6]Input!#REF!</definedName>
    <definedName name="InputSec05g" localSheetId="31">[6]Input!#REF!</definedName>
    <definedName name="InputSec05g">[6]Input!#REF!</definedName>
    <definedName name="InputSec05h" localSheetId="4">[6]Input!#REF!</definedName>
    <definedName name="InputSec05h" localSheetId="35">[6]Input!#REF!</definedName>
    <definedName name="InputSec05h" localSheetId="34">[6]Input!#REF!</definedName>
    <definedName name="InputSec05h" localSheetId="31">[6]Input!#REF!</definedName>
    <definedName name="InputSec05h">[6]Input!#REF!</definedName>
    <definedName name="InputSec06a" localSheetId="13">[1]Input!#REF!</definedName>
    <definedName name="InputSec06a" localSheetId="4">[1]Input!#REF!</definedName>
    <definedName name="InputSec06a" localSheetId="16">[1]Input!#REF!</definedName>
    <definedName name="InputSec06a" localSheetId="35">[1]Input!#REF!</definedName>
    <definedName name="InputSec06a" localSheetId="34">[1]Input!#REF!</definedName>
    <definedName name="InputSec06a" localSheetId="31">[1]Input!#REF!</definedName>
    <definedName name="InputSec06a" localSheetId="15">[1]Input!#REF!</definedName>
    <definedName name="InputSec06a">[1]Input!#REF!</definedName>
    <definedName name="InputSec06b" localSheetId="4">[6]Input!#REF!</definedName>
    <definedName name="InputSec06b" localSheetId="35">[6]Input!#REF!</definedName>
    <definedName name="InputSec06b" localSheetId="34">[6]Input!#REF!</definedName>
    <definedName name="InputSec06b" localSheetId="31">[6]Input!#REF!</definedName>
    <definedName name="InputSec06b">[6]Input!#REF!</definedName>
    <definedName name="InputSec06c" localSheetId="4">[6]Input!#REF!</definedName>
    <definedName name="InputSec06c" localSheetId="35">[6]Input!#REF!</definedName>
    <definedName name="InputSec06c" localSheetId="34">[6]Input!#REF!</definedName>
    <definedName name="InputSec06c" localSheetId="31">[6]Input!#REF!</definedName>
    <definedName name="InputSec06c">[6]Input!#REF!</definedName>
    <definedName name="InputSec06d" localSheetId="4">[6]Input!#REF!</definedName>
    <definedName name="InputSec06d" localSheetId="35">[6]Input!#REF!</definedName>
    <definedName name="InputSec06d" localSheetId="34">[6]Input!#REF!</definedName>
    <definedName name="InputSec06d" localSheetId="31">[6]Input!#REF!</definedName>
    <definedName name="InputSec06d">[6]Input!#REF!</definedName>
    <definedName name="InputSec06e" localSheetId="4">[6]Input!#REF!</definedName>
    <definedName name="InputSec06e" localSheetId="35">[6]Input!#REF!</definedName>
    <definedName name="InputSec06e" localSheetId="34">[6]Input!#REF!</definedName>
    <definedName name="InputSec06e" localSheetId="31">[6]Input!#REF!</definedName>
    <definedName name="InputSec06e">[6]Input!#REF!</definedName>
    <definedName name="InputSec07a" localSheetId="13">[1]Input!#REF!</definedName>
    <definedName name="InputSec07a" localSheetId="4">[1]Input!#REF!</definedName>
    <definedName name="InputSec07a" localSheetId="16">[1]Input!#REF!</definedName>
    <definedName name="InputSec07a" localSheetId="35">[1]Input!#REF!</definedName>
    <definedName name="InputSec07a" localSheetId="34">[1]Input!#REF!</definedName>
    <definedName name="InputSec07a" localSheetId="31">[1]Input!#REF!</definedName>
    <definedName name="InputSec07a" localSheetId="15">[1]Input!#REF!</definedName>
    <definedName name="InputSec07a">[1]Input!#REF!</definedName>
    <definedName name="InputSec07b" localSheetId="13">[1]Input!#REF!</definedName>
    <definedName name="InputSec07b" localSheetId="4">[1]Input!#REF!</definedName>
    <definedName name="InputSec07b" localSheetId="16">[1]Input!#REF!</definedName>
    <definedName name="InputSec07b" localSheetId="15">[1]Input!#REF!</definedName>
    <definedName name="InputSec07b">[1]Input!#REF!</definedName>
    <definedName name="InputSec07c" localSheetId="13">[1]Input!#REF!</definedName>
    <definedName name="InputSec07c" localSheetId="4">[1]Input!#REF!</definedName>
    <definedName name="InputSec07c" localSheetId="16">[1]Input!#REF!</definedName>
    <definedName name="InputSec07c" localSheetId="15">[1]Input!#REF!</definedName>
    <definedName name="InputSec07c">[1]Input!#REF!</definedName>
    <definedName name="InputSec07d" localSheetId="13">[1]Input!#REF!</definedName>
    <definedName name="InputSec07d" localSheetId="4">[1]Input!#REF!</definedName>
    <definedName name="InputSec07d" localSheetId="16">[1]Input!#REF!</definedName>
    <definedName name="InputSec07d" localSheetId="15">[1]Input!#REF!</definedName>
    <definedName name="InputSec07d">[1]Input!#REF!</definedName>
    <definedName name="InputSec07e" localSheetId="13">[1]Input!#REF!</definedName>
    <definedName name="InputSec07e" localSheetId="4">[1]Input!#REF!</definedName>
    <definedName name="InputSec07e" localSheetId="16">[1]Input!#REF!</definedName>
    <definedName name="InputSec07e" localSheetId="15">[1]Input!#REF!</definedName>
    <definedName name="InputSec07e">[1]Input!#REF!</definedName>
    <definedName name="InputSec08a" localSheetId="13">[1]Input!#REF!</definedName>
    <definedName name="InputSec08a" localSheetId="4">[1]Input!#REF!</definedName>
    <definedName name="InputSec08a" localSheetId="16">[1]Input!#REF!</definedName>
    <definedName name="InputSec08a" localSheetId="15">[1]Input!#REF!</definedName>
    <definedName name="InputSec08a">[1]Input!#REF!</definedName>
    <definedName name="InputSec08b" localSheetId="13">[1]Input!#REF!</definedName>
    <definedName name="InputSec08b" localSheetId="4">[1]Input!#REF!</definedName>
    <definedName name="InputSec08b" localSheetId="16">[1]Input!#REF!</definedName>
    <definedName name="InputSec08b" localSheetId="15">[1]Input!#REF!</definedName>
    <definedName name="InputSec08b">[1]Input!#REF!</definedName>
    <definedName name="InputSec08c" localSheetId="13">[1]Input!#REF!</definedName>
    <definedName name="InputSec08c" localSheetId="4">[1]Input!#REF!</definedName>
    <definedName name="InputSec08c" localSheetId="16">[1]Input!#REF!</definedName>
    <definedName name="InputSec08c" localSheetId="15">[1]Input!#REF!</definedName>
    <definedName name="InputSec08c">[1]Input!#REF!</definedName>
    <definedName name="InputSec09a" localSheetId="13">[1]Input!#REF!</definedName>
    <definedName name="InputSec09a" localSheetId="4">[1]Input!#REF!</definedName>
    <definedName name="InputSec09a" localSheetId="16">[1]Input!#REF!</definedName>
    <definedName name="InputSec09a" localSheetId="15">[1]Input!#REF!</definedName>
    <definedName name="InputSec09a">[1]Input!#REF!</definedName>
    <definedName name="InputSec09b" localSheetId="13">[1]Input!#REF!</definedName>
    <definedName name="InputSec09b" localSheetId="4">[1]Input!#REF!</definedName>
    <definedName name="InputSec09b" localSheetId="16">[1]Input!#REF!</definedName>
    <definedName name="InputSec09b" localSheetId="15">[1]Input!#REF!</definedName>
    <definedName name="InputSec09b">[1]Input!#REF!</definedName>
    <definedName name="InputSec09c" localSheetId="13">[1]Input!#REF!</definedName>
    <definedName name="InputSec09c" localSheetId="4">[1]Input!#REF!</definedName>
    <definedName name="InputSec09c" localSheetId="16">[1]Input!#REF!</definedName>
    <definedName name="InputSec09c" localSheetId="15">[1]Input!#REF!</definedName>
    <definedName name="InputSec09c">[1]Input!#REF!</definedName>
    <definedName name="InputStartCell" localSheetId="4">[5]Input!#REF!</definedName>
    <definedName name="InputStartCell">[5]Input!#REF!</definedName>
    <definedName name="J522ODP" localSheetId="4">#REF!</definedName>
    <definedName name="J522ODP" localSheetId="35">#REF!</definedName>
    <definedName name="J522ODP" localSheetId="34">#REF!</definedName>
    <definedName name="J522ODP" localSheetId="31">#REF!</definedName>
    <definedName name="J522ODP" localSheetId="43">#REF!</definedName>
    <definedName name="J522ODP">#REF!</definedName>
    <definedName name="JE_Name_1" localSheetId="4">#REF!</definedName>
    <definedName name="JE_Name_1" localSheetId="35">#REF!</definedName>
    <definedName name="JE_Name_1" localSheetId="34">#REF!</definedName>
    <definedName name="JE_Name_1" localSheetId="31">#REF!</definedName>
    <definedName name="JE_Name_1" localSheetId="43">#REF!</definedName>
    <definedName name="JE_Name_1">#REF!</definedName>
    <definedName name="JE_Name_2" localSheetId="13">#REF!</definedName>
    <definedName name="JE_Name_2" localSheetId="4">#REF!</definedName>
    <definedName name="JE_Name_2" localSheetId="16">#REF!</definedName>
    <definedName name="JE_Name_2" localSheetId="35">#REF!</definedName>
    <definedName name="JE_Name_2" localSheetId="34">#REF!</definedName>
    <definedName name="JE_Name_2" localSheetId="31">#REF!</definedName>
    <definedName name="JE_Name_2" localSheetId="43">#REF!</definedName>
    <definedName name="JE_Name_2" localSheetId="15">#REF!</definedName>
    <definedName name="JE_Name_2">#REF!</definedName>
    <definedName name="JE_Name_3" localSheetId="4">#REF!</definedName>
    <definedName name="JE_Name_3" localSheetId="35">#REF!</definedName>
    <definedName name="JE_Name_3" localSheetId="34">#REF!</definedName>
    <definedName name="JE_Name_3" localSheetId="31">#REF!</definedName>
    <definedName name="JE_Name_3" localSheetId="43">#REF!</definedName>
    <definedName name="JE_Name_3">#REF!</definedName>
    <definedName name="KWHCol01" localSheetId="13">#REF!</definedName>
    <definedName name="KWHCol01" localSheetId="4">#REF!</definedName>
    <definedName name="KWHCol01" localSheetId="16">#REF!</definedName>
    <definedName name="KWHCol01" localSheetId="35">#REF!</definedName>
    <definedName name="KWHCol01" localSheetId="34">#REF!</definedName>
    <definedName name="KWHCol01" localSheetId="31">#REF!</definedName>
    <definedName name="KWHCol01" localSheetId="43">#REF!</definedName>
    <definedName name="KWHCol01" localSheetId="15">#REF!</definedName>
    <definedName name="KWHCol01">#REF!</definedName>
    <definedName name="KWHCol02" localSheetId="13">#REF!</definedName>
    <definedName name="KWHCol02" localSheetId="4">#REF!</definedName>
    <definedName name="KWHCol02" localSheetId="16">#REF!</definedName>
    <definedName name="KWHCol02" localSheetId="35">#REF!</definedName>
    <definedName name="KWHCol02" localSheetId="34">#REF!</definedName>
    <definedName name="KWHCol02" localSheetId="31">#REF!</definedName>
    <definedName name="KWHCol02" localSheetId="43">#REF!</definedName>
    <definedName name="KWHCol02" localSheetId="15">#REF!</definedName>
    <definedName name="KWHCol02">#REF!</definedName>
    <definedName name="KWHCol03" localSheetId="13">#REF!</definedName>
    <definedName name="KWHCol03" localSheetId="4">#REF!</definedName>
    <definedName name="KWHCol03" localSheetId="16">#REF!</definedName>
    <definedName name="KWHCol03" localSheetId="35">#REF!</definedName>
    <definedName name="KWHCol03" localSheetId="34">#REF!</definedName>
    <definedName name="KWHCol03" localSheetId="31">#REF!</definedName>
    <definedName name="KWHCol03" localSheetId="43">#REF!</definedName>
    <definedName name="KWHCol03" localSheetId="15">#REF!</definedName>
    <definedName name="KWHCol03">#REF!</definedName>
    <definedName name="KWHCol04" localSheetId="13">#REF!</definedName>
    <definedName name="KWHCol04" localSheetId="4">#REF!</definedName>
    <definedName name="KWHCol04" localSheetId="16">#REF!</definedName>
    <definedName name="KWHCol04" localSheetId="35">#REF!</definedName>
    <definedName name="KWHCol04" localSheetId="34">#REF!</definedName>
    <definedName name="KWHCol04" localSheetId="31">#REF!</definedName>
    <definedName name="KWHCol04" localSheetId="43">#REF!</definedName>
    <definedName name="KWHCol04" localSheetId="15">#REF!</definedName>
    <definedName name="KWHCol04">#REF!</definedName>
    <definedName name="KWHCol05" localSheetId="13">#REF!</definedName>
    <definedName name="KWHCol05" localSheetId="4">#REF!</definedName>
    <definedName name="KWHCol05" localSheetId="16">#REF!</definedName>
    <definedName name="KWHCol05" localSheetId="35">#REF!</definedName>
    <definedName name="KWHCol05" localSheetId="34">#REF!</definedName>
    <definedName name="KWHCol05" localSheetId="31">#REF!</definedName>
    <definedName name="KWHCol05" localSheetId="43">#REF!</definedName>
    <definedName name="KWHCol05" localSheetId="15">#REF!</definedName>
    <definedName name="KWHCol05">#REF!</definedName>
    <definedName name="KWHCol06" localSheetId="13">#REF!</definedName>
    <definedName name="KWHCol06" localSheetId="4">#REF!</definedName>
    <definedName name="KWHCol06" localSheetId="16">#REF!</definedName>
    <definedName name="KWHCol06" localSheetId="35">#REF!</definedName>
    <definedName name="KWHCol06" localSheetId="34">#REF!</definedName>
    <definedName name="KWHCol06" localSheetId="31">#REF!</definedName>
    <definedName name="KWHCol06" localSheetId="43">#REF!</definedName>
    <definedName name="KWHCol06" localSheetId="15">#REF!</definedName>
    <definedName name="KWHCol06">#REF!</definedName>
    <definedName name="KWHCol07" localSheetId="13">#REF!</definedName>
    <definedName name="KWHCol07" localSheetId="4">#REF!</definedName>
    <definedName name="KWHCol07" localSheetId="16">#REF!</definedName>
    <definedName name="KWHCol07" localSheetId="35">#REF!</definedName>
    <definedName name="KWHCol07" localSheetId="34">#REF!</definedName>
    <definedName name="KWHCol07" localSheetId="31">#REF!</definedName>
    <definedName name="KWHCol07" localSheetId="43">#REF!</definedName>
    <definedName name="KWHCol07" localSheetId="15">#REF!</definedName>
    <definedName name="KWHCol07">#REF!</definedName>
    <definedName name="KWHCol08" localSheetId="13">#REF!</definedName>
    <definedName name="KWHCol08" localSheetId="4">#REF!</definedName>
    <definedName name="KWHCol08" localSheetId="16">#REF!</definedName>
    <definedName name="KWHCol08" localSheetId="35">#REF!</definedName>
    <definedName name="KWHCol08" localSheetId="34">#REF!</definedName>
    <definedName name="KWHCol08" localSheetId="31">#REF!</definedName>
    <definedName name="KWHCol08" localSheetId="43">#REF!</definedName>
    <definedName name="KWHCol08" localSheetId="15">#REF!</definedName>
    <definedName name="KWHCol08">#REF!</definedName>
    <definedName name="KWHCol09" localSheetId="13">#REF!</definedName>
    <definedName name="KWHCol09" localSheetId="4">#REF!</definedName>
    <definedName name="KWHCol09" localSheetId="16">#REF!</definedName>
    <definedName name="KWHCol09" localSheetId="35">#REF!</definedName>
    <definedName name="KWHCol09" localSheetId="34">#REF!</definedName>
    <definedName name="KWHCol09" localSheetId="31">#REF!</definedName>
    <definedName name="KWHCol09" localSheetId="43">#REF!</definedName>
    <definedName name="KWHCol09" localSheetId="15">#REF!</definedName>
    <definedName name="KWHCol09">#REF!</definedName>
    <definedName name="KWHCol10" localSheetId="13">#REF!</definedName>
    <definedName name="KWHCol10" localSheetId="4">#REF!</definedName>
    <definedName name="KWHCol10" localSheetId="16">#REF!</definedName>
    <definedName name="KWHCol10" localSheetId="35">#REF!</definedName>
    <definedName name="KWHCol10" localSheetId="34">#REF!</definedName>
    <definedName name="KWHCol10" localSheetId="31">#REF!</definedName>
    <definedName name="KWHCol10" localSheetId="43">#REF!</definedName>
    <definedName name="KWHCol10" localSheetId="15">#REF!</definedName>
    <definedName name="KWHCol10">#REF!</definedName>
    <definedName name="KWHCol11" localSheetId="13">#REF!</definedName>
    <definedName name="KWHCol11" localSheetId="4">#REF!</definedName>
    <definedName name="KWHCol11" localSheetId="16">#REF!</definedName>
    <definedName name="KWHCol11" localSheetId="35">#REF!</definedName>
    <definedName name="KWHCol11" localSheetId="34">#REF!</definedName>
    <definedName name="KWHCol11" localSheetId="31">#REF!</definedName>
    <definedName name="KWHCol11" localSheetId="43">#REF!</definedName>
    <definedName name="KWHCol11" localSheetId="15">#REF!</definedName>
    <definedName name="KWHCol11">#REF!</definedName>
    <definedName name="KWHCol12" localSheetId="13">#REF!</definedName>
    <definedName name="KWHCol12" localSheetId="4">#REF!</definedName>
    <definedName name="KWHCol12" localSheetId="16">#REF!</definedName>
    <definedName name="KWHCol12" localSheetId="35">#REF!</definedName>
    <definedName name="KWHCol12" localSheetId="34">#REF!</definedName>
    <definedName name="KWHCol12" localSheetId="31">#REF!</definedName>
    <definedName name="KWHCol12" localSheetId="43">#REF!</definedName>
    <definedName name="KWHCol12" localSheetId="15">#REF!</definedName>
    <definedName name="KWHCol12">#REF!</definedName>
    <definedName name="KWHCol13" localSheetId="13">#REF!</definedName>
    <definedName name="KWHCol13" localSheetId="4">#REF!</definedName>
    <definedName name="KWHCol13" localSheetId="16">#REF!</definedName>
    <definedName name="KWHCol13" localSheetId="35">#REF!</definedName>
    <definedName name="KWHCol13" localSheetId="34">#REF!</definedName>
    <definedName name="KWHCol13" localSheetId="31">#REF!</definedName>
    <definedName name="KWHCol13" localSheetId="43">#REF!</definedName>
    <definedName name="KWHCol13" localSheetId="15">#REF!</definedName>
    <definedName name="KWHCol13">#REF!</definedName>
    <definedName name="KWHCol14" localSheetId="13">#REF!</definedName>
    <definedName name="KWHCol14" localSheetId="4">#REF!</definedName>
    <definedName name="KWHCol14" localSheetId="16">#REF!</definedName>
    <definedName name="KWHCol14" localSheetId="35">#REF!</definedName>
    <definedName name="KWHCol14" localSheetId="34">#REF!</definedName>
    <definedName name="KWHCol14" localSheetId="31">#REF!</definedName>
    <definedName name="KWHCol14" localSheetId="43">#REF!</definedName>
    <definedName name="KWHCol14" localSheetId="15">#REF!</definedName>
    <definedName name="KWHCol14">#REF!</definedName>
    <definedName name="KWHCol15" localSheetId="13">#REF!</definedName>
    <definedName name="KWHCol15" localSheetId="4">#REF!</definedName>
    <definedName name="KWHCol15" localSheetId="16">#REF!</definedName>
    <definedName name="KWHCol15" localSheetId="35">#REF!</definedName>
    <definedName name="KWHCol15" localSheetId="34">#REF!</definedName>
    <definedName name="KWHCol15" localSheetId="31">#REF!</definedName>
    <definedName name="KWHCol15" localSheetId="43">#REF!</definedName>
    <definedName name="KWHCol15" localSheetId="15">#REF!</definedName>
    <definedName name="KWHCol15">#REF!</definedName>
    <definedName name="KWHCol16" localSheetId="13">#REF!</definedName>
    <definedName name="KWHCol16" localSheetId="4">#REF!</definedName>
    <definedName name="KWHCol16" localSheetId="16">#REF!</definedName>
    <definedName name="KWHCol16" localSheetId="35">#REF!</definedName>
    <definedName name="KWHCol16" localSheetId="34">#REF!</definedName>
    <definedName name="KWHCol16" localSheetId="31">#REF!</definedName>
    <definedName name="KWHCol16" localSheetId="43">#REF!</definedName>
    <definedName name="KWHCol16" localSheetId="15">#REF!</definedName>
    <definedName name="KWHCol16">#REF!</definedName>
    <definedName name="KWHCol17" localSheetId="13">#REF!</definedName>
    <definedName name="KWHCol17" localSheetId="4">#REF!</definedName>
    <definedName name="KWHCol17" localSheetId="16">#REF!</definedName>
    <definedName name="KWHCol17" localSheetId="35">#REF!</definedName>
    <definedName name="KWHCol17" localSheetId="34">#REF!</definedName>
    <definedName name="KWHCol17" localSheetId="31">#REF!</definedName>
    <definedName name="KWHCol17" localSheetId="43">#REF!</definedName>
    <definedName name="KWHCol17" localSheetId="15">#REF!</definedName>
    <definedName name="KWHCol17">#REF!</definedName>
    <definedName name="KWHCol18" localSheetId="13">#REF!</definedName>
    <definedName name="KWHCol18" localSheetId="4">#REF!</definedName>
    <definedName name="KWHCol18" localSheetId="16">#REF!</definedName>
    <definedName name="KWHCol18" localSheetId="35">#REF!</definedName>
    <definedName name="KWHCol18" localSheetId="34">#REF!</definedName>
    <definedName name="KWHCol18" localSheetId="31">#REF!</definedName>
    <definedName name="KWHCol18" localSheetId="43">#REF!</definedName>
    <definedName name="KWHCol18" localSheetId="15">#REF!</definedName>
    <definedName name="KWHCol18">#REF!</definedName>
    <definedName name="KWHCol19" localSheetId="13">#REF!</definedName>
    <definedName name="KWHCol19" localSheetId="4">#REF!</definedName>
    <definedName name="KWHCol19" localSheetId="16">#REF!</definedName>
    <definedName name="KWHCol19" localSheetId="35">#REF!</definedName>
    <definedName name="KWHCol19" localSheetId="34">#REF!</definedName>
    <definedName name="KWHCol19" localSheetId="31">#REF!</definedName>
    <definedName name="KWHCol19" localSheetId="43">#REF!</definedName>
    <definedName name="KWHCol19" localSheetId="15">#REF!</definedName>
    <definedName name="KWHCol19">#REF!</definedName>
    <definedName name="KWHCol20" localSheetId="13">#REF!</definedName>
    <definedName name="KWHCol20" localSheetId="4">#REF!</definedName>
    <definedName name="KWHCol20" localSheetId="16">#REF!</definedName>
    <definedName name="KWHCol20" localSheetId="35">#REF!</definedName>
    <definedName name="KWHCol20" localSheetId="34">#REF!</definedName>
    <definedName name="KWHCol20" localSheetId="31">#REF!</definedName>
    <definedName name="KWHCol20" localSheetId="43">#REF!</definedName>
    <definedName name="KWHCol20" localSheetId="15">#REF!</definedName>
    <definedName name="KWHCol20">#REF!</definedName>
    <definedName name="KWHCol21" localSheetId="13">#REF!</definedName>
    <definedName name="KWHCol21" localSheetId="4">#REF!</definedName>
    <definedName name="KWHCol21" localSheetId="16">#REF!</definedName>
    <definedName name="KWHCol21" localSheetId="35">#REF!</definedName>
    <definedName name="KWHCol21" localSheetId="34">#REF!</definedName>
    <definedName name="KWHCol21" localSheetId="31">#REF!</definedName>
    <definedName name="KWHCol21" localSheetId="43">#REF!</definedName>
    <definedName name="KWHCol21" localSheetId="15">#REF!</definedName>
    <definedName name="KWHCol21">#REF!</definedName>
    <definedName name="KWHCol22" localSheetId="13">#REF!</definedName>
    <definedName name="KWHCol22" localSheetId="4">#REF!</definedName>
    <definedName name="KWHCol22" localSheetId="16">#REF!</definedName>
    <definedName name="KWHCol22" localSheetId="35">#REF!</definedName>
    <definedName name="KWHCol22" localSheetId="34">#REF!</definedName>
    <definedName name="KWHCol22" localSheetId="31">#REF!</definedName>
    <definedName name="KWHCol22" localSheetId="43">#REF!</definedName>
    <definedName name="KWHCol22" localSheetId="15">#REF!</definedName>
    <definedName name="KWHCol22">#REF!</definedName>
    <definedName name="KWHCol23" localSheetId="13">#REF!</definedName>
    <definedName name="KWHCol23" localSheetId="4">#REF!</definedName>
    <definedName name="KWHCol23" localSheetId="16">#REF!</definedName>
    <definedName name="KWHCol23" localSheetId="35">#REF!</definedName>
    <definedName name="KWHCol23" localSheetId="34">#REF!</definedName>
    <definedName name="KWHCol23" localSheetId="31">#REF!</definedName>
    <definedName name="KWHCol23" localSheetId="43">#REF!</definedName>
    <definedName name="KWHCol23" localSheetId="15">#REF!</definedName>
    <definedName name="KWHCol23">#REF!</definedName>
    <definedName name="KWHCol24" localSheetId="13">#REF!</definedName>
    <definedName name="KWHCol24" localSheetId="4">#REF!</definedName>
    <definedName name="KWHCol24" localSheetId="16">#REF!</definedName>
    <definedName name="KWHCol24" localSheetId="35">#REF!</definedName>
    <definedName name="KWHCol24" localSheetId="34">#REF!</definedName>
    <definedName name="KWHCol24" localSheetId="31">#REF!</definedName>
    <definedName name="KWHCol24" localSheetId="43">#REF!</definedName>
    <definedName name="KWHCol24" localSheetId="15">#REF!</definedName>
    <definedName name="KWHCol24">#REF!</definedName>
    <definedName name="KWHCol25" localSheetId="13">#REF!</definedName>
    <definedName name="KWHCol25" localSheetId="4">#REF!</definedName>
    <definedName name="KWHCol25" localSheetId="16">#REF!</definedName>
    <definedName name="KWHCol25" localSheetId="35">#REF!</definedName>
    <definedName name="KWHCol25" localSheetId="34">#REF!</definedName>
    <definedName name="KWHCol25" localSheetId="31">#REF!</definedName>
    <definedName name="KWHCol25" localSheetId="43">#REF!</definedName>
    <definedName name="KWHCol25" localSheetId="15">#REF!</definedName>
    <definedName name="KWHCol25">#REF!</definedName>
    <definedName name="KWHColTmp" localSheetId="13">#REF!</definedName>
    <definedName name="KWHColTmp" localSheetId="4">#REF!</definedName>
    <definedName name="KWHColTmp" localSheetId="16">#REF!</definedName>
    <definedName name="KWHColTmp" localSheetId="35">#REF!</definedName>
    <definedName name="KWHColTmp" localSheetId="34">#REF!</definedName>
    <definedName name="KWHColTmp" localSheetId="31">#REF!</definedName>
    <definedName name="KWHColTmp" localSheetId="43">#REF!</definedName>
    <definedName name="KWHColTmp" localSheetId="15">#REF!</definedName>
    <definedName name="KWHColTmp">#REF!</definedName>
    <definedName name="Lkup4210" localSheetId="40">[7]Table!$A$4:$A$32</definedName>
    <definedName name="Lkup4210" localSheetId="42">[8]Table!$A$4:$A$32</definedName>
    <definedName name="Lkup4210" localSheetId="41">[9]Table!$A$4:$A$32</definedName>
    <definedName name="Lkup4210" localSheetId="43">[10]Table!$A$4:$A$35</definedName>
    <definedName name="Lkup4210" localSheetId="39">[11]Table!$A$4:$A$32</definedName>
    <definedName name="Lkup4210" localSheetId="38">[12]Table!$A$4:$A$32</definedName>
    <definedName name="Lkup4210" localSheetId="37">[13]Table!$A$4:$A$32</definedName>
    <definedName name="Lkup4210">[14]Table!$A$4:$A$32</definedName>
    <definedName name="NextMonth" localSheetId="4">#REF!</definedName>
    <definedName name="NextMonth" localSheetId="35">#REF!</definedName>
    <definedName name="NextMonth" localSheetId="34">#REF!</definedName>
    <definedName name="NextMonth" localSheetId="31">#REF!</definedName>
    <definedName name="NextMonth" localSheetId="43">#REF!</definedName>
    <definedName name="NextMonth">#REF!</definedName>
    <definedName name="NextReptPeriod" localSheetId="4">[6]Input!#REF!</definedName>
    <definedName name="NextReptPeriod" localSheetId="35">[6]Input!#REF!</definedName>
    <definedName name="NextReptPeriod" localSheetId="34">[6]Input!#REF!</definedName>
    <definedName name="NextReptPeriod" localSheetId="31">[6]Input!#REF!</definedName>
    <definedName name="NextReptPeriod" localSheetId="43">[6]Input!#REF!</definedName>
    <definedName name="NextReptPeriod">[6]Input!#REF!</definedName>
    <definedName name="PAGE1" localSheetId="13">#REF!</definedName>
    <definedName name="PAGE1" localSheetId="4">#REF!</definedName>
    <definedName name="PAGE1" localSheetId="16">#REF!</definedName>
    <definedName name="PAGE1" localSheetId="35">#REF!</definedName>
    <definedName name="PAGE1" localSheetId="34">#REF!</definedName>
    <definedName name="PAGE1" localSheetId="31">#REF!</definedName>
    <definedName name="PAGE1" localSheetId="43">#REF!</definedName>
    <definedName name="PAGE1" localSheetId="15">#REF!</definedName>
    <definedName name="PAGE1">#REF!</definedName>
    <definedName name="PAGE2" localSheetId="13">#REF!</definedName>
    <definedName name="PAGE2" localSheetId="4">#REF!</definedName>
    <definedName name="PAGE2" localSheetId="16">#REF!</definedName>
    <definedName name="PAGE2" localSheetId="35">#REF!</definedName>
    <definedName name="PAGE2" localSheetId="34">#REF!</definedName>
    <definedName name="PAGE2" localSheetId="31">#REF!</definedName>
    <definedName name="PAGE2" localSheetId="43">#REF!</definedName>
    <definedName name="PAGE2" localSheetId="15">#REF!</definedName>
    <definedName name="PAGE2">#REF!</definedName>
    <definedName name="PopCache_GL_INTERFACE_REFERENCE7">[15]PopCache_Sheet1!$A$1:$A$2</definedName>
    <definedName name="PPUnclearedSubtotal" localSheetId="4">#REF!</definedName>
    <definedName name="PPUnclearedSubtotal" localSheetId="35">#REF!</definedName>
    <definedName name="PPUnclearedSubtotal" localSheetId="34">#REF!</definedName>
    <definedName name="PPUnclearedSubtotal" localSheetId="31">#REF!</definedName>
    <definedName name="PPUnclearedSubtotal" localSheetId="43">#REF!</definedName>
    <definedName name="PPUnclearedSubtotal">#REF!</definedName>
    <definedName name="_xlnm.Print_Area" localSheetId="17">'12-MO Billed Summary RETAIL'!$A$1:$BF$17</definedName>
    <definedName name="_xlnm.Print_Area" localSheetId="1">'Class Summary-FOR NOTICES'!$A$1:$K$25</definedName>
    <definedName name="_xlnm.Print_Area" localSheetId="13">'Exh C8-Demand Allocation Factor'!$A$1:$I$39</definedName>
    <definedName name="_xlnm.Print_Area" localSheetId="9">'Exh P10-Rate Switch Adj'!$A$1:$AY$46</definedName>
    <definedName name="_xlnm.Print_Area" localSheetId="11">'Exh P11-Gas Supply Exp'!$A$1:$D$29</definedName>
    <definedName name="_xlnm.Print_Area" localSheetId="10">'Exh P11-Gas Supply Rev'!$D$1:$Y$38</definedName>
    <definedName name="_xlnm.Print_Area" localSheetId="12">'Exh P12-Temp Adj'!$A$1:$AL$40</definedName>
    <definedName name="_xlnm.Print_Area" localSheetId="7">'Exh P6-Year-End Customer Adj'!$D$1:$N$62</definedName>
    <definedName name="_xlnm.Print_Area" localSheetId="8">'Exh P9-SpecContCancel TY Detail'!$A$1:$P$29</definedName>
    <definedName name="_xlnm.Print_Area" localSheetId="3">'Exh R10-Summary of Increase'!$A$1:$J$35</definedName>
    <definedName name="_xlnm.Print_Area" localSheetId="4">'Exh R11Proposed Increase Detail'!$C$1:$M$265</definedName>
    <definedName name="_xlnm.Print_Area" localSheetId="6">'Exh R9-Reconst Billings Detail'!$C$1:$K$189</definedName>
    <definedName name="_xlnm.Print_Area" localSheetId="5">'Exh R9-Reconst Billings Summary'!$B$5:$P$42</definedName>
    <definedName name="_xlnm.Print_Area" localSheetId="2">'Rate Summary-FOR NOTICES'!$A$1:$M$53</definedName>
    <definedName name="_xlnm.Print_Area" localSheetId="16">SBR!$AL$3:$AZ$74</definedName>
    <definedName name="_xlnm.Print_Area" localSheetId="36">'SBR Aug11'!$D$1:$S$80</definedName>
    <definedName name="_xlnm.Print_Area" localSheetId="40">'SBR Dec11'!$D$1:$S$84</definedName>
    <definedName name="_xlnm.Print_Area" localSheetId="42">'SBR Feb12'!$D$1:$S$83</definedName>
    <definedName name="_xlnm.Print_Area" localSheetId="41">'SBR Jan12'!$D$1:$S$81</definedName>
    <definedName name="_xlnm.Print_Area" localSheetId="35">'SBR Jul11'!$D$1:$S$80</definedName>
    <definedName name="_xlnm.Print_Area" localSheetId="34">'SBR Jun11'!$D$1:$S$77</definedName>
    <definedName name="_xlnm.Print_Area" localSheetId="31">'SBR Mar11'!$D$1:$S$77</definedName>
    <definedName name="_xlnm.Print_Area" localSheetId="43">'SBR Mar12'!$C$1:$T$79</definedName>
    <definedName name="_xlnm.Print_Area" localSheetId="39">'SBR Nov11'!$D$1:$S$84</definedName>
    <definedName name="_xlnm.Print_Area" localSheetId="38">'SBR Oct11'!$D$1:$S$81</definedName>
    <definedName name="_xlnm.Print_Area" localSheetId="37">'SBR Sep11'!$D$1:$S$80</definedName>
    <definedName name="_xlnm.Print_Titles" localSheetId="17">'12-MO Billed Summary RETAIL'!$A:$E</definedName>
    <definedName name="_xlnm.Print_Titles" localSheetId="10">'Exh P11-Gas Supply Rev'!$D:$D</definedName>
    <definedName name="_xlnm.Print_Titles" localSheetId="4">'Exh R11Proposed Increase Detail'!$1:$4</definedName>
    <definedName name="_xlnm.Print_Titles" localSheetId="6">'Exh R9-Reconst Billings Detail'!$1:$4</definedName>
    <definedName name="_xlnm.Print_Titles" localSheetId="5">'Exh R9-Reconst Billings Summary'!$B:$B</definedName>
    <definedName name="_xlnm.Print_Titles" localSheetId="16">SBR!$B$1:$B$65421,SBR!$A$3:$IV$5</definedName>
    <definedName name="_xlnm.Print_Titles" localSheetId="32">'SBR Apr11'!$3:$4</definedName>
    <definedName name="_xlnm.Print_Titles" localSheetId="36">'SBR Aug11'!$A:$E,'SBR Aug11'!$1:$2</definedName>
    <definedName name="_xlnm.Print_Titles" localSheetId="40">'SBR Dec11'!$A:$E,'SBR Dec11'!$1:$2</definedName>
    <definedName name="_xlnm.Print_Titles" localSheetId="42">'SBR Feb12'!$A:$E,'SBR Feb12'!$1:$2</definedName>
    <definedName name="_xlnm.Print_Titles" localSheetId="41">'SBR Jan12'!$A:$E,'SBR Jan12'!$1:$2</definedName>
    <definedName name="_xlnm.Print_Titles" localSheetId="35">'SBR Jul11'!$A:$E,'SBR Jul11'!$1:$2</definedName>
    <definedName name="_xlnm.Print_Titles" localSheetId="34">'SBR Jun11'!$A:$E,'SBR Jun11'!$1:$2</definedName>
    <definedName name="_xlnm.Print_Titles" localSheetId="31">'SBR Mar11'!$A:$E,'SBR Mar11'!$1:$2</definedName>
    <definedName name="_xlnm.Print_Titles" localSheetId="43">'SBR Mar12'!$A:$E,'SBR Mar12'!$1:$2</definedName>
    <definedName name="_xlnm.Print_Titles" localSheetId="39">'SBR Nov11'!$A:$E,'SBR Nov11'!$1:$2</definedName>
    <definedName name="_xlnm.Print_Titles" localSheetId="38">'SBR Oct11'!$A:$E,'SBR Oct11'!$1:$2</definedName>
    <definedName name="_xlnm.Print_Titles" localSheetId="37">'SBR Sep11'!$A:$E,'SBR Sep11'!$1:$2</definedName>
    <definedName name="_xlnm.Print_Titles" localSheetId="15">'Summary SBR-Transport'!$A$1:$IV$4</definedName>
    <definedName name="RBCDtl_KUE" localSheetId="13">#REF!</definedName>
    <definedName name="RBCDtl_KUE" localSheetId="4">#REF!</definedName>
    <definedName name="RBCDtl_KUE" localSheetId="16">#REF!</definedName>
    <definedName name="RBCDtl_KUE" localSheetId="35">#REF!</definedName>
    <definedName name="RBCDtl_KUE" localSheetId="34">#REF!</definedName>
    <definedName name="RBCDtl_KUE" localSheetId="31">#REF!</definedName>
    <definedName name="RBCDtl_KUE" localSheetId="43">#REF!</definedName>
    <definedName name="RBCDtl_KUE" localSheetId="15">#REF!</definedName>
    <definedName name="RBCDtl_KUE">#REF!</definedName>
    <definedName name="RBCDtl_KUOD" localSheetId="13">#REF!</definedName>
    <definedName name="RBCDtl_KUOD" localSheetId="4">#REF!</definedName>
    <definedName name="RBCDtl_KUOD" localSheetId="16">#REF!</definedName>
    <definedName name="RBCDtl_KUOD" localSheetId="35">#REF!</definedName>
    <definedName name="RBCDtl_KUOD" localSheetId="34">#REF!</definedName>
    <definedName name="RBCDtl_KUOD" localSheetId="31">#REF!</definedName>
    <definedName name="RBCDtl_KUOD" localSheetId="43">#REF!</definedName>
    <definedName name="RBCDtl_KUOD" localSheetId="15">#REF!</definedName>
    <definedName name="RBCDtl_KUOD">#REF!</definedName>
    <definedName name="RBCDtl_LGEE" localSheetId="13">#REF!</definedName>
    <definedName name="RBCDtl_LGEE" localSheetId="4">#REF!</definedName>
    <definedName name="RBCDtl_LGEE" localSheetId="16">#REF!</definedName>
    <definedName name="RBCDtl_LGEE" localSheetId="35">#REF!</definedName>
    <definedName name="RBCDtl_LGEE" localSheetId="34">#REF!</definedName>
    <definedName name="RBCDtl_LGEE" localSheetId="31">#REF!</definedName>
    <definedName name="RBCDtl_LGEE" localSheetId="43">#REF!</definedName>
    <definedName name="RBCDtl_LGEE" localSheetId="15">#REF!</definedName>
    <definedName name="RBCDtl_LGEE">#REF!</definedName>
    <definedName name="RBCDtl_LGEG" localSheetId="13">#REF!</definedName>
    <definedName name="RBCDtl_LGEG" localSheetId="4">#REF!</definedName>
    <definedName name="RBCDtl_LGEG" localSheetId="16">#REF!</definedName>
    <definedName name="RBCDtl_LGEG" localSheetId="35">#REF!</definedName>
    <definedName name="RBCDtl_LGEG" localSheetId="34">#REF!</definedName>
    <definedName name="RBCDtl_LGEG" localSheetId="31">#REF!</definedName>
    <definedName name="RBCDtl_LGEG" localSheetId="43">#REF!</definedName>
    <definedName name="RBCDtl_LGEG" localSheetId="15">#REF!</definedName>
    <definedName name="RBCDtl_LGEG">#REF!</definedName>
    <definedName name="RBCDtl_ODPE" localSheetId="13">#REF!</definedName>
    <definedName name="RBCDtl_ODPE" localSheetId="4">#REF!</definedName>
    <definedName name="RBCDtl_ODPE" localSheetId="16">#REF!</definedName>
    <definedName name="RBCDtl_ODPE" localSheetId="35">#REF!</definedName>
    <definedName name="RBCDtl_ODPE" localSheetId="34">#REF!</definedName>
    <definedName name="RBCDtl_ODPE" localSheetId="31">#REF!</definedName>
    <definedName name="RBCDtl_ODPE" localSheetId="43">#REF!</definedName>
    <definedName name="RBCDtl_ODPE" localSheetId="15">#REF!</definedName>
    <definedName name="RBCDtl_ODPE">#REF!</definedName>
    <definedName name="RBCSum_KUOD" localSheetId="4">'[16]RBC Summary'!#REF!</definedName>
    <definedName name="RBCSum_KUOD" localSheetId="35">'[16]RBC Summary'!#REF!</definedName>
    <definedName name="RBCSum_KUOD" localSheetId="34">'[16]RBC Summary'!#REF!</definedName>
    <definedName name="RBCSum_KUOD" localSheetId="31">'[16]RBC Summary'!#REF!</definedName>
    <definedName name="RBCSum_KUOD" localSheetId="43">'[16]RBC Summary'!#REF!</definedName>
    <definedName name="RBCSum_KUOD">'[16]RBC Summary'!#REF!</definedName>
    <definedName name="ReconItemsBalance" localSheetId="4">#REF!</definedName>
    <definedName name="ReconItemsBalance" localSheetId="35">#REF!</definedName>
    <definedName name="ReconItemsBalance" localSheetId="34">#REF!</definedName>
    <definedName name="ReconItemsBalance" localSheetId="31">#REF!</definedName>
    <definedName name="ReconItemsBalance" localSheetId="43">#REF!</definedName>
    <definedName name="ReconItemsBalance">#REF!</definedName>
    <definedName name="Report" localSheetId="13">#REF!</definedName>
    <definedName name="Report" localSheetId="4">#REF!</definedName>
    <definedName name="Report" localSheetId="16">#REF!</definedName>
    <definedName name="Report" localSheetId="35">#REF!</definedName>
    <definedName name="Report" localSheetId="34">#REF!</definedName>
    <definedName name="Report" localSheetId="31">#REF!</definedName>
    <definedName name="Report" localSheetId="43">#REF!</definedName>
    <definedName name="Report" localSheetId="15">#REF!</definedName>
    <definedName name="Report">#REF!</definedName>
    <definedName name="ReptPeriod">[17]Input!$K$10</definedName>
    <definedName name="RevCol01" localSheetId="4">#REF!</definedName>
    <definedName name="RevCol01" localSheetId="35">#REF!</definedName>
    <definedName name="RevCol01" localSheetId="34">#REF!</definedName>
    <definedName name="RevCol01" localSheetId="31">#REF!</definedName>
    <definedName name="RevCol01" localSheetId="43">#REF!</definedName>
    <definedName name="RevCol01">#REF!</definedName>
    <definedName name="RevCol01A" localSheetId="4">#REF!</definedName>
    <definedName name="RevCol01A" localSheetId="35">#REF!</definedName>
    <definedName name="RevCol01A" localSheetId="34">#REF!</definedName>
    <definedName name="RevCol01A" localSheetId="31">#REF!</definedName>
    <definedName name="RevCol01A" localSheetId="43">#REF!</definedName>
    <definedName name="RevCol01A">#REF!</definedName>
    <definedName name="RevCol01B" localSheetId="4">#REF!</definedName>
    <definedName name="RevCol01B" localSheetId="35">#REF!</definedName>
    <definedName name="RevCol01B" localSheetId="34">#REF!</definedName>
    <definedName name="RevCol01B" localSheetId="31">#REF!</definedName>
    <definedName name="RevCol01B" localSheetId="43">#REF!</definedName>
    <definedName name="RevCol01B">#REF!</definedName>
    <definedName name="RevCol02" localSheetId="4">#REF!</definedName>
    <definedName name="RevCol02" localSheetId="35">#REF!</definedName>
    <definedName name="RevCol02" localSheetId="34">#REF!</definedName>
    <definedName name="RevCol02" localSheetId="31">#REF!</definedName>
    <definedName name="RevCol02" localSheetId="43">#REF!</definedName>
    <definedName name="RevCol02">#REF!</definedName>
    <definedName name="RevCol02A" localSheetId="4">#REF!</definedName>
    <definedName name="RevCol02A" localSheetId="35">#REF!</definedName>
    <definedName name="RevCol02A" localSheetId="34">#REF!</definedName>
    <definedName name="RevCol02A" localSheetId="31">#REF!</definedName>
    <definedName name="RevCol02A" localSheetId="43">#REF!</definedName>
    <definedName name="RevCol02A">#REF!</definedName>
    <definedName name="RevCol02B" localSheetId="4">#REF!</definedName>
    <definedName name="RevCol02B" localSheetId="35">#REF!</definedName>
    <definedName name="RevCol02B" localSheetId="34">#REF!</definedName>
    <definedName name="RevCol02B" localSheetId="31">#REF!</definedName>
    <definedName name="RevCol02B" localSheetId="43">#REF!</definedName>
    <definedName name="RevCol02B">#REF!</definedName>
    <definedName name="RevCol03" localSheetId="4">#REF!</definedName>
    <definedName name="RevCol03" localSheetId="35">#REF!</definedName>
    <definedName name="RevCol03" localSheetId="34">#REF!</definedName>
    <definedName name="RevCol03" localSheetId="31">#REF!</definedName>
    <definedName name="RevCol03" localSheetId="43">#REF!</definedName>
    <definedName name="RevCol03">#REF!</definedName>
    <definedName name="RevCol04" localSheetId="4">#REF!</definedName>
    <definedName name="RevCol04" localSheetId="35">#REF!</definedName>
    <definedName name="RevCol04" localSheetId="34">#REF!</definedName>
    <definedName name="RevCol04" localSheetId="31">#REF!</definedName>
    <definedName name="RevCol04" localSheetId="43">#REF!</definedName>
    <definedName name="RevCol04">#REF!</definedName>
    <definedName name="RevCol05" localSheetId="4">#REF!</definedName>
    <definedName name="RevCol05" localSheetId="35">#REF!</definedName>
    <definedName name="RevCol05" localSheetId="34">#REF!</definedName>
    <definedName name="RevCol05" localSheetId="31">#REF!</definedName>
    <definedName name="RevCol05" localSheetId="43">#REF!</definedName>
    <definedName name="RevCol05">#REF!</definedName>
    <definedName name="RevCol06" localSheetId="4">#REF!</definedName>
    <definedName name="RevCol06" localSheetId="35">#REF!</definedName>
    <definedName name="RevCol06" localSheetId="34">#REF!</definedName>
    <definedName name="RevCol06" localSheetId="31">#REF!</definedName>
    <definedName name="RevCol06" localSheetId="43">#REF!</definedName>
    <definedName name="RevCol06">#REF!</definedName>
    <definedName name="RevCol07" localSheetId="4">#REF!</definedName>
    <definedName name="RevCol07" localSheetId="35">#REF!</definedName>
    <definedName name="RevCol07" localSheetId="34">#REF!</definedName>
    <definedName name="RevCol07" localSheetId="31">#REF!</definedName>
    <definedName name="RevCol07" localSheetId="43">#REF!</definedName>
    <definedName name="RevCol07">#REF!</definedName>
    <definedName name="RevCol08" localSheetId="4">#REF!</definedName>
    <definedName name="RevCol08" localSheetId="35">#REF!</definedName>
    <definedName name="RevCol08" localSheetId="34">#REF!</definedName>
    <definedName name="RevCol08" localSheetId="31">#REF!</definedName>
    <definedName name="RevCol08" localSheetId="43">#REF!</definedName>
    <definedName name="RevCol08">#REF!</definedName>
    <definedName name="RevCol09" localSheetId="4">#REF!</definedName>
    <definedName name="RevCol09" localSheetId="35">#REF!</definedName>
    <definedName name="RevCol09" localSheetId="34">#REF!</definedName>
    <definedName name="RevCol09" localSheetId="31">#REF!</definedName>
    <definedName name="RevCol09" localSheetId="43">#REF!</definedName>
    <definedName name="RevCol09">#REF!</definedName>
    <definedName name="RevCol10" localSheetId="4">#REF!</definedName>
    <definedName name="RevCol10" localSheetId="35">#REF!</definedName>
    <definedName name="RevCol10" localSheetId="34">#REF!</definedName>
    <definedName name="RevCol10" localSheetId="31">#REF!</definedName>
    <definedName name="RevCol10" localSheetId="43">#REF!</definedName>
    <definedName name="RevCol10">#REF!</definedName>
    <definedName name="RevCol11" localSheetId="4">#REF!</definedName>
    <definedName name="RevCol11" localSheetId="35">#REF!</definedName>
    <definedName name="RevCol11" localSheetId="34">#REF!</definedName>
    <definedName name="RevCol11" localSheetId="31">#REF!</definedName>
    <definedName name="RevCol11" localSheetId="43">#REF!</definedName>
    <definedName name="RevCol11">#REF!</definedName>
    <definedName name="RevCol12" localSheetId="4">#REF!</definedName>
    <definedName name="RevCol12" localSheetId="35">#REF!</definedName>
    <definedName name="RevCol12" localSheetId="34">#REF!</definedName>
    <definedName name="RevCol12" localSheetId="31">#REF!</definedName>
    <definedName name="RevCol12" localSheetId="43">#REF!</definedName>
    <definedName name="RevCol12">#REF!</definedName>
    <definedName name="RevCol13" localSheetId="4">#REF!</definedName>
    <definedName name="RevCol13" localSheetId="35">#REF!</definedName>
    <definedName name="RevCol13" localSheetId="34">#REF!</definedName>
    <definedName name="RevCol13" localSheetId="31">#REF!</definedName>
    <definedName name="RevCol13" localSheetId="43">#REF!</definedName>
    <definedName name="RevCol13">#REF!</definedName>
    <definedName name="RevCol14" localSheetId="4">#REF!</definedName>
    <definedName name="RevCol14" localSheetId="35">#REF!</definedName>
    <definedName name="RevCol14" localSheetId="34">#REF!</definedName>
    <definedName name="RevCol14" localSheetId="31">#REF!</definedName>
    <definedName name="RevCol14" localSheetId="43">#REF!</definedName>
    <definedName name="RevCol14">#REF!</definedName>
    <definedName name="RevCol15" localSheetId="4">#REF!</definedName>
    <definedName name="RevCol15" localSheetId="35">#REF!</definedName>
    <definedName name="RevCol15" localSheetId="34">#REF!</definedName>
    <definedName name="RevCol15" localSheetId="31">#REF!</definedName>
    <definedName name="RevCol15" localSheetId="43">#REF!</definedName>
    <definedName name="RevCol15">#REF!</definedName>
    <definedName name="RevCol16" localSheetId="4">#REF!</definedName>
    <definedName name="RevCol16" localSheetId="35">#REF!</definedName>
    <definedName name="RevCol16" localSheetId="34">#REF!</definedName>
    <definedName name="RevCol16" localSheetId="31">#REF!</definedName>
    <definedName name="RevCol16" localSheetId="43">#REF!</definedName>
    <definedName name="RevCol16">#REF!</definedName>
    <definedName name="RevCol17" localSheetId="4">#REF!</definedName>
    <definedName name="RevCol17" localSheetId="35">#REF!</definedName>
    <definedName name="RevCol17" localSheetId="34">#REF!</definedName>
    <definedName name="RevCol17" localSheetId="31">#REF!</definedName>
    <definedName name="RevCol17" localSheetId="43">#REF!</definedName>
    <definedName name="RevCol17">#REF!</definedName>
    <definedName name="RevCol18" localSheetId="4">#REF!</definedName>
    <definedName name="RevCol18" localSheetId="35">#REF!</definedName>
    <definedName name="RevCol18" localSheetId="34">#REF!</definedName>
    <definedName name="RevCol18" localSheetId="31">#REF!</definedName>
    <definedName name="RevCol18" localSheetId="43">#REF!</definedName>
    <definedName name="RevCol18">#REF!</definedName>
    <definedName name="RevCol19" localSheetId="4">#REF!</definedName>
    <definedName name="RevCol19" localSheetId="35">#REF!</definedName>
    <definedName name="RevCol19" localSheetId="34">#REF!</definedName>
    <definedName name="RevCol19" localSheetId="31">#REF!</definedName>
    <definedName name="RevCol19" localSheetId="43">#REF!</definedName>
    <definedName name="RevCol19">#REF!</definedName>
    <definedName name="RevCol20" localSheetId="4">#REF!</definedName>
    <definedName name="RevCol20" localSheetId="35">#REF!</definedName>
    <definedName name="RevCol20" localSheetId="34">#REF!</definedName>
    <definedName name="RevCol20" localSheetId="31">#REF!</definedName>
    <definedName name="RevCol20" localSheetId="43">#REF!</definedName>
    <definedName name="RevCol20">#REF!</definedName>
    <definedName name="RevCol21" localSheetId="4">#REF!</definedName>
    <definedName name="RevCol21" localSheetId="35">#REF!</definedName>
    <definedName name="RevCol21" localSheetId="34">#REF!</definedName>
    <definedName name="RevCol21" localSheetId="31">#REF!</definedName>
    <definedName name="RevCol21" localSheetId="43">#REF!</definedName>
    <definedName name="RevCol21">#REF!</definedName>
    <definedName name="RevCol22" localSheetId="4">#REF!</definedName>
    <definedName name="RevCol22" localSheetId="35">#REF!</definedName>
    <definedName name="RevCol22" localSheetId="34">#REF!</definedName>
    <definedName name="RevCol22" localSheetId="31">#REF!</definedName>
    <definedName name="RevCol22" localSheetId="43">#REF!</definedName>
    <definedName name="RevCol22">#REF!</definedName>
    <definedName name="RevCol23" localSheetId="4">#REF!</definedName>
    <definedName name="RevCol23" localSheetId="35">#REF!</definedName>
    <definedName name="RevCol23" localSheetId="34">#REF!</definedName>
    <definedName name="RevCol23" localSheetId="31">#REF!</definedName>
    <definedName name="RevCol23" localSheetId="43">#REF!</definedName>
    <definedName name="RevCol23">#REF!</definedName>
    <definedName name="RevCol24" localSheetId="4">#REF!</definedName>
    <definedName name="RevCol24" localSheetId="35">#REF!</definedName>
    <definedName name="RevCol24" localSheetId="34">#REF!</definedName>
    <definedName name="RevCol24" localSheetId="31">#REF!</definedName>
    <definedName name="RevCol24" localSheetId="43">#REF!</definedName>
    <definedName name="RevCol24">#REF!</definedName>
    <definedName name="RevCol25" localSheetId="4">#REF!</definedName>
    <definedName name="RevCol25" localSheetId="35">#REF!</definedName>
    <definedName name="RevCol25" localSheetId="34">#REF!</definedName>
    <definedName name="RevCol25" localSheetId="31">#REF!</definedName>
    <definedName name="RevCol25" localSheetId="43">#REF!</definedName>
    <definedName name="RevCol25">#REF!</definedName>
    <definedName name="RevCol26" localSheetId="4">#REF!</definedName>
    <definedName name="RevCol26" localSheetId="35">#REF!</definedName>
    <definedName name="RevCol26" localSheetId="34">#REF!</definedName>
    <definedName name="RevCol26" localSheetId="31">#REF!</definedName>
    <definedName name="RevCol26" localSheetId="43">#REF!</definedName>
    <definedName name="RevCol26">#REF!</definedName>
    <definedName name="RevCol27" localSheetId="4">#REF!</definedName>
    <definedName name="RevCol27" localSheetId="35">#REF!</definedName>
    <definedName name="RevCol27" localSheetId="34">#REF!</definedName>
    <definedName name="RevCol27" localSheetId="31">#REF!</definedName>
    <definedName name="RevCol27" localSheetId="43">#REF!</definedName>
    <definedName name="RevCol27">#REF!</definedName>
    <definedName name="RevCol28" localSheetId="4">#REF!</definedName>
    <definedName name="RevCol28" localSheetId="35">#REF!</definedName>
    <definedName name="RevCol28" localSheetId="34">#REF!</definedName>
    <definedName name="RevCol28" localSheetId="31">#REF!</definedName>
    <definedName name="RevCol28" localSheetId="43">#REF!</definedName>
    <definedName name="RevCol28">#REF!</definedName>
    <definedName name="RevCol29" localSheetId="4">#REF!</definedName>
    <definedName name="RevCol29" localSheetId="35">#REF!</definedName>
    <definedName name="RevCol29" localSheetId="34">#REF!</definedName>
    <definedName name="RevCol29" localSheetId="31">#REF!</definedName>
    <definedName name="RevCol29" localSheetId="43">#REF!</definedName>
    <definedName name="RevCol29">#REF!</definedName>
    <definedName name="RevCol30" localSheetId="4">#REF!</definedName>
    <definedName name="RevCol30" localSheetId="35">#REF!</definedName>
    <definedName name="RevCol30" localSheetId="34">#REF!</definedName>
    <definedName name="RevCol30" localSheetId="31">#REF!</definedName>
    <definedName name="RevCol30" localSheetId="43">#REF!</definedName>
    <definedName name="RevCol30">#REF!</definedName>
    <definedName name="RevCol31" localSheetId="4">#REF!</definedName>
    <definedName name="RevCol31" localSheetId="35">#REF!</definedName>
    <definedName name="RevCol31" localSheetId="34">#REF!</definedName>
    <definedName name="RevCol31" localSheetId="31">#REF!</definedName>
    <definedName name="RevCol31" localSheetId="43">#REF!</definedName>
    <definedName name="RevCol31">#REF!</definedName>
    <definedName name="RevCol32" localSheetId="4">#REF!</definedName>
    <definedName name="RevCol32" localSheetId="35">#REF!</definedName>
    <definedName name="RevCol32" localSheetId="34">#REF!</definedName>
    <definedName name="RevCol32" localSheetId="31">#REF!</definedName>
    <definedName name="RevCol32" localSheetId="43">#REF!</definedName>
    <definedName name="RevCol32">#REF!</definedName>
    <definedName name="RevCol33" localSheetId="4">#REF!</definedName>
    <definedName name="RevCol33" localSheetId="35">#REF!</definedName>
    <definedName name="RevCol33" localSheetId="34">#REF!</definedName>
    <definedName name="RevCol33" localSheetId="31">#REF!</definedName>
    <definedName name="RevCol33" localSheetId="43">#REF!</definedName>
    <definedName name="RevCol33">#REF!</definedName>
    <definedName name="RevCol34" localSheetId="4">#REF!</definedName>
    <definedName name="RevCol34" localSheetId="35">#REF!</definedName>
    <definedName name="RevCol34" localSheetId="34">#REF!</definedName>
    <definedName name="RevCol34" localSheetId="31">#REF!</definedName>
    <definedName name="RevCol34" localSheetId="43">#REF!</definedName>
    <definedName name="RevCol34">#REF!</definedName>
    <definedName name="RevCol35" localSheetId="4">#REF!</definedName>
    <definedName name="RevCol35" localSheetId="35">#REF!</definedName>
    <definedName name="RevCol35" localSheetId="34">#REF!</definedName>
    <definedName name="RevCol35" localSheetId="31">#REF!</definedName>
    <definedName name="RevCol35" localSheetId="43">#REF!</definedName>
    <definedName name="RevCol35">#REF!</definedName>
    <definedName name="RevCol36" localSheetId="4">#REF!</definedName>
    <definedName name="RevCol36" localSheetId="35">#REF!</definedName>
    <definedName name="RevCol36" localSheetId="34">#REF!</definedName>
    <definedName name="RevCol36" localSheetId="31">#REF!</definedName>
    <definedName name="RevCol36" localSheetId="43">#REF!</definedName>
    <definedName name="RevCol36">#REF!</definedName>
    <definedName name="RevCol37" localSheetId="4">#REF!</definedName>
    <definedName name="RevCol37" localSheetId="35">#REF!</definedName>
    <definedName name="RevCol37" localSheetId="34">#REF!</definedName>
    <definedName name="RevCol37" localSheetId="31">#REF!</definedName>
    <definedName name="RevCol37" localSheetId="43">#REF!</definedName>
    <definedName name="RevCol37">#REF!</definedName>
    <definedName name="RevColTmp" localSheetId="4">#REF!</definedName>
    <definedName name="RevColTmp" localSheetId="35">#REF!</definedName>
    <definedName name="RevColTmp" localSheetId="34">#REF!</definedName>
    <definedName name="RevColTmp" localSheetId="31">#REF!</definedName>
    <definedName name="RevColTmp" localSheetId="43">#REF!</definedName>
    <definedName name="RevColTmp">#REF!</definedName>
    <definedName name="RevColTmpA" localSheetId="4">#REF!</definedName>
    <definedName name="RevColTmpA" localSheetId="35">#REF!</definedName>
    <definedName name="RevColTmpA" localSheetId="34">#REF!</definedName>
    <definedName name="RevColTmpA" localSheetId="31">#REF!</definedName>
    <definedName name="RevColTmpA" localSheetId="43">#REF!</definedName>
    <definedName name="RevColTmpA">#REF!</definedName>
    <definedName name="RevColTmpB" localSheetId="4">#REF!</definedName>
    <definedName name="RevColTmpB" localSheetId="35">#REF!</definedName>
    <definedName name="RevColTmpB" localSheetId="34">#REF!</definedName>
    <definedName name="RevColTmpB" localSheetId="31">#REF!</definedName>
    <definedName name="RevColTmpB" localSheetId="43">#REF!</definedName>
    <definedName name="RevColTmpB">#REF!</definedName>
    <definedName name="RptgMonth">[18]ListsValues!$F$3</definedName>
    <definedName name="SALES" localSheetId="13">#REF!</definedName>
    <definedName name="SALES" localSheetId="4">#REF!</definedName>
    <definedName name="SALES" localSheetId="16">#REF!</definedName>
    <definedName name="SALES" localSheetId="35">#REF!</definedName>
    <definedName name="SALES" localSheetId="34">#REF!</definedName>
    <definedName name="SALES" localSheetId="31">#REF!</definedName>
    <definedName name="SALES" localSheetId="43">#REF!</definedName>
    <definedName name="SALES" localSheetId="15">#REF!</definedName>
    <definedName name="SALES">#REF!</definedName>
    <definedName name="StandardJESubtotal" localSheetId="4">#REF!</definedName>
    <definedName name="StandardJESubtotal" localSheetId="35">#REF!</definedName>
    <definedName name="StandardJESubtotal" localSheetId="34">#REF!</definedName>
    <definedName name="StandardJESubtotal" localSheetId="31">#REF!</definedName>
    <definedName name="StandardJESubtotal" localSheetId="43">#REF!</definedName>
    <definedName name="StandardJESubtotal">#REF!</definedName>
    <definedName name="Support" localSheetId="13">#REF!</definedName>
    <definedName name="Support" localSheetId="4">#REF!</definedName>
    <definedName name="Support" localSheetId="16">#REF!</definedName>
    <definedName name="Support" localSheetId="35">#REF!</definedName>
    <definedName name="Support" localSheetId="34">#REF!</definedName>
    <definedName name="Support" localSheetId="31">#REF!</definedName>
    <definedName name="Support" localSheetId="43">#REF!</definedName>
    <definedName name="Support" localSheetId="15">#REF!</definedName>
    <definedName name="Support">#REF!</definedName>
    <definedName name="Tbl_SchedRdDate" localSheetId="4">#REF!</definedName>
    <definedName name="Tbl_SchedRdDate" localSheetId="35">#REF!</definedName>
    <definedName name="Tbl_SchedRdDate" localSheetId="34">#REF!</definedName>
    <definedName name="Tbl_SchedRdDate" localSheetId="31">#REF!</definedName>
    <definedName name="Tbl_SchedRdDate" localSheetId="43">#REF!</definedName>
    <definedName name="Tbl_SchedRdDate">#REF!</definedName>
    <definedName name="TempReptPeriod" localSheetId="4">[6]Input!#REF!</definedName>
    <definedName name="TempReptPeriod" localSheetId="35">[6]Input!#REF!</definedName>
    <definedName name="TempReptPeriod" localSheetId="34">[6]Input!#REF!</definedName>
    <definedName name="TempReptPeriod" localSheetId="31">[6]Input!#REF!</definedName>
    <definedName name="TempReptPeriod" localSheetId="43">[6]Input!#REF!</definedName>
    <definedName name="TempReptPeriod">[6]Input!#REF!</definedName>
    <definedName name="Timing" localSheetId="4">#REF!</definedName>
    <definedName name="Timing" localSheetId="35">#REF!</definedName>
    <definedName name="Timing" localSheetId="34">#REF!</definedName>
    <definedName name="Timing" localSheetId="31">#REF!</definedName>
    <definedName name="Timing" localSheetId="43">#REF!</definedName>
    <definedName name="Timing">#REF!</definedName>
    <definedName name="TimingSubtotal" localSheetId="4">#REF!</definedName>
    <definedName name="TimingSubtotal" localSheetId="35">#REF!</definedName>
    <definedName name="TimingSubtotal" localSheetId="34">#REF!</definedName>
    <definedName name="TimingSubtotal" localSheetId="31">#REF!</definedName>
    <definedName name="TimingSubtotal" localSheetId="43">#REF!</definedName>
    <definedName name="TimingSubtotal">#REF!</definedName>
    <definedName name="TimingTotal" localSheetId="4">#REF!</definedName>
    <definedName name="TimingTotal" localSheetId="35">#REF!</definedName>
    <definedName name="TimingTotal" localSheetId="34">#REF!</definedName>
    <definedName name="TimingTotal" localSheetId="31">#REF!</definedName>
    <definedName name="TimingTotal" localSheetId="43">#REF!</definedName>
    <definedName name="TimingTotal">#REF!</definedName>
    <definedName name="Untitled" localSheetId="13">#REF!</definedName>
    <definedName name="Untitled" localSheetId="4">#REF!</definedName>
    <definedName name="Untitled" localSheetId="16">#REF!</definedName>
    <definedName name="Untitled" localSheetId="15">#REF!</definedName>
    <definedName name="Untitled">#REF!</definedName>
    <definedName name="UpdateDateTime" localSheetId="13">[1]Input!#REF!</definedName>
    <definedName name="UpdateDateTime" localSheetId="4">[1]Input!#REF!</definedName>
    <definedName name="UpdateDateTime" localSheetId="16">[1]Input!#REF!</definedName>
    <definedName name="UpdateDateTime" localSheetId="35">[1]Input!#REF!</definedName>
    <definedName name="UpdateDateTime" localSheetId="34">[1]Input!#REF!</definedName>
    <definedName name="UpdateDateTime" localSheetId="31">[1]Input!#REF!</definedName>
    <definedName name="UpdateDateTime" localSheetId="43">[1]Input!#REF!</definedName>
    <definedName name="UpdateDateTime" localSheetId="15">[1]Input!#REF!</definedName>
    <definedName name="UpdateDateTime">[1]Input!#REF!</definedName>
  </definedNames>
  <calcPr calcId="145621"/>
</workbook>
</file>

<file path=xl/calcChain.xml><?xml version="1.0" encoding="utf-8"?>
<calcChain xmlns="http://schemas.openxmlformats.org/spreadsheetml/2006/main">
  <c r="U161" i="58" l="1"/>
  <c r="U162" i="58" s="1"/>
  <c r="U160" i="58"/>
  <c r="U349" i="58"/>
  <c r="U350" i="58" s="1"/>
  <c r="U348" i="58"/>
  <c r="AC77" i="50" l="1"/>
  <c r="I267" i="64" l="1"/>
  <c r="J267" i="64" s="1"/>
  <c r="I269" i="64"/>
  <c r="J269" i="64" s="1"/>
  <c r="I271" i="64"/>
  <c r="L271" i="64"/>
  <c r="I272" i="64"/>
  <c r="L272" i="64"/>
  <c r="I273" i="64"/>
  <c r="L273" i="64" s="1"/>
  <c r="I276" i="64"/>
  <c r="L276" i="64" s="1"/>
  <c r="I279" i="64"/>
  <c r="L279" i="64" s="1"/>
  <c r="J453" i="58"/>
  <c r="L269" i="64" l="1"/>
  <c r="M269" i="64" s="1"/>
  <c r="L267" i="64"/>
  <c r="M267" i="64" s="1"/>
  <c r="I215" i="64"/>
  <c r="L257" i="64" l="1"/>
  <c r="L250" i="64"/>
  <c r="L233" i="64"/>
  <c r="I213" i="64"/>
  <c r="J71" i="63" l="1"/>
  <c r="O70" i="63"/>
  <c r="O72" i="63" l="1"/>
  <c r="N72" i="63"/>
  <c r="H70" i="63"/>
  <c r="J68" i="63"/>
  <c r="S67" i="63"/>
  <c r="L67" i="63"/>
  <c r="J67" i="63" s="1"/>
  <c r="J66" i="63"/>
  <c r="T64" i="63"/>
  <c r="T70" i="63" s="1"/>
  <c r="S64" i="63"/>
  <c r="S65" i="63" s="1"/>
  <c r="L65" i="63" s="1"/>
  <c r="R64" i="63"/>
  <c r="R70" i="63" s="1"/>
  <c r="Q64" i="63"/>
  <c r="P64" i="63"/>
  <c r="N64" i="63"/>
  <c r="N70" i="63" s="1"/>
  <c r="M64" i="63"/>
  <c r="M70" i="63" s="1"/>
  <c r="L64" i="63"/>
  <c r="K64" i="63"/>
  <c r="K70" i="63" s="1"/>
  <c r="J64" i="63"/>
  <c r="I64" i="63"/>
  <c r="J57" i="63"/>
  <c r="Q70" i="63" l="1"/>
  <c r="P70" i="63" s="1"/>
  <c r="U64" i="63"/>
  <c r="N73" i="63"/>
  <c r="M73" i="63" s="1"/>
  <c r="U68" i="63"/>
  <c r="J70" i="63"/>
  <c r="I70" i="63" s="1"/>
  <c r="L70" i="63"/>
  <c r="L73" i="63" s="1"/>
  <c r="K73" i="63" s="1"/>
  <c r="S70" i="63"/>
  <c r="J55" i="63"/>
  <c r="J54" i="63"/>
  <c r="T51" i="63"/>
  <c r="S51" i="63"/>
  <c r="R51" i="63"/>
  <c r="Q51" i="63"/>
  <c r="P51" i="63"/>
  <c r="O51" i="63"/>
  <c r="N51" i="63"/>
  <c r="M51" i="63"/>
  <c r="L51" i="63"/>
  <c r="K51" i="63"/>
  <c r="J51" i="63"/>
  <c r="I51" i="63"/>
  <c r="T49" i="63"/>
  <c r="S49" i="63"/>
  <c r="R49" i="63"/>
  <c r="Q49" i="63"/>
  <c r="P49" i="63"/>
  <c r="O49" i="63"/>
  <c r="N49" i="63"/>
  <c r="M49" i="63"/>
  <c r="L49" i="63"/>
  <c r="K49" i="63"/>
  <c r="J49" i="63"/>
  <c r="I49" i="63"/>
  <c r="T47" i="63"/>
  <c r="S47" i="63"/>
  <c r="R47" i="63"/>
  <c r="Q47" i="63"/>
  <c r="P47" i="63"/>
  <c r="O47" i="63"/>
  <c r="N47" i="63"/>
  <c r="M47" i="63"/>
  <c r="L47" i="63"/>
  <c r="K47" i="63"/>
  <c r="J47" i="63"/>
  <c r="I47" i="63"/>
  <c r="T45" i="63"/>
  <c r="S45" i="63"/>
  <c r="R45" i="63"/>
  <c r="Q45" i="63"/>
  <c r="P45" i="63"/>
  <c r="O45" i="63"/>
  <c r="N45" i="63"/>
  <c r="M45" i="63"/>
  <c r="L45" i="63"/>
  <c r="K45" i="63"/>
  <c r="J45" i="63"/>
  <c r="I45" i="63"/>
  <c r="T36" i="63"/>
  <c r="S36" i="63"/>
  <c r="R36" i="63"/>
  <c r="Q36" i="63"/>
  <c r="P36" i="63"/>
  <c r="N36" i="63"/>
  <c r="M36" i="63"/>
  <c r="L36" i="63"/>
  <c r="K36" i="63"/>
  <c r="J36" i="63"/>
  <c r="U36" i="63" l="1"/>
  <c r="J73" i="63"/>
  <c r="I73" i="63" s="1"/>
  <c r="U45" i="63"/>
  <c r="U47" i="63"/>
  <c r="U49" i="63"/>
  <c r="U51" i="63"/>
  <c r="I36" i="63"/>
  <c r="T33" i="63"/>
  <c r="S33" i="63"/>
  <c r="R33" i="63"/>
  <c r="Q33" i="63"/>
  <c r="P33" i="63"/>
  <c r="N33" i="63"/>
  <c r="M33" i="63"/>
  <c r="L33" i="63"/>
  <c r="K33" i="63"/>
  <c r="J33" i="63"/>
  <c r="I33" i="63"/>
  <c r="T30" i="63"/>
  <c r="S30" i="63"/>
  <c r="R30" i="63"/>
  <c r="Q30" i="63"/>
  <c r="P30" i="63"/>
  <c r="N30" i="63"/>
  <c r="M30" i="63"/>
  <c r="L30" i="63"/>
  <c r="K30" i="63"/>
  <c r="J30" i="63"/>
  <c r="I30" i="63"/>
  <c r="T24" i="63"/>
  <c r="S24" i="63"/>
  <c r="R24" i="63"/>
  <c r="Q24" i="63"/>
  <c r="P24" i="63"/>
  <c r="N24" i="63"/>
  <c r="M24" i="63"/>
  <c r="L24" i="63"/>
  <c r="K24" i="63"/>
  <c r="J24" i="63"/>
  <c r="I24" i="63"/>
  <c r="T20" i="63"/>
  <c r="R20" i="63"/>
  <c r="Q20" i="63"/>
  <c r="P20" i="63"/>
  <c r="O20" i="63"/>
  <c r="N20" i="63"/>
  <c r="M20" i="63"/>
  <c r="K20" i="63"/>
  <c r="J20" i="63"/>
  <c r="I20" i="63"/>
  <c r="S19" i="63"/>
  <c r="L19" i="63" s="1"/>
  <c r="L20" i="63" s="1"/>
  <c r="T10" i="63"/>
  <c r="S10" i="63"/>
  <c r="R10" i="63"/>
  <c r="Q10" i="63"/>
  <c r="P10" i="63"/>
  <c r="N10" i="63"/>
  <c r="M10" i="63"/>
  <c r="L10" i="63"/>
  <c r="K10" i="63"/>
  <c r="J10" i="63"/>
  <c r="I10" i="63"/>
  <c r="H10" i="63"/>
  <c r="I56" i="63" l="1"/>
  <c r="H56" i="63" s="1"/>
  <c r="M56" i="63"/>
  <c r="R56" i="63"/>
  <c r="Q56" i="63"/>
  <c r="U10" i="63"/>
  <c r="N56" i="63"/>
  <c r="U33" i="63"/>
  <c r="K56" i="63"/>
  <c r="J56" i="63" s="1"/>
  <c r="P56" i="63"/>
  <c r="T56" i="63"/>
  <c r="U30" i="63"/>
  <c r="U24" i="63"/>
  <c r="L56" i="63"/>
  <c r="S20" i="63"/>
  <c r="U20" i="63" s="1"/>
  <c r="O56" i="63"/>
  <c r="P59" i="63"/>
  <c r="O59" i="63" s="1"/>
  <c r="H78" i="55"/>
  <c r="S77" i="55"/>
  <c r="R77" i="55"/>
  <c r="Q77" i="55"/>
  <c r="P77" i="55"/>
  <c r="O77" i="55"/>
  <c r="N77" i="55"/>
  <c r="M77" i="55"/>
  <c r="L77" i="55"/>
  <c r="K77" i="55"/>
  <c r="J77" i="55"/>
  <c r="I77" i="55"/>
  <c r="S75" i="55"/>
  <c r="R75" i="55"/>
  <c r="Q75" i="55"/>
  <c r="P75" i="55"/>
  <c r="O75" i="55"/>
  <c r="N75" i="55"/>
  <c r="M75" i="55"/>
  <c r="L75" i="55"/>
  <c r="K75" i="55"/>
  <c r="J75" i="55"/>
  <c r="I75" i="55"/>
  <c r="S73" i="55"/>
  <c r="R73" i="55"/>
  <c r="Q73" i="55"/>
  <c r="P73" i="55"/>
  <c r="O73" i="55"/>
  <c r="N73" i="55"/>
  <c r="M73" i="55"/>
  <c r="L73" i="55"/>
  <c r="K73" i="55"/>
  <c r="J73" i="55"/>
  <c r="I73" i="55"/>
  <c r="S71" i="55"/>
  <c r="R71" i="55"/>
  <c r="Q71" i="55"/>
  <c r="P71" i="55"/>
  <c r="O71" i="55"/>
  <c r="N71" i="55"/>
  <c r="M71" i="55"/>
  <c r="L71" i="55"/>
  <c r="K71" i="55"/>
  <c r="J71" i="55"/>
  <c r="I71" i="55"/>
  <c r="S69" i="55"/>
  <c r="R69" i="55"/>
  <c r="Q69" i="55"/>
  <c r="P69" i="55"/>
  <c r="O69" i="55"/>
  <c r="N69" i="55"/>
  <c r="M69" i="55"/>
  <c r="L69" i="55"/>
  <c r="K69" i="55"/>
  <c r="J69" i="55"/>
  <c r="I69" i="55"/>
  <c r="J58" i="55"/>
  <c r="H57" i="55"/>
  <c r="J56" i="55"/>
  <c r="N55" i="55"/>
  <c r="J55" i="55" s="1"/>
  <c r="R54" i="55"/>
  <c r="N54" i="55"/>
  <c r="L54" i="55"/>
  <c r="J54" i="55" s="1"/>
  <c r="J53" i="55"/>
  <c r="S51" i="55"/>
  <c r="R51" i="55"/>
  <c r="Q51" i="55"/>
  <c r="P51" i="55"/>
  <c r="O51" i="55"/>
  <c r="N51" i="55"/>
  <c r="M51" i="55"/>
  <c r="L51" i="55"/>
  <c r="K51" i="55"/>
  <c r="J51" i="55"/>
  <c r="I51" i="55"/>
  <c r="J45" i="55"/>
  <c r="J43" i="55"/>
  <c r="J42" i="55"/>
  <c r="J41" i="55"/>
  <c r="J40" i="55"/>
  <c r="J39" i="55"/>
  <c r="J38" i="55"/>
  <c r="J37" i="55"/>
  <c r="S34" i="55"/>
  <c r="R34" i="55"/>
  <c r="Q34" i="55"/>
  <c r="P34" i="55"/>
  <c r="O34" i="55"/>
  <c r="N34" i="55"/>
  <c r="M34" i="55"/>
  <c r="L34" i="55"/>
  <c r="K34" i="55"/>
  <c r="J34" i="55"/>
  <c r="I34" i="55"/>
  <c r="S31" i="55"/>
  <c r="R31" i="55"/>
  <c r="Q31" i="55"/>
  <c r="P31" i="55"/>
  <c r="O31" i="55"/>
  <c r="N31" i="55"/>
  <c r="M31" i="55"/>
  <c r="L31" i="55"/>
  <c r="K31" i="55"/>
  <c r="J31" i="55"/>
  <c r="I31" i="55"/>
  <c r="S28" i="55"/>
  <c r="R28" i="55"/>
  <c r="Q28" i="55"/>
  <c r="P28" i="55"/>
  <c r="O28" i="55"/>
  <c r="N28" i="55"/>
  <c r="M28" i="55"/>
  <c r="L28" i="55"/>
  <c r="K28" i="55"/>
  <c r="J28" i="55"/>
  <c r="I28" i="55"/>
  <c r="S22" i="55"/>
  <c r="R22" i="55"/>
  <c r="Q22" i="55"/>
  <c r="P22" i="55"/>
  <c r="O22" i="55"/>
  <c r="N22" i="55"/>
  <c r="M22" i="55"/>
  <c r="L22" i="55"/>
  <c r="K22" i="55"/>
  <c r="J22" i="55"/>
  <c r="I22" i="55"/>
  <c r="S18" i="55"/>
  <c r="R18" i="55"/>
  <c r="Q18" i="55"/>
  <c r="P18" i="55"/>
  <c r="O18" i="55"/>
  <c r="N18" i="55"/>
  <c r="M18" i="55"/>
  <c r="L18" i="55"/>
  <c r="K18" i="55"/>
  <c r="J18" i="55"/>
  <c r="I18" i="55"/>
  <c r="S10" i="55"/>
  <c r="R10" i="55"/>
  <c r="Q10" i="55"/>
  <c r="P10" i="55"/>
  <c r="O10" i="55"/>
  <c r="N10" i="55"/>
  <c r="M10" i="55"/>
  <c r="L10" i="55"/>
  <c r="K10" i="55"/>
  <c r="J10" i="55"/>
  <c r="I10" i="55"/>
  <c r="H10" i="55"/>
  <c r="H76" i="54"/>
  <c r="S75" i="54"/>
  <c r="R75" i="54"/>
  <c r="Q75" i="54"/>
  <c r="P75" i="54"/>
  <c r="O75" i="54"/>
  <c r="N75" i="54"/>
  <c r="M75" i="54"/>
  <c r="L75" i="54"/>
  <c r="K75" i="54"/>
  <c r="J75" i="54"/>
  <c r="I75" i="54"/>
  <c r="S73" i="54"/>
  <c r="R73" i="54"/>
  <c r="Q73" i="54"/>
  <c r="P73" i="54"/>
  <c r="O73" i="54"/>
  <c r="N73" i="54"/>
  <c r="M73" i="54"/>
  <c r="L73" i="54"/>
  <c r="K73" i="54"/>
  <c r="J73" i="54"/>
  <c r="I73" i="54"/>
  <c r="S71" i="54"/>
  <c r="R71" i="54"/>
  <c r="Q71" i="54"/>
  <c r="P71" i="54"/>
  <c r="O71" i="54"/>
  <c r="N71" i="54"/>
  <c r="M71" i="54"/>
  <c r="L71" i="54"/>
  <c r="K71" i="54"/>
  <c r="J71" i="54"/>
  <c r="I71" i="54"/>
  <c r="S69" i="54"/>
  <c r="R69" i="54"/>
  <c r="Q69" i="54"/>
  <c r="P69" i="54"/>
  <c r="O69" i="54"/>
  <c r="N69" i="54"/>
  <c r="M69" i="54"/>
  <c r="L69" i="54"/>
  <c r="K69" i="54"/>
  <c r="J69" i="54"/>
  <c r="I69" i="54"/>
  <c r="S67" i="54"/>
  <c r="R67" i="54"/>
  <c r="Q67" i="54"/>
  <c r="P67" i="54"/>
  <c r="O67" i="54"/>
  <c r="N67" i="54"/>
  <c r="M67" i="54"/>
  <c r="L67" i="54"/>
  <c r="K67" i="54"/>
  <c r="J67" i="54"/>
  <c r="I67" i="54"/>
  <c r="J56" i="54"/>
  <c r="H55" i="54"/>
  <c r="J54" i="54"/>
  <c r="R53" i="54"/>
  <c r="L53" i="54" s="1"/>
  <c r="J53" i="54" s="1"/>
  <c r="J52" i="54"/>
  <c r="R51" i="54" s="1"/>
  <c r="L51" i="54" s="1"/>
  <c r="S50" i="54"/>
  <c r="S55" i="54" s="1"/>
  <c r="R50" i="54"/>
  <c r="Q50" i="54"/>
  <c r="Q55" i="54" s="1"/>
  <c r="P50" i="54"/>
  <c r="O50" i="54"/>
  <c r="O55" i="54" s="1"/>
  <c r="N55" i="54" s="1"/>
  <c r="N50" i="54"/>
  <c r="M50" i="54"/>
  <c r="M55" i="54" s="1"/>
  <c r="L50" i="54"/>
  <c r="L55" i="54" s="1"/>
  <c r="K50" i="54"/>
  <c r="K55" i="54" s="1"/>
  <c r="J50" i="54"/>
  <c r="I50" i="54"/>
  <c r="J44" i="54"/>
  <c r="J42" i="54"/>
  <c r="J41" i="54"/>
  <c r="J40" i="54"/>
  <c r="J39" i="54"/>
  <c r="J38" i="54"/>
  <c r="J37" i="54"/>
  <c r="S34" i="54"/>
  <c r="R34" i="54"/>
  <c r="Q34" i="54"/>
  <c r="P34" i="54"/>
  <c r="O34" i="54"/>
  <c r="N34" i="54"/>
  <c r="M34" i="54"/>
  <c r="L34" i="54"/>
  <c r="K34" i="54"/>
  <c r="J34" i="54"/>
  <c r="I34" i="54"/>
  <c r="S31" i="54"/>
  <c r="R31" i="54"/>
  <c r="Q31" i="54"/>
  <c r="P31" i="54"/>
  <c r="O31" i="54"/>
  <c r="N31" i="54"/>
  <c r="M31" i="54"/>
  <c r="L31" i="54"/>
  <c r="K31" i="54"/>
  <c r="J31" i="54"/>
  <c r="I31" i="54"/>
  <c r="S28" i="54"/>
  <c r="R28" i="54"/>
  <c r="Q28" i="54"/>
  <c r="P28" i="54"/>
  <c r="O28" i="54"/>
  <c r="N28" i="54"/>
  <c r="M28" i="54"/>
  <c r="L28" i="54"/>
  <c r="K28" i="54"/>
  <c r="J28" i="54"/>
  <c r="I28" i="54"/>
  <c r="S22" i="54"/>
  <c r="R22" i="54"/>
  <c r="Q22" i="54"/>
  <c r="P22" i="54"/>
  <c r="O22" i="54"/>
  <c r="N22" i="54"/>
  <c r="M22" i="54"/>
  <c r="L22" i="54"/>
  <c r="K22" i="54"/>
  <c r="J22" i="54"/>
  <c r="I22" i="54"/>
  <c r="H22" i="54"/>
  <c r="S18" i="54"/>
  <c r="R18" i="54"/>
  <c r="Q18" i="54"/>
  <c r="P18" i="54"/>
  <c r="O18" i="54"/>
  <c r="N18" i="54"/>
  <c r="M18" i="54"/>
  <c r="L18" i="54"/>
  <c r="K18" i="54"/>
  <c r="J18" i="54"/>
  <c r="I18" i="54"/>
  <c r="H18" i="54"/>
  <c r="S10" i="54"/>
  <c r="R10" i="54"/>
  <c r="Q10" i="54"/>
  <c r="P10" i="54"/>
  <c r="O10" i="54"/>
  <c r="N10" i="54"/>
  <c r="M10" i="54"/>
  <c r="L10" i="54"/>
  <c r="K10" i="54"/>
  <c r="J10" i="54"/>
  <c r="I10" i="54"/>
  <c r="H10" i="54"/>
  <c r="H43" i="54" s="1"/>
  <c r="H79" i="48"/>
  <c r="S78" i="48"/>
  <c r="R78" i="48"/>
  <c r="Q78" i="48"/>
  <c r="P78" i="48"/>
  <c r="O78" i="48"/>
  <c r="S76" i="48"/>
  <c r="R76" i="48"/>
  <c r="Q76" i="48"/>
  <c r="P76" i="48"/>
  <c r="O76" i="48"/>
  <c r="S74" i="48"/>
  <c r="R74" i="48"/>
  <c r="T74" i="48" s="1"/>
  <c r="Q74" i="48"/>
  <c r="P74" i="48"/>
  <c r="O74" i="48"/>
  <c r="S72" i="48"/>
  <c r="R72" i="48"/>
  <c r="Q72" i="48"/>
  <c r="P72" i="48"/>
  <c r="O72" i="48"/>
  <c r="S70" i="48"/>
  <c r="R70" i="48"/>
  <c r="Q70" i="48"/>
  <c r="P70" i="48"/>
  <c r="O70" i="48"/>
  <c r="J59" i="48"/>
  <c r="H58" i="48"/>
  <c r="J57" i="48"/>
  <c r="R56" i="48"/>
  <c r="L56" i="48" s="1"/>
  <c r="J56" i="48" s="1"/>
  <c r="J55" i="48"/>
  <c r="S53" i="48"/>
  <c r="S58" i="48" s="1"/>
  <c r="R53" i="48"/>
  <c r="Q53" i="48"/>
  <c r="Q58" i="48" s="1"/>
  <c r="P58" i="48" s="1"/>
  <c r="P53" i="48"/>
  <c r="O53" i="48"/>
  <c r="O58" i="48" s="1"/>
  <c r="N53" i="48"/>
  <c r="M53" i="48"/>
  <c r="M58" i="48" s="1"/>
  <c r="L53" i="48"/>
  <c r="K53" i="48"/>
  <c r="K58" i="48" s="1"/>
  <c r="J53" i="48"/>
  <c r="I53" i="48"/>
  <c r="J47" i="48"/>
  <c r="H46" i="48"/>
  <c r="J45" i="48"/>
  <c r="J44" i="48"/>
  <c r="J43" i="48"/>
  <c r="J42" i="48"/>
  <c r="J41" i="48"/>
  <c r="J40" i="48"/>
  <c r="J39" i="48"/>
  <c r="J38" i="48"/>
  <c r="J37" i="48"/>
  <c r="T76" i="48" l="1"/>
  <c r="J58" i="48"/>
  <c r="P79" i="48"/>
  <c r="K43" i="54"/>
  <c r="S43" i="54"/>
  <c r="T34" i="54"/>
  <c r="P76" i="54"/>
  <c r="O43" i="54"/>
  <c r="T71" i="54"/>
  <c r="K44" i="55"/>
  <c r="O44" i="55"/>
  <c r="T55" i="55"/>
  <c r="P43" i="54"/>
  <c r="P55" i="54"/>
  <c r="Q76" i="54"/>
  <c r="I43" i="54"/>
  <c r="I45" i="54" s="1"/>
  <c r="M43" i="54"/>
  <c r="Q43" i="54"/>
  <c r="T28" i="54"/>
  <c r="T50" i="54"/>
  <c r="R55" i="54"/>
  <c r="J76" i="54"/>
  <c r="R76" i="54"/>
  <c r="T75" i="54"/>
  <c r="L43" i="54"/>
  <c r="T31" i="54"/>
  <c r="T69" i="54"/>
  <c r="T10" i="54"/>
  <c r="N43" i="54"/>
  <c r="R43" i="54"/>
  <c r="T18" i="54"/>
  <c r="T22" i="54"/>
  <c r="O76" i="54"/>
  <c r="N76" i="54" s="1"/>
  <c r="M76" i="54" s="1"/>
  <c r="L76" i="54" s="1"/>
  <c r="K76" i="54" s="1"/>
  <c r="S76" i="54"/>
  <c r="T73" i="54"/>
  <c r="N58" i="48"/>
  <c r="Q79" i="48"/>
  <c r="R54" i="48"/>
  <c r="L54" i="48" s="1"/>
  <c r="L58" i="48" s="1"/>
  <c r="R79" i="48"/>
  <c r="T78" i="48"/>
  <c r="S79" i="48"/>
  <c r="T72" i="48"/>
  <c r="I44" i="55"/>
  <c r="H44" i="55" s="1"/>
  <c r="M44" i="55"/>
  <c r="Q44" i="55"/>
  <c r="T18" i="55"/>
  <c r="T34" i="55"/>
  <c r="P78" i="55"/>
  <c r="T73" i="55"/>
  <c r="R52" i="55"/>
  <c r="L52" i="55" s="1"/>
  <c r="L57" i="55" s="1"/>
  <c r="S44" i="55"/>
  <c r="T28" i="55"/>
  <c r="J78" i="55"/>
  <c r="R78" i="55"/>
  <c r="T77" i="55"/>
  <c r="L44" i="55"/>
  <c r="P44" i="55"/>
  <c r="T22" i="55"/>
  <c r="T51" i="55"/>
  <c r="O78" i="55"/>
  <c r="N78" i="55" s="1"/>
  <c r="M78" i="55" s="1"/>
  <c r="L78" i="55" s="1"/>
  <c r="K78" i="55" s="1"/>
  <c r="S78" i="55"/>
  <c r="T75" i="55"/>
  <c r="J44" i="55"/>
  <c r="N44" i="55"/>
  <c r="R44" i="55"/>
  <c r="T31" i="55"/>
  <c r="K57" i="55"/>
  <c r="Q78" i="55"/>
  <c r="T71" i="55"/>
  <c r="N59" i="63"/>
  <c r="M59" i="63" s="1"/>
  <c r="L59" i="63" s="1"/>
  <c r="K59" i="63" s="1"/>
  <c r="J59" i="63" s="1"/>
  <c r="I59" i="63" s="1"/>
  <c r="S56" i="63"/>
  <c r="I78" i="55"/>
  <c r="I76" i="54"/>
  <c r="O60" i="48"/>
  <c r="J43" i="54"/>
  <c r="O45" i="54"/>
  <c r="I55" i="54"/>
  <c r="T53" i="48"/>
  <c r="T57" i="48"/>
  <c r="T70" i="48"/>
  <c r="J55" i="54"/>
  <c r="T67" i="54"/>
  <c r="S57" i="55"/>
  <c r="T69" i="55"/>
  <c r="I58" i="48"/>
  <c r="O57" i="54"/>
  <c r="N57" i="54" s="1"/>
  <c r="M57" i="54" s="1"/>
  <c r="L57" i="54" s="1"/>
  <c r="K57" i="54" s="1"/>
  <c r="J57" i="54" s="1"/>
  <c r="I57" i="54" s="1"/>
  <c r="T10" i="55"/>
  <c r="O46" i="55"/>
  <c r="J57" i="55"/>
  <c r="I57" i="55" s="1"/>
  <c r="O79" i="48"/>
  <c r="T54" i="54"/>
  <c r="S34" i="48"/>
  <c r="R34" i="48"/>
  <c r="Q34" i="48"/>
  <c r="P34" i="48"/>
  <c r="O34" i="48"/>
  <c r="N34" i="48"/>
  <c r="M34" i="48"/>
  <c r="L34" i="48"/>
  <c r="K34" i="48"/>
  <c r="J34" i="48"/>
  <c r="I34" i="48"/>
  <c r="S31" i="48"/>
  <c r="R31" i="48"/>
  <c r="Q31" i="48"/>
  <c r="P31" i="48"/>
  <c r="O31" i="48"/>
  <c r="N31" i="48"/>
  <c r="M31" i="48"/>
  <c r="L31" i="48"/>
  <c r="K31" i="48"/>
  <c r="J31" i="48"/>
  <c r="T79" i="48" l="1"/>
  <c r="N60" i="48"/>
  <c r="M60" i="48" s="1"/>
  <c r="L60" i="48" s="1"/>
  <c r="K60" i="48" s="1"/>
  <c r="J60" i="48" s="1"/>
  <c r="T76" i="54"/>
  <c r="T78" i="55"/>
  <c r="R57" i="55"/>
  <c r="Q57" i="55" s="1"/>
  <c r="P57" i="55" s="1"/>
  <c r="O57" i="55" s="1"/>
  <c r="N57" i="55" s="1"/>
  <c r="M57" i="55" s="1"/>
  <c r="N45" i="54"/>
  <c r="M45" i="54" s="1"/>
  <c r="L45" i="54" s="1"/>
  <c r="K45" i="54" s="1"/>
  <c r="T34" i="48"/>
  <c r="T31" i="48"/>
  <c r="R58" i="48"/>
  <c r="N46" i="55"/>
  <c r="M46" i="55" s="1"/>
  <c r="L46" i="55"/>
  <c r="K46" i="55" s="1"/>
  <c r="J46" i="55" s="1"/>
  <c r="I46" i="55" s="1"/>
  <c r="J45" i="54"/>
  <c r="I60" i="48"/>
  <c r="I31" i="48"/>
  <c r="S28" i="48"/>
  <c r="R28" i="48"/>
  <c r="Q28" i="48"/>
  <c r="P28" i="48"/>
  <c r="O28" i="48"/>
  <c r="N28" i="48"/>
  <c r="M28" i="48"/>
  <c r="L28" i="48"/>
  <c r="K28" i="48"/>
  <c r="J28" i="48"/>
  <c r="I28" i="48"/>
  <c r="S22" i="48"/>
  <c r="R22" i="48"/>
  <c r="Q22" i="48"/>
  <c r="P22" i="48"/>
  <c r="O22" i="48"/>
  <c r="N22" i="48"/>
  <c r="M22" i="48"/>
  <c r="L22" i="48"/>
  <c r="K22" i="48"/>
  <c r="J22" i="48"/>
  <c r="I22" i="48"/>
  <c r="S18" i="48"/>
  <c r="R18" i="48"/>
  <c r="Q18" i="48"/>
  <c r="P18" i="48"/>
  <c r="O18" i="48"/>
  <c r="N18" i="48"/>
  <c r="M18" i="48"/>
  <c r="L18" i="48"/>
  <c r="K18" i="48"/>
  <c r="J18" i="48"/>
  <c r="I18" i="48"/>
  <c r="S10" i="48"/>
  <c r="R10" i="48"/>
  <c r="Q10" i="48"/>
  <c r="P10" i="48"/>
  <c r="O10" i="48"/>
  <c r="N10" i="48"/>
  <c r="M10" i="48"/>
  <c r="L10" i="48"/>
  <c r="K10" i="48"/>
  <c r="J10" i="48"/>
  <c r="I10" i="48"/>
  <c r="J46" i="48" l="1"/>
  <c r="N46" i="48"/>
  <c r="R46" i="48"/>
  <c r="O59" i="55"/>
  <c r="N59" i="55" s="1"/>
  <c r="M59" i="55" s="1"/>
  <c r="L59" i="55" s="1"/>
  <c r="K59" i="55" s="1"/>
  <c r="J59" i="55" s="1"/>
  <c r="I59" i="55" s="1"/>
  <c r="O46" i="48"/>
  <c r="O48" i="48" s="1"/>
  <c r="T28" i="48"/>
  <c r="L46" i="48"/>
  <c r="P46" i="48"/>
  <c r="T22" i="48"/>
  <c r="K46" i="48"/>
  <c r="S46" i="48"/>
  <c r="I46" i="48"/>
  <c r="M46" i="48"/>
  <c r="Q46" i="48"/>
  <c r="T18" i="48"/>
  <c r="T10" i="48"/>
  <c r="N48" i="48"/>
  <c r="M48" i="48" s="1"/>
  <c r="H79" i="39"/>
  <c r="S78" i="39"/>
  <c r="R78" i="39"/>
  <c r="Q78" i="39"/>
  <c r="P78" i="39"/>
  <c r="O78" i="39"/>
  <c r="N78" i="39"/>
  <c r="M78" i="39"/>
  <c r="L78" i="39"/>
  <c r="K78" i="39"/>
  <c r="J78" i="39"/>
  <c r="T78" i="39" s="1"/>
  <c r="I78" i="39"/>
  <c r="S76" i="39"/>
  <c r="R76" i="39"/>
  <c r="Q76" i="39"/>
  <c r="P76" i="39"/>
  <c r="O76" i="39"/>
  <c r="N76" i="39"/>
  <c r="M76" i="39"/>
  <c r="L76" i="39"/>
  <c r="K76" i="39"/>
  <c r="J76" i="39"/>
  <c r="I76" i="39"/>
  <c r="S74" i="39"/>
  <c r="R74" i="39"/>
  <c r="Q74" i="39"/>
  <c r="P74" i="39"/>
  <c r="O74" i="39"/>
  <c r="N74" i="39"/>
  <c r="M74" i="39"/>
  <c r="L74" i="39"/>
  <c r="K74" i="39"/>
  <c r="J74" i="39"/>
  <c r="I74" i="39"/>
  <c r="S72" i="39"/>
  <c r="R72" i="39"/>
  <c r="Q72" i="39"/>
  <c r="P72" i="39"/>
  <c r="O72" i="39"/>
  <c r="N72" i="39"/>
  <c r="M72" i="39"/>
  <c r="L72" i="39"/>
  <c r="K72" i="39"/>
  <c r="J72" i="39"/>
  <c r="I72" i="39"/>
  <c r="S70" i="39"/>
  <c r="R70" i="39"/>
  <c r="R79" i="39" s="1"/>
  <c r="Q70" i="39"/>
  <c r="P70" i="39"/>
  <c r="O70" i="39"/>
  <c r="N70" i="39"/>
  <c r="M70" i="39"/>
  <c r="L70" i="39"/>
  <c r="K70" i="39"/>
  <c r="J70" i="39"/>
  <c r="T70" i="39" s="1"/>
  <c r="I70" i="39"/>
  <c r="J59" i="39"/>
  <c r="H58" i="39"/>
  <c r="J57" i="39"/>
  <c r="R56" i="39"/>
  <c r="N56" i="39"/>
  <c r="L56" i="39" s="1"/>
  <c r="J56" i="39" s="1"/>
  <c r="J55" i="39"/>
  <c r="S53" i="39"/>
  <c r="R53" i="39"/>
  <c r="Q53" i="39"/>
  <c r="P53" i="39"/>
  <c r="O53" i="39"/>
  <c r="N53" i="39"/>
  <c r="M53" i="39"/>
  <c r="L53" i="39"/>
  <c r="K53" i="39"/>
  <c r="J53" i="39"/>
  <c r="I53" i="39"/>
  <c r="J47" i="39"/>
  <c r="H46" i="39"/>
  <c r="J45" i="39"/>
  <c r="J44" i="39"/>
  <c r="J43" i="39"/>
  <c r="J42" i="39"/>
  <c r="J41" i="39"/>
  <c r="J40" i="39"/>
  <c r="J39" i="39"/>
  <c r="J38" i="39"/>
  <c r="J37" i="39"/>
  <c r="S34" i="39"/>
  <c r="R34" i="39"/>
  <c r="Q34" i="39"/>
  <c r="P34" i="39"/>
  <c r="O34" i="39"/>
  <c r="N34" i="39"/>
  <c r="M34" i="39"/>
  <c r="L34" i="39"/>
  <c r="K34" i="39"/>
  <c r="J34" i="39"/>
  <c r="I34" i="39"/>
  <c r="S31" i="39"/>
  <c r="R31" i="39"/>
  <c r="Q31" i="39"/>
  <c r="P31" i="39"/>
  <c r="O31" i="39"/>
  <c r="N31" i="39"/>
  <c r="M31" i="39"/>
  <c r="L31" i="39"/>
  <c r="K31" i="39"/>
  <c r="J31" i="39"/>
  <c r="I31" i="39"/>
  <c r="S28" i="39"/>
  <c r="R28" i="39"/>
  <c r="Q28" i="39"/>
  <c r="P28" i="39"/>
  <c r="O28" i="39"/>
  <c r="N28" i="39"/>
  <c r="M28" i="39"/>
  <c r="L28" i="39"/>
  <c r="K28" i="39"/>
  <c r="J28" i="39"/>
  <c r="I28" i="39"/>
  <c r="S22" i="39"/>
  <c r="R22" i="39"/>
  <c r="Q22" i="39"/>
  <c r="P22" i="39"/>
  <c r="O22" i="39"/>
  <c r="N22" i="39"/>
  <c r="M22" i="39"/>
  <c r="L22" i="39"/>
  <c r="K22" i="39"/>
  <c r="J22" i="39"/>
  <c r="T22" i="39" s="1"/>
  <c r="I22" i="39"/>
  <c r="S18" i="39"/>
  <c r="R18" i="39"/>
  <c r="Q18" i="39"/>
  <c r="P18" i="39"/>
  <c r="O18" i="39"/>
  <c r="N18" i="39"/>
  <c r="M18" i="39"/>
  <c r="L18" i="39"/>
  <c r="K18" i="39"/>
  <c r="J18" i="39"/>
  <c r="I18" i="39"/>
  <c r="S10" i="39"/>
  <c r="R10" i="39"/>
  <c r="Q10" i="39"/>
  <c r="P10" i="39"/>
  <c r="P46" i="39" s="1"/>
  <c r="O10" i="39"/>
  <c r="N10" i="39"/>
  <c r="M10" i="39"/>
  <c r="L10" i="39"/>
  <c r="L46" i="39" s="1"/>
  <c r="K10" i="39"/>
  <c r="J10" i="39"/>
  <c r="I10" i="39"/>
  <c r="H76" i="38"/>
  <c r="S75" i="38"/>
  <c r="R75" i="38"/>
  <c r="Q75" i="38"/>
  <c r="P75" i="38"/>
  <c r="O75" i="38"/>
  <c r="N75" i="38"/>
  <c r="M75" i="38"/>
  <c r="L75" i="38"/>
  <c r="K75" i="38"/>
  <c r="J75" i="38"/>
  <c r="I75" i="38"/>
  <c r="S73" i="38"/>
  <c r="R73" i="38"/>
  <c r="Q73" i="38"/>
  <c r="P73" i="38"/>
  <c r="O73" i="38"/>
  <c r="N73" i="38"/>
  <c r="M73" i="38"/>
  <c r="L73" i="38"/>
  <c r="K73" i="38"/>
  <c r="J73" i="38"/>
  <c r="I73" i="38"/>
  <c r="S71" i="38"/>
  <c r="R71" i="38"/>
  <c r="Q71" i="38"/>
  <c r="P71" i="38"/>
  <c r="O71" i="38"/>
  <c r="N71" i="38"/>
  <c r="M71" i="38"/>
  <c r="L71" i="38"/>
  <c r="K71" i="38"/>
  <c r="J71" i="38"/>
  <c r="I71" i="38"/>
  <c r="S69" i="38"/>
  <c r="R69" i="38"/>
  <c r="Q69" i="38"/>
  <c r="P69" i="38"/>
  <c r="O69" i="38"/>
  <c r="N69" i="38"/>
  <c r="M69" i="38"/>
  <c r="L69" i="38"/>
  <c r="K69" i="38"/>
  <c r="J69" i="38"/>
  <c r="I69" i="38"/>
  <c r="S67" i="38"/>
  <c r="R67" i="38"/>
  <c r="Q67" i="38"/>
  <c r="P67" i="38"/>
  <c r="O67" i="38"/>
  <c r="N67" i="38"/>
  <c r="M67" i="38"/>
  <c r="L67" i="38"/>
  <c r="K67" i="38"/>
  <c r="J67" i="38"/>
  <c r="I67" i="38"/>
  <c r="J56" i="38"/>
  <c r="H55" i="38"/>
  <c r="J54" i="38"/>
  <c r="R53" i="38"/>
  <c r="L53" i="38" s="1"/>
  <c r="J53" i="38" s="1"/>
  <c r="J52" i="38"/>
  <c r="S50" i="38"/>
  <c r="R50" i="38"/>
  <c r="Q50" i="38"/>
  <c r="P50" i="38"/>
  <c r="O50" i="38"/>
  <c r="N50" i="38"/>
  <c r="M50" i="38"/>
  <c r="L50" i="38"/>
  <c r="K50" i="38"/>
  <c r="J50" i="38"/>
  <c r="I50" i="38"/>
  <c r="J44" i="38"/>
  <c r="H43" i="38"/>
  <c r="J42" i="38"/>
  <c r="J41" i="38"/>
  <c r="J40" i="38"/>
  <c r="J39" i="38"/>
  <c r="J38" i="38"/>
  <c r="J37" i="38"/>
  <c r="J36" i="38"/>
  <c r="J35" i="38"/>
  <c r="S32" i="38"/>
  <c r="R32" i="38"/>
  <c r="Q32" i="38"/>
  <c r="P32" i="38"/>
  <c r="O32" i="38"/>
  <c r="N32" i="38"/>
  <c r="M32" i="38"/>
  <c r="L32" i="38"/>
  <c r="K32" i="38"/>
  <c r="J32" i="38"/>
  <c r="I32" i="38"/>
  <c r="S29" i="38"/>
  <c r="R29" i="38"/>
  <c r="Q29" i="38"/>
  <c r="P29" i="38"/>
  <c r="O29" i="38"/>
  <c r="N29" i="38"/>
  <c r="M29" i="38"/>
  <c r="L29" i="38"/>
  <c r="K29" i="38"/>
  <c r="J29" i="38"/>
  <c r="I29" i="38"/>
  <c r="S26" i="38"/>
  <c r="R26" i="38"/>
  <c r="Q26" i="38"/>
  <c r="P26" i="38"/>
  <c r="O26" i="38"/>
  <c r="N26" i="38"/>
  <c r="M26" i="38"/>
  <c r="L26" i="38"/>
  <c r="K26" i="38"/>
  <c r="J26" i="38"/>
  <c r="I26" i="38"/>
  <c r="S20" i="38"/>
  <c r="R20" i="38"/>
  <c r="Q20" i="38"/>
  <c r="P20" i="38"/>
  <c r="O20" i="38"/>
  <c r="N20" i="38"/>
  <c r="M20" i="38"/>
  <c r="L20" i="38"/>
  <c r="K20" i="38"/>
  <c r="J20" i="38"/>
  <c r="I20" i="38"/>
  <c r="S16" i="38"/>
  <c r="R16" i="38"/>
  <c r="Q16" i="38"/>
  <c r="P16" i="38"/>
  <c r="O16" i="38"/>
  <c r="N16" i="38"/>
  <c r="M16" i="38"/>
  <c r="L16" i="38"/>
  <c r="K16" i="38"/>
  <c r="J16" i="38"/>
  <c r="I16" i="38"/>
  <c r="S9" i="38"/>
  <c r="R9" i="38"/>
  <c r="Q9" i="38"/>
  <c r="P9" i="38"/>
  <c r="O9" i="38"/>
  <c r="N9" i="38"/>
  <c r="M9" i="38"/>
  <c r="L9" i="38"/>
  <c r="K9" i="38"/>
  <c r="J9" i="38"/>
  <c r="I9" i="38"/>
  <c r="H75" i="33"/>
  <c r="S74" i="33"/>
  <c r="R74" i="33"/>
  <c r="Q74" i="33"/>
  <c r="P74" i="33"/>
  <c r="O74" i="33"/>
  <c r="N74" i="33"/>
  <c r="M74" i="33"/>
  <c r="L74" i="33"/>
  <c r="K74" i="33"/>
  <c r="J74" i="33"/>
  <c r="I74" i="33"/>
  <c r="S72" i="33"/>
  <c r="R72" i="33"/>
  <c r="Q72" i="33"/>
  <c r="P72" i="33"/>
  <c r="O72" i="33"/>
  <c r="N72" i="33"/>
  <c r="M72" i="33"/>
  <c r="L72" i="33"/>
  <c r="K72" i="33"/>
  <c r="J72" i="33"/>
  <c r="I72" i="33"/>
  <c r="S70" i="33"/>
  <c r="R70" i="33"/>
  <c r="Q70" i="33"/>
  <c r="P70" i="33"/>
  <c r="O70" i="33"/>
  <c r="N70" i="33"/>
  <c r="M70" i="33"/>
  <c r="L70" i="33"/>
  <c r="K70" i="33"/>
  <c r="J70" i="33"/>
  <c r="I70" i="33"/>
  <c r="S68" i="33"/>
  <c r="R68" i="33"/>
  <c r="Q68" i="33"/>
  <c r="P68" i="33"/>
  <c r="O68" i="33"/>
  <c r="N68" i="33"/>
  <c r="M68" i="33"/>
  <c r="L68" i="33"/>
  <c r="K68" i="33"/>
  <c r="J68" i="33"/>
  <c r="T68" i="33" s="1"/>
  <c r="I68" i="33"/>
  <c r="S66" i="33"/>
  <c r="R66" i="33"/>
  <c r="Q66" i="33"/>
  <c r="Q75" i="33" s="1"/>
  <c r="P66" i="33"/>
  <c r="O66" i="33"/>
  <c r="N66" i="33"/>
  <c r="M66" i="33"/>
  <c r="L66" i="33"/>
  <c r="K66" i="33"/>
  <c r="J66" i="33"/>
  <c r="I66" i="33"/>
  <c r="J55" i="33"/>
  <c r="H54" i="33"/>
  <c r="N53" i="33"/>
  <c r="J53" i="33" s="1"/>
  <c r="T53" i="33" s="1"/>
  <c r="R52" i="33"/>
  <c r="L52" i="33" s="1"/>
  <c r="J52" i="33" s="1"/>
  <c r="J51" i="33"/>
  <c r="S49" i="33"/>
  <c r="R49" i="33"/>
  <c r="Q49" i="33"/>
  <c r="P49" i="33"/>
  <c r="O49" i="33"/>
  <c r="N49" i="33"/>
  <c r="N54" i="33" s="1"/>
  <c r="M49" i="33"/>
  <c r="L49" i="33"/>
  <c r="K49" i="33"/>
  <c r="J49" i="33"/>
  <c r="I49" i="33"/>
  <c r="J43" i="33"/>
  <c r="H42" i="33"/>
  <c r="J41" i="33"/>
  <c r="J40" i="33"/>
  <c r="J39" i="33"/>
  <c r="J38" i="33"/>
  <c r="J37" i="33"/>
  <c r="J36" i="33"/>
  <c r="J35" i="33"/>
  <c r="S32" i="33"/>
  <c r="R32" i="33"/>
  <c r="Q32" i="33"/>
  <c r="P32" i="33"/>
  <c r="O32" i="33"/>
  <c r="N32" i="33"/>
  <c r="M32" i="33"/>
  <c r="L32" i="33"/>
  <c r="K32" i="33"/>
  <c r="J32" i="33"/>
  <c r="I32" i="33"/>
  <c r="S29" i="33"/>
  <c r="R29" i="33"/>
  <c r="Q29" i="33"/>
  <c r="P29" i="33"/>
  <c r="O29" i="33"/>
  <c r="N29" i="33"/>
  <c r="M29" i="33"/>
  <c r="L29" i="33"/>
  <c r="K29" i="33"/>
  <c r="J29" i="33"/>
  <c r="I29" i="33"/>
  <c r="S26" i="33"/>
  <c r="R26" i="33"/>
  <c r="Q26" i="33"/>
  <c r="P26" i="33"/>
  <c r="O26" i="33"/>
  <c r="N26" i="33"/>
  <c r="M26" i="33"/>
  <c r="L26" i="33"/>
  <c r="K26" i="33"/>
  <c r="T26" i="33" s="1"/>
  <c r="J26" i="33"/>
  <c r="I26" i="33"/>
  <c r="S20" i="33"/>
  <c r="R20" i="33"/>
  <c r="Q20" i="33"/>
  <c r="P20" i="33"/>
  <c r="O20" i="33"/>
  <c r="N20" i="33"/>
  <c r="M20" i="33"/>
  <c r="L20" i="33"/>
  <c r="K20" i="33"/>
  <c r="J20" i="33"/>
  <c r="I20" i="33"/>
  <c r="S16" i="33"/>
  <c r="R16" i="33"/>
  <c r="Q16" i="33"/>
  <c r="P16" i="33"/>
  <c r="O16" i="33"/>
  <c r="N16" i="33"/>
  <c r="M16" i="33"/>
  <c r="L16" i="33"/>
  <c r="K16" i="33"/>
  <c r="J16" i="33"/>
  <c r="I16" i="33"/>
  <c r="S9" i="33"/>
  <c r="R9" i="33"/>
  <c r="Q9" i="33"/>
  <c r="P9" i="33"/>
  <c r="P42" i="33" s="1"/>
  <c r="O9" i="33"/>
  <c r="N9" i="33"/>
  <c r="M9" i="33"/>
  <c r="L9" i="33"/>
  <c r="L42" i="33" s="1"/>
  <c r="K9" i="33"/>
  <c r="J9" i="33"/>
  <c r="I9" i="33"/>
  <c r="H75" i="32"/>
  <c r="S74" i="32"/>
  <c r="R74" i="32"/>
  <c r="Q74" i="32"/>
  <c r="P74" i="32"/>
  <c r="O74" i="32"/>
  <c r="N74" i="32"/>
  <c r="M74" i="32"/>
  <c r="L74" i="32"/>
  <c r="K74" i="32"/>
  <c r="J74" i="32"/>
  <c r="I74" i="32"/>
  <c r="S72" i="32"/>
  <c r="R72" i="32"/>
  <c r="Q72" i="32"/>
  <c r="P72" i="32"/>
  <c r="O72" i="32"/>
  <c r="N72" i="32"/>
  <c r="M72" i="32"/>
  <c r="L72" i="32"/>
  <c r="K72" i="32"/>
  <c r="J72" i="32"/>
  <c r="I72" i="32"/>
  <c r="S70" i="32"/>
  <c r="R70" i="32"/>
  <c r="Q70" i="32"/>
  <c r="P70" i="32"/>
  <c r="O70" i="32"/>
  <c r="N70" i="32"/>
  <c r="M70" i="32"/>
  <c r="L70" i="32"/>
  <c r="K70" i="32"/>
  <c r="J70" i="32"/>
  <c r="I70" i="32"/>
  <c r="S68" i="32"/>
  <c r="R68" i="32"/>
  <c r="Q68" i="32"/>
  <c r="P68" i="32"/>
  <c r="O68" i="32"/>
  <c r="N68" i="32"/>
  <c r="M68" i="32"/>
  <c r="L68" i="32"/>
  <c r="K68" i="32"/>
  <c r="J68" i="32"/>
  <c r="I68" i="32"/>
  <c r="S66" i="32"/>
  <c r="R66" i="32"/>
  <c r="Q66" i="32"/>
  <c r="P66" i="32"/>
  <c r="O66" i="32"/>
  <c r="N66" i="32"/>
  <c r="M66" i="32"/>
  <c r="L66" i="32"/>
  <c r="K66" i="32"/>
  <c r="J66" i="32"/>
  <c r="I66" i="32"/>
  <c r="J55" i="32"/>
  <c r="H54" i="32"/>
  <c r="J53" i="32"/>
  <c r="R52" i="32"/>
  <c r="L52" i="32" s="1"/>
  <c r="J52" i="32" s="1"/>
  <c r="J51" i="32"/>
  <c r="S49" i="32"/>
  <c r="R49" i="32"/>
  <c r="Q49" i="32"/>
  <c r="Q54" i="32" s="1"/>
  <c r="P49" i="32"/>
  <c r="P54" i="32" s="1"/>
  <c r="O49" i="32"/>
  <c r="N49" i="32"/>
  <c r="N54" i="32" s="1"/>
  <c r="M49" i="32"/>
  <c r="M54" i="32" s="1"/>
  <c r="L49" i="32"/>
  <c r="K49" i="32"/>
  <c r="J49" i="32"/>
  <c r="I49" i="32"/>
  <c r="J43" i="32"/>
  <c r="H42" i="32"/>
  <c r="J41" i="32"/>
  <c r="J40" i="32"/>
  <c r="W39" i="32"/>
  <c r="J39" i="32"/>
  <c r="J38" i="32"/>
  <c r="J37" i="32"/>
  <c r="J36" i="32"/>
  <c r="J35" i="32"/>
  <c r="S32" i="32"/>
  <c r="R32" i="32"/>
  <c r="Q32" i="32"/>
  <c r="P32" i="32"/>
  <c r="O32" i="32"/>
  <c r="N32" i="32"/>
  <c r="M32" i="32"/>
  <c r="L32" i="32"/>
  <c r="K32" i="32"/>
  <c r="J32" i="32"/>
  <c r="I32" i="32"/>
  <c r="S29" i="32"/>
  <c r="R29" i="32"/>
  <c r="Q29" i="32"/>
  <c r="P29" i="32"/>
  <c r="O29" i="32"/>
  <c r="N29" i="32"/>
  <c r="M29" i="32"/>
  <c r="L29" i="32"/>
  <c r="K29" i="32"/>
  <c r="J29" i="32"/>
  <c r="I29" i="32"/>
  <c r="S26" i="32"/>
  <c r="R26" i="32"/>
  <c r="Q26" i="32"/>
  <c r="P26" i="32"/>
  <c r="O26" i="32"/>
  <c r="N26" i="32"/>
  <c r="M26" i="32"/>
  <c r="L26" i="32"/>
  <c r="K26" i="32"/>
  <c r="J26" i="32"/>
  <c r="I26" i="32"/>
  <c r="S20" i="32"/>
  <c r="R20" i="32"/>
  <c r="Q20" i="32"/>
  <c r="P20" i="32"/>
  <c r="O20" i="32"/>
  <c r="N20" i="32"/>
  <c r="M20" i="32"/>
  <c r="L20" i="32"/>
  <c r="K20" i="32"/>
  <c r="J20" i="32"/>
  <c r="I20" i="32"/>
  <c r="S16" i="32"/>
  <c r="R16" i="32"/>
  <c r="Q16" i="32"/>
  <c r="P16" i="32"/>
  <c r="O16" i="32"/>
  <c r="N16" i="32"/>
  <c r="M16" i="32"/>
  <c r="L16" i="32"/>
  <c r="K16" i="32"/>
  <c r="J16" i="32"/>
  <c r="I16" i="32"/>
  <c r="S9" i="32"/>
  <c r="R9" i="32"/>
  <c r="Q9" i="32"/>
  <c r="P9" i="32"/>
  <c r="O9" i="32"/>
  <c r="N9" i="32"/>
  <c r="M9" i="32"/>
  <c r="L9" i="32"/>
  <c r="K9" i="32"/>
  <c r="J9" i="32"/>
  <c r="I9" i="32"/>
  <c r="H75" i="31"/>
  <c r="S74" i="31"/>
  <c r="R74" i="31"/>
  <c r="Q74" i="31"/>
  <c r="P74" i="31"/>
  <c r="O74" i="31"/>
  <c r="N74" i="31"/>
  <c r="M74" i="31"/>
  <c r="L74" i="31"/>
  <c r="K74" i="31"/>
  <c r="J74" i="31"/>
  <c r="I74" i="31"/>
  <c r="U73" i="31"/>
  <c r="S72" i="31"/>
  <c r="R72" i="31"/>
  <c r="Q72" i="31"/>
  <c r="P72" i="31"/>
  <c r="O72" i="31"/>
  <c r="N72" i="31"/>
  <c r="M72" i="31"/>
  <c r="L72" i="31"/>
  <c r="K72" i="31"/>
  <c r="J72" i="31"/>
  <c r="I72" i="31"/>
  <c r="U71" i="31"/>
  <c r="S70" i="31"/>
  <c r="R70" i="31"/>
  <c r="Q70" i="31"/>
  <c r="P70" i="31"/>
  <c r="O70" i="31"/>
  <c r="N70" i="31"/>
  <c r="M70" i="31"/>
  <c r="L70" i="31"/>
  <c r="K70" i="31"/>
  <c r="U70" i="31" s="1"/>
  <c r="J70" i="31"/>
  <c r="I70" i="31"/>
  <c r="U69" i="31"/>
  <c r="S68" i="31"/>
  <c r="R68" i="31"/>
  <c r="Q68" i="31"/>
  <c r="P68" i="31"/>
  <c r="O68" i="31"/>
  <c r="N68" i="31"/>
  <c r="M68" i="31"/>
  <c r="L68" i="31"/>
  <c r="K68" i="31"/>
  <c r="J68" i="31"/>
  <c r="I68" i="31"/>
  <c r="U67" i="31"/>
  <c r="S66" i="31"/>
  <c r="S75" i="31" s="1"/>
  <c r="R66" i="31"/>
  <c r="R75" i="31" s="1"/>
  <c r="Q66" i="31"/>
  <c r="Q75" i="31" s="1"/>
  <c r="P66" i="31"/>
  <c r="P75" i="31" s="1"/>
  <c r="O66" i="31"/>
  <c r="O75" i="31" s="1"/>
  <c r="N66" i="31"/>
  <c r="N75" i="31" s="1"/>
  <c r="M75" i="31" s="1"/>
  <c r="M66" i="31"/>
  <c r="L66" i="31"/>
  <c r="K66" i="31"/>
  <c r="J66" i="31"/>
  <c r="J75" i="31" s="1"/>
  <c r="I66" i="31"/>
  <c r="U65" i="31"/>
  <c r="U64" i="31"/>
  <c r="U63" i="31"/>
  <c r="U62" i="31"/>
  <c r="U61" i="31"/>
  <c r="U60" i="31"/>
  <c r="J55" i="31"/>
  <c r="H54" i="31"/>
  <c r="N53" i="31"/>
  <c r="J53" i="31"/>
  <c r="I53" i="31"/>
  <c r="R52" i="31"/>
  <c r="L52" i="31" s="1"/>
  <c r="J52" i="31" s="1"/>
  <c r="N51" i="31"/>
  <c r="L51" i="31"/>
  <c r="J51" i="31"/>
  <c r="I51" i="31"/>
  <c r="S49" i="31"/>
  <c r="S54" i="31" s="1"/>
  <c r="R49" i="31"/>
  <c r="Q49" i="31"/>
  <c r="Q54" i="31" s="1"/>
  <c r="P49" i="31"/>
  <c r="P54" i="31" s="1"/>
  <c r="O49" i="31"/>
  <c r="N49" i="31"/>
  <c r="N54" i="31" s="1"/>
  <c r="M49" i="31"/>
  <c r="M54" i="31" s="1"/>
  <c r="L49" i="31"/>
  <c r="K49" i="31"/>
  <c r="K54" i="31" s="1"/>
  <c r="I49" i="31"/>
  <c r="J48" i="31"/>
  <c r="J49" i="31" s="1"/>
  <c r="J43" i="31"/>
  <c r="H42" i="31"/>
  <c r="J41" i="31"/>
  <c r="J40" i="31"/>
  <c r="J39" i="31"/>
  <c r="J38" i="31"/>
  <c r="J37" i="31"/>
  <c r="J36" i="31"/>
  <c r="J35" i="31"/>
  <c r="S32" i="31"/>
  <c r="R32" i="31"/>
  <c r="Q32" i="31"/>
  <c r="P32" i="31"/>
  <c r="O32" i="31"/>
  <c r="N32" i="31"/>
  <c r="M32" i="31"/>
  <c r="L32" i="31"/>
  <c r="K32" i="31"/>
  <c r="J32" i="31"/>
  <c r="I32" i="31"/>
  <c r="U31" i="31"/>
  <c r="U30" i="31"/>
  <c r="S29" i="31"/>
  <c r="R29" i="31"/>
  <c r="Q29" i="31"/>
  <c r="P29" i="31"/>
  <c r="O29" i="31"/>
  <c r="N29" i="31"/>
  <c r="M29" i="31"/>
  <c r="L29" i="31"/>
  <c r="K29" i="31"/>
  <c r="J29" i="31"/>
  <c r="I29" i="31"/>
  <c r="S26" i="31"/>
  <c r="R26" i="31"/>
  <c r="Q26" i="31"/>
  <c r="P26" i="31"/>
  <c r="O26" i="31"/>
  <c r="N26" i="31"/>
  <c r="M26" i="31"/>
  <c r="L26" i="31"/>
  <c r="K26" i="31"/>
  <c r="J26" i="31"/>
  <c r="I26" i="31"/>
  <c r="S20" i="31"/>
  <c r="R20" i="31"/>
  <c r="Q20" i="31"/>
  <c r="P20" i="31"/>
  <c r="O20" i="31"/>
  <c r="N20" i="31"/>
  <c r="M20" i="31"/>
  <c r="L20" i="31"/>
  <c r="K20" i="31"/>
  <c r="J20" i="31"/>
  <c r="I20" i="31"/>
  <c r="S16" i="31"/>
  <c r="R16" i="31"/>
  <c r="Q16" i="31"/>
  <c r="P16" i="31"/>
  <c r="O16" i="31"/>
  <c r="N16" i="31"/>
  <c r="M16" i="31"/>
  <c r="L16" i="31"/>
  <c r="K16" i="31"/>
  <c r="J16" i="31"/>
  <c r="I16" i="31"/>
  <c r="S9" i="31"/>
  <c r="R9" i="31"/>
  <c r="Q9" i="31"/>
  <c r="P9" i="31"/>
  <c r="O9" i="31"/>
  <c r="N9" i="31"/>
  <c r="M9" i="31"/>
  <c r="L9" i="31"/>
  <c r="K9" i="31"/>
  <c r="J9" i="31"/>
  <c r="I9" i="31"/>
  <c r="H72" i="30"/>
  <c r="S71" i="30"/>
  <c r="R71" i="30"/>
  <c r="Q71" i="30"/>
  <c r="P71" i="30"/>
  <c r="O71" i="30"/>
  <c r="N71" i="30"/>
  <c r="M71" i="30"/>
  <c r="L71" i="30"/>
  <c r="K71" i="30"/>
  <c r="J71" i="30"/>
  <c r="I71" i="30"/>
  <c r="U70" i="30"/>
  <c r="S69" i="30"/>
  <c r="R69" i="30"/>
  <c r="Q69" i="30"/>
  <c r="P69" i="30"/>
  <c r="O69" i="30"/>
  <c r="N69" i="30"/>
  <c r="M69" i="30"/>
  <c r="L69" i="30"/>
  <c r="K69" i="30"/>
  <c r="J69" i="30"/>
  <c r="I69" i="30"/>
  <c r="U68" i="30"/>
  <c r="S67" i="30"/>
  <c r="R67" i="30"/>
  <c r="Q67" i="30"/>
  <c r="P67" i="30"/>
  <c r="O67" i="30"/>
  <c r="N67" i="30"/>
  <c r="M67" i="30"/>
  <c r="L67" i="30"/>
  <c r="K67" i="30"/>
  <c r="J67" i="30"/>
  <c r="I67" i="30"/>
  <c r="U66" i="30"/>
  <c r="S65" i="30"/>
  <c r="R65" i="30"/>
  <c r="Q65" i="30"/>
  <c r="P65" i="30"/>
  <c r="O65" i="30"/>
  <c r="N65" i="30"/>
  <c r="M65" i="30"/>
  <c r="L65" i="30"/>
  <c r="K65" i="30"/>
  <c r="J65" i="30"/>
  <c r="I65" i="30"/>
  <c r="U64" i="30"/>
  <c r="S63" i="30"/>
  <c r="S72" i="30" s="1"/>
  <c r="R63" i="30"/>
  <c r="R72" i="30" s="1"/>
  <c r="Q63" i="30"/>
  <c r="Q72" i="30" s="1"/>
  <c r="P63" i="30"/>
  <c r="P72" i="30" s="1"/>
  <c r="O63" i="30"/>
  <c r="O72" i="30" s="1"/>
  <c r="N63" i="30"/>
  <c r="M63" i="30"/>
  <c r="L63" i="30"/>
  <c r="K63" i="30"/>
  <c r="J63" i="30"/>
  <c r="J72" i="30" s="1"/>
  <c r="I63" i="30"/>
  <c r="U62" i="30"/>
  <c r="U61" i="30"/>
  <c r="U60" i="30"/>
  <c r="U59" i="30"/>
  <c r="U58" i="30"/>
  <c r="U57" i="30"/>
  <c r="J52" i="30"/>
  <c r="S51" i="30" s="1"/>
  <c r="H51" i="30"/>
  <c r="J50" i="30"/>
  <c r="S48" i="30"/>
  <c r="R48" i="30"/>
  <c r="Q48" i="30"/>
  <c r="P48" i="30"/>
  <c r="O48" i="30"/>
  <c r="N48" i="30"/>
  <c r="M48" i="30"/>
  <c r="L48" i="30"/>
  <c r="K48" i="30"/>
  <c r="I48" i="30"/>
  <c r="J47" i="30"/>
  <c r="J42" i="30"/>
  <c r="H41" i="30"/>
  <c r="J40" i="30"/>
  <c r="J39" i="30"/>
  <c r="J38" i="30"/>
  <c r="J37" i="30"/>
  <c r="J36" i="30"/>
  <c r="J35" i="30"/>
  <c r="S32" i="30"/>
  <c r="R32" i="30"/>
  <c r="Q32" i="30"/>
  <c r="P32" i="30"/>
  <c r="O32" i="30"/>
  <c r="N32" i="30"/>
  <c r="M32" i="30"/>
  <c r="L32" i="30"/>
  <c r="K32" i="30"/>
  <c r="J32" i="30"/>
  <c r="I32" i="30"/>
  <c r="U31" i="30"/>
  <c r="U30" i="30"/>
  <c r="S29" i="30"/>
  <c r="R29" i="30"/>
  <c r="Q29" i="30"/>
  <c r="P29" i="30"/>
  <c r="O29" i="30"/>
  <c r="N29" i="30"/>
  <c r="M29" i="30"/>
  <c r="L29" i="30"/>
  <c r="K29" i="30"/>
  <c r="J29" i="30"/>
  <c r="I29" i="30"/>
  <c r="S26" i="30"/>
  <c r="R26" i="30"/>
  <c r="Q26" i="30"/>
  <c r="P26" i="30"/>
  <c r="O26" i="30"/>
  <c r="N26" i="30"/>
  <c r="M26" i="30"/>
  <c r="L26" i="30"/>
  <c r="T26" i="30" s="1"/>
  <c r="K26" i="30"/>
  <c r="J26" i="30"/>
  <c r="I26" i="30"/>
  <c r="S20" i="30"/>
  <c r="R20" i="30"/>
  <c r="Q20" i="30"/>
  <c r="P20" i="30"/>
  <c r="O20" i="30"/>
  <c r="N20" i="30"/>
  <c r="M20" i="30"/>
  <c r="L20" i="30"/>
  <c r="K20" i="30"/>
  <c r="J20" i="30"/>
  <c r="I20" i="30"/>
  <c r="S16" i="30"/>
  <c r="R16" i="30"/>
  <c r="Q16" i="30"/>
  <c r="P16" i="30"/>
  <c r="O16" i="30"/>
  <c r="N16" i="30"/>
  <c r="M16" i="30"/>
  <c r="L16" i="30"/>
  <c r="K16" i="30"/>
  <c r="J16" i="30"/>
  <c r="I16" i="30"/>
  <c r="S9" i="30"/>
  <c r="R9" i="30"/>
  <c r="Q9" i="30"/>
  <c r="Q41" i="30" s="1"/>
  <c r="P9" i="30"/>
  <c r="O9" i="30"/>
  <c r="N9" i="30"/>
  <c r="M9" i="30"/>
  <c r="M41" i="30" s="1"/>
  <c r="L9" i="30"/>
  <c r="K9" i="30"/>
  <c r="J9" i="30"/>
  <c r="I9" i="30"/>
  <c r="I41" i="30" s="1"/>
  <c r="H72" i="37"/>
  <c r="S71" i="37"/>
  <c r="R71" i="37"/>
  <c r="Q71" i="37"/>
  <c r="P71" i="37"/>
  <c r="O71" i="37"/>
  <c r="N71" i="37"/>
  <c r="M71" i="37"/>
  <c r="L71" i="37"/>
  <c r="K71" i="37"/>
  <c r="J71" i="37"/>
  <c r="I71" i="37"/>
  <c r="U70" i="37"/>
  <c r="S69" i="37"/>
  <c r="R69" i="37"/>
  <c r="Q69" i="37"/>
  <c r="P69" i="37"/>
  <c r="O69" i="37"/>
  <c r="N69" i="37"/>
  <c r="M69" i="37"/>
  <c r="L69" i="37"/>
  <c r="K69" i="37"/>
  <c r="J69" i="37"/>
  <c r="I69" i="37"/>
  <c r="U68" i="37"/>
  <c r="S67" i="37"/>
  <c r="R67" i="37"/>
  <c r="Q67" i="37"/>
  <c r="P67" i="37"/>
  <c r="O67" i="37"/>
  <c r="N67" i="37"/>
  <c r="M67" i="37"/>
  <c r="L67" i="37"/>
  <c r="K67" i="37"/>
  <c r="J67" i="37"/>
  <c r="I67" i="37"/>
  <c r="U66" i="37"/>
  <c r="S65" i="37"/>
  <c r="R65" i="37"/>
  <c r="Q65" i="37"/>
  <c r="P65" i="37"/>
  <c r="O65" i="37"/>
  <c r="N65" i="37"/>
  <c r="M65" i="37"/>
  <c r="L65" i="37"/>
  <c r="K65" i="37"/>
  <c r="J65" i="37"/>
  <c r="I65" i="37"/>
  <c r="U64" i="37"/>
  <c r="S63" i="37"/>
  <c r="S72" i="37" s="1"/>
  <c r="R63" i="37"/>
  <c r="R72" i="37" s="1"/>
  <c r="Q63" i="37"/>
  <c r="Q72" i="37" s="1"/>
  <c r="P63" i="37"/>
  <c r="P72" i="37" s="1"/>
  <c r="O63" i="37"/>
  <c r="O72" i="37" s="1"/>
  <c r="N63" i="37"/>
  <c r="M63" i="37"/>
  <c r="L63" i="37"/>
  <c r="K63" i="37"/>
  <c r="J63" i="37"/>
  <c r="I63" i="37"/>
  <c r="U62" i="37"/>
  <c r="U61" i="37"/>
  <c r="U60" i="37"/>
  <c r="U59" i="37"/>
  <c r="U58" i="37"/>
  <c r="U57" i="37"/>
  <c r="J52" i="37"/>
  <c r="S51" i="37" s="1"/>
  <c r="N51" i="37"/>
  <c r="H51" i="37"/>
  <c r="L50" i="37"/>
  <c r="J50" i="37" s="1"/>
  <c r="R49" i="37" s="1"/>
  <c r="L49" i="37" s="1"/>
  <c r="S48" i="37"/>
  <c r="R48" i="37"/>
  <c r="Q48" i="37"/>
  <c r="Q51" i="37" s="1"/>
  <c r="P48" i="37"/>
  <c r="P51" i="37" s="1"/>
  <c r="O51" i="37" s="1"/>
  <c r="O48" i="37"/>
  <c r="N48" i="37"/>
  <c r="M48" i="37"/>
  <c r="M51" i="37" s="1"/>
  <c r="L48" i="37"/>
  <c r="L51" i="37" s="1"/>
  <c r="K48" i="37"/>
  <c r="K51" i="37" s="1"/>
  <c r="I48" i="37"/>
  <c r="I51" i="37" s="1"/>
  <c r="J47" i="37"/>
  <c r="J42" i="37"/>
  <c r="H41" i="37"/>
  <c r="J40" i="37"/>
  <c r="J39" i="37"/>
  <c r="J38" i="37"/>
  <c r="J37" i="37"/>
  <c r="J36" i="37"/>
  <c r="J35" i="37"/>
  <c r="S32" i="37"/>
  <c r="R32" i="37"/>
  <c r="Q32" i="37"/>
  <c r="P32" i="37"/>
  <c r="O32" i="37"/>
  <c r="N32" i="37"/>
  <c r="M32" i="37"/>
  <c r="L32" i="37"/>
  <c r="K32" i="37"/>
  <c r="J32" i="37"/>
  <c r="I32" i="37"/>
  <c r="U31" i="37"/>
  <c r="U30" i="37"/>
  <c r="S29" i="37"/>
  <c r="R29" i="37"/>
  <c r="Q29" i="37"/>
  <c r="P29" i="37"/>
  <c r="O29" i="37"/>
  <c r="N29" i="37"/>
  <c r="M29" i="37"/>
  <c r="L29" i="37"/>
  <c r="K29" i="37"/>
  <c r="J29" i="37"/>
  <c r="I29" i="37"/>
  <c r="S26" i="37"/>
  <c r="R26" i="37"/>
  <c r="Q26" i="37"/>
  <c r="P26" i="37"/>
  <c r="O26" i="37"/>
  <c r="N26" i="37"/>
  <c r="M26" i="37"/>
  <c r="L26" i="37"/>
  <c r="K26" i="37"/>
  <c r="J26" i="37"/>
  <c r="I26" i="37"/>
  <c r="S20" i="37"/>
  <c r="R20" i="37"/>
  <c r="Q20" i="37"/>
  <c r="P20" i="37"/>
  <c r="O20" i="37"/>
  <c r="N20" i="37"/>
  <c r="M20" i="37"/>
  <c r="L20" i="37"/>
  <c r="K20" i="37"/>
  <c r="J20" i="37"/>
  <c r="T20" i="37" s="1"/>
  <c r="I20" i="37"/>
  <c r="S16" i="37"/>
  <c r="R16" i="37"/>
  <c r="Q16" i="37"/>
  <c r="P16" i="37"/>
  <c r="O16" i="37"/>
  <c r="N16" i="37"/>
  <c r="M16" i="37"/>
  <c r="L16" i="37"/>
  <c r="K16" i="37"/>
  <c r="J16" i="37"/>
  <c r="I16" i="37"/>
  <c r="S9" i="37"/>
  <c r="R9" i="37"/>
  <c r="Q9" i="37"/>
  <c r="P9" i="37"/>
  <c r="P41" i="37" s="1"/>
  <c r="O9" i="37"/>
  <c r="N9" i="37"/>
  <c r="M9" i="37"/>
  <c r="L9" i="37"/>
  <c r="L41" i="37" s="1"/>
  <c r="K9" i="37"/>
  <c r="J9" i="37"/>
  <c r="I9" i="37"/>
  <c r="I42" i="31" l="1"/>
  <c r="M42" i="31"/>
  <c r="Q42" i="31"/>
  <c r="T16" i="31"/>
  <c r="T49" i="31"/>
  <c r="I43" i="38"/>
  <c r="M43" i="38"/>
  <c r="Q43" i="38"/>
  <c r="T16" i="38"/>
  <c r="T32" i="38"/>
  <c r="Q76" i="38"/>
  <c r="T69" i="38"/>
  <c r="N42" i="31"/>
  <c r="O54" i="31"/>
  <c r="K42" i="31"/>
  <c r="O42" i="31"/>
  <c r="O44" i="31" s="1"/>
  <c r="N44" i="31" s="1"/>
  <c r="M44" i="31" s="1"/>
  <c r="L44" i="31" s="1"/>
  <c r="K44" i="31" s="1"/>
  <c r="J44" i="31" s="1"/>
  <c r="I44" i="31" s="1"/>
  <c r="S42" i="31"/>
  <c r="T26" i="31"/>
  <c r="I54" i="31"/>
  <c r="J42" i="31"/>
  <c r="R42" i="31"/>
  <c r="T29" i="31"/>
  <c r="U66" i="31"/>
  <c r="L42" i="31"/>
  <c r="P42" i="31"/>
  <c r="T20" i="31"/>
  <c r="U32" i="31"/>
  <c r="L75" i="31"/>
  <c r="K75" i="31" s="1"/>
  <c r="U74" i="31"/>
  <c r="J41" i="30"/>
  <c r="J43" i="30" s="1"/>
  <c r="I43" i="30" s="1"/>
  <c r="R41" i="30"/>
  <c r="K41" i="30"/>
  <c r="O41" i="30"/>
  <c r="O43" i="30" s="1"/>
  <c r="N43" i="30" s="1"/>
  <c r="M43" i="30" s="1"/>
  <c r="L43" i="30" s="1"/>
  <c r="K43" i="30" s="1"/>
  <c r="S41" i="30"/>
  <c r="T16" i="30"/>
  <c r="U32" i="30"/>
  <c r="N72" i="30"/>
  <c r="M72" i="30" s="1"/>
  <c r="L72" i="30" s="1"/>
  <c r="K72" i="30" s="1"/>
  <c r="U65" i="30"/>
  <c r="N41" i="30"/>
  <c r="T20" i="30"/>
  <c r="U67" i="30"/>
  <c r="U71" i="30"/>
  <c r="L41" i="30"/>
  <c r="P41" i="30"/>
  <c r="T29" i="30"/>
  <c r="L51" i="30"/>
  <c r="K51" i="30" s="1"/>
  <c r="R49" i="30"/>
  <c r="L49" i="30" s="1"/>
  <c r="U63" i="30"/>
  <c r="I41" i="37"/>
  <c r="Q41" i="37"/>
  <c r="U32" i="37"/>
  <c r="U65" i="37"/>
  <c r="U67" i="37"/>
  <c r="U71" i="37"/>
  <c r="T9" i="37"/>
  <c r="N41" i="37"/>
  <c r="R41" i="37"/>
  <c r="T29" i="37"/>
  <c r="R51" i="37"/>
  <c r="N72" i="37"/>
  <c r="M72" i="37" s="1"/>
  <c r="L72" i="37" s="1"/>
  <c r="K72" i="37" s="1"/>
  <c r="J72" i="37" s="1"/>
  <c r="M41" i="37"/>
  <c r="T16" i="37"/>
  <c r="U63" i="37"/>
  <c r="K41" i="37"/>
  <c r="O41" i="37"/>
  <c r="S41" i="37"/>
  <c r="T26" i="37"/>
  <c r="U69" i="37"/>
  <c r="T66" i="32"/>
  <c r="R75" i="32"/>
  <c r="T74" i="32"/>
  <c r="L42" i="32"/>
  <c r="P42" i="32"/>
  <c r="T20" i="32"/>
  <c r="O54" i="32"/>
  <c r="O56" i="32" s="1"/>
  <c r="N56" i="32" s="1"/>
  <c r="M56" i="32" s="1"/>
  <c r="I42" i="32"/>
  <c r="I44" i="32" s="1"/>
  <c r="M42" i="32"/>
  <c r="Q42" i="32"/>
  <c r="T16" i="32"/>
  <c r="T32" i="32"/>
  <c r="O75" i="32"/>
  <c r="N75" i="32" s="1"/>
  <c r="M75" i="32" s="1"/>
  <c r="S75" i="32"/>
  <c r="T72" i="32"/>
  <c r="T9" i="32"/>
  <c r="N42" i="32"/>
  <c r="R42" i="32"/>
  <c r="T29" i="32"/>
  <c r="J54" i="32"/>
  <c r="L75" i="32"/>
  <c r="K75" i="32" s="1"/>
  <c r="J75" i="32" s="1"/>
  <c r="I75" i="32" s="1"/>
  <c r="P75" i="32"/>
  <c r="T70" i="32"/>
  <c r="K42" i="32"/>
  <c r="O42" i="32"/>
  <c r="O44" i="32" s="1"/>
  <c r="N44" i="32" s="1"/>
  <c r="M44" i="32" s="1"/>
  <c r="L44" i="32" s="1"/>
  <c r="K44" i="32" s="1"/>
  <c r="S42" i="32"/>
  <c r="T26" i="32"/>
  <c r="T49" i="32"/>
  <c r="Q75" i="32"/>
  <c r="T68" i="32"/>
  <c r="Q42" i="33"/>
  <c r="T20" i="33"/>
  <c r="M54" i="33"/>
  <c r="T66" i="33"/>
  <c r="J42" i="33"/>
  <c r="N42" i="33"/>
  <c r="R42" i="33"/>
  <c r="T16" i="33"/>
  <c r="T32" i="33"/>
  <c r="O75" i="33"/>
  <c r="N75" i="33" s="1"/>
  <c r="M75" i="33" s="1"/>
  <c r="L75" i="33" s="1"/>
  <c r="K75" i="33" s="1"/>
  <c r="J75" i="33" s="1"/>
  <c r="S75" i="33"/>
  <c r="T72" i="33"/>
  <c r="M42" i="33"/>
  <c r="T49" i="33"/>
  <c r="R75" i="33"/>
  <c r="T74" i="33"/>
  <c r="T9" i="33"/>
  <c r="O42" i="33"/>
  <c r="O44" i="33" s="1"/>
  <c r="N44" i="33" s="1"/>
  <c r="M44" i="33" s="1"/>
  <c r="L44" i="33" s="1"/>
  <c r="K44" i="33" s="1"/>
  <c r="J44" i="33" s="1"/>
  <c r="S42" i="33"/>
  <c r="T29" i="33"/>
  <c r="P75" i="33"/>
  <c r="T70" i="33"/>
  <c r="T9" i="38"/>
  <c r="R43" i="38"/>
  <c r="T29" i="38"/>
  <c r="T50" i="38"/>
  <c r="T67" i="38"/>
  <c r="R76" i="38"/>
  <c r="T75" i="38"/>
  <c r="K43" i="38"/>
  <c r="O43" i="38"/>
  <c r="S43" i="38"/>
  <c r="T26" i="38"/>
  <c r="T54" i="38"/>
  <c r="O76" i="38"/>
  <c r="N76" i="38" s="1"/>
  <c r="M76" i="38" s="1"/>
  <c r="L76" i="38" s="1"/>
  <c r="K76" i="38" s="1"/>
  <c r="J76" i="38" s="1"/>
  <c r="T76" i="38" s="1"/>
  <c r="S76" i="38"/>
  <c r="T73" i="38"/>
  <c r="N43" i="38"/>
  <c r="L43" i="38"/>
  <c r="P43" i="38"/>
  <c r="T20" i="38"/>
  <c r="L55" i="38"/>
  <c r="K55" i="38" s="1"/>
  <c r="R51" i="38"/>
  <c r="L51" i="38" s="1"/>
  <c r="P76" i="38"/>
  <c r="T71" i="38"/>
  <c r="I46" i="39"/>
  <c r="M46" i="39"/>
  <c r="Q46" i="39"/>
  <c r="T18" i="39"/>
  <c r="T34" i="39"/>
  <c r="T57" i="39"/>
  <c r="O79" i="39"/>
  <c r="N79" i="39" s="1"/>
  <c r="M79" i="39" s="1"/>
  <c r="L79" i="39" s="1"/>
  <c r="K79" i="39" s="1"/>
  <c r="J79" i="39" s="1"/>
  <c r="S79" i="39"/>
  <c r="T76" i="39"/>
  <c r="J46" i="39"/>
  <c r="N46" i="39"/>
  <c r="R46" i="39"/>
  <c r="T31" i="39"/>
  <c r="P79" i="39"/>
  <c r="T79" i="39" s="1"/>
  <c r="T74" i="39"/>
  <c r="K46" i="39"/>
  <c r="O46" i="39"/>
  <c r="O48" i="39" s="1"/>
  <c r="N48" i="39" s="1"/>
  <c r="M48" i="39" s="1"/>
  <c r="L48" i="39" s="1"/>
  <c r="S46" i="39"/>
  <c r="T28" i="39"/>
  <c r="J58" i="39"/>
  <c r="I58" i="39" s="1"/>
  <c r="Q79" i="39"/>
  <c r="T72" i="39"/>
  <c r="L48" i="48"/>
  <c r="K48" i="48" s="1"/>
  <c r="J48" i="48" s="1"/>
  <c r="I48" i="48" s="1"/>
  <c r="I75" i="31"/>
  <c r="U75" i="31"/>
  <c r="I79" i="39"/>
  <c r="I72" i="30"/>
  <c r="U72" i="30"/>
  <c r="I75" i="33"/>
  <c r="I76" i="38"/>
  <c r="I72" i="37"/>
  <c r="U72" i="37"/>
  <c r="K42" i="33"/>
  <c r="J54" i="33"/>
  <c r="I54" i="33" s="1"/>
  <c r="O45" i="38"/>
  <c r="J55" i="38"/>
  <c r="I55" i="38" s="1"/>
  <c r="T53" i="39"/>
  <c r="O43" i="37"/>
  <c r="N43" i="37" s="1"/>
  <c r="M43" i="37" s="1"/>
  <c r="L43" i="37" s="1"/>
  <c r="K43" i="37" s="1"/>
  <c r="O53" i="37"/>
  <c r="N53" i="37" s="1"/>
  <c r="M53" i="37" s="1"/>
  <c r="L53" i="37" s="1"/>
  <c r="K53" i="37" s="1"/>
  <c r="T9" i="30"/>
  <c r="R51" i="30"/>
  <c r="Q51" i="30" s="1"/>
  <c r="P51" i="30" s="1"/>
  <c r="O51" i="30" s="1"/>
  <c r="N51" i="30" s="1"/>
  <c r="M51" i="30" s="1"/>
  <c r="J54" i="31"/>
  <c r="U68" i="31"/>
  <c r="T53" i="32"/>
  <c r="J43" i="38"/>
  <c r="J41" i="37"/>
  <c r="J48" i="30"/>
  <c r="T48" i="30" s="1"/>
  <c r="U72" i="31"/>
  <c r="J42" i="32"/>
  <c r="R50" i="32"/>
  <c r="I54" i="32"/>
  <c r="S54" i="32"/>
  <c r="I42" i="33"/>
  <c r="I44" i="33" s="1"/>
  <c r="T10" i="39"/>
  <c r="R54" i="39"/>
  <c r="L54" i="39" s="1"/>
  <c r="S58" i="39"/>
  <c r="J48" i="37"/>
  <c r="T48" i="37" s="1"/>
  <c r="J51" i="30"/>
  <c r="I51" i="30" s="1"/>
  <c r="U69" i="30"/>
  <c r="T9" i="31"/>
  <c r="R50" i="31"/>
  <c r="L50" i="31" s="1"/>
  <c r="L54" i="31" s="1"/>
  <c r="O56" i="31"/>
  <c r="N56" i="31" s="1"/>
  <c r="M56" i="31" s="1"/>
  <c r="R50" i="33"/>
  <c r="L50" i="33" s="1"/>
  <c r="L54" i="33" s="1"/>
  <c r="K54" i="33" s="1"/>
  <c r="S54" i="33"/>
  <c r="S55" i="38"/>
  <c r="A124" i="53"/>
  <c r="A123" i="53"/>
  <c r="A122" i="53"/>
  <c r="A121" i="53"/>
  <c r="A120" i="53"/>
  <c r="A119" i="53"/>
  <c r="A118" i="53"/>
  <c r="A117" i="53"/>
  <c r="A116" i="53"/>
  <c r="A115" i="53"/>
  <c r="R55" i="38" l="1"/>
  <c r="Q55" i="38" s="1"/>
  <c r="P55" i="38" s="1"/>
  <c r="O55" i="38" s="1"/>
  <c r="O53" i="30"/>
  <c r="N53" i="30" s="1"/>
  <c r="M53" i="30" s="1"/>
  <c r="L53" i="30" s="1"/>
  <c r="K53" i="30" s="1"/>
  <c r="J53" i="30" s="1"/>
  <c r="I53" i="30" s="1"/>
  <c r="T75" i="32"/>
  <c r="T75" i="33"/>
  <c r="N45" i="38"/>
  <c r="M45" i="38" s="1"/>
  <c r="L45" i="38" s="1"/>
  <c r="K45" i="38" s="1"/>
  <c r="K48" i="39"/>
  <c r="J48" i="39" s="1"/>
  <c r="I48" i="39" s="1"/>
  <c r="J43" i="37"/>
  <c r="I43" i="37" s="1"/>
  <c r="J45" i="38"/>
  <c r="I45" i="38" s="1"/>
  <c r="R54" i="33"/>
  <c r="Q54" i="33" s="1"/>
  <c r="P54" i="33" s="1"/>
  <c r="O54" i="33" s="1"/>
  <c r="O56" i="33" s="1"/>
  <c r="N56" i="33" s="1"/>
  <c r="M56" i="33" s="1"/>
  <c r="L56" i="33" s="1"/>
  <c r="K56" i="33" s="1"/>
  <c r="J56" i="33" s="1"/>
  <c r="I56" i="33" s="1"/>
  <c r="L50" i="32"/>
  <c r="L54" i="32" s="1"/>
  <c r="K54" i="32" s="1"/>
  <c r="R54" i="32"/>
  <c r="J44" i="32"/>
  <c r="J51" i="37"/>
  <c r="J53" i="37" s="1"/>
  <c r="I53" i="37" s="1"/>
  <c r="L56" i="31"/>
  <c r="K56" i="31" s="1"/>
  <c r="J56" i="31" s="1"/>
  <c r="I56" i="31" s="1"/>
  <c r="R58" i="39"/>
  <c r="Q58" i="39" s="1"/>
  <c r="P58" i="39" s="1"/>
  <c r="O58" i="39" s="1"/>
  <c r="R54" i="31"/>
  <c r="D114" i="53"/>
  <c r="A114" i="53"/>
  <c r="A113" i="53"/>
  <c r="A112" i="53"/>
  <c r="A111" i="53"/>
  <c r="A110" i="53"/>
  <c r="A109" i="53"/>
  <c r="A108" i="53"/>
  <c r="A107" i="53"/>
  <c r="D106" i="53"/>
  <c r="A106" i="53"/>
  <c r="D105" i="53"/>
  <c r="A105" i="53"/>
  <c r="D104" i="53"/>
  <c r="A104" i="53"/>
  <c r="A103" i="53"/>
  <c r="A102" i="53"/>
  <c r="A101" i="53"/>
  <c r="A100" i="53"/>
  <c r="A99" i="53"/>
  <c r="A98" i="53"/>
  <c r="A97" i="53"/>
  <c r="D96" i="53"/>
  <c r="A96" i="53"/>
  <c r="D95" i="53"/>
  <c r="A95" i="53"/>
  <c r="D94" i="53"/>
  <c r="A94" i="53"/>
  <c r="A93" i="53"/>
  <c r="A92" i="53"/>
  <c r="A91" i="53"/>
  <c r="A90" i="53"/>
  <c r="A89" i="53"/>
  <c r="A88" i="53"/>
  <c r="A87" i="53"/>
  <c r="D86" i="53"/>
  <c r="A86" i="53"/>
  <c r="D85" i="53"/>
  <c r="A85" i="53"/>
  <c r="D84" i="53"/>
  <c r="A84" i="53"/>
  <c r="A83" i="53"/>
  <c r="A82" i="53"/>
  <c r="A81" i="53"/>
  <c r="A80" i="53"/>
  <c r="A79" i="53"/>
  <c r="A78" i="53"/>
  <c r="A77" i="53"/>
  <c r="D76" i="53"/>
  <c r="A76" i="53"/>
  <c r="D75" i="53"/>
  <c r="A75" i="53"/>
  <c r="D74" i="53"/>
  <c r="A74" i="53"/>
  <c r="A73" i="53"/>
  <c r="A72" i="53"/>
  <c r="A71" i="53"/>
  <c r="A70" i="53"/>
  <c r="A69" i="53"/>
  <c r="A68" i="53"/>
  <c r="A67" i="53"/>
  <c r="D66" i="53"/>
  <c r="A66" i="53"/>
  <c r="D65" i="53"/>
  <c r="A65" i="53"/>
  <c r="D64" i="53"/>
  <c r="A64" i="53"/>
  <c r="A63" i="53"/>
  <c r="A62" i="53"/>
  <c r="A61" i="53"/>
  <c r="A60" i="53"/>
  <c r="A59" i="53"/>
  <c r="A58" i="53"/>
  <c r="A57" i="53"/>
  <c r="D56" i="53"/>
  <c r="A56" i="53"/>
  <c r="D55" i="53"/>
  <c r="A55" i="53"/>
  <c r="D54" i="53"/>
  <c r="A54" i="53"/>
  <c r="A53" i="53"/>
  <c r="A52" i="53"/>
  <c r="A51" i="53"/>
  <c r="A50" i="53"/>
  <c r="A49" i="53"/>
  <c r="A48" i="53"/>
  <c r="A47" i="53"/>
  <c r="D46" i="53"/>
  <c r="A46" i="53"/>
  <c r="D45" i="53"/>
  <c r="A45" i="53"/>
  <c r="D44" i="53"/>
  <c r="A44" i="53"/>
  <c r="A43" i="53"/>
  <c r="A42" i="53"/>
  <c r="A41" i="53"/>
  <c r="A40" i="53"/>
  <c r="A39" i="53"/>
  <c r="A38" i="53"/>
  <c r="A37" i="53"/>
  <c r="D36" i="53"/>
  <c r="A36" i="53"/>
  <c r="D35" i="53"/>
  <c r="A35" i="53"/>
  <c r="D34" i="53"/>
  <c r="A34" i="53"/>
  <c r="A33" i="53"/>
  <c r="A32" i="53"/>
  <c r="A31" i="53"/>
  <c r="A30" i="53"/>
  <c r="A29" i="53"/>
  <c r="A28" i="53"/>
  <c r="A27" i="53"/>
  <c r="D26" i="53"/>
  <c r="A26" i="53"/>
  <c r="D25" i="53"/>
  <c r="A25" i="53"/>
  <c r="D24" i="53"/>
  <c r="A24" i="53"/>
  <c r="A23" i="53"/>
  <c r="A22" i="53"/>
  <c r="A21" i="53"/>
  <c r="A20" i="53"/>
  <c r="A19" i="53"/>
  <c r="A18" i="53"/>
  <c r="A17" i="53"/>
  <c r="D16" i="53"/>
  <c r="A16" i="53"/>
  <c r="D15" i="53"/>
  <c r="A15" i="53"/>
  <c r="D14" i="53"/>
  <c r="A14" i="53"/>
  <c r="A13" i="53"/>
  <c r="A12" i="53"/>
  <c r="A11" i="53"/>
  <c r="A10" i="53"/>
  <c r="A9" i="53"/>
  <c r="A8" i="53"/>
  <c r="A7" i="53"/>
  <c r="D6" i="53"/>
  <c r="A6" i="53"/>
  <c r="D5" i="53"/>
  <c r="A5" i="53"/>
  <c r="J44" i="24"/>
  <c r="J42" i="24"/>
  <c r="J40" i="24"/>
  <c r="J38" i="24"/>
  <c r="J36" i="24"/>
  <c r="J34" i="24"/>
  <c r="J32" i="24"/>
  <c r="J30" i="24"/>
  <c r="J28" i="24"/>
  <c r="J26" i="24"/>
  <c r="J24" i="24"/>
  <c r="J22" i="24"/>
  <c r="J20" i="24"/>
  <c r="J18" i="24"/>
  <c r="J16" i="24"/>
  <c r="J14" i="24"/>
  <c r="J12" i="24"/>
  <c r="J10" i="24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B2" i="26"/>
  <c r="B137" i="29"/>
  <c r="B136" i="29"/>
  <c r="B135" i="29"/>
  <c r="H134" i="29"/>
  <c r="B134" i="29"/>
  <c r="B133" i="29"/>
  <c r="B132" i="29"/>
  <c r="B131" i="29"/>
  <c r="B130" i="29"/>
  <c r="B129" i="29"/>
  <c r="B128" i="29"/>
  <c r="B127" i="29"/>
  <c r="B126" i="29"/>
  <c r="B125" i="29"/>
  <c r="B124" i="29"/>
  <c r="J123" i="29"/>
  <c r="H123" i="29"/>
  <c r="B123" i="29"/>
  <c r="B122" i="29"/>
  <c r="B121" i="29"/>
  <c r="B120" i="29"/>
  <c r="B119" i="29"/>
  <c r="B118" i="29"/>
  <c r="B117" i="29"/>
  <c r="B116" i="29"/>
  <c r="B115" i="29"/>
  <c r="B114" i="29"/>
  <c r="B113" i="29"/>
  <c r="J112" i="29"/>
  <c r="H112" i="29"/>
  <c r="B112" i="29"/>
  <c r="B111" i="29"/>
  <c r="B110" i="29"/>
  <c r="B109" i="29"/>
  <c r="B108" i="29"/>
  <c r="B107" i="29"/>
  <c r="B106" i="29"/>
  <c r="B105" i="29"/>
  <c r="B104" i="29"/>
  <c r="B103" i="29"/>
  <c r="B102" i="29"/>
  <c r="J101" i="29"/>
  <c r="H101" i="29"/>
  <c r="B101" i="29"/>
  <c r="B100" i="29"/>
  <c r="B99" i="29"/>
  <c r="B98" i="29"/>
  <c r="B97" i="29"/>
  <c r="B96" i="29"/>
  <c r="B95" i="29"/>
  <c r="B94" i="29"/>
  <c r="B93" i="29"/>
  <c r="B92" i="29"/>
  <c r="B91" i="29"/>
  <c r="J90" i="29"/>
  <c r="N55" i="38" l="1"/>
  <c r="M55" i="38" s="1"/>
  <c r="O57" i="38"/>
  <c r="N58" i="39"/>
  <c r="M58" i="39" s="1"/>
  <c r="L58" i="39" s="1"/>
  <c r="K58" i="39" s="1"/>
  <c r="O60" i="39"/>
  <c r="L56" i="32"/>
  <c r="K56" i="32" s="1"/>
  <c r="J56" i="32" s="1"/>
  <c r="I56" i="32" s="1"/>
  <c r="H90" i="29"/>
  <c r="B90" i="29"/>
  <c r="K89" i="29"/>
  <c r="B89" i="29"/>
  <c r="B88" i="29"/>
  <c r="B87" i="29"/>
  <c r="B86" i="29"/>
  <c r="K85" i="29"/>
  <c r="B85" i="29"/>
  <c r="B84" i="29"/>
  <c r="B83" i="29"/>
  <c r="B82" i="29"/>
  <c r="B81" i="29"/>
  <c r="B80" i="29"/>
  <c r="J79" i="29"/>
  <c r="H79" i="29"/>
  <c r="B79" i="29"/>
  <c r="B78" i="29"/>
  <c r="B77" i="29"/>
  <c r="B76" i="29"/>
  <c r="B75" i="29"/>
  <c r="B74" i="29"/>
  <c r="B73" i="29"/>
  <c r="B72" i="29"/>
  <c r="B71" i="29"/>
  <c r="B70" i="29"/>
  <c r="B69" i="29"/>
  <c r="J68" i="29"/>
  <c r="H68" i="29"/>
  <c r="B68" i="29"/>
  <c r="B67" i="29"/>
  <c r="B66" i="29"/>
  <c r="B65" i="29"/>
  <c r="B64" i="29"/>
  <c r="B63" i="29"/>
  <c r="B62" i="29"/>
  <c r="B61" i="29"/>
  <c r="B60" i="29"/>
  <c r="B59" i="29"/>
  <c r="B58" i="29"/>
  <c r="J57" i="29"/>
  <c r="H57" i="29"/>
  <c r="B57" i="29"/>
  <c r="B56" i="29"/>
  <c r="B55" i="29"/>
  <c r="B54" i="29"/>
  <c r="B53" i="29"/>
  <c r="B52" i="29"/>
  <c r="B51" i="29"/>
  <c r="B50" i="29"/>
  <c r="B49" i="29"/>
  <c r="B48" i="29"/>
  <c r="B47" i="29"/>
  <c r="J46" i="29"/>
  <c r="H46" i="29"/>
  <c r="B46" i="29"/>
  <c r="B45" i="29"/>
  <c r="B44" i="29"/>
  <c r="B43" i="29"/>
  <c r="B42" i="29"/>
  <c r="J41" i="29"/>
  <c r="B41" i="29"/>
  <c r="B40" i="29"/>
  <c r="B39" i="29"/>
  <c r="B38" i="29"/>
  <c r="B37" i="29"/>
  <c r="B36" i="29"/>
  <c r="J35" i="29"/>
  <c r="H35" i="29"/>
  <c r="B35" i="29"/>
  <c r="B34" i="29"/>
  <c r="B33" i="29"/>
  <c r="B32" i="29"/>
  <c r="B31" i="29"/>
  <c r="B30" i="29"/>
  <c r="B29" i="29"/>
  <c r="B28" i="29"/>
  <c r="B27" i="29"/>
  <c r="B26" i="29"/>
  <c r="B25" i="29"/>
  <c r="J24" i="29"/>
  <c r="H24" i="29"/>
  <c r="B24" i="29"/>
  <c r="B23" i="29"/>
  <c r="B22" i="29"/>
  <c r="B21" i="29"/>
  <c r="B20" i="29"/>
  <c r="B19" i="29"/>
  <c r="B18" i="29"/>
  <c r="B17" i="29"/>
  <c r="B16" i="29"/>
  <c r="B15" i="29"/>
  <c r="B14" i="29"/>
  <c r="J13" i="29"/>
  <c r="H13" i="29"/>
  <c r="B13" i="29"/>
  <c r="B12" i="29"/>
  <c r="B11" i="29"/>
  <c r="B10" i="29"/>
  <c r="B9" i="29"/>
  <c r="B8" i="29"/>
  <c r="B7" i="29"/>
  <c r="N57" i="38" l="1"/>
  <c r="M57" i="38" s="1"/>
  <c r="L57" i="38" s="1"/>
  <c r="K57" i="38" s="1"/>
  <c r="J57" i="38" s="1"/>
  <c r="I57" i="38" s="1"/>
  <c r="N60" i="39"/>
  <c r="M60" i="39" s="1"/>
  <c r="L60" i="39" s="1"/>
  <c r="K60" i="39" s="1"/>
  <c r="J60" i="39" s="1"/>
  <c r="I60" i="39" s="1"/>
  <c r="A7" i="29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H6" i="29"/>
  <c r="B6" i="29"/>
  <c r="B3" i="29"/>
  <c r="A22" i="29" l="1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C234" i="20"/>
  <c r="C233" i="20"/>
  <c r="C232" i="20"/>
  <c r="C231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7" i="20"/>
  <c r="C216" i="20"/>
  <c r="C215" i="20"/>
  <c r="C214" i="20"/>
  <c r="C213" i="20"/>
  <c r="C212" i="20"/>
  <c r="C211" i="20"/>
  <c r="C210" i="20"/>
  <c r="C209" i="20"/>
  <c r="C208" i="20"/>
  <c r="C207" i="20"/>
  <c r="C206" i="20"/>
  <c r="C205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2" i="20"/>
  <c r="C171" i="20"/>
  <c r="C170" i="20"/>
  <c r="C169" i="20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38" i="20"/>
  <c r="C137" i="20"/>
  <c r="C136" i="20"/>
  <c r="C135" i="20"/>
  <c r="C134" i="20"/>
  <c r="C133" i="20"/>
  <c r="C132" i="20"/>
  <c r="C131" i="20"/>
  <c r="C130" i="20"/>
  <c r="C12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C116" i="20"/>
  <c r="C115" i="20"/>
  <c r="C114" i="20"/>
  <c r="C113" i="20"/>
  <c r="C112" i="20"/>
  <c r="C111" i="20"/>
  <c r="C110" i="20"/>
  <c r="C109" i="20"/>
  <c r="C108" i="20"/>
  <c r="C107" i="20"/>
  <c r="C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A23" i="29" l="1"/>
  <c r="V353" i="19"/>
  <c r="L353" i="19"/>
  <c r="C353" i="19"/>
  <c r="D353" i="19" s="1"/>
  <c r="V352" i="19"/>
  <c r="L352" i="19"/>
  <c r="C352" i="19"/>
  <c r="V351" i="19"/>
  <c r="L351" i="19"/>
  <c r="C351" i="19"/>
  <c r="D351" i="19" s="1"/>
  <c r="V350" i="19"/>
  <c r="L350" i="19"/>
  <c r="C350" i="19"/>
  <c r="D350" i="19" s="1"/>
  <c r="V349" i="19"/>
  <c r="L349" i="19"/>
  <c r="F349" i="19"/>
  <c r="E349" i="19"/>
  <c r="D349" i="19"/>
  <c r="C349" i="19"/>
  <c r="V348" i="19"/>
  <c r="L348" i="19"/>
  <c r="C348" i="19"/>
  <c r="V347" i="19"/>
  <c r="L347" i="19"/>
  <c r="C347" i="19"/>
  <c r="V346" i="19"/>
  <c r="L346" i="19"/>
  <c r="C346" i="19"/>
  <c r="V345" i="19"/>
  <c r="L345" i="19"/>
  <c r="C345" i="19"/>
  <c r="V344" i="19"/>
  <c r="L344" i="19"/>
  <c r="C344" i="19"/>
  <c r="V343" i="19"/>
  <c r="L343" i="19"/>
  <c r="F343" i="19"/>
  <c r="D343" i="19"/>
  <c r="C343" i="19"/>
  <c r="V342" i="19"/>
  <c r="L342" i="19"/>
  <c r="F351" i="19" l="1"/>
  <c r="E353" i="19"/>
  <c r="A24" i="29"/>
  <c r="G344" i="19"/>
  <c r="G345" i="19"/>
  <c r="G346" i="19"/>
  <c r="G347" i="19"/>
  <c r="G348" i="19"/>
  <c r="E350" i="19"/>
  <c r="G352" i="19"/>
  <c r="G343" i="19"/>
  <c r="H343" i="19" s="1"/>
  <c r="F344" i="19"/>
  <c r="H344" i="19" s="1"/>
  <c r="F345" i="19"/>
  <c r="H345" i="19" s="1"/>
  <c r="F346" i="19"/>
  <c r="H346" i="19" s="1"/>
  <c r="F347" i="19"/>
  <c r="F348" i="19"/>
  <c r="H348" i="19" s="1"/>
  <c r="G351" i="19"/>
  <c r="H351" i="19" s="1"/>
  <c r="F352" i="19"/>
  <c r="H352" i="19" s="1"/>
  <c r="E344" i="19"/>
  <c r="E345" i="19"/>
  <c r="E346" i="19"/>
  <c r="E347" i="19"/>
  <c r="E348" i="19"/>
  <c r="G350" i="19"/>
  <c r="E352" i="19"/>
  <c r="G353" i="19"/>
  <c r="E343" i="19"/>
  <c r="D344" i="19"/>
  <c r="D345" i="19"/>
  <c r="D346" i="19"/>
  <c r="D347" i="19"/>
  <c r="D348" i="19"/>
  <c r="G349" i="19"/>
  <c r="H349" i="19" s="1"/>
  <c r="F350" i="19"/>
  <c r="E351" i="19"/>
  <c r="D352" i="19"/>
  <c r="F353" i="19"/>
  <c r="G342" i="19"/>
  <c r="C342" i="19"/>
  <c r="E342" i="19" s="1"/>
  <c r="V341" i="19"/>
  <c r="L341" i="19"/>
  <c r="G341" i="19"/>
  <c r="C341" i="19"/>
  <c r="E341" i="19" s="1"/>
  <c r="V340" i="19"/>
  <c r="L340" i="19"/>
  <c r="C340" i="19"/>
  <c r="D340" i="19" s="1"/>
  <c r="V339" i="19"/>
  <c r="L339" i="19"/>
  <c r="C339" i="19"/>
  <c r="D339" i="19" s="1"/>
  <c r="V338" i="19"/>
  <c r="L338" i="19"/>
  <c r="C338" i="19"/>
  <c r="D338" i="19" s="1"/>
  <c r="V337" i="19"/>
  <c r="L337" i="19"/>
  <c r="C337" i="19"/>
  <c r="V336" i="19"/>
  <c r="L336" i="19"/>
  <c r="C336" i="19"/>
  <c r="F336" i="19" s="1"/>
  <c r="V335" i="19"/>
  <c r="L335" i="19"/>
  <c r="G335" i="19"/>
  <c r="F335" i="19"/>
  <c r="C335" i="19"/>
  <c r="D335" i="19" s="1"/>
  <c r="V334" i="19"/>
  <c r="P334" i="19"/>
  <c r="L334" i="19"/>
  <c r="C334" i="19"/>
  <c r="D334" i="19" s="1"/>
  <c r="V333" i="19"/>
  <c r="L333" i="19"/>
  <c r="C333" i="19"/>
  <c r="D333" i="19" s="1"/>
  <c r="V332" i="19"/>
  <c r="L332" i="19"/>
  <c r="C332" i="19"/>
  <c r="F332" i="19" s="1"/>
  <c r="V331" i="19"/>
  <c r="L331" i="19"/>
  <c r="C331" i="19"/>
  <c r="F331" i="19" s="1"/>
  <c r="V330" i="19"/>
  <c r="L330" i="19"/>
  <c r="C330" i="19"/>
  <c r="D330" i="19" s="1"/>
  <c r="V329" i="19"/>
  <c r="L329" i="19"/>
  <c r="C329" i="19"/>
  <c r="D329" i="19" s="1"/>
  <c r="V328" i="19"/>
  <c r="L328" i="19"/>
  <c r="C328" i="19"/>
  <c r="E328" i="19" s="1"/>
  <c r="V327" i="19"/>
  <c r="L327" i="19"/>
  <c r="F327" i="19"/>
  <c r="C327" i="19"/>
  <c r="E327" i="19" s="1"/>
  <c r="V326" i="19"/>
  <c r="L326" i="19"/>
  <c r="D326" i="19"/>
  <c r="C326" i="19"/>
  <c r="F326" i="19" s="1"/>
  <c r="V325" i="19"/>
  <c r="L325" i="19"/>
  <c r="C325" i="19"/>
  <c r="D325" i="19" s="1"/>
  <c r="V324" i="19"/>
  <c r="L324" i="19"/>
  <c r="C324" i="19"/>
  <c r="G324" i="19" s="1"/>
  <c r="V323" i="19"/>
  <c r="L323" i="19"/>
  <c r="C323" i="19"/>
  <c r="G323" i="19" s="1"/>
  <c r="V322" i="19"/>
  <c r="L322" i="19"/>
  <c r="C322" i="19"/>
  <c r="D322" i="19" s="1"/>
  <c r="V321" i="19"/>
  <c r="L321" i="19"/>
  <c r="C321" i="19"/>
  <c r="G321" i="19" s="1"/>
  <c r="V320" i="19"/>
  <c r="L320" i="19"/>
  <c r="C320" i="19"/>
  <c r="D320" i="19" s="1"/>
  <c r="V319" i="19"/>
  <c r="L319" i="19"/>
  <c r="C319" i="19"/>
  <c r="D319" i="19" s="1"/>
  <c r="V318" i="19"/>
  <c r="L318" i="19"/>
  <c r="C318" i="19"/>
  <c r="E318" i="19" s="1"/>
  <c r="V317" i="19"/>
  <c r="L317" i="19"/>
  <c r="C317" i="19"/>
  <c r="V316" i="19"/>
  <c r="L316" i="19"/>
  <c r="C316" i="19"/>
  <c r="D316" i="19" s="1"/>
  <c r="V315" i="19"/>
  <c r="L315" i="19"/>
  <c r="C315" i="19"/>
  <c r="D315" i="19" s="1"/>
  <c r="V314" i="19"/>
  <c r="L314" i="19"/>
  <c r="C314" i="19"/>
  <c r="D314" i="19" s="1"/>
  <c r="V313" i="19"/>
  <c r="L313" i="19"/>
  <c r="C313" i="19"/>
  <c r="E313" i="19" s="1"/>
  <c r="V312" i="19"/>
  <c r="L312" i="19"/>
  <c r="C312" i="19"/>
  <c r="E312" i="19" s="1"/>
  <c r="V311" i="19"/>
  <c r="L311" i="19"/>
  <c r="C311" i="19"/>
  <c r="D311" i="19" s="1"/>
  <c r="V310" i="19"/>
  <c r="L310" i="19"/>
  <c r="C310" i="19"/>
  <c r="E310" i="19" s="1"/>
  <c r="V309" i="19"/>
  <c r="L309" i="19"/>
  <c r="C309" i="19"/>
  <c r="D309" i="19" s="1"/>
  <c r="V308" i="19"/>
  <c r="L308" i="19"/>
  <c r="C308" i="19"/>
  <c r="F308" i="19" s="1"/>
  <c r="V307" i="19"/>
  <c r="L307" i="19"/>
  <c r="C307" i="19"/>
  <c r="E307" i="19" s="1"/>
  <c r="V306" i="19"/>
  <c r="L306" i="19"/>
  <c r="C306" i="19"/>
  <c r="D306" i="19" s="1"/>
  <c r="V305" i="19"/>
  <c r="P305" i="19"/>
  <c r="L305" i="19"/>
  <c r="C305" i="19"/>
  <c r="F305" i="19" s="1"/>
  <c r="V304" i="19"/>
  <c r="L304" i="19"/>
  <c r="C304" i="19"/>
  <c r="D304" i="19" s="1"/>
  <c r="V303" i="19"/>
  <c r="L303" i="19"/>
  <c r="C303" i="19"/>
  <c r="D303" i="19" s="1"/>
  <c r="V302" i="19"/>
  <c r="L302" i="19"/>
  <c r="C302" i="19"/>
  <c r="D302" i="19" s="1"/>
  <c r="V301" i="19"/>
  <c r="L301" i="19"/>
  <c r="C301" i="19"/>
  <c r="D301" i="19" s="1"/>
  <c r="V300" i="19"/>
  <c r="L300" i="19"/>
  <c r="C300" i="19"/>
  <c r="E300" i="19" s="1"/>
  <c r="V299" i="19"/>
  <c r="L299" i="19"/>
  <c r="C299" i="19"/>
  <c r="D299" i="19" s="1"/>
  <c r="V298" i="19"/>
  <c r="L298" i="19"/>
  <c r="C298" i="19"/>
  <c r="V297" i="19"/>
  <c r="L297" i="19"/>
  <c r="C297" i="19"/>
  <c r="D297" i="19" s="1"/>
  <c r="V296" i="19"/>
  <c r="L296" i="19"/>
  <c r="C296" i="19"/>
  <c r="D296" i="19" s="1"/>
  <c r="V295" i="19"/>
  <c r="L295" i="19"/>
  <c r="C295" i="19"/>
  <c r="E295" i="19" s="1"/>
  <c r="V294" i="19"/>
  <c r="L294" i="19"/>
  <c r="C294" i="19"/>
  <c r="E294" i="19" s="1"/>
  <c r="V293" i="19"/>
  <c r="L293" i="19"/>
  <c r="C293" i="19"/>
  <c r="D293" i="19" s="1"/>
  <c r="V292" i="19"/>
  <c r="L292" i="19"/>
  <c r="C292" i="19"/>
  <c r="G292" i="19" s="1"/>
  <c r="V291" i="19"/>
  <c r="L291" i="19"/>
  <c r="C291" i="19"/>
  <c r="G291" i="19" s="1"/>
  <c r="V290" i="19"/>
  <c r="L290" i="19"/>
  <c r="C290" i="19"/>
  <c r="D290" i="19" s="1"/>
  <c r="V289" i="19"/>
  <c r="L289" i="19"/>
  <c r="C289" i="19"/>
  <c r="D289" i="19" s="1"/>
  <c r="V288" i="19"/>
  <c r="L288" i="19"/>
  <c r="C288" i="19"/>
  <c r="E288" i="19" s="1"/>
  <c r="V287" i="19"/>
  <c r="L287" i="19"/>
  <c r="C287" i="19"/>
  <c r="G287" i="19" s="1"/>
  <c r="V286" i="19"/>
  <c r="L286" i="19"/>
  <c r="C286" i="19"/>
  <c r="D286" i="19" s="1"/>
  <c r="V285" i="19"/>
  <c r="L285" i="19"/>
  <c r="C285" i="19"/>
  <c r="F285" i="19" s="1"/>
  <c r="V284" i="19"/>
  <c r="L284" i="19"/>
  <c r="H284" i="19"/>
  <c r="M284" i="19" s="1"/>
  <c r="C284" i="19"/>
  <c r="E284" i="19" s="1"/>
  <c r="V283" i="19"/>
  <c r="L283" i="19"/>
  <c r="C283" i="19"/>
  <c r="F283" i="19" s="1"/>
  <c r="V282" i="19"/>
  <c r="L282" i="19"/>
  <c r="C282" i="19"/>
  <c r="D282" i="19" s="1"/>
  <c r="V281" i="19"/>
  <c r="L281" i="19"/>
  <c r="C281" i="19"/>
  <c r="D281" i="19" s="1"/>
  <c r="V280" i="19"/>
  <c r="L280" i="19"/>
  <c r="C280" i="19"/>
  <c r="D280" i="19" s="1"/>
  <c r="V279" i="19"/>
  <c r="L279" i="19"/>
  <c r="C279" i="19"/>
  <c r="E279" i="19" s="1"/>
  <c r="V278" i="19"/>
  <c r="L278" i="19"/>
  <c r="C278" i="19"/>
  <c r="G278" i="19" s="1"/>
  <c r="V277" i="19"/>
  <c r="L277" i="19"/>
  <c r="C277" i="19"/>
  <c r="G277" i="19" s="1"/>
  <c r="V276" i="19"/>
  <c r="P276" i="19"/>
  <c r="L276" i="19"/>
  <c r="F276" i="19"/>
  <c r="C276" i="19"/>
  <c r="G276" i="19" s="1"/>
  <c r="V275" i="19"/>
  <c r="L275" i="19"/>
  <c r="C275" i="19"/>
  <c r="D275" i="19" s="1"/>
  <c r="V274" i="19"/>
  <c r="L274" i="19"/>
  <c r="C274" i="19"/>
  <c r="F274" i="19" s="1"/>
  <c r="V273" i="19"/>
  <c r="L273" i="19"/>
  <c r="C273" i="19"/>
  <c r="F273" i="19" s="1"/>
  <c r="V272" i="19"/>
  <c r="L272" i="19"/>
  <c r="C272" i="19"/>
  <c r="D272" i="19" s="1"/>
  <c r="V271" i="19"/>
  <c r="L271" i="19"/>
  <c r="C271" i="19"/>
  <c r="F271" i="19" s="1"/>
  <c r="V270" i="19"/>
  <c r="L270" i="19"/>
  <c r="C270" i="19"/>
  <c r="D270" i="19" s="1"/>
  <c r="V269" i="19"/>
  <c r="L269" i="19"/>
  <c r="C269" i="19"/>
  <c r="F269" i="19" s="1"/>
  <c r="V268" i="19"/>
  <c r="L268" i="19"/>
  <c r="C268" i="19"/>
  <c r="D268" i="19" s="1"/>
  <c r="V267" i="19"/>
  <c r="L267" i="19"/>
  <c r="C267" i="19"/>
  <c r="D267" i="19" s="1"/>
  <c r="V266" i="19"/>
  <c r="L266" i="19"/>
  <c r="C266" i="19"/>
  <c r="O266" i="19" s="1"/>
  <c r="V265" i="19"/>
  <c r="L265" i="19"/>
  <c r="C265" i="19"/>
  <c r="F265" i="19" s="1"/>
  <c r="V264" i="19"/>
  <c r="L264" i="19"/>
  <c r="E264" i="19"/>
  <c r="D264" i="19"/>
  <c r="C264" i="19"/>
  <c r="V263" i="19"/>
  <c r="L263" i="19"/>
  <c r="C263" i="19"/>
  <c r="O263" i="19" s="1"/>
  <c r="V262" i="19"/>
  <c r="L262" i="19"/>
  <c r="C262" i="19"/>
  <c r="E262" i="19" s="1"/>
  <c r="V261" i="19"/>
  <c r="L261" i="19"/>
  <c r="F261" i="19"/>
  <c r="E261" i="19"/>
  <c r="C261" i="19"/>
  <c r="O261" i="19" s="1"/>
  <c r="V260" i="19"/>
  <c r="L260" i="19"/>
  <c r="D260" i="19"/>
  <c r="C260" i="19"/>
  <c r="F260" i="19" s="1"/>
  <c r="V259" i="19"/>
  <c r="L259" i="19"/>
  <c r="D259" i="19"/>
  <c r="C259" i="19"/>
  <c r="E259" i="19" s="1"/>
  <c r="V258" i="19"/>
  <c r="L258" i="19"/>
  <c r="C258" i="19"/>
  <c r="O258" i="19" s="1"/>
  <c r="V257" i="19"/>
  <c r="L257" i="19"/>
  <c r="C257" i="19"/>
  <c r="V256" i="19"/>
  <c r="L256" i="19"/>
  <c r="C256" i="19"/>
  <c r="V255" i="19"/>
  <c r="L255" i="19"/>
  <c r="H255" i="19"/>
  <c r="C255" i="19"/>
  <c r="D255" i="19" s="1"/>
  <c r="V254" i="19"/>
  <c r="O254" i="19"/>
  <c r="L254" i="19"/>
  <c r="G254" i="19"/>
  <c r="F254" i="19"/>
  <c r="E254" i="19"/>
  <c r="C254" i="19"/>
  <c r="V253" i="19"/>
  <c r="L253" i="19"/>
  <c r="D253" i="19"/>
  <c r="C253" i="19"/>
  <c r="E253" i="19" s="1"/>
  <c r="V252" i="19"/>
  <c r="L252" i="19"/>
  <c r="C252" i="19"/>
  <c r="O252" i="19" s="1"/>
  <c r="V251" i="19"/>
  <c r="L251" i="19"/>
  <c r="E251" i="19"/>
  <c r="D251" i="19"/>
  <c r="C251" i="19"/>
  <c r="G251" i="19" s="1"/>
  <c r="V250" i="19"/>
  <c r="L250" i="19"/>
  <c r="C250" i="19"/>
  <c r="F250" i="19" s="1"/>
  <c r="V249" i="19"/>
  <c r="L249" i="19"/>
  <c r="C249" i="19"/>
  <c r="O249" i="19" s="1"/>
  <c r="V248" i="19"/>
  <c r="L248" i="19"/>
  <c r="C248" i="19"/>
  <c r="F248" i="19" s="1"/>
  <c r="V247" i="19"/>
  <c r="P247" i="19"/>
  <c r="L247" i="19"/>
  <c r="C247" i="19"/>
  <c r="O247" i="19" s="1"/>
  <c r="V246" i="19"/>
  <c r="L246" i="19"/>
  <c r="C246" i="19"/>
  <c r="D246" i="19" s="1"/>
  <c r="V245" i="19"/>
  <c r="L245" i="19"/>
  <c r="C245" i="19"/>
  <c r="E245" i="19" s="1"/>
  <c r="V244" i="19"/>
  <c r="L244" i="19"/>
  <c r="C244" i="19"/>
  <c r="E244" i="19" s="1"/>
  <c r="V243" i="19"/>
  <c r="L243" i="19"/>
  <c r="C243" i="19"/>
  <c r="F243" i="19" s="1"/>
  <c r="V242" i="19"/>
  <c r="L242" i="19"/>
  <c r="C242" i="19"/>
  <c r="O242" i="19" s="1"/>
  <c r="V241" i="19"/>
  <c r="L241" i="19"/>
  <c r="C241" i="19"/>
  <c r="F241" i="19" s="1"/>
  <c r="V240" i="19"/>
  <c r="L240" i="19"/>
  <c r="C240" i="19"/>
  <c r="D240" i="19" s="1"/>
  <c r="V239" i="19"/>
  <c r="L239" i="19"/>
  <c r="C239" i="19"/>
  <c r="O239" i="19" s="1"/>
  <c r="V238" i="19"/>
  <c r="L238" i="19"/>
  <c r="C238" i="19"/>
  <c r="O238" i="19" s="1"/>
  <c r="V237" i="19"/>
  <c r="L237" i="19"/>
  <c r="C237" i="19"/>
  <c r="D237" i="19" s="1"/>
  <c r="V236" i="19"/>
  <c r="L236" i="19"/>
  <c r="C236" i="19"/>
  <c r="G236" i="19" s="1"/>
  <c r="V235" i="19"/>
  <c r="L235" i="19"/>
  <c r="C235" i="19"/>
  <c r="E235" i="19" s="1"/>
  <c r="V234" i="19"/>
  <c r="L234" i="19"/>
  <c r="C234" i="19"/>
  <c r="E234" i="19" s="1"/>
  <c r="V233" i="19"/>
  <c r="L233" i="19"/>
  <c r="C233" i="19"/>
  <c r="E233" i="19" s="1"/>
  <c r="V232" i="19"/>
  <c r="L232" i="19"/>
  <c r="C232" i="19"/>
  <c r="D232" i="19" s="1"/>
  <c r="V231" i="19"/>
  <c r="L231" i="19"/>
  <c r="C231" i="19"/>
  <c r="D231" i="19" s="1"/>
  <c r="V230" i="19"/>
  <c r="L230" i="19"/>
  <c r="C230" i="19"/>
  <c r="G230" i="19" s="1"/>
  <c r="V229" i="19"/>
  <c r="L229" i="19"/>
  <c r="C229" i="19"/>
  <c r="F229" i="19" s="1"/>
  <c r="V228" i="19"/>
  <c r="L228" i="19"/>
  <c r="C228" i="19"/>
  <c r="G228" i="19" s="1"/>
  <c r="V227" i="19"/>
  <c r="L227" i="19"/>
  <c r="C227" i="19"/>
  <c r="D227" i="19" s="1"/>
  <c r="V226" i="19"/>
  <c r="L226" i="19"/>
  <c r="H226" i="19"/>
  <c r="C226" i="19"/>
  <c r="D226" i="19" s="1"/>
  <c r="V225" i="19"/>
  <c r="L225" i="19"/>
  <c r="C225" i="19"/>
  <c r="F225" i="19" s="1"/>
  <c r="V224" i="19"/>
  <c r="L224" i="19"/>
  <c r="C224" i="19"/>
  <c r="E224" i="19" s="1"/>
  <c r="V223" i="19"/>
  <c r="L223" i="19"/>
  <c r="C223" i="19"/>
  <c r="D223" i="19" s="1"/>
  <c r="V222" i="19"/>
  <c r="L222" i="19"/>
  <c r="C222" i="19"/>
  <c r="G222" i="19" s="1"/>
  <c r="V221" i="19"/>
  <c r="L221" i="19"/>
  <c r="E221" i="19"/>
  <c r="C221" i="19"/>
  <c r="F221" i="19" s="1"/>
  <c r="V220" i="19"/>
  <c r="L220" i="19"/>
  <c r="C220" i="19"/>
  <c r="D220" i="19" s="1"/>
  <c r="V219" i="19"/>
  <c r="L219" i="19"/>
  <c r="F219" i="19"/>
  <c r="C219" i="19"/>
  <c r="G219" i="19" s="1"/>
  <c r="V218" i="19"/>
  <c r="P218" i="19"/>
  <c r="L218" i="19"/>
  <c r="C218" i="19"/>
  <c r="V217" i="19"/>
  <c r="L217" i="19"/>
  <c r="C217" i="19"/>
  <c r="F217" i="19" s="1"/>
  <c r="V216" i="19"/>
  <c r="L216" i="19"/>
  <c r="C216" i="19"/>
  <c r="G216" i="19" s="1"/>
  <c r="V215" i="19"/>
  <c r="L215" i="19"/>
  <c r="C215" i="19"/>
  <c r="F215" i="19" s="1"/>
  <c r="V214" i="19"/>
  <c r="L214" i="19"/>
  <c r="C214" i="19"/>
  <c r="D214" i="19" s="1"/>
  <c r="V213" i="19"/>
  <c r="L213" i="19"/>
  <c r="C213" i="19"/>
  <c r="D213" i="19" s="1"/>
  <c r="V212" i="19"/>
  <c r="L212" i="19"/>
  <c r="C212" i="19"/>
  <c r="V211" i="19"/>
  <c r="L211" i="19"/>
  <c r="C211" i="19"/>
  <c r="E211" i="19" s="1"/>
  <c r="V210" i="19"/>
  <c r="L210" i="19"/>
  <c r="C210" i="19"/>
  <c r="G210" i="19" s="1"/>
  <c r="V209" i="19"/>
  <c r="L209" i="19"/>
  <c r="C209" i="19"/>
  <c r="G209" i="19" s="1"/>
  <c r="V208" i="19"/>
  <c r="L208" i="19"/>
  <c r="C208" i="19"/>
  <c r="D208" i="19" s="1"/>
  <c r="V207" i="19"/>
  <c r="L207" i="19"/>
  <c r="C207" i="19"/>
  <c r="D207" i="19" s="1"/>
  <c r="V206" i="19"/>
  <c r="L206" i="19"/>
  <c r="C206" i="19"/>
  <c r="D206" i="19" s="1"/>
  <c r="V205" i="19"/>
  <c r="L205" i="19"/>
  <c r="C205" i="19"/>
  <c r="E205" i="19" s="1"/>
  <c r="V204" i="19"/>
  <c r="L204" i="19"/>
  <c r="F204" i="19"/>
  <c r="C204" i="19"/>
  <c r="G204" i="19" s="1"/>
  <c r="V203" i="19"/>
  <c r="L203" i="19"/>
  <c r="C203" i="19"/>
  <c r="F203" i="19" s="1"/>
  <c r="V202" i="19"/>
  <c r="L202" i="19"/>
  <c r="C202" i="19"/>
  <c r="D202" i="19" s="1"/>
  <c r="V201" i="19"/>
  <c r="L201" i="19"/>
  <c r="C201" i="19"/>
  <c r="F201" i="19" s="1"/>
  <c r="V200" i="19"/>
  <c r="L200" i="19"/>
  <c r="C200" i="19"/>
  <c r="D200" i="19" s="1"/>
  <c r="V199" i="19"/>
  <c r="L199" i="19"/>
  <c r="C199" i="19"/>
  <c r="F199" i="19" s="1"/>
  <c r="V198" i="19"/>
  <c r="L198" i="19"/>
  <c r="C198" i="19"/>
  <c r="D198" i="19" s="1"/>
  <c r="V197" i="19"/>
  <c r="L197" i="19"/>
  <c r="H197" i="19"/>
  <c r="C197" i="19"/>
  <c r="D197" i="19" s="1"/>
  <c r="V196" i="19"/>
  <c r="L196" i="19"/>
  <c r="C196" i="19"/>
  <c r="D196" i="19" s="1"/>
  <c r="V195" i="19"/>
  <c r="L195" i="19"/>
  <c r="C195" i="19"/>
  <c r="D195" i="19" s="1"/>
  <c r="V194" i="19"/>
  <c r="L194" i="19"/>
  <c r="C194" i="19"/>
  <c r="F194" i="19" s="1"/>
  <c r="V193" i="19"/>
  <c r="L193" i="19"/>
  <c r="C193" i="19"/>
  <c r="V192" i="19"/>
  <c r="L192" i="19"/>
  <c r="C192" i="19"/>
  <c r="D192" i="19" s="1"/>
  <c r="V191" i="19"/>
  <c r="L191" i="19"/>
  <c r="C191" i="19"/>
  <c r="D191" i="19" s="1"/>
  <c r="V190" i="19"/>
  <c r="L190" i="19"/>
  <c r="C190" i="19"/>
  <c r="D190" i="19" s="1"/>
  <c r="V189" i="19"/>
  <c r="P189" i="19"/>
  <c r="L189" i="19"/>
  <c r="C189" i="19"/>
  <c r="D189" i="19" s="1"/>
  <c r="V188" i="19"/>
  <c r="L188" i="19"/>
  <c r="C188" i="19"/>
  <c r="E188" i="19" s="1"/>
  <c r="V187" i="19"/>
  <c r="L187" i="19"/>
  <c r="C187" i="19"/>
  <c r="E187" i="19" s="1"/>
  <c r="V186" i="19"/>
  <c r="L186" i="19"/>
  <c r="C186" i="19"/>
  <c r="D186" i="19" s="1"/>
  <c r="V185" i="19"/>
  <c r="L185" i="19"/>
  <c r="C185" i="19"/>
  <c r="E185" i="19" s="1"/>
  <c r="V184" i="19"/>
  <c r="L184" i="19"/>
  <c r="C184" i="19"/>
  <c r="V183" i="19"/>
  <c r="L183" i="19"/>
  <c r="C183" i="19"/>
  <c r="F183" i="19" s="1"/>
  <c r="V182" i="19"/>
  <c r="L182" i="19"/>
  <c r="C182" i="19"/>
  <c r="D182" i="19" s="1"/>
  <c r="V181" i="19"/>
  <c r="L181" i="19"/>
  <c r="C181" i="19"/>
  <c r="D181" i="19" s="1"/>
  <c r="V180" i="19"/>
  <c r="L180" i="19"/>
  <c r="C180" i="19"/>
  <c r="O180" i="19" s="1"/>
  <c r="V179" i="19"/>
  <c r="L179" i="19"/>
  <c r="C179" i="19"/>
  <c r="D179" i="19" s="1"/>
  <c r="V178" i="19"/>
  <c r="L178" i="19"/>
  <c r="C178" i="19"/>
  <c r="E178" i="19" s="1"/>
  <c r="V177" i="19"/>
  <c r="L177" i="19"/>
  <c r="C177" i="19"/>
  <c r="V176" i="19"/>
  <c r="L176" i="19"/>
  <c r="C176" i="19"/>
  <c r="D176" i="19" s="1"/>
  <c r="V175" i="19"/>
  <c r="L175" i="19"/>
  <c r="C175" i="19"/>
  <c r="E175" i="19" s="1"/>
  <c r="V174" i="19"/>
  <c r="L174" i="19"/>
  <c r="C174" i="19"/>
  <c r="D174" i="19" s="1"/>
  <c r="V173" i="19"/>
  <c r="L173" i="19"/>
  <c r="C173" i="19"/>
  <c r="E173" i="19" s="1"/>
  <c r="V172" i="19"/>
  <c r="L172" i="19"/>
  <c r="E172" i="19"/>
  <c r="D172" i="19"/>
  <c r="C172" i="19"/>
  <c r="F172" i="19" s="1"/>
  <c r="V171" i="19"/>
  <c r="L171" i="19"/>
  <c r="D171" i="19"/>
  <c r="C171" i="19"/>
  <c r="E171" i="19" s="1"/>
  <c r="V170" i="19"/>
  <c r="L170" i="19"/>
  <c r="C170" i="19"/>
  <c r="D170" i="19" s="1"/>
  <c r="V169" i="19"/>
  <c r="L169" i="19"/>
  <c r="C169" i="19"/>
  <c r="V168" i="19"/>
  <c r="L168" i="19"/>
  <c r="H168" i="19"/>
  <c r="M168" i="19" s="1"/>
  <c r="C168" i="19"/>
  <c r="D168" i="19" s="1"/>
  <c r="V167" i="19"/>
  <c r="L167" i="19"/>
  <c r="C167" i="19"/>
  <c r="D167" i="19" s="1"/>
  <c r="V166" i="19"/>
  <c r="L166" i="19"/>
  <c r="C166" i="19"/>
  <c r="E166" i="19" s="1"/>
  <c r="V165" i="19"/>
  <c r="L165" i="19"/>
  <c r="C165" i="19"/>
  <c r="E165" i="19" s="1"/>
  <c r="V164" i="19"/>
  <c r="L164" i="19"/>
  <c r="C164" i="19"/>
  <c r="D164" i="19" s="1"/>
  <c r="V163" i="19"/>
  <c r="L163" i="19"/>
  <c r="C163" i="19"/>
  <c r="D163" i="19" s="1"/>
  <c r="V162" i="19"/>
  <c r="L162" i="19"/>
  <c r="C162" i="19"/>
  <c r="D162" i="19" s="1"/>
  <c r="V161" i="19"/>
  <c r="L161" i="19"/>
  <c r="D161" i="19"/>
  <c r="C161" i="19"/>
  <c r="E161" i="19" s="1"/>
  <c r="V160" i="19"/>
  <c r="P160" i="19"/>
  <c r="L160" i="19"/>
  <c r="C160" i="19"/>
  <c r="E160" i="19" s="1"/>
  <c r="V159" i="19"/>
  <c r="L159" i="19"/>
  <c r="C159" i="19"/>
  <c r="E159" i="19" s="1"/>
  <c r="V158" i="19"/>
  <c r="L158" i="19"/>
  <c r="C158" i="19"/>
  <c r="D158" i="19" s="1"/>
  <c r="V157" i="19"/>
  <c r="L157" i="19"/>
  <c r="C157" i="19"/>
  <c r="D157" i="19" s="1"/>
  <c r="V156" i="19"/>
  <c r="L156" i="19"/>
  <c r="C156" i="19"/>
  <c r="F156" i="19" s="1"/>
  <c r="V155" i="19"/>
  <c r="L155" i="19"/>
  <c r="C155" i="19"/>
  <c r="D155" i="19" s="1"/>
  <c r="V154" i="19"/>
  <c r="L154" i="19"/>
  <c r="C154" i="19"/>
  <c r="D154" i="19" s="1"/>
  <c r="V153" i="19"/>
  <c r="L153" i="19"/>
  <c r="C153" i="19"/>
  <c r="D153" i="19" s="1"/>
  <c r="V152" i="19"/>
  <c r="L152" i="19"/>
  <c r="D152" i="19"/>
  <c r="C152" i="19"/>
  <c r="E152" i="19" s="1"/>
  <c r="V151" i="19"/>
  <c r="L151" i="19"/>
  <c r="C151" i="19"/>
  <c r="O151" i="19" s="1"/>
  <c r="V150" i="19"/>
  <c r="L150" i="19"/>
  <c r="C150" i="19"/>
  <c r="D150" i="19" s="1"/>
  <c r="V149" i="19"/>
  <c r="L149" i="19"/>
  <c r="C149" i="19"/>
  <c r="F149" i="19" s="1"/>
  <c r="V148" i="19"/>
  <c r="L148" i="19"/>
  <c r="C148" i="19"/>
  <c r="D148" i="19" s="1"/>
  <c r="V147" i="19"/>
  <c r="L147" i="19"/>
  <c r="D147" i="19"/>
  <c r="C147" i="19"/>
  <c r="V146" i="19"/>
  <c r="L146" i="19"/>
  <c r="C146" i="19"/>
  <c r="D146" i="19" s="1"/>
  <c r="V145" i="19"/>
  <c r="L145" i="19"/>
  <c r="C145" i="19"/>
  <c r="D145" i="19" s="1"/>
  <c r="V144" i="19"/>
  <c r="H350" i="19" l="1"/>
  <c r="H353" i="19"/>
  <c r="D159" i="19"/>
  <c r="E215" i="19"/>
  <c r="D234" i="19"/>
  <c r="D235" i="19"/>
  <c r="E248" i="19"/>
  <c r="E271" i="19"/>
  <c r="E285" i="19"/>
  <c r="E315" i="19"/>
  <c r="G327" i="19"/>
  <c r="H327" i="19" s="1"/>
  <c r="D199" i="19"/>
  <c r="E217" i="19"/>
  <c r="F224" i="19"/>
  <c r="D225" i="19"/>
  <c r="D228" i="19"/>
  <c r="D229" i="19"/>
  <c r="D160" i="19"/>
  <c r="D175" i="19"/>
  <c r="M197" i="19"/>
  <c r="D203" i="19"/>
  <c r="E204" i="19"/>
  <c r="E219" i="19"/>
  <c r="D221" i="19"/>
  <c r="E225" i="19"/>
  <c r="M226" i="19"/>
  <c r="D230" i="19"/>
  <c r="D243" i="19"/>
  <c r="D244" i="19"/>
  <c r="M255" i="19"/>
  <c r="F275" i="19"/>
  <c r="D276" i="19"/>
  <c r="G315" i="19"/>
  <c r="D187" i="19"/>
  <c r="D248" i="19"/>
  <c r="D262" i="19"/>
  <c r="E265" i="19"/>
  <c r="D266" i="19"/>
  <c r="D271" i="19"/>
  <c r="E190" i="19"/>
  <c r="E194" i="19"/>
  <c r="E197" i="19"/>
  <c r="D165" i="19"/>
  <c r="D166" i="19"/>
  <c r="D188" i="19"/>
  <c r="D194" i="19"/>
  <c r="D205" i="19"/>
  <c r="E210" i="19"/>
  <c r="D328" i="19"/>
  <c r="E329" i="19"/>
  <c r="D331" i="19"/>
  <c r="D274" i="19"/>
  <c r="D285" i="19"/>
  <c r="D287" i="19"/>
  <c r="D288" i="19"/>
  <c r="D310" i="19"/>
  <c r="D318" i="19"/>
  <c r="F210" i="19"/>
  <c r="H210" i="19" s="1"/>
  <c r="O244" i="19"/>
  <c r="O248" i="19"/>
  <c r="D294" i="19"/>
  <c r="E299" i="19"/>
  <c r="D305" i="19"/>
  <c r="F329" i="19"/>
  <c r="F170" i="19"/>
  <c r="F174" i="19"/>
  <c r="F180" i="19"/>
  <c r="G302" i="19"/>
  <c r="F322" i="19"/>
  <c r="G340" i="19"/>
  <c r="O276" i="19"/>
  <c r="F279" i="19"/>
  <c r="H279" i="19" s="1"/>
  <c r="E325" i="19"/>
  <c r="H335" i="19"/>
  <c r="F340" i="19"/>
  <c r="O209" i="19"/>
  <c r="O250" i="19"/>
  <c r="G279" i="19"/>
  <c r="E146" i="19"/>
  <c r="E149" i="19"/>
  <c r="E156" i="19"/>
  <c r="E158" i="19"/>
  <c r="F165" i="19"/>
  <c r="E170" i="19"/>
  <c r="E174" i="19"/>
  <c r="E180" i="19"/>
  <c r="E186" i="19"/>
  <c r="G199" i="19"/>
  <c r="H199" i="19" s="1"/>
  <c r="F202" i="19"/>
  <c r="F209" i="19"/>
  <c r="H209" i="19" s="1"/>
  <c r="M209" i="19" s="1"/>
  <c r="F236" i="19"/>
  <c r="H236" i="19" s="1"/>
  <c r="F244" i="19"/>
  <c r="F247" i="19"/>
  <c r="F293" i="19"/>
  <c r="G296" i="19"/>
  <c r="F302" i="19"/>
  <c r="H302" i="19" s="1"/>
  <c r="G310" i="19"/>
  <c r="E322" i="19"/>
  <c r="D149" i="19"/>
  <c r="D156" i="19"/>
  <c r="D173" i="19"/>
  <c r="D178" i="19"/>
  <c r="D180" i="19"/>
  <c r="D185" i="19"/>
  <c r="D201" i="19"/>
  <c r="D209" i="19"/>
  <c r="D211" i="19"/>
  <c r="F230" i="19"/>
  <c r="H230" i="19" s="1"/>
  <c r="D236" i="19"/>
  <c r="D238" i="19"/>
  <c r="E239" i="19"/>
  <c r="E241" i="19"/>
  <c r="E247" i="19"/>
  <c r="E250" i="19"/>
  <c r="D277" i="19"/>
  <c r="E278" i="19"/>
  <c r="E293" i="19"/>
  <c r="E296" i="19"/>
  <c r="F299" i="19"/>
  <c r="D300" i="19"/>
  <c r="E301" i="19"/>
  <c r="E308" i="19"/>
  <c r="G320" i="19"/>
  <c r="F338" i="19"/>
  <c r="F145" i="19"/>
  <c r="F151" i="19"/>
  <c r="F258" i="19"/>
  <c r="O260" i="19"/>
  <c r="D332" i="19"/>
  <c r="E336" i="19"/>
  <c r="O246" i="19"/>
  <c r="F208" i="19"/>
  <c r="F237" i="19"/>
  <c r="O265" i="19"/>
  <c r="F270" i="19"/>
  <c r="G272" i="19"/>
  <c r="E145" i="19"/>
  <c r="E151" i="19"/>
  <c r="E157" i="19"/>
  <c r="F171" i="19"/>
  <c r="F173" i="19"/>
  <c r="F178" i="19"/>
  <c r="G203" i="19"/>
  <c r="H203" i="19" s="1"/>
  <c r="F205" i="19"/>
  <c r="E208" i="19"/>
  <c r="F211" i="19"/>
  <c r="F214" i="19"/>
  <c r="O241" i="19"/>
  <c r="E242" i="19"/>
  <c r="F249" i="19"/>
  <c r="G250" i="19"/>
  <c r="H250" i="19" s="1"/>
  <c r="M250" i="19" s="1"/>
  <c r="F252" i="19"/>
  <c r="G253" i="19"/>
  <c r="F280" i="19"/>
  <c r="F220" i="19"/>
  <c r="F242" i="19"/>
  <c r="O243" i="19"/>
  <c r="G249" i="19"/>
  <c r="G252" i="19"/>
  <c r="E181" i="19"/>
  <c r="F185" i="19"/>
  <c r="E189" i="19"/>
  <c r="E195" i="19"/>
  <c r="E198" i="19"/>
  <c r="E220" i="19"/>
  <c r="F223" i="19"/>
  <c r="E226" i="19"/>
  <c r="F234" i="19"/>
  <c r="E237" i="19"/>
  <c r="F246" i="19"/>
  <c r="E255" i="19"/>
  <c r="E258" i="19"/>
  <c r="F263" i="19"/>
  <c r="E270" i="19"/>
  <c r="E272" i="19"/>
  <c r="G289" i="19"/>
  <c r="F309" i="19"/>
  <c r="F314" i="19"/>
  <c r="G319" i="19"/>
  <c r="D151" i="19"/>
  <c r="D222" i="19"/>
  <c r="D242" i="19"/>
  <c r="D245" i="19"/>
  <c r="D249" i="19"/>
  <c r="E252" i="19"/>
  <c r="D258" i="19"/>
  <c r="E263" i="19"/>
  <c r="E269" i="19"/>
  <c r="E280" i="19"/>
  <c r="E283" i="19"/>
  <c r="E289" i="19"/>
  <c r="D291" i="19"/>
  <c r="E292" i="19"/>
  <c r="F295" i="19"/>
  <c r="F300" i="19"/>
  <c r="E309" i="19"/>
  <c r="E314" i="19"/>
  <c r="E319" i="19"/>
  <c r="G326" i="19"/>
  <c r="H326" i="19" s="1"/>
  <c r="F328" i="19"/>
  <c r="G332" i="19"/>
  <c r="H332" i="19" s="1"/>
  <c r="G333" i="19"/>
  <c r="G336" i="19"/>
  <c r="H336" i="19" s="1"/>
  <c r="E338" i="19"/>
  <c r="F341" i="19"/>
  <c r="H341" i="19" s="1"/>
  <c r="H276" i="19"/>
  <c r="M276" i="19" s="1"/>
  <c r="G311" i="19"/>
  <c r="G312" i="19"/>
  <c r="G316" i="19"/>
  <c r="F212" i="19"/>
  <c r="D218" i="19"/>
  <c r="O256" i="19"/>
  <c r="F256" i="19"/>
  <c r="D257" i="19"/>
  <c r="G196" i="19"/>
  <c r="F213" i="19"/>
  <c r="E232" i="19"/>
  <c r="D233" i="19"/>
  <c r="E304" i="19"/>
  <c r="F317" i="19"/>
  <c r="E223" i="19"/>
  <c r="D224" i="19"/>
  <c r="E229" i="19"/>
  <c r="F235" i="19"/>
  <c r="E243" i="19"/>
  <c r="E260" i="19"/>
  <c r="D261" i="19"/>
  <c r="O262" i="19"/>
  <c r="F262" i="19"/>
  <c r="D263" i="19"/>
  <c r="O264" i="19"/>
  <c r="F264" i="19"/>
  <c r="D265" i="19"/>
  <c r="E275" i="19"/>
  <c r="F288" i="19"/>
  <c r="F294" i="19"/>
  <c r="D295" i="19"/>
  <c r="F301" i="19"/>
  <c r="E305" i="19"/>
  <c r="D308" i="19"/>
  <c r="D313" i="19"/>
  <c r="F318" i="19"/>
  <c r="O325" i="19"/>
  <c r="F325" i="19"/>
  <c r="E331" i="19"/>
  <c r="F339" i="19"/>
  <c r="G177" i="19"/>
  <c r="G193" i="19"/>
  <c r="G147" i="19"/>
  <c r="F148" i="19"/>
  <c r="G150" i="19"/>
  <c r="G153" i="19"/>
  <c r="F154" i="19"/>
  <c r="F155" i="19"/>
  <c r="G162" i="19"/>
  <c r="G163" i="19"/>
  <c r="F164" i="19"/>
  <c r="G167" i="19"/>
  <c r="F169" i="19"/>
  <c r="G176" i="19"/>
  <c r="F177" i="19"/>
  <c r="G179" i="19"/>
  <c r="G182" i="19"/>
  <c r="F184" i="19"/>
  <c r="G191" i="19"/>
  <c r="G192" i="19"/>
  <c r="F193" i="19"/>
  <c r="H204" i="19"/>
  <c r="G212" i="19"/>
  <c r="G218" i="19"/>
  <c r="G231" i="19"/>
  <c r="G303" i="19"/>
  <c r="G306" i="19"/>
  <c r="G307" i="19"/>
  <c r="E227" i="19"/>
  <c r="F231" i="19"/>
  <c r="G232" i="19"/>
  <c r="G233" i="19"/>
  <c r="G238" i="19"/>
  <c r="G239" i="19"/>
  <c r="G240" i="19"/>
  <c r="G241" i="19"/>
  <c r="H241" i="19" s="1"/>
  <c r="M241" i="19" s="1"/>
  <c r="E256" i="19"/>
  <c r="F257" i="19"/>
  <c r="G259" i="19"/>
  <c r="G266" i="19"/>
  <c r="E267" i="19"/>
  <c r="G268" i="19"/>
  <c r="G269" i="19"/>
  <c r="H269" i="19" s="1"/>
  <c r="G274" i="19"/>
  <c r="H274" i="19" s="1"/>
  <c r="E281" i="19"/>
  <c r="G282" i="19"/>
  <c r="G283" i="19"/>
  <c r="H283" i="19" s="1"/>
  <c r="E286" i="19"/>
  <c r="E290" i="19"/>
  <c r="F297" i="19"/>
  <c r="F298" i="19"/>
  <c r="F303" i="19"/>
  <c r="G304" i="19"/>
  <c r="F306" i="19"/>
  <c r="H306" i="19" s="1"/>
  <c r="F307" i="19"/>
  <c r="F311" i="19"/>
  <c r="F312" i="19"/>
  <c r="E316" i="19"/>
  <c r="G317" i="19"/>
  <c r="F320" i="19"/>
  <c r="F321" i="19"/>
  <c r="H321" i="19" s="1"/>
  <c r="G330" i="19"/>
  <c r="F333" i="19"/>
  <c r="G334" i="19"/>
  <c r="O334" i="19"/>
  <c r="G337" i="19"/>
  <c r="D216" i="19"/>
  <c r="E273" i="19"/>
  <c r="F222" i="19"/>
  <c r="H222" i="19" s="1"/>
  <c r="E228" i="19"/>
  <c r="E277" i="19"/>
  <c r="D278" i="19"/>
  <c r="F287" i="19"/>
  <c r="H287" i="19" s="1"/>
  <c r="E291" i="19"/>
  <c r="D292" i="19"/>
  <c r="F323" i="19"/>
  <c r="H323" i="19" s="1"/>
  <c r="D324" i="19"/>
  <c r="F198" i="19"/>
  <c r="E202" i="19"/>
  <c r="E214" i="19"/>
  <c r="D215" i="19"/>
  <c r="D217" i="19"/>
  <c r="O218" i="19"/>
  <c r="E246" i="19"/>
  <c r="D247" i="19"/>
  <c r="E199" i="19"/>
  <c r="E203" i="19"/>
  <c r="D204" i="19"/>
  <c r="E209" i="19"/>
  <c r="D210" i="19"/>
  <c r="D219" i="19"/>
  <c r="E230" i="19"/>
  <c r="E236" i="19"/>
  <c r="E249" i="19"/>
  <c r="D250" i="19"/>
  <c r="O251" i="19"/>
  <c r="F251" i="19"/>
  <c r="H251" i="19" s="1"/>
  <c r="D252" i="19"/>
  <c r="O253" i="19"/>
  <c r="F253" i="19"/>
  <c r="H253" i="19" s="1"/>
  <c r="D254" i="19"/>
  <c r="F272" i="19"/>
  <c r="E276" i="19"/>
  <c r="D279" i="19"/>
  <c r="D284" i="19"/>
  <c r="F289" i="19"/>
  <c r="H289" i="19" s="1"/>
  <c r="O296" i="19"/>
  <c r="F296" i="19"/>
  <c r="E302" i="19"/>
  <c r="F310" i="19"/>
  <c r="H310" i="19" s="1"/>
  <c r="F315" i="19"/>
  <c r="H315" i="19" s="1"/>
  <c r="F319" i="19"/>
  <c r="E326" i="19"/>
  <c r="D327" i="19"/>
  <c r="E332" i="19"/>
  <c r="E335" i="19"/>
  <c r="D336" i="19"/>
  <c r="E340" i="19"/>
  <c r="D341" i="19"/>
  <c r="G169" i="19"/>
  <c r="G183" i="19"/>
  <c r="H183" i="19" s="1"/>
  <c r="G184" i="19"/>
  <c r="G227" i="19"/>
  <c r="G286" i="19"/>
  <c r="G290" i="19"/>
  <c r="G297" i="19"/>
  <c r="G298" i="19"/>
  <c r="G146" i="19"/>
  <c r="F147" i="19"/>
  <c r="E148" i="19"/>
  <c r="F150" i="19"/>
  <c r="G152" i="19"/>
  <c r="F153" i="19"/>
  <c r="E154" i="19"/>
  <c r="E155" i="19"/>
  <c r="G157" i="19"/>
  <c r="G158" i="19"/>
  <c r="G159" i="19"/>
  <c r="G160" i="19"/>
  <c r="O160" i="19"/>
  <c r="G161" i="19"/>
  <c r="F162" i="19"/>
  <c r="F163" i="19"/>
  <c r="E164" i="19"/>
  <c r="G166" i="19"/>
  <c r="F167" i="19"/>
  <c r="H167" i="19" s="1"/>
  <c r="E169" i="19"/>
  <c r="G175" i="19"/>
  <c r="F176" i="19"/>
  <c r="E177" i="19"/>
  <c r="F179" i="19"/>
  <c r="G181" i="19"/>
  <c r="F182" i="19"/>
  <c r="E183" i="19"/>
  <c r="E184" i="19"/>
  <c r="G186" i="19"/>
  <c r="G187" i="19"/>
  <c r="G188" i="19"/>
  <c r="G189" i="19"/>
  <c r="O189" i="19"/>
  <c r="G190" i="19"/>
  <c r="F191" i="19"/>
  <c r="F192" i="19"/>
  <c r="E193" i="19"/>
  <c r="G195" i="19"/>
  <c r="F196" i="19"/>
  <c r="F200" i="19"/>
  <c r="G201" i="19"/>
  <c r="H201" i="19" s="1"/>
  <c r="E206" i="19"/>
  <c r="G207" i="19"/>
  <c r="E212" i="19"/>
  <c r="G213" i="19"/>
  <c r="F216" i="19"/>
  <c r="H216" i="19" s="1"/>
  <c r="F218" i="19"/>
  <c r="H218" i="19" s="1"/>
  <c r="M218" i="19" s="1"/>
  <c r="G245" i="19"/>
  <c r="G145" i="19"/>
  <c r="H145" i="19" s="1"/>
  <c r="F146" i="19"/>
  <c r="E147" i="19"/>
  <c r="G149" i="19"/>
  <c r="H149" i="19" s="1"/>
  <c r="E150" i="19"/>
  <c r="G151" i="19"/>
  <c r="F152" i="19"/>
  <c r="E153" i="19"/>
  <c r="G156" i="19"/>
  <c r="H156" i="19" s="1"/>
  <c r="F157" i="19"/>
  <c r="F158" i="19"/>
  <c r="F159" i="19"/>
  <c r="F160" i="19"/>
  <c r="F161" i="19"/>
  <c r="H161" i="19" s="1"/>
  <c r="E162" i="19"/>
  <c r="E163" i="19"/>
  <c r="G165" i="19"/>
  <c r="H165" i="19" s="1"/>
  <c r="F166" i="19"/>
  <c r="H166" i="19" s="1"/>
  <c r="E167" i="19"/>
  <c r="E168" i="19"/>
  <c r="D169" i="19"/>
  <c r="G170" i="19"/>
  <c r="H170" i="19" s="1"/>
  <c r="G171" i="19"/>
  <c r="G172" i="19"/>
  <c r="H172" i="19" s="1"/>
  <c r="G173" i="19"/>
  <c r="H173" i="19" s="1"/>
  <c r="G174" i="19"/>
  <c r="F175" i="19"/>
  <c r="E176" i="19"/>
  <c r="D177" i="19"/>
  <c r="G178" i="19"/>
  <c r="E179" i="19"/>
  <c r="G180" i="19"/>
  <c r="F181" i="19"/>
  <c r="H181" i="19" s="1"/>
  <c r="E182" i="19"/>
  <c r="D183" i="19"/>
  <c r="D184" i="19"/>
  <c r="G185" i="19"/>
  <c r="H185" i="19" s="1"/>
  <c r="F186" i="19"/>
  <c r="F187" i="19"/>
  <c r="F188" i="19"/>
  <c r="F189" i="19"/>
  <c r="F190" i="19"/>
  <c r="H190" i="19" s="1"/>
  <c r="E191" i="19"/>
  <c r="E192" i="19"/>
  <c r="D193" i="19"/>
  <c r="G194" i="19"/>
  <c r="H194" i="19" s="1"/>
  <c r="F195" i="19"/>
  <c r="E196" i="19"/>
  <c r="G198" i="19"/>
  <c r="G202" i="19"/>
  <c r="H202" i="19" s="1"/>
  <c r="F207" i="19"/>
  <c r="H207" i="19" s="1"/>
  <c r="D212" i="19"/>
  <c r="E213" i="19"/>
  <c r="G214" i="19"/>
  <c r="G215" i="19"/>
  <c r="H215" i="19" s="1"/>
  <c r="E216" i="19"/>
  <c r="G217" i="19"/>
  <c r="H217" i="19" s="1"/>
  <c r="E218" i="19"/>
  <c r="E222" i="19"/>
  <c r="G223" i="19"/>
  <c r="G224" i="19"/>
  <c r="H224" i="19" s="1"/>
  <c r="F228" i="19"/>
  <c r="H228" i="19" s="1"/>
  <c r="G229" i="19"/>
  <c r="H229" i="19" s="1"/>
  <c r="F232" i="19"/>
  <c r="F233" i="19"/>
  <c r="G235" i="19"/>
  <c r="F238" i="19"/>
  <c r="F239" i="19"/>
  <c r="E240" i="19"/>
  <c r="G243" i="19"/>
  <c r="H243" i="19" s="1"/>
  <c r="M243" i="19" s="1"/>
  <c r="G246" i="19"/>
  <c r="G247" i="19"/>
  <c r="H247" i="19" s="1"/>
  <c r="D256" i="19"/>
  <c r="E257" i="19"/>
  <c r="O257" i="19"/>
  <c r="G260" i="19"/>
  <c r="H260" i="19" s="1"/>
  <c r="M260" i="19" s="1"/>
  <c r="G261" i="19"/>
  <c r="H261" i="19" s="1"/>
  <c r="M261" i="19" s="1"/>
  <c r="G262" i="19"/>
  <c r="G263" i="19"/>
  <c r="G264" i="19"/>
  <c r="G265" i="19"/>
  <c r="H265" i="19" s="1"/>
  <c r="M265" i="19" s="1"/>
  <c r="F266" i="19"/>
  <c r="F268" i="19"/>
  <c r="H268" i="19" s="1"/>
  <c r="D273" i="19"/>
  <c r="G275" i="19"/>
  <c r="H275" i="19" s="1"/>
  <c r="Q276" i="19"/>
  <c r="F277" i="19"/>
  <c r="H277" i="19" s="1"/>
  <c r="F278" i="19"/>
  <c r="H278" i="19" s="1"/>
  <c r="F282" i="19"/>
  <c r="H282" i="19" s="1"/>
  <c r="E287" i="19"/>
  <c r="G288" i="19"/>
  <c r="F291" i="19"/>
  <c r="H291" i="19" s="1"/>
  <c r="F292" i="19"/>
  <c r="H292" i="19" s="1"/>
  <c r="G294" i="19"/>
  <c r="G295" i="19"/>
  <c r="E298" i="19"/>
  <c r="G301" i="19"/>
  <c r="F304" i="19"/>
  <c r="G305" i="19"/>
  <c r="H305" i="19" s="1"/>
  <c r="O305" i="19"/>
  <c r="G308" i="19"/>
  <c r="H308" i="19" s="1"/>
  <c r="E317" i="19"/>
  <c r="G318" i="19"/>
  <c r="E321" i="19"/>
  <c r="E323" i="19"/>
  <c r="F324" i="19"/>
  <c r="H324" i="19" s="1"/>
  <c r="G325" i="19"/>
  <c r="E330" i="19"/>
  <c r="G331" i="19"/>
  <c r="H331" i="19" s="1"/>
  <c r="F334" i="19"/>
  <c r="F337" i="19"/>
  <c r="H337" i="19" s="1"/>
  <c r="G339" i="19"/>
  <c r="F342" i="19"/>
  <c r="H342" i="19" s="1"/>
  <c r="E200" i="19"/>
  <c r="F206" i="19"/>
  <c r="F227" i="19"/>
  <c r="O267" i="19"/>
  <c r="F267" i="19"/>
  <c r="F281" i="19"/>
  <c r="F286" i="19"/>
  <c r="F290" i="19"/>
  <c r="E297" i="19"/>
  <c r="D298" i="19"/>
  <c r="E303" i="19"/>
  <c r="E306" i="19"/>
  <c r="D307" i="19"/>
  <c r="E311" i="19"/>
  <c r="D312" i="19"/>
  <c r="F316" i="19"/>
  <c r="H316" i="19" s="1"/>
  <c r="E320" i="19"/>
  <c r="D321" i="19"/>
  <c r="E333" i="19"/>
  <c r="G148" i="19"/>
  <c r="G164" i="19"/>
  <c r="D317" i="19"/>
  <c r="D323" i="19"/>
  <c r="E324" i="19"/>
  <c r="E337" i="19"/>
  <c r="E339" i="19"/>
  <c r="E231" i="19"/>
  <c r="E201" i="19"/>
  <c r="E207" i="19"/>
  <c r="E238" i="19"/>
  <c r="D239" i="19"/>
  <c r="O240" i="19"/>
  <c r="F240" i="19"/>
  <c r="H240" i="19" s="1"/>
  <c r="D241" i="19"/>
  <c r="O245" i="19"/>
  <c r="F245" i="19"/>
  <c r="O259" i="19"/>
  <c r="F259" i="19"/>
  <c r="H259" i="19" s="1"/>
  <c r="E266" i="19"/>
  <c r="E268" i="19"/>
  <c r="D269" i="19"/>
  <c r="E274" i="19"/>
  <c r="E282" i="19"/>
  <c r="D283" i="19"/>
  <c r="F330" i="19"/>
  <c r="H330" i="19" s="1"/>
  <c r="E334" i="19"/>
  <c r="D337" i="19"/>
  <c r="D342" i="19"/>
  <c r="G154" i="19"/>
  <c r="G155" i="19"/>
  <c r="G200" i="19"/>
  <c r="G206" i="19"/>
  <c r="H219" i="19"/>
  <c r="H254" i="19"/>
  <c r="M254" i="19" s="1"/>
  <c r="G256" i="19"/>
  <c r="G257" i="19"/>
  <c r="G267" i="19"/>
  <c r="G273" i="19"/>
  <c r="H273" i="19" s="1"/>
  <c r="G281" i="19"/>
  <c r="A25" i="29"/>
  <c r="A26" i="29" s="1"/>
  <c r="G205" i="19"/>
  <c r="G208" i="19"/>
  <c r="G211" i="19"/>
  <c r="H211" i="19" s="1"/>
  <c r="G220" i="19"/>
  <c r="G221" i="19"/>
  <c r="H221" i="19" s="1"/>
  <c r="G225" i="19"/>
  <c r="H225" i="19" s="1"/>
  <c r="G234" i="19"/>
  <c r="H234" i="19" s="1"/>
  <c r="G237" i="19"/>
  <c r="H237" i="19" s="1"/>
  <c r="G242" i="19"/>
  <c r="H242" i="19" s="1"/>
  <c r="M242" i="19" s="1"/>
  <c r="G244" i="19"/>
  <c r="G248" i="19"/>
  <c r="H248" i="19" s="1"/>
  <c r="M248" i="19" s="1"/>
  <c r="G258" i="19"/>
  <c r="H258" i="19" s="1"/>
  <c r="M258" i="19" s="1"/>
  <c r="G270" i="19"/>
  <c r="G271" i="19"/>
  <c r="H271" i="19" s="1"/>
  <c r="G280" i="19"/>
  <c r="H280" i="19" s="1"/>
  <c r="G285" i="19"/>
  <c r="H285" i="19" s="1"/>
  <c r="G293" i="19"/>
  <c r="H293" i="19" s="1"/>
  <c r="G299" i="19"/>
  <c r="G300" i="19"/>
  <c r="G309" i="19"/>
  <c r="H309" i="19" s="1"/>
  <c r="G314" i="19"/>
  <c r="G322" i="19"/>
  <c r="H322" i="19" s="1"/>
  <c r="G328" i="19"/>
  <c r="H328" i="19" s="1"/>
  <c r="G329" i="19"/>
  <c r="G338" i="19"/>
  <c r="H347" i="19"/>
  <c r="L144" i="19"/>
  <c r="C144" i="19"/>
  <c r="D144" i="19" s="1"/>
  <c r="V143" i="19"/>
  <c r="L143" i="19"/>
  <c r="D143" i="19"/>
  <c r="C143" i="19"/>
  <c r="E143" i="19" s="1"/>
  <c r="V142" i="19"/>
  <c r="L142" i="19"/>
  <c r="C142" i="19"/>
  <c r="D142" i="19" s="1"/>
  <c r="V141" i="19"/>
  <c r="L141" i="19"/>
  <c r="C141" i="19"/>
  <c r="E141" i="19" s="1"/>
  <c r="V140" i="19"/>
  <c r="L140" i="19"/>
  <c r="C140" i="19"/>
  <c r="E140" i="19" s="1"/>
  <c r="V139" i="19"/>
  <c r="L139" i="19"/>
  <c r="H139" i="19"/>
  <c r="C139" i="19"/>
  <c r="D139" i="19" s="1"/>
  <c r="V138" i="19"/>
  <c r="L138" i="19"/>
  <c r="C138" i="19"/>
  <c r="D138" i="19" s="1"/>
  <c r="V137" i="19"/>
  <c r="L137" i="19"/>
  <c r="C137" i="19"/>
  <c r="D137" i="19" s="1"/>
  <c r="V136" i="19"/>
  <c r="L136" i="19"/>
  <c r="C136" i="19"/>
  <c r="E136" i="19" s="1"/>
  <c r="V135" i="19"/>
  <c r="L135" i="19"/>
  <c r="C135" i="19"/>
  <c r="E135" i="19" s="1"/>
  <c r="V134" i="19"/>
  <c r="L134" i="19"/>
  <c r="C134" i="19"/>
  <c r="D134" i="19" s="1"/>
  <c r="V133" i="19"/>
  <c r="L133" i="19"/>
  <c r="C133" i="19"/>
  <c r="D133" i="19" s="1"/>
  <c r="V132" i="19"/>
  <c r="L132" i="19"/>
  <c r="C132" i="19"/>
  <c r="D132" i="19" s="1"/>
  <c r="V131" i="19"/>
  <c r="P131" i="19"/>
  <c r="L131" i="19"/>
  <c r="C131" i="19"/>
  <c r="F131" i="19" s="1"/>
  <c r="V130" i="19"/>
  <c r="L130" i="19"/>
  <c r="C130" i="19"/>
  <c r="F130" i="19" s="1"/>
  <c r="V129" i="19"/>
  <c r="L129" i="19"/>
  <c r="C129" i="19"/>
  <c r="F129" i="19" s="1"/>
  <c r="V128" i="19"/>
  <c r="L128" i="19"/>
  <c r="C128" i="19"/>
  <c r="F128" i="19" s="1"/>
  <c r="V127" i="19"/>
  <c r="L127" i="19"/>
  <c r="C127" i="19"/>
  <c r="E127" i="19" s="1"/>
  <c r="V126" i="19"/>
  <c r="L126" i="19"/>
  <c r="C126" i="19"/>
  <c r="E126" i="19" s="1"/>
  <c r="V125" i="19"/>
  <c r="L125" i="19"/>
  <c r="C125" i="19"/>
  <c r="F125" i="19" s="1"/>
  <c r="V124" i="19"/>
  <c r="L124" i="19"/>
  <c r="C124" i="19"/>
  <c r="E124" i="19" s="1"/>
  <c r="V123" i="19"/>
  <c r="L123" i="19"/>
  <c r="C123" i="19"/>
  <c r="D123" i="19" s="1"/>
  <c r="V122" i="19"/>
  <c r="L122" i="19"/>
  <c r="C122" i="19"/>
  <c r="E122" i="19" s="1"/>
  <c r="V121" i="19"/>
  <c r="L121" i="19"/>
  <c r="C121" i="19"/>
  <c r="E121" i="19" s="1"/>
  <c r="V120" i="19"/>
  <c r="L120" i="19"/>
  <c r="C120" i="19"/>
  <c r="E120" i="19" s="1"/>
  <c r="V119" i="19"/>
  <c r="L119" i="19"/>
  <c r="C119" i="19"/>
  <c r="E119" i="19" s="1"/>
  <c r="V118" i="19"/>
  <c r="L118" i="19"/>
  <c r="C118" i="19"/>
  <c r="D118" i="19" s="1"/>
  <c r="V117" i="19"/>
  <c r="L117" i="19"/>
  <c r="C117" i="19"/>
  <c r="D117" i="19" s="1"/>
  <c r="V116" i="19"/>
  <c r="L116" i="19"/>
  <c r="C116" i="19"/>
  <c r="E116" i="19" s="1"/>
  <c r="V115" i="19"/>
  <c r="L115" i="19"/>
  <c r="C115" i="19"/>
  <c r="E115" i="19" s="1"/>
  <c r="V114" i="19"/>
  <c r="L114" i="19"/>
  <c r="C114" i="19"/>
  <c r="F114" i="19" s="1"/>
  <c r="V113" i="19"/>
  <c r="L113" i="19"/>
  <c r="C113" i="19"/>
  <c r="D113" i="19" s="1"/>
  <c r="V112" i="19"/>
  <c r="L112" i="19"/>
  <c r="C112" i="19"/>
  <c r="D112" i="19" s="1"/>
  <c r="V111" i="19"/>
  <c r="L111" i="19"/>
  <c r="H300" i="19" l="1"/>
  <c r="H180" i="19"/>
  <c r="M180" i="19" s="1"/>
  <c r="H296" i="19"/>
  <c r="H320" i="19"/>
  <c r="H311" i="19"/>
  <c r="H303" i="19"/>
  <c r="H195" i="19"/>
  <c r="H187" i="19"/>
  <c r="H158" i="19"/>
  <c r="H329" i="19"/>
  <c r="H220" i="19"/>
  <c r="H245" i="19"/>
  <c r="M245" i="19" s="1"/>
  <c r="H290" i="19"/>
  <c r="H233" i="19"/>
  <c r="H338" i="19"/>
  <c r="H314" i="19"/>
  <c r="H270" i="19"/>
  <c r="H205" i="19"/>
  <c r="H334" i="19"/>
  <c r="H266" i="19"/>
  <c r="M266" i="19" s="1"/>
  <c r="H214" i="19"/>
  <c r="H182" i="19"/>
  <c r="H176" i="19"/>
  <c r="H153" i="19"/>
  <c r="H272" i="19"/>
  <c r="H252" i="19"/>
  <c r="M252" i="19" s="1"/>
  <c r="H299" i="19"/>
  <c r="H244" i="19"/>
  <c r="M244" i="19" s="1"/>
  <c r="H208" i="19"/>
  <c r="H263" i="19"/>
  <c r="M263" i="19" s="1"/>
  <c r="H246" i="19"/>
  <c r="M246" i="19" s="1"/>
  <c r="H171" i="19"/>
  <c r="H196" i="19"/>
  <c r="H162" i="19"/>
  <c r="D119" i="19"/>
  <c r="D120" i="19"/>
  <c r="D122" i="19"/>
  <c r="D125" i="19"/>
  <c r="D114" i="19"/>
  <c r="D115" i="19"/>
  <c r="E125" i="19"/>
  <c r="H295" i="19"/>
  <c r="H238" i="19"/>
  <c r="M238" i="19" s="1"/>
  <c r="H175" i="19"/>
  <c r="H191" i="19"/>
  <c r="H319" i="19"/>
  <c r="M251" i="19"/>
  <c r="D135" i="19"/>
  <c r="D136" i="19"/>
  <c r="D116" i="19"/>
  <c r="D126" i="19"/>
  <c r="D127" i="19"/>
  <c r="M139" i="19"/>
  <c r="H304" i="19"/>
  <c r="H186" i="19"/>
  <c r="H178" i="19"/>
  <c r="H174" i="19"/>
  <c r="H157" i="19"/>
  <c r="H151" i="19"/>
  <c r="M151" i="19" s="1"/>
  <c r="H146" i="19"/>
  <c r="H147" i="19"/>
  <c r="H333" i="19"/>
  <c r="H189" i="19"/>
  <c r="H340" i="19"/>
  <c r="D140" i="19"/>
  <c r="D141" i="19"/>
  <c r="F135" i="19"/>
  <c r="E142" i="19"/>
  <c r="D128" i="19"/>
  <c r="D129" i="19"/>
  <c r="D130" i="19"/>
  <c r="D131" i="19"/>
  <c r="H286" i="19"/>
  <c r="H227" i="19"/>
  <c r="H239" i="19"/>
  <c r="M239" i="19" s="1"/>
  <c r="H232" i="19"/>
  <c r="H223" i="19"/>
  <c r="H192" i="19"/>
  <c r="H179" i="19"/>
  <c r="H163" i="19"/>
  <c r="H150" i="19"/>
  <c r="H312" i="19"/>
  <c r="H267" i="19"/>
  <c r="M267" i="19" s="1"/>
  <c r="M296" i="19"/>
  <c r="M253" i="19"/>
  <c r="H193" i="19"/>
  <c r="H281" i="19"/>
  <c r="F119" i="19"/>
  <c r="F126" i="19"/>
  <c r="F140" i="19"/>
  <c r="E144" i="19"/>
  <c r="M240" i="19"/>
  <c r="H159" i="19"/>
  <c r="H177" i="19"/>
  <c r="H249" i="19"/>
  <c r="M249" i="19" s="1"/>
  <c r="M259" i="19"/>
  <c r="H198" i="19"/>
  <c r="H231" i="19"/>
  <c r="M305" i="19"/>
  <c r="Q305" i="19"/>
  <c r="M247" i="19"/>
  <c r="Q247" i="19"/>
  <c r="E112" i="19"/>
  <c r="E113" i="19"/>
  <c r="G115" i="19"/>
  <c r="G116" i="19"/>
  <c r="F117" i="19"/>
  <c r="E118" i="19"/>
  <c r="G120" i="19"/>
  <c r="G122" i="19"/>
  <c r="F123" i="19"/>
  <c r="G127" i="19"/>
  <c r="F132" i="19"/>
  <c r="E133" i="19"/>
  <c r="E134" i="19"/>
  <c r="G136" i="19"/>
  <c r="F137" i="19"/>
  <c r="E138" i="19"/>
  <c r="E139" i="19"/>
  <c r="G141" i="19"/>
  <c r="G142" i="19"/>
  <c r="G143" i="19"/>
  <c r="G144" i="19"/>
  <c r="H160" i="19"/>
  <c r="H152" i="19"/>
  <c r="Q218" i="19"/>
  <c r="H298" i="19"/>
  <c r="H164" i="19"/>
  <c r="H339" i="19"/>
  <c r="H318" i="19"/>
  <c r="H262" i="19"/>
  <c r="A27" i="29"/>
  <c r="Q334" i="19"/>
  <c r="M334" i="19"/>
  <c r="G121" i="19"/>
  <c r="G124" i="19"/>
  <c r="F112" i="19"/>
  <c r="F113" i="19"/>
  <c r="G114" i="19"/>
  <c r="G117" i="19"/>
  <c r="F118" i="19"/>
  <c r="F121" i="19"/>
  <c r="G123" i="19"/>
  <c r="F124" i="19"/>
  <c r="H124" i="19" s="1"/>
  <c r="G128" i="19"/>
  <c r="H128" i="19" s="1"/>
  <c r="G129" i="19"/>
  <c r="H129" i="19" s="1"/>
  <c r="G130" i="19"/>
  <c r="H130" i="19" s="1"/>
  <c r="G131" i="19"/>
  <c r="H131" i="19" s="1"/>
  <c r="O131" i="19"/>
  <c r="G132" i="19"/>
  <c r="F133" i="19"/>
  <c r="F134" i="19"/>
  <c r="G137" i="19"/>
  <c r="F138" i="19"/>
  <c r="E114" i="19"/>
  <c r="F115" i="19"/>
  <c r="F116" i="19"/>
  <c r="H116" i="19" s="1"/>
  <c r="E117" i="19"/>
  <c r="G119" i="19"/>
  <c r="F120" i="19"/>
  <c r="D121" i="19"/>
  <c r="F122" i="19"/>
  <c r="H122" i="19" s="1"/>
  <c r="O122" i="19"/>
  <c r="E123" i="19"/>
  <c r="D124" i="19"/>
  <c r="G125" i="19"/>
  <c r="H125" i="19" s="1"/>
  <c r="G126" i="19"/>
  <c r="F127" i="19"/>
  <c r="H127" i="19" s="1"/>
  <c r="E128" i="19"/>
  <c r="E129" i="19"/>
  <c r="E130" i="19"/>
  <c r="E131" i="19"/>
  <c r="E132" i="19"/>
  <c r="G135" i="19"/>
  <c r="H135" i="19" s="1"/>
  <c r="F136" i="19"/>
  <c r="E137" i="19"/>
  <c r="G140" i="19"/>
  <c r="H140" i="19" s="1"/>
  <c r="F141" i="19"/>
  <c r="F142" i="19"/>
  <c r="F143" i="19"/>
  <c r="H143" i="19" s="1"/>
  <c r="F144" i="19"/>
  <c r="H144" i="19" s="1"/>
  <c r="H206" i="19"/>
  <c r="H188" i="19"/>
  <c r="H200" i="19"/>
  <c r="H307" i="19"/>
  <c r="H257" i="19"/>
  <c r="M257" i="19" s="1"/>
  <c r="H169" i="19"/>
  <c r="H154" i="19"/>
  <c r="H264" i="19"/>
  <c r="M264" i="19" s="1"/>
  <c r="M189" i="19"/>
  <c r="Q189" i="19"/>
  <c r="G112" i="19"/>
  <c r="G113" i="19"/>
  <c r="H113" i="19" s="1"/>
  <c r="H114" i="19"/>
  <c r="G118" i="19"/>
  <c r="G133" i="19"/>
  <c r="G134" i="19"/>
  <c r="H297" i="19"/>
  <c r="H184" i="19"/>
  <c r="H155" i="19"/>
  <c r="H294" i="19"/>
  <c r="H317" i="19"/>
  <c r="H213" i="19"/>
  <c r="H212" i="19"/>
  <c r="G138" i="19"/>
  <c r="H148" i="19"/>
  <c r="H325" i="19"/>
  <c r="M325" i="19" s="1"/>
  <c r="H301" i="19"/>
  <c r="H288" i="19"/>
  <c r="M262" i="19"/>
  <c r="H235" i="19"/>
  <c r="H256" i="19"/>
  <c r="M256" i="19" s="1"/>
  <c r="C111" i="19"/>
  <c r="D111" i="19" s="1"/>
  <c r="V110" i="19"/>
  <c r="L110" i="19"/>
  <c r="H110" i="19"/>
  <c r="C110" i="19"/>
  <c r="D110" i="19" s="1"/>
  <c r="V109" i="19"/>
  <c r="L109" i="19"/>
  <c r="C109" i="19"/>
  <c r="D109" i="19" s="1"/>
  <c r="V108" i="19"/>
  <c r="L108" i="19"/>
  <c r="C108" i="19"/>
  <c r="V107" i="19"/>
  <c r="L107" i="19"/>
  <c r="C107" i="19"/>
  <c r="V106" i="19"/>
  <c r="L106" i="19"/>
  <c r="E106" i="19"/>
  <c r="C106" i="19"/>
  <c r="D106" i="19" s="1"/>
  <c r="V105" i="19"/>
  <c r="L105" i="19"/>
  <c r="C105" i="19"/>
  <c r="D105" i="19" s="1"/>
  <c r="V104" i="19"/>
  <c r="L104" i="19"/>
  <c r="D104" i="19"/>
  <c r="C104" i="19"/>
  <c r="E104" i="19" s="1"/>
  <c r="V103" i="19"/>
  <c r="L103" i="19"/>
  <c r="C103" i="19"/>
  <c r="D103" i="19" s="1"/>
  <c r="V102" i="19"/>
  <c r="P102" i="19"/>
  <c r="L102" i="19"/>
  <c r="D102" i="19"/>
  <c r="C102" i="19"/>
  <c r="E102" i="19" s="1"/>
  <c r="V101" i="19"/>
  <c r="L101" i="19"/>
  <c r="E101" i="19"/>
  <c r="C101" i="19"/>
  <c r="D101" i="19" s="1"/>
  <c r="V100" i="19"/>
  <c r="L100" i="19"/>
  <c r="C100" i="19"/>
  <c r="D100" i="19" s="1"/>
  <c r="V99" i="19"/>
  <c r="L99" i="19"/>
  <c r="C99" i="19"/>
  <c r="D99" i="19" s="1"/>
  <c r="V98" i="19"/>
  <c r="L98" i="19"/>
  <c r="C98" i="19"/>
  <c r="D98" i="19" s="1"/>
  <c r="V97" i="19"/>
  <c r="L97" i="19"/>
  <c r="C97" i="19"/>
  <c r="D97" i="19" s="1"/>
  <c r="V96" i="19"/>
  <c r="L96" i="19"/>
  <c r="C96" i="19"/>
  <c r="E96" i="19" s="1"/>
  <c r="V95" i="19"/>
  <c r="L95" i="19"/>
  <c r="C95" i="19"/>
  <c r="D95" i="19" s="1"/>
  <c r="V94" i="19"/>
  <c r="L94" i="19"/>
  <c r="C94" i="19"/>
  <c r="V93" i="19"/>
  <c r="L93" i="19"/>
  <c r="D93" i="19"/>
  <c r="C93" i="19"/>
  <c r="V92" i="19"/>
  <c r="L92" i="19"/>
  <c r="C92" i="19"/>
  <c r="D92" i="19" s="1"/>
  <c r="V91" i="19"/>
  <c r="L91" i="19"/>
  <c r="C91" i="19"/>
  <c r="D91" i="19" s="1"/>
  <c r="V90" i="19"/>
  <c r="L90" i="19"/>
  <c r="C90" i="19"/>
  <c r="E90" i="19" s="1"/>
  <c r="V89" i="19"/>
  <c r="L89" i="19"/>
  <c r="C89" i="19"/>
  <c r="E89" i="19" s="1"/>
  <c r="V88" i="19"/>
  <c r="L88" i="19"/>
  <c r="C88" i="19"/>
  <c r="E88" i="19" s="1"/>
  <c r="V87" i="19"/>
  <c r="L87" i="19"/>
  <c r="C87" i="19"/>
  <c r="D87" i="19" s="1"/>
  <c r="V86" i="19"/>
  <c r="L86" i="19"/>
  <c r="C86" i="19"/>
  <c r="D86" i="19" s="1"/>
  <c r="V85" i="19"/>
  <c r="L85" i="19"/>
  <c r="C85" i="19"/>
  <c r="D85" i="19" s="1"/>
  <c r="V84" i="19"/>
  <c r="L84" i="19"/>
  <c r="C84" i="19"/>
  <c r="D84" i="19" s="1"/>
  <c r="V83" i="19"/>
  <c r="L83" i="19"/>
  <c r="C83" i="19"/>
  <c r="D83" i="19" s="1"/>
  <c r="V82" i="19"/>
  <c r="L82" i="19"/>
  <c r="D82" i="19"/>
  <c r="C82" i="19"/>
  <c r="E82" i="19" s="1"/>
  <c r="V81" i="19"/>
  <c r="L81" i="19"/>
  <c r="H81" i="19"/>
  <c r="M81" i="19" s="1"/>
  <c r="C81" i="19"/>
  <c r="E81" i="19" s="1"/>
  <c r="V80" i="19"/>
  <c r="L80" i="19"/>
  <c r="E80" i="19"/>
  <c r="D80" i="19"/>
  <c r="C80" i="19"/>
  <c r="F80" i="19" s="1"/>
  <c r="V79" i="19"/>
  <c r="L79" i="19"/>
  <c r="C79" i="19"/>
  <c r="V78" i="19"/>
  <c r="L78" i="19"/>
  <c r="D78" i="19"/>
  <c r="C78" i="19"/>
  <c r="V77" i="19"/>
  <c r="L77" i="19"/>
  <c r="E77" i="19"/>
  <c r="D77" i="19"/>
  <c r="C77" i="19"/>
  <c r="V76" i="19"/>
  <c r="L76" i="19"/>
  <c r="D76" i="19"/>
  <c r="C76" i="19"/>
  <c r="E76" i="19" s="1"/>
  <c r="V75" i="19"/>
  <c r="L75" i="19"/>
  <c r="C75" i="19"/>
  <c r="D75" i="19" s="1"/>
  <c r="V74" i="19"/>
  <c r="L74" i="19"/>
  <c r="C74" i="19"/>
  <c r="D74" i="19" s="1"/>
  <c r="V73" i="19"/>
  <c r="P73" i="19"/>
  <c r="L73" i="19"/>
  <c r="C73" i="19"/>
  <c r="D73" i="19" s="1"/>
  <c r="V72" i="19"/>
  <c r="L72" i="19"/>
  <c r="C72" i="19"/>
  <c r="D72" i="19" s="1"/>
  <c r="V71" i="19"/>
  <c r="L71" i="19"/>
  <c r="C71" i="19"/>
  <c r="D71" i="19" s="1"/>
  <c r="V70" i="19"/>
  <c r="L70" i="19"/>
  <c r="C70" i="19"/>
  <c r="D70" i="19" s="1"/>
  <c r="V69" i="19"/>
  <c r="L69" i="19"/>
  <c r="C69" i="19"/>
  <c r="D69" i="19" s="1"/>
  <c r="V68" i="19"/>
  <c r="L68" i="19"/>
  <c r="C68" i="19"/>
  <c r="D68" i="19" s="1"/>
  <c r="V67" i="19"/>
  <c r="L67" i="19"/>
  <c r="D67" i="19"/>
  <c r="C67" i="19"/>
  <c r="E67" i="19" s="1"/>
  <c r="V66" i="19"/>
  <c r="L66" i="19"/>
  <c r="D66" i="19"/>
  <c r="C66" i="19"/>
  <c r="E66" i="19" s="1"/>
  <c r="V65" i="19"/>
  <c r="L65" i="19"/>
  <c r="C65" i="19"/>
  <c r="D65" i="19" s="1"/>
  <c r="V64" i="19"/>
  <c r="L64" i="19"/>
  <c r="C64" i="19"/>
  <c r="D64" i="19" s="1"/>
  <c r="V63" i="19"/>
  <c r="L63" i="19"/>
  <c r="C63" i="19"/>
  <c r="D63" i="19" s="1"/>
  <c r="V62" i="19"/>
  <c r="L62" i="19"/>
  <c r="C62" i="19"/>
  <c r="D62" i="19" s="1"/>
  <c r="V61" i="19"/>
  <c r="L61" i="19"/>
  <c r="D61" i="19"/>
  <c r="C61" i="19"/>
  <c r="E61" i="19" s="1"/>
  <c r="V60" i="19"/>
  <c r="L60" i="19"/>
  <c r="C60" i="19"/>
  <c r="D60" i="19" s="1"/>
  <c r="V59" i="19"/>
  <c r="L59" i="19"/>
  <c r="C59" i="19"/>
  <c r="V58" i="19"/>
  <c r="L58" i="19"/>
  <c r="D58" i="19"/>
  <c r="C58" i="19"/>
  <c r="V57" i="19"/>
  <c r="L57" i="19"/>
  <c r="D57" i="19"/>
  <c r="C57" i="19"/>
  <c r="V56" i="19"/>
  <c r="L56" i="19"/>
  <c r="D56" i="19"/>
  <c r="C56" i="19"/>
  <c r="V55" i="19"/>
  <c r="L55" i="19"/>
  <c r="D55" i="19"/>
  <c r="C55" i="19"/>
  <c r="V54" i="19"/>
  <c r="L54" i="19"/>
  <c r="D54" i="19"/>
  <c r="C54" i="19"/>
  <c r="V53" i="19"/>
  <c r="L53" i="19"/>
  <c r="C53" i="19"/>
  <c r="D53" i="19" s="1"/>
  <c r="V52" i="19"/>
  <c r="L52" i="19"/>
  <c r="H52" i="19"/>
  <c r="D52" i="19"/>
  <c r="C52" i="19"/>
  <c r="E52" i="19" s="1"/>
  <c r="V51" i="19"/>
  <c r="L51" i="19"/>
  <c r="F51" i="19"/>
  <c r="E51" i="19"/>
  <c r="D51" i="19"/>
  <c r="C51" i="19"/>
  <c r="V50" i="19"/>
  <c r="L50" i="19"/>
  <c r="C50" i="19"/>
  <c r="E50" i="19" s="1"/>
  <c r="V49" i="19"/>
  <c r="L49" i="19"/>
  <c r="D49" i="19"/>
  <c r="C49" i="19"/>
  <c r="V48" i="19"/>
  <c r="L48" i="19"/>
  <c r="E48" i="19"/>
  <c r="D48" i="19"/>
  <c r="C48" i="19"/>
  <c r="V47" i="19"/>
  <c r="L47" i="19"/>
  <c r="D47" i="19"/>
  <c r="C47" i="19"/>
  <c r="E47" i="19" s="1"/>
  <c r="V46" i="19"/>
  <c r="L46" i="19"/>
  <c r="D46" i="19"/>
  <c r="C46" i="19"/>
  <c r="E46" i="19" s="1"/>
  <c r="V45" i="19"/>
  <c r="L45" i="19"/>
  <c r="C45" i="19"/>
  <c r="V44" i="19"/>
  <c r="P44" i="19"/>
  <c r="L44" i="19"/>
  <c r="C44" i="19"/>
  <c r="V43" i="19"/>
  <c r="L43" i="19"/>
  <c r="C43" i="19"/>
  <c r="V42" i="19"/>
  <c r="L42" i="19"/>
  <c r="C42" i="19"/>
  <c r="V41" i="19"/>
  <c r="L41" i="19"/>
  <c r="C41" i="19"/>
  <c r="V40" i="19"/>
  <c r="L40" i="19"/>
  <c r="D40" i="19"/>
  <c r="C40" i="19"/>
  <c r="V39" i="19"/>
  <c r="L39" i="19"/>
  <c r="C39" i="19"/>
  <c r="D39" i="19" s="1"/>
  <c r="V38" i="19"/>
  <c r="L38" i="19"/>
  <c r="C38" i="19"/>
  <c r="E38" i="19" s="1"/>
  <c r="V37" i="19"/>
  <c r="L37" i="19"/>
  <c r="E37" i="19"/>
  <c r="D37" i="19"/>
  <c r="C37" i="19"/>
  <c r="F37" i="19" s="1"/>
  <c r="V36" i="19"/>
  <c r="L36" i="19"/>
  <c r="C36" i="19"/>
  <c r="V35" i="19"/>
  <c r="L35" i="19"/>
  <c r="D35" i="19"/>
  <c r="C35" i="19"/>
  <c r="V34" i="19"/>
  <c r="L34" i="19"/>
  <c r="C34" i="19"/>
  <c r="D34" i="19" s="1"/>
  <c r="V33" i="19"/>
  <c r="L33" i="19"/>
  <c r="C33" i="19"/>
  <c r="D33" i="19" s="1"/>
  <c r="V32" i="19"/>
  <c r="L32" i="19"/>
  <c r="D32" i="19"/>
  <c r="C32" i="19"/>
  <c r="E32" i="19" s="1"/>
  <c r="V31" i="19"/>
  <c r="L31" i="19"/>
  <c r="D31" i="19"/>
  <c r="C31" i="19"/>
  <c r="E31" i="19" s="1"/>
  <c r="V30" i="19"/>
  <c r="L30" i="19"/>
  <c r="C30" i="19"/>
  <c r="D30" i="19" s="1"/>
  <c r="V29" i="19"/>
  <c r="L29" i="19"/>
  <c r="C29" i="19"/>
  <c r="D29" i="19" s="1"/>
  <c r="V28" i="19"/>
  <c r="L28" i="19"/>
  <c r="C28" i="19"/>
  <c r="D28" i="19" s="1"/>
  <c r="V27" i="19"/>
  <c r="L27" i="19"/>
  <c r="C27" i="19"/>
  <c r="D27" i="19" s="1"/>
  <c r="V26" i="19"/>
  <c r="L26" i="19"/>
  <c r="C26" i="19"/>
  <c r="D26" i="19" s="1"/>
  <c r="V25" i="19"/>
  <c r="L25" i="19"/>
  <c r="C25" i="19"/>
  <c r="D25" i="19" s="1"/>
  <c r="V24" i="19"/>
  <c r="L24" i="19"/>
  <c r="D24" i="19"/>
  <c r="C24" i="19"/>
  <c r="E24" i="19" s="1"/>
  <c r="V23" i="19"/>
  <c r="L23" i="19"/>
  <c r="H23" i="19"/>
  <c r="M23" i="19" s="1"/>
  <c r="C23" i="19"/>
  <c r="E23" i="19" s="1"/>
  <c r="V22" i="19"/>
  <c r="L22" i="19"/>
  <c r="C22" i="19"/>
  <c r="D22" i="19" s="1"/>
  <c r="V21" i="19"/>
  <c r="L21" i="19"/>
  <c r="C21" i="19"/>
  <c r="V20" i="19"/>
  <c r="L20" i="19"/>
  <c r="C20" i="19"/>
  <c r="D20" i="19" s="1"/>
  <c r="V19" i="19"/>
  <c r="L19" i="19"/>
  <c r="C19" i="19"/>
  <c r="D19" i="19" s="1"/>
  <c r="V18" i="19"/>
  <c r="L18" i="19"/>
  <c r="C18" i="19"/>
  <c r="E18" i="19" s="1"/>
  <c r="V17" i="19"/>
  <c r="L17" i="19"/>
  <c r="D17" i="19"/>
  <c r="C17" i="19"/>
  <c r="F17" i="19" s="1"/>
  <c r="V16" i="19"/>
  <c r="L16" i="19"/>
  <c r="C16" i="19"/>
  <c r="E16" i="19" s="1"/>
  <c r="V15" i="19"/>
  <c r="P15" i="19"/>
  <c r="L15" i="19"/>
  <c r="C15" i="19"/>
  <c r="V14" i="19"/>
  <c r="L14" i="19"/>
  <c r="C14" i="19"/>
  <c r="E14" i="19" s="1"/>
  <c r="V13" i="19"/>
  <c r="L13" i="19"/>
  <c r="C13" i="19"/>
  <c r="E13" i="19" s="1"/>
  <c r="V12" i="19"/>
  <c r="L12" i="19"/>
  <c r="C12" i="19"/>
  <c r="V11" i="19"/>
  <c r="L11" i="19"/>
  <c r="C11" i="19"/>
  <c r="V10" i="19"/>
  <c r="L10" i="19"/>
  <c r="C10" i="19"/>
  <c r="V9" i="19"/>
  <c r="L9" i="19"/>
  <c r="C9" i="19"/>
  <c r="V8" i="19"/>
  <c r="L8" i="19"/>
  <c r="E8" i="19"/>
  <c r="C8" i="19"/>
  <c r="V7" i="19"/>
  <c r="L7" i="19"/>
  <c r="C7" i="19"/>
  <c r="G7" i="19" s="1"/>
  <c r="A7" i="19"/>
  <c r="V6" i="19"/>
  <c r="L6" i="19"/>
  <c r="C6" i="19"/>
  <c r="D6" i="19" s="1"/>
  <c r="M110" i="19" l="1"/>
  <c r="H119" i="19"/>
  <c r="H136" i="19"/>
  <c r="H141" i="19"/>
  <c r="H120" i="19"/>
  <c r="H115" i="19"/>
  <c r="H142" i="19"/>
  <c r="H126" i="19"/>
  <c r="D11" i="19"/>
  <c r="A8" i="19"/>
  <c r="A9" i="19" s="1"/>
  <c r="A10" i="19" s="1"/>
  <c r="A11" i="19" s="1"/>
  <c r="A12" i="19" s="1"/>
  <c r="A13" i="19" s="1"/>
  <c r="A14" i="19" s="1"/>
  <c r="A15" i="19" s="1"/>
  <c r="A16" i="19" s="1"/>
  <c r="E17" i="19"/>
  <c r="M52" i="19"/>
  <c r="D89" i="19"/>
  <c r="D90" i="19"/>
  <c r="D96" i="19"/>
  <c r="F8" i="19"/>
  <c r="D9" i="19"/>
  <c r="D23" i="19"/>
  <c r="F89" i="19"/>
  <c r="E100" i="19"/>
  <c r="D8" i="19"/>
  <c r="F60" i="19"/>
  <c r="F95" i="19"/>
  <c r="F103" i="19"/>
  <c r="E19" i="19"/>
  <c r="E22" i="19"/>
  <c r="F31" i="19"/>
  <c r="F46" i="19"/>
  <c r="E53" i="19"/>
  <c r="E60" i="19"/>
  <c r="F66" i="19"/>
  <c r="E75" i="19"/>
  <c r="E95" i="19"/>
  <c r="E103" i="19"/>
  <c r="F22" i="19"/>
  <c r="F75" i="19"/>
  <c r="D18" i="19"/>
  <c r="D38" i="19"/>
  <c r="D81" i="19"/>
  <c r="H121" i="19"/>
  <c r="E10" i="19"/>
  <c r="F18" i="19"/>
  <c r="E34" i="19"/>
  <c r="E39" i="19"/>
  <c r="E92" i="19"/>
  <c r="E105" i="19"/>
  <c r="F34" i="19"/>
  <c r="F63" i="19"/>
  <c r="F92" i="19"/>
  <c r="F111" i="19"/>
  <c r="E6" i="19"/>
  <c r="F47" i="19"/>
  <c r="E63" i="19"/>
  <c r="E68" i="19"/>
  <c r="F76" i="19"/>
  <c r="E97" i="19"/>
  <c r="E111" i="19"/>
  <c r="E9" i="19"/>
  <c r="D10" i="19"/>
  <c r="F109" i="19"/>
  <c r="Q131" i="19"/>
  <c r="M131" i="19"/>
  <c r="G21" i="19"/>
  <c r="G41" i="19"/>
  <c r="G42" i="19"/>
  <c r="G43" i="19"/>
  <c r="G44" i="19"/>
  <c r="O44" i="19"/>
  <c r="G45" i="19"/>
  <c r="G79" i="19"/>
  <c r="H138" i="19"/>
  <c r="H134" i="19"/>
  <c r="H118" i="19"/>
  <c r="H132" i="19"/>
  <c r="M160" i="19"/>
  <c r="Q160" i="19"/>
  <c r="G36" i="19"/>
  <c r="G59" i="19"/>
  <c r="G94" i="19"/>
  <c r="F7" i="19"/>
  <c r="H7" i="19" s="1"/>
  <c r="G11" i="19"/>
  <c r="F12" i="19"/>
  <c r="F13" i="19"/>
  <c r="F14" i="19"/>
  <c r="F15" i="19"/>
  <c r="F16" i="19"/>
  <c r="G20" i="19"/>
  <c r="F21" i="19"/>
  <c r="G25" i="19"/>
  <c r="G26" i="19"/>
  <c r="G27" i="19"/>
  <c r="G28" i="19"/>
  <c r="G29" i="19"/>
  <c r="F30" i="19"/>
  <c r="G33" i="19"/>
  <c r="G35" i="19"/>
  <c r="F36" i="19"/>
  <c r="H36" i="19" s="1"/>
  <c r="G40" i="19"/>
  <c r="F41" i="19"/>
  <c r="F42" i="19"/>
  <c r="F43" i="19"/>
  <c r="H43" i="19" s="1"/>
  <c r="F44" i="19"/>
  <c r="F45" i="19"/>
  <c r="G49" i="19"/>
  <c r="F50" i="19"/>
  <c r="G54" i="19"/>
  <c r="G55" i="19"/>
  <c r="G56" i="19"/>
  <c r="G57" i="19"/>
  <c r="G58" i="19"/>
  <c r="F59" i="19"/>
  <c r="H59" i="19" s="1"/>
  <c r="G62" i="19"/>
  <c r="G64" i="19"/>
  <c r="F65" i="19"/>
  <c r="G69" i="19"/>
  <c r="F70" i="19"/>
  <c r="F71" i="19"/>
  <c r="F72" i="19"/>
  <c r="F73" i="19"/>
  <c r="F74" i="19"/>
  <c r="G78" i="19"/>
  <c r="F79" i="19"/>
  <c r="H79" i="19" s="1"/>
  <c r="G83" i="19"/>
  <c r="G84" i="19"/>
  <c r="G85" i="19"/>
  <c r="G86" i="19"/>
  <c r="G87" i="19"/>
  <c r="F88" i="19"/>
  <c r="G91" i="19"/>
  <c r="G93" i="19"/>
  <c r="F94" i="19"/>
  <c r="H94" i="19" s="1"/>
  <c r="G98" i="19"/>
  <c r="G99" i="19"/>
  <c r="G107" i="19"/>
  <c r="G108" i="19"/>
  <c r="G6" i="19"/>
  <c r="E7" i="19"/>
  <c r="G9" i="19"/>
  <c r="G10" i="19"/>
  <c r="F11" i="19"/>
  <c r="E12" i="19"/>
  <c r="E15" i="19"/>
  <c r="G19" i="19"/>
  <c r="F20" i="19"/>
  <c r="E21" i="19"/>
  <c r="G24" i="19"/>
  <c r="F25" i="19"/>
  <c r="F26" i="19"/>
  <c r="H26" i="19" s="1"/>
  <c r="F27" i="19"/>
  <c r="F28" i="19"/>
  <c r="H28" i="19" s="1"/>
  <c r="F29" i="19"/>
  <c r="E30" i="19"/>
  <c r="G32" i="19"/>
  <c r="F33" i="19"/>
  <c r="F35" i="19"/>
  <c r="H35" i="19" s="1"/>
  <c r="O35" i="19"/>
  <c r="E36" i="19"/>
  <c r="G38" i="19"/>
  <c r="G39" i="19"/>
  <c r="F40" i="19"/>
  <c r="H40" i="19" s="1"/>
  <c r="E41" i="19"/>
  <c r="E42" i="19"/>
  <c r="E43" i="19"/>
  <c r="E44" i="19"/>
  <c r="E45" i="19"/>
  <c r="G48" i="19"/>
  <c r="F49" i="19"/>
  <c r="G53" i="19"/>
  <c r="F54" i="19"/>
  <c r="F55" i="19"/>
  <c r="F56" i="19"/>
  <c r="F57" i="19"/>
  <c r="F58" i="19"/>
  <c r="E59" i="19"/>
  <c r="G61" i="19"/>
  <c r="F62" i="19"/>
  <c r="H62" i="19" s="1"/>
  <c r="F64" i="19"/>
  <c r="H64" i="19" s="1"/>
  <c r="O64" i="19"/>
  <c r="E65" i="19"/>
  <c r="G67" i="19"/>
  <c r="G68" i="19"/>
  <c r="F69" i="19"/>
  <c r="E70" i="19"/>
  <c r="E71" i="19"/>
  <c r="E72" i="19"/>
  <c r="E73" i="19"/>
  <c r="E74" i="19"/>
  <c r="G77" i="19"/>
  <c r="F78" i="19"/>
  <c r="H78" i="19" s="1"/>
  <c r="E79" i="19"/>
  <c r="G82" i="19"/>
  <c r="F83" i="19"/>
  <c r="F84" i="19"/>
  <c r="F85" i="19"/>
  <c r="F86" i="19"/>
  <c r="F87" i="19"/>
  <c r="G90" i="19"/>
  <c r="F91" i="19"/>
  <c r="F93" i="19"/>
  <c r="O93" i="19"/>
  <c r="E94" i="19"/>
  <c r="G96" i="19"/>
  <c r="G97" i="19"/>
  <c r="F98" i="19"/>
  <c r="H98" i="19" s="1"/>
  <c r="F99" i="19"/>
  <c r="H99" i="19" s="1"/>
  <c r="G100" i="19"/>
  <c r="G101" i="19"/>
  <c r="G102" i="19"/>
  <c r="G104" i="19"/>
  <c r="G105" i="19"/>
  <c r="G106" i="19"/>
  <c r="F107" i="19"/>
  <c r="H107" i="19" s="1"/>
  <c r="F108" i="19"/>
  <c r="E109" i="19"/>
  <c r="E110" i="19"/>
  <c r="M122" i="19"/>
  <c r="H137" i="19"/>
  <c r="H123" i="19"/>
  <c r="G12" i="19"/>
  <c r="G13" i="19"/>
  <c r="G14" i="19"/>
  <c r="G15" i="19"/>
  <c r="O15" i="19"/>
  <c r="G16" i="19"/>
  <c r="G50" i="19"/>
  <c r="G88" i="19"/>
  <c r="F6" i="19"/>
  <c r="O6" i="19"/>
  <c r="D7" i="19"/>
  <c r="G8" i="19"/>
  <c r="H8" i="19" s="1"/>
  <c r="F9" i="19"/>
  <c r="H9" i="19" s="1"/>
  <c r="F10" i="19"/>
  <c r="H10" i="19" s="1"/>
  <c r="E11" i="19"/>
  <c r="D12" i="19"/>
  <c r="D13" i="19"/>
  <c r="D14" i="19"/>
  <c r="D15" i="19"/>
  <c r="D16" i="19"/>
  <c r="G17" i="19"/>
  <c r="H17" i="19" s="1"/>
  <c r="G18" i="19"/>
  <c r="H18" i="19" s="1"/>
  <c r="F19" i="19"/>
  <c r="E20" i="19"/>
  <c r="D21" i="19"/>
  <c r="G22" i="19"/>
  <c r="H22" i="19" s="1"/>
  <c r="F24" i="19"/>
  <c r="E25" i="19"/>
  <c r="E26" i="19"/>
  <c r="E27" i="19"/>
  <c r="E28" i="19"/>
  <c r="E29" i="19"/>
  <c r="G31" i="19"/>
  <c r="H31" i="19" s="1"/>
  <c r="F32" i="19"/>
  <c r="E33" i="19"/>
  <c r="G34" i="19"/>
  <c r="E35" i="19"/>
  <c r="D36" i="19"/>
  <c r="G37" i="19"/>
  <c r="H37" i="19" s="1"/>
  <c r="F38" i="19"/>
  <c r="H38" i="19" s="1"/>
  <c r="F39" i="19"/>
  <c r="H39" i="19" s="1"/>
  <c r="E40" i="19"/>
  <c r="D41" i="19"/>
  <c r="D42" i="19"/>
  <c r="D43" i="19"/>
  <c r="D44" i="19"/>
  <c r="D45" i="19"/>
  <c r="G46" i="19"/>
  <c r="H46" i="19" s="1"/>
  <c r="G47" i="19"/>
  <c r="H47" i="19" s="1"/>
  <c r="F48" i="19"/>
  <c r="E49" i="19"/>
  <c r="D50" i="19"/>
  <c r="G51" i="19"/>
  <c r="H51" i="19" s="1"/>
  <c r="F53" i="19"/>
  <c r="E54" i="19"/>
  <c r="E55" i="19"/>
  <c r="E56" i="19"/>
  <c r="E57" i="19"/>
  <c r="E58" i="19"/>
  <c r="D59" i="19"/>
  <c r="G60" i="19"/>
  <c r="H60" i="19" s="1"/>
  <c r="F61" i="19"/>
  <c r="E62" i="19"/>
  <c r="G63" i="19"/>
  <c r="H63" i="19" s="1"/>
  <c r="E64" i="19"/>
  <c r="G66" i="19"/>
  <c r="F67" i="19"/>
  <c r="F68" i="19"/>
  <c r="E69" i="19"/>
  <c r="G75" i="19"/>
  <c r="H75" i="19" s="1"/>
  <c r="G76" i="19"/>
  <c r="F77" i="19"/>
  <c r="E78" i="19"/>
  <c r="D79" i="19"/>
  <c r="G80" i="19"/>
  <c r="H80" i="19" s="1"/>
  <c r="F82" i="19"/>
  <c r="H82" i="19" s="1"/>
  <c r="E83" i="19"/>
  <c r="E84" i="19"/>
  <c r="E85" i="19"/>
  <c r="E86" i="19"/>
  <c r="E87" i="19"/>
  <c r="D88" i="19"/>
  <c r="G89" i="19"/>
  <c r="F90" i="19"/>
  <c r="E91" i="19"/>
  <c r="G92" i="19"/>
  <c r="H92" i="19" s="1"/>
  <c r="E93" i="19"/>
  <c r="D94" i="19"/>
  <c r="G95" i="19"/>
  <c r="H95" i="19" s="1"/>
  <c r="F96" i="19"/>
  <c r="F97" i="19"/>
  <c r="E98" i="19"/>
  <c r="E99" i="19"/>
  <c r="F100" i="19"/>
  <c r="F101" i="19"/>
  <c r="F102" i="19"/>
  <c r="O102" i="19"/>
  <c r="G103" i="19"/>
  <c r="H103" i="19" s="1"/>
  <c r="F104" i="19"/>
  <c r="F105" i="19"/>
  <c r="F106" i="19"/>
  <c r="E107" i="19"/>
  <c r="E108" i="19"/>
  <c r="G111" i="19"/>
  <c r="H111" i="19" s="1"/>
  <c r="H112" i="19"/>
  <c r="A28" i="29"/>
  <c r="G30" i="19"/>
  <c r="G65" i="19"/>
  <c r="G70" i="19"/>
  <c r="G71" i="19"/>
  <c r="G72" i="19"/>
  <c r="G73" i="19"/>
  <c r="O73" i="19"/>
  <c r="G74" i="19"/>
  <c r="D107" i="19"/>
  <c r="D108" i="19"/>
  <c r="G109" i="19"/>
  <c r="H109" i="19" s="1"/>
  <c r="H133" i="19"/>
  <c r="H117" i="19"/>
  <c r="H106" i="19" l="1"/>
  <c r="H87" i="19"/>
  <c r="H83" i="19"/>
  <c r="H20" i="19"/>
  <c r="H21" i="19"/>
  <c r="H97" i="19"/>
  <c r="H76" i="19"/>
  <c r="H34" i="19"/>
  <c r="H69" i="19"/>
  <c r="H44" i="19"/>
  <c r="H101" i="19"/>
  <c r="H89" i="19"/>
  <c r="H67" i="19"/>
  <c r="H55" i="19"/>
  <c r="H33" i="19"/>
  <c r="H100" i="19"/>
  <c r="H96" i="19"/>
  <c r="H66" i="19"/>
  <c r="H61" i="19"/>
  <c r="H53" i="19"/>
  <c r="H48" i="19"/>
  <c r="H24" i="19"/>
  <c r="H19" i="19"/>
  <c r="H108" i="19"/>
  <c r="H84" i="19"/>
  <c r="H58" i="19"/>
  <c r="H54" i="19"/>
  <c r="H27" i="19"/>
  <c r="H104" i="19"/>
  <c r="H91" i="19"/>
  <c r="H85" i="19"/>
  <c r="M64" i="19"/>
  <c r="H11" i="19"/>
  <c r="H42" i="19"/>
  <c r="H32" i="19"/>
  <c r="H57" i="19"/>
  <c r="H105" i="19"/>
  <c r="H102" i="19"/>
  <c r="H90" i="19"/>
  <c r="H77" i="19"/>
  <c r="H68" i="19"/>
  <c r="H6" i="19"/>
  <c r="M6" i="19" s="1"/>
  <c r="H93" i="19"/>
  <c r="M93" i="19" s="1"/>
  <c r="H86" i="19"/>
  <c r="H56" i="19"/>
  <c r="H49" i="19"/>
  <c r="H29" i="19"/>
  <c r="H25" i="19"/>
  <c r="H45" i="19"/>
  <c r="H41" i="19"/>
  <c r="M35" i="19"/>
  <c r="Q102" i="19"/>
  <c r="M102" i="19"/>
  <c r="A17" i="19"/>
  <c r="A29" i="29"/>
  <c r="H71" i="19"/>
  <c r="H13" i="19"/>
  <c r="H72" i="19"/>
  <c r="H50" i="19"/>
  <c r="H14" i="19"/>
  <c r="H73" i="19"/>
  <c r="H15" i="19"/>
  <c r="H88" i="19"/>
  <c r="H74" i="19"/>
  <c r="H70" i="19"/>
  <c r="H65" i="19"/>
  <c r="H30" i="19"/>
  <c r="H16" i="19"/>
  <c r="H12" i="19"/>
  <c r="M44" i="19" l="1"/>
  <c r="Q44" i="19"/>
  <c r="M15" i="19"/>
  <c r="Q15" i="19"/>
  <c r="A18" i="19"/>
  <c r="A19" i="19" s="1"/>
  <c r="A30" i="29"/>
  <c r="M73" i="19"/>
  <c r="Q73" i="19"/>
  <c r="A31" i="29" l="1"/>
  <c r="A20" i="19"/>
  <c r="A21" i="19" l="1"/>
  <c r="A32" i="29"/>
  <c r="A33" i="29" l="1"/>
  <c r="A22" i="19"/>
  <c r="A34" i="29" l="1"/>
  <c r="A23" i="19"/>
  <c r="A24" i="19" s="1"/>
  <c r="A25" i="19" s="1"/>
  <c r="T458" i="58"/>
  <c r="S453" i="58"/>
  <c r="R453" i="58" s="1"/>
  <c r="Q453" i="58" s="1"/>
  <c r="P453" i="58"/>
  <c r="O453" i="58" s="1"/>
  <c r="N453" i="58" s="1"/>
  <c r="M453" i="58" s="1"/>
  <c r="L453" i="58"/>
  <c r="K453" i="58"/>
  <c r="I453" i="58" s="1"/>
  <c r="H453" i="58"/>
  <c r="S450" i="58"/>
  <c r="R450" i="58"/>
  <c r="Q450" i="58"/>
  <c r="P450" i="58"/>
  <c r="O450" i="58"/>
  <c r="N450" i="58"/>
  <c r="M450" i="58"/>
  <c r="L450" i="58"/>
  <c r="K450" i="58"/>
  <c r="J450" i="58"/>
  <c r="I450" i="58"/>
  <c r="H450" i="58"/>
  <c r="E450" i="58"/>
  <c r="D450" i="58"/>
  <c r="B450" i="58"/>
  <c r="S449" i="58"/>
  <c r="R449" i="58"/>
  <c r="Q449" i="58"/>
  <c r="P449" i="58"/>
  <c r="O449" i="58"/>
  <c r="N449" i="58"/>
  <c r="M449" i="58"/>
  <c r="L449" i="58"/>
  <c r="K449" i="58"/>
  <c r="J449" i="58"/>
  <c r="I449" i="58"/>
  <c r="H449" i="58"/>
  <c r="E449" i="58"/>
  <c r="D449" i="58"/>
  <c r="B449" i="58"/>
  <c r="E448" i="58"/>
  <c r="D448" i="58"/>
  <c r="B448" i="58"/>
  <c r="S447" i="58"/>
  <c r="R447" i="58"/>
  <c r="Q447" i="58"/>
  <c r="P447" i="58"/>
  <c r="O447" i="58"/>
  <c r="N447" i="58"/>
  <c r="M447" i="58"/>
  <c r="L447" i="58"/>
  <c r="K447" i="58"/>
  <c r="J447" i="58"/>
  <c r="I447" i="58"/>
  <c r="H447" i="58"/>
  <c r="E447" i="58"/>
  <c r="D447" i="58"/>
  <c r="B447" i="58"/>
  <c r="E446" i="58"/>
  <c r="D446" i="58"/>
  <c r="B446" i="58"/>
  <c r="S445" i="58"/>
  <c r="R445" i="58"/>
  <c r="Q445" i="58"/>
  <c r="P445" i="58"/>
  <c r="O445" i="58"/>
  <c r="N445" i="58"/>
  <c r="M445" i="58"/>
  <c r="L445" i="58"/>
  <c r="K445" i="58"/>
  <c r="J445" i="58"/>
  <c r="I445" i="58"/>
  <c r="H445" i="58"/>
  <c r="E445" i="58"/>
  <c r="D445" i="58"/>
  <c r="B445" i="58"/>
  <c r="S444" i="58"/>
  <c r="R444" i="58"/>
  <c r="Q444" i="58"/>
  <c r="P444" i="58"/>
  <c r="O444" i="58"/>
  <c r="N444" i="58"/>
  <c r="M444" i="58"/>
  <c r="L444" i="58"/>
  <c r="K444" i="58"/>
  <c r="J444" i="58"/>
  <c r="I444" i="58"/>
  <c r="H444" i="58"/>
  <c r="E444" i="58"/>
  <c r="D444" i="58"/>
  <c r="B444" i="58"/>
  <c r="S443" i="58"/>
  <c r="R443" i="58"/>
  <c r="Q443" i="58"/>
  <c r="P443" i="58"/>
  <c r="O443" i="58"/>
  <c r="N443" i="58"/>
  <c r="M443" i="58"/>
  <c r="L443" i="58"/>
  <c r="K443" i="58"/>
  <c r="J443" i="58"/>
  <c r="I443" i="58"/>
  <c r="H443" i="58"/>
  <c r="E443" i="58"/>
  <c r="D443" i="58"/>
  <c r="B443" i="58"/>
  <c r="S442" i="58"/>
  <c r="R442" i="58"/>
  <c r="Q442" i="58"/>
  <c r="P442" i="58"/>
  <c r="P448" i="58" s="1"/>
  <c r="O442" i="58"/>
  <c r="N442" i="58"/>
  <c r="M442" i="58"/>
  <c r="L442" i="58"/>
  <c r="L448" i="58" s="1"/>
  <c r="K442" i="58"/>
  <c r="J442" i="58"/>
  <c r="I442" i="58"/>
  <c r="H442" i="58"/>
  <c r="H448" i="58" s="1"/>
  <c r="E442" i="58"/>
  <c r="D442" i="58"/>
  <c r="B442" i="58"/>
  <c r="E437" i="58"/>
  <c r="D437" i="58"/>
  <c r="B437" i="58"/>
  <c r="J448" i="58" l="1"/>
  <c r="N448" i="58"/>
  <c r="R448" i="58"/>
  <c r="K448" i="58"/>
  <c r="O448" i="58"/>
  <c r="S448" i="58"/>
  <c r="S451" i="58" s="1"/>
  <c r="R451" i="58"/>
  <c r="T447" i="58"/>
  <c r="T450" i="58"/>
  <c r="T453" i="58"/>
  <c r="I448" i="58"/>
  <c r="M448" i="58"/>
  <c r="Q448" i="58"/>
  <c r="Q451" i="58" s="1"/>
  <c r="T449" i="58"/>
  <c r="P451" i="58"/>
  <c r="O451" i="58" s="1"/>
  <c r="N451" i="58" s="1"/>
  <c r="A35" i="29"/>
  <c r="H451" i="58"/>
  <c r="A26" i="19"/>
  <c r="A27" i="19" s="1"/>
  <c r="A28" i="19" s="1"/>
  <c r="A29" i="19" s="1"/>
  <c r="A30" i="19" s="1"/>
  <c r="T442" i="58"/>
  <c r="S436" i="58"/>
  <c r="R436" i="58"/>
  <c r="Q436" i="58"/>
  <c r="P436" i="58"/>
  <c r="O436" i="58"/>
  <c r="N436" i="58"/>
  <c r="M436" i="58"/>
  <c r="L436" i="58"/>
  <c r="K436" i="58"/>
  <c r="I436" i="58"/>
  <c r="H436" i="58"/>
  <c r="E436" i="58"/>
  <c r="D436" i="58"/>
  <c r="B436" i="58"/>
  <c r="S435" i="58"/>
  <c r="R435" i="58"/>
  <c r="Q435" i="58"/>
  <c r="P435" i="58"/>
  <c r="O435" i="58"/>
  <c r="N435" i="58"/>
  <c r="M435" i="58"/>
  <c r="L435" i="58"/>
  <c r="K435" i="58"/>
  <c r="J435" i="58"/>
  <c r="I435" i="58"/>
  <c r="H435" i="58"/>
  <c r="E435" i="58"/>
  <c r="D435" i="58"/>
  <c r="B435" i="58"/>
  <c r="E434" i="58"/>
  <c r="D434" i="58"/>
  <c r="B434" i="58"/>
  <c r="E433" i="58"/>
  <c r="D433" i="58"/>
  <c r="B433" i="58"/>
  <c r="M451" i="58" l="1"/>
  <c r="T448" i="58"/>
  <c r="T435" i="58"/>
  <c r="L451" i="58"/>
  <c r="M454" i="58"/>
  <c r="A31" i="19"/>
  <c r="A36" i="29"/>
  <c r="A37" i="29" s="1"/>
  <c r="T436" i="58"/>
  <c r="S432" i="58"/>
  <c r="R432" i="58"/>
  <c r="Q432" i="58"/>
  <c r="P432" i="58"/>
  <c r="O432" i="58"/>
  <c r="N432" i="58"/>
  <c r="M432" i="58"/>
  <c r="L432" i="58"/>
  <c r="K432" i="58"/>
  <c r="J432" i="58"/>
  <c r="I432" i="58"/>
  <c r="H432" i="58"/>
  <c r="E432" i="58"/>
  <c r="D432" i="58"/>
  <c r="B432" i="58"/>
  <c r="E431" i="58"/>
  <c r="D431" i="58"/>
  <c r="B431" i="58"/>
  <c r="S430" i="58"/>
  <c r="R430" i="58"/>
  <c r="Q430" i="58"/>
  <c r="P430" i="58"/>
  <c r="O430" i="58"/>
  <c r="N430" i="58"/>
  <c r="M430" i="58"/>
  <c r="L430" i="58"/>
  <c r="K430" i="58"/>
  <c r="J430" i="58"/>
  <c r="I430" i="58"/>
  <c r="H430" i="58"/>
  <c r="E430" i="58"/>
  <c r="D430" i="58"/>
  <c r="B430" i="58"/>
  <c r="E429" i="58"/>
  <c r="D429" i="58"/>
  <c r="B429" i="58"/>
  <c r="E428" i="58"/>
  <c r="D428" i="58"/>
  <c r="B428" i="58"/>
  <c r="S427" i="58"/>
  <c r="R427" i="58"/>
  <c r="Q427" i="58"/>
  <c r="P427" i="58"/>
  <c r="O427" i="58"/>
  <c r="N427" i="58"/>
  <c r="M427" i="58"/>
  <c r="L427" i="58"/>
  <c r="K427" i="58"/>
  <c r="J427" i="58"/>
  <c r="I427" i="58"/>
  <c r="H427" i="58"/>
  <c r="E427" i="58"/>
  <c r="D427" i="58"/>
  <c r="B427" i="58"/>
  <c r="S426" i="58"/>
  <c r="R426" i="58"/>
  <c r="Q426" i="58"/>
  <c r="P426" i="58"/>
  <c r="O426" i="58"/>
  <c r="N426" i="58"/>
  <c r="M426" i="58"/>
  <c r="L426" i="58"/>
  <c r="K426" i="58"/>
  <c r="J426" i="58"/>
  <c r="I426" i="58"/>
  <c r="H426" i="58"/>
  <c r="E426" i="58"/>
  <c r="D426" i="58"/>
  <c r="B426" i="58"/>
  <c r="S425" i="58"/>
  <c r="R425" i="58"/>
  <c r="Q425" i="58"/>
  <c r="Q431" i="58" s="1"/>
  <c r="P425" i="58"/>
  <c r="O425" i="58"/>
  <c r="N425" i="58"/>
  <c r="M425" i="58"/>
  <c r="M431" i="58" s="1"/>
  <c r="L425" i="58"/>
  <c r="K425" i="58"/>
  <c r="J425" i="58"/>
  <c r="I425" i="58"/>
  <c r="I431" i="58" s="1"/>
  <c r="H425" i="58"/>
  <c r="E425" i="58"/>
  <c r="D425" i="58"/>
  <c r="B425" i="58"/>
  <c r="E418" i="58"/>
  <c r="D418" i="58"/>
  <c r="B418" i="58"/>
  <c r="E417" i="58"/>
  <c r="D417" i="58"/>
  <c r="B417" i="58"/>
  <c r="S416" i="58"/>
  <c r="R416" i="58"/>
  <c r="Q416" i="58"/>
  <c r="P416" i="58"/>
  <c r="O416" i="58"/>
  <c r="N416" i="58"/>
  <c r="M416" i="58"/>
  <c r="L416" i="58"/>
  <c r="K416" i="58"/>
  <c r="J416" i="58"/>
  <c r="I416" i="58"/>
  <c r="H416" i="58"/>
  <c r="E416" i="58"/>
  <c r="D416" i="58"/>
  <c r="B416" i="58"/>
  <c r="E415" i="58"/>
  <c r="D415" i="58"/>
  <c r="B415" i="58"/>
  <c r="E414" i="58"/>
  <c r="D414" i="58"/>
  <c r="B414" i="58"/>
  <c r="T413" i="58"/>
  <c r="E413" i="58"/>
  <c r="D413" i="58"/>
  <c r="B413" i="58"/>
  <c r="H431" i="58" l="1"/>
  <c r="L431" i="58"/>
  <c r="P431" i="58"/>
  <c r="P433" i="58" s="1"/>
  <c r="K431" i="58"/>
  <c r="O431" i="58"/>
  <c r="S431" i="58"/>
  <c r="J431" i="58"/>
  <c r="N431" i="58"/>
  <c r="R431" i="58"/>
  <c r="T416" i="58"/>
  <c r="T426" i="58"/>
  <c r="T430" i="58"/>
  <c r="A32" i="19"/>
  <c r="K451" i="58"/>
  <c r="L454" i="58"/>
  <c r="T425" i="58"/>
  <c r="A38" i="29"/>
  <c r="T432" i="58"/>
  <c r="I412" i="58"/>
  <c r="T412" i="58" s="1"/>
  <c r="E412" i="58"/>
  <c r="D412" i="58"/>
  <c r="B412" i="58"/>
  <c r="I411" i="58"/>
  <c r="T411" i="58" s="1"/>
  <c r="E411" i="58"/>
  <c r="D411" i="58"/>
  <c r="B411" i="58"/>
  <c r="E410" i="58"/>
  <c r="D410" i="58"/>
  <c r="B410" i="58"/>
  <c r="E409" i="58"/>
  <c r="D409" i="58"/>
  <c r="B409" i="58"/>
  <c r="E408" i="58"/>
  <c r="D408" i="58"/>
  <c r="B408" i="58"/>
  <c r="E407" i="58"/>
  <c r="D407" i="58"/>
  <c r="B407" i="58"/>
  <c r="E406" i="58"/>
  <c r="D406" i="58"/>
  <c r="B406" i="58"/>
  <c r="E405" i="58"/>
  <c r="D405" i="58"/>
  <c r="B405" i="58"/>
  <c r="E404" i="58"/>
  <c r="D404" i="58"/>
  <c r="B404" i="58"/>
  <c r="S403" i="58"/>
  <c r="R403" i="58"/>
  <c r="Q403" i="58"/>
  <c r="P403" i="58"/>
  <c r="O403" i="58"/>
  <c r="N403" i="58"/>
  <c r="M403" i="58"/>
  <c r="L403" i="58"/>
  <c r="K403" i="58"/>
  <c r="J403" i="58"/>
  <c r="I403" i="58"/>
  <c r="H403" i="58"/>
  <c r="E403" i="58"/>
  <c r="D403" i="58"/>
  <c r="B403" i="58"/>
  <c r="S402" i="58"/>
  <c r="R402" i="58"/>
  <c r="Q402" i="58"/>
  <c r="P402" i="58"/>
  <c r="O402" i="58"/>
  <c r="N402" i="58"/>
  <c r="M402" i="58"/>
  <c r="L402" i="58"/>
  <c r="K402" i="58"/>
  <c r="J402" i="58"/>
  <c r="I402" i="58"/>
  <c r="H402" i="58"/>
  <c r="E402" i="58"/>
  <c r="D402" i="58"/>
  <c r="B402" i="58"/>
  <c r="S401" i="58"/>
  <c r="R401" i="58"/>
  <c r="Q401" i="58"/>
  <c r="P401" i="58"/>
  <c r="O401" i="58"/>
  <c r="N401" i="58"/>
  <c r="M401" i="58"/>
  <c r="L401" i="58"/>
  <c r="K401" i="58"/>
  <c r="J401" i="58"/>
  <c r="I401" i="58"/>
  <c r="H401" i="58"/>
  <c r="E401" i="58"/>
  <c r="D401" i="58"/>
  <c r="B401" i="58"/>
  <c r="S400" i="58"/>
  <c r="R400" i="58"/>
  <c r="Q400" i="58"/>
  <c r="P400" i="58"/>
  <c r="O400" i="58"/>
  <c r="N400" i="58"/>
  <c r="M400" i="58"/>
  <c r="L400" i="58"/>
  <c r="K400" i="58"/>
  <c r="J400" i="58"/>
  <c r="I400" i="58"/>
  <c r="H400" i="58"/>
  <c r="E400" i="58"/>
  <c r="D400" i="58"/>
  <c r="B400" i="58"/>
  <c r="S399" i="58"/>
  <c r="R399" i="58"/>
  <c r="Q399" i="58"/>
  <c r="P399" i="58"/>
  <c r="O399" i="58"/>
  <c r="N399" i="58"/>
  <c r="M399" i="58"/>
  <c r="L399" i="58"/>
  <c r="K399" i="58"/>
  <c r="J399" i="58"/>
  <c r="I399" i="58"/>
  <c r="H399" i="58"/>
  <c r="E399" i="58"/>
  <c r="D399" i="58"/>
  <c r="B399" i="58"/>
  <c r="E398" i="58"/>
  <c r="D398" i="58"/>
  <c r="B398" i="58"/>
  <c r="S397" i="58"/>
  <c r="S407" i="58" s="1"/>
  <c r="R397" i="58"/>
  <c r="R407" i="58" s="1"/>
  <c r="Q397" i="58"/>
  <c r="Q407" i="58" s="1"/>
  <c r="P397" i="58"/>
  <c r="P407" i="58" s="1"/>
  <c r="O397" i="58"/>
  <c r="O407" i="58" s="1"/>
  <c r="N397" i="58"/>
  <c r="N407" i="58" s="1"/>
  <c r="M397" i="58"/>
  <c r="M407" i="58" s="1"/>
  <c r="L397" i="58"/>
  <c r="L407" i="58" s="1"/>
  <c r="K397" i="58"/>
  <c r="K407" i="58" s="1"/>
  <c r="J397" i="58"/>
  <c r="J407" i="58" s="1"/>
  <c r="I397" i="58"/>
  <c r="H397" i="58"/>
  <c r="H407" i="58" s="1"/>
  <c r="E397" i="58"/>
  <c r="D397" i="58"/>
  <c r="B397" i="58"/>
  <c r="T396" i="58"/>
  <c r="E396" i="58"/>
  <c r="D396" i="58"/>
  <c r="B396" i="58"/>
  <c r="L387" i="58"/>
  <c r="K387" i="58"/>
  <c r="J387" i="58" s="1"/>
  <c r="I387" i="58" s="1"/>
  <c r="H387" i="58" s="1"/>
  <c r="L384" i="58"/>
  <c r="K384" i="58"/>
  <c r="J384" i="58" s="1"/>
  <c r="I384" i="58" s="1"/>
  <c r="H384" i="58" s="1"/>
  <c r="I407" i="58" l="1"/>
  <c r="T407" i="58" s="1"/>
  <c r="T431" i="58"/>
  <c r="A33" i="19"/>
  <c r="A39" i="29"/>
  <c r="J451" i="58"/>
  <c r="K454" i="58"/>
  <c r="O433" i="58"/>
  <c r="N433" i="58" s="1"/>
  <c r="M433" i="58" s="1"/>
  <c r="L433" i="58" s="1"/>
  <c r="K433" i="58" s="1"/>
  <c r="J433" i="58" s="1"/>
  <c r="I433" i="58" s="1"/>
  <c r="H433" i="58" s="1"/>
  <c r="P437" i="58"/>
  <c r="T397" i="58"/>
  <c r="H437" i="58" l="1"/>
  <c r="A40" i="29"/>
  <c r="O437" i="58"/>
  <c r="N437" i="58" s="1"/>
  <c r="M437" i="58" s="1"/>
  <c r="L437" i="58" s="1"/>
  <c r="K437" i="58" s="1"/>
  <c r="J437" i="58" s="1"/>
  <c r="I437" i="58" s="1"/>
  <c r="I451" i="58"/>
  <c r="T451" i="58" s="1"/>
  <c r="J454" i="58"/>
  <c r="A34" i="19"/>
  <c r="A35" i="19" s="1"/>
  <c r="A36" i="19" s="1"/>
  <c r="A37" i="19" s="1"/>
  <c r="E367" i="58"/>
  <c r="D367" i="58"/>
  <c r="B367" i="58"/>
  <c r="E366" i="58"/>
  <c r="D366" i="58"/>
  <c r="B366" i="58"/>
  <c r="S365" i="58"/>
  <c r="R365" i="58"/>
  <c r="Q365" i="58"/>
  <c r="P365" i="58"/>
  <c r="O365" i="58"/>
  <c r="N365" i="58"/>
  <c r="M365" i="58"/>
  <c r="L365" i="58"/>
  <c r="K365" i="58"/>
  <c r="J365" i="58"/>
  <c r="I365" i="58"/>
  <c r="H365" i="58"/>
  <c r="E365" i="58"/>
  <c r="D365" i="58"/>
  <c r="B365" i="58"/>
  <c r="E364" i="58"/>
  <c r="D364" i="58"/>
  <c r="B364" i="58"/>
  <c r="E363" i="58"/>
  <c r="D363" i="58"/>
  <c r="B363" i="58"/>
  <c r="S362" i="58"/>
  <c r="R362" i="58"/>
  <c r="Q362" i="58"/>
  <c r="P362" i="58"/>
  <c r="O362" i="58"/>
  <c r="N362" i="58"/>
  <c r="M362" i="58"/>
  <c r="L362" i="58"/>
  <c r="K362" i="58"/>
  <c r="J362" i="58"/>
  <c r="I362" i="58"/>
  <c r="H362" i="58"/>
  <c r="E362" i="58"/>
  <c r="D362" i="58"/>
  <c r="B362" i="58"/>
  <c r="E361" i="58"/>
  <c r="D361" i="58"/>
  <c r="B361" i="58"/>
  <c r="E360" i="58"/>
  <c r="D360" i="58"/>
  <c r="B360" i="58"/>
  <c r="E359" i="58"/>
  <c r="D359" i="58"/>
  <c r="B359" i="58"/>
  <c r="S358" i="58"/>
  <c r="R358" i="58"/>
  <c r="Q358" i="58"/>
  <c r="Q347" i="58" s="1"/>
  <c r="P358" i="58"/>
  <c r="O358" i="58"/>
  <c r="N358" i="58"/>
  <c r="M358" i="58"/>
  <c r="M347" i="58" s="1"/>
  <c r="L358" i="58"/>
  <c r="K358" i="58"/>
  <c r="J358" i="58"/>
  <c r="I358" i="58"/>
  <c r="I347" i="58" s="1"/>
  <c r="H358" i="58"/>
  <c r="E358" i="58"/>
  <c r="D358" i="58"/>
  <c r="B358" i="58"/>
  <c r="E357" i="58"/>
  <c r="D357" i="58"/>
  <c r="B357" i="58"/>
  <c r="E356" i="58"/>
  <c r="D356" i="58"/>
  <c r="B356" i="58"/>
  <c r="S355" i="58"/>
  <c r="R355" i="58"/>
  <c r="Q355" i="58"/>
  <c r="P355" i="58"/>
  <c r="O355" i="58"/>
  <c r="N355" i="58"/>
  <c r="M355" i="58"/>
  <c r="L355" i="58"/>
  <c r="K355" i="58"/>
  <c r="J355" i="58"/>
  <c r="I355" i="58"/>
  <c r="H355" i="58"/>
  <c r="E355" i="58"/>
  <c r="D355" i="58"/>
  <c r="B355" i="58"/>
  <c r="Q354" i="58"/>
  <c r="P354" i="58"/>
  <c r="O354" i="58"/>
  <c r="N354" i="58"/>
  <c r="M354" i="58"/>
  <c r="L354" i="58"/>
  <c r="K354" i="58"/>
  <c r="E354" i="58"/>
  <c r="D354" i="58"/>
  <c r="B354" i="58"/>
  <c r="S353" i="58"/>
  <c r="R353" i="58"/>
  <c r="Q353" i="58"/>
  <c r="P353" i="58"/>
  <c r="O353" i="58"/>
  <c r="N353" i="58"/>
  <c r="M353" i="58"/>
  <c r="L353" i="58"/>
  <c r="K353" i="58"/>
  <c r="J353" i="58"/>
  <c r="I353" i="58"/>
  <c r="H353" i="58"/>
  <c r="E353" i="58"/>
  <c r="D353" i="58"/>
  <c r="B353" i="58"/>
  <c r="S352" i="58"/>
  <c r="R352" i="58"/>
  <c r="Q352" i="58"/>
  <c r="P352" i="58"/>
  <c r="O352" i="58"/>
  <c r="N352" i="58"/>
  <c r="M352" i="58"/>
  <c r="L352" i="58"/>
  <c r="K352" i="58"/>
  <c r="J352" i="58"/>
  <c r="I352" i="58"/>
  <c r="H352" i="58"/>
  <c r="E352" i="58"/>
  <c r="D352" i="58"/>
  <c r="B352" i="58"/>
  <c r="E351" i="58"/>
  <c r="D351" i="58"/>
  <c r="B351" i="58"/>
  <c r="S350" i="58"/>
  <c r="S348" i="58" s="1"/>
  <c r="S349" i="58" s="1"/>
  <c r="R350" i="58"/>
  <c r="Q350" i="58"/>
  <c r="P350" i="58"/>
  <c r="P348" i="58" s="1"/>
  <c r="P359" i="58" s="1"/>
  <c r="O350" i="58"/>
  <c r="N350" i="58"/>
  <c r="M350" i="58"/>
  <c r="L350" i="58"/>
  <c r="K350" i="58"/>
  <c r="J350" i="58"/>
  <c r="I350" i="58"/>
  <c r="H350" i="58"/>
  <c r="E350" i="58"/>
  <c r="D350" i="58"/>
  <c r="B350" i="58"/>
  <c r="E349" i="58"/>
  <c r="D349" i="58"/>
  <c r="B349" i="58"/>
  <c r="E348" i="58"/>
  <c r="D348" i="58"/>
  <c r="B348" i="58"/>
  <c r="E347" i="58"/>
  <c r="D347" i="58"/>
  <c r="B347" i="58"/>
  <c r="E343" i="58"/>
  <c r="D343" i="58"/>
  <c r="B343" i="58"/>
  <c r="E342" i="58"/>
  <c r="D342" i="58"/>
  <c r="B342" i="58"/>
  <c r="S341" i="58"/>
  <c r="S380" i="58" s="1"/>
  <c r="R341" i="58"/>
  <c r="R380" i="58" s="1"/>
  <c r="Q341" i="58"/>
  <c r="Q380" i="58" s="1"/>
  <c r="P341" i="58"/>
  <c r="O341" i="58"/>
  <c r="O380" i="58" s="1"/>
  <c r="N341" i="58"/>
  <c r="N380" i="58" s="1"/>
  <c r="M341" i="58"/>
  <c r="M380" i="58" s="1"/>
  <c r="L341" i="58"/>
  <c r="K341" i="58"/>
  <c r="K380" i="58" s="1"/>
  <c r="J341" i="58"/>
  <c r="J380" i="58" s="1"/>
  <c r="I341" i="58"/>
  <c r="I380" i="58" s="1"/>
  <c r="H341" i="58"/>
  <c r="E341" i="58"/>
  <c r="D341" i="58"/>
  <c r="B341" i="58"/>
  <c r="E340" i="58"/>
  <c r="D340" i="58"/>
  <c r="B340" i="58"/>
  <c r="E339" i="58"/>
  <c r="D339" i="58"/>
  <c r="B339" i="58"/>
  <c r="E338" i="58"/>
  <c r="D338" i="58"/>
  <c r="B338" i="58"/>
  <c r="E337" i="58"/>
  <c r="D337" i="58"/>
  <c r="B337" i="58"/>
  <c r="E336" i="58"/>
  <c r="D336" i="58"/>
  <c r="B336" i="58"/>
  <c r="S335" i="58"/>
  <c r="R335" i="58"/>
  <c r="Q335" i="58"/>
  <c r="P335" i="58"/>
  <c r="P374" i="58" s="1"/>
  <c r="O335" i="58"/>
  <c r="N335" i="58"/>
  <c r="M335" i="58"/>
  <c r="L335" i="58"/>
  <c r="L374" i="58" s="1"/>
  <c r="K335" i="58"/>
  <c r="J335" i="58"/>
  <c r="I335" i="58"/>
  <c r="H335" i="58"/>
  <c r="H374" i="58" s="1"/>
  <c r="E335" i="58"/>
  <c r="D335" i="58"/>
  <c r="B335" i="58"/>
  <c r="E334" i="58"/>
  <c r="D334" i="58"/>
  <c r="B334" i="58"/>
  <c r="E333" i="58"/>
  <c r="D333" i="58"/>
  <c r="B333" i="58"/>
  <c r="E332" i="58"/>
  <c r="D332" i="58"/>
  <c r="B332" i="58"/>
  <c r="S331" i="58"/>
  <c r="R331" i="58"/>
  <c r="Q331" i="58"/>
  <c r="P331" i="58"/>
  <c r="O331" i="58"/>
  <c r="N331" i="58"/>
  <c r="M331" i="58"/>
  <c r="L331" i="58"/>
  <c r="L377" i="58" s="1"/>
  <c r="K331" i="58"/>
  <c r="J331" i="58"/>
  <c r="I331" i="58"/>
  <c r="H331" i="58"/>
  <c r="E331" i="58"/>
  <c r="D331" i="58"/>
  <c r="B331" i="58"/>
  <c r="E330" i="58"/>
  <c r="D330" i="58"/>
  <c r="B330" i="58"/>
  <c r="S329" i="58"/>
  <c r="R329" i="58"/>
  <c r="Q329" i="58"/>
  <c r="P329" i="58"/>
  <c r="O329" i="58"/>
  <c r="N329" i="58"/>
  <c r="M329" i="58"/>
  <c r="L329" i="58"/>
  <c r="K329" i="58"/>
  <c r="J329" i="58"/>
  <c r="I329" i="58"/>
  <c r="H329" i="58"/>
  <c r="E329" i="58"/>
  <c r="D329" i="58"/>
  <c r="B329" i="58"/>
  <c r="S328" i="58"/>
  <c r="R328" i="58"/>
  <c r="Q328" i="58"/>
  <c r="P328" i="58"/>
  <c r="O328" i="58"/>
  <c r="N328" i="58"/>
  <c r="M328" i="58"/>
  <c r="L328" i="58"/>
  <c r="K328" i="58"/>
  <c r="J328" i="58"/>
  <c r="I328" i="58"/>
  <c r="H328" i="58"/>
  <c r="E328" i="58"/>
  <c r="D328" i="58"/>
  <c r="B328" i="58"/>
  <c r="Q327" i="58"/>
  <c r="P327" i="58"/>
  <c r="O327" i="58"/>
  <c r="N327" i="58"/>
  <c r="M327" i="58"/>
  <c r="L327" i="58"/>
  <c r="K327" i="58"/>
  <c r="E327" i="58"/>
  <c r="D327" i="58"/>
  <c r="B327" i="58"/>
  <c r="S326" i="58"/>
  <c r="R326" i="58"/>
  <c r="Q326" i="58"/>
  <c r="P326" i="58"/>
  <c r="O326" i="58"/>
  <c r="N326" i="58"/>
  <c r="M326" i="58"/>
  <c r="L326" i="58"/>
  <c r="K326" i="58"/>
  <c r="J326" i="58"/>
  <c r="I326" i="58"/>
  <c r="H326" i="58"/>
  <c r="E326" i="58"/>
  <c r="D326" i="58"/>
  <c r="B326" i="58"/>
  <c r="S325" i="58"/>
  <c r="R325" i="58"/>
  <c r="Q325" i="58"/>
  <c r="P325" i="58"/>
  <c r="O325" i="58"/>
  <c r="N325" i="58"/>
  <c r="M325" i="58"/>
  <c r="L325" i="58"/>
  <c r="K325" i="58"/>
  <c r="J325" i="58"/>
  <c r="I325" i="58"/>
  <c r="H325" i="58"/>
  <c r="E325" i="58"/>
  <c r="D325" i="58"/>
  <c r="B325" i="58"/>
  <c r="E324" i="58"/>
  <c r="D324" i="58"/>
  <c r="B324" i="58"/>
  <c r="S323" i="58"/>
  <c r="S386" i="58" s="1"/>
  <c r="R323" i="58"/>
  <c r="R321" i="58" s="1"/>
  <c r="Q323" i="58"/>
  <c r="P323" i="58"/>
  <c r="O323" i="58"/>
  <c r="O386" i="58" s="1"/>
  <c r="N323" i="58"/>
  <c r="M323" i="58"/>
  <c r="L323" i="58"/>
  <c r="K323" i="58"/>
  <c r="K386" i="58" s="1"/>
  <c r="J323" i="58"/>
  <c r="I323" i="58"/>
  <c r="H323" i="58"/>
  <c r="E323" i="58"/>
  <c r="D323" i="58"/>
  <c r="B323" i="58"/>
  <c r="E322" i="58"/>
  <c r="D322" i="58"/>
  <c r="B322" i="58"/>
  <c r="E321" i="58"/>
  <c r="D321" i="58"/>
  <c r="B321" i="58"/>
  <c r="E320" i="58"/>
  <c r="D320" i="58"/>
  <c r="B320" i="58"/>
  <c r="S314" i="58"/>
  <c r="R314" i="58" s="1"/>
  <c r="Q314" i="58" s="1"/>
  <c r="P314" i="58" s="1"/>
  <c r="O314" i="58" s="1"/>
  <c r="N314" i="58" s="1"/>
  <c r="M314" i="58" s="1"/>
  <c r="L314" i="58"/>
  <c r="K314" i="58"/>
  <c r="I314" i="58" s="1"/>
  <c r="H314" i="58" s="1"/>
  <c r="S312" i="58"/>
  <c r="R312" i="58" s="1"/>
  <c r="Q312" i="58" s="1"/>
  <c r="P312" i="58" s="1"/>
  <c r="O312" i="58" s="1"/>
  <c r="N312" i="58" s="1"/>
  <c r="M312" i="58" s="1"/>
  <c r="L312" i="58"/>
  <c r="K312" i="58"/>
  <c r="J312" i="58" s="1"/>
  <c r="I312" i="58" s="1"/>
  <c r="H312" i="58" s="1"/>
  <c r="S309" i="58"/>
  <c r="R309" i="58"/>
  <c r="Q309" i="58"/>
  <c r="P309" i="58" s="1"/>
  <c r="O309" i="58"/>
  <c r="N309" i="58"/>
  <c r="M309" i="58"/>
  <c r="L309" i="58"/>
  <c r="K309" i="58"/>
  <c r="I309" i="58"/>
  <c r="H309" i="58"/>
  <c r="N347" i="58" l="1"/>
  <c r="N348" i="58" s="1"/>
  <c r="N349" i="58" s="1"/>
  <c r="K320" i="58"/>
  <c r="S320" i="58"/>
  <c r="M320" i="58"/>
  <c r="M321" i="58" s="1"/>
  <c r="M322" i="58" s="1"/>
  <c r="Q320" i="58"/>
  <c r="L347" i="58"/>
  <c r="P347" i="58"/>
  <c r="I320" i="58"/>
  <c r="H347" i="58"/>
  <c r="I386" i="58"/>
  <c r="M386" i="58"/>
  <c r="O320" i="58"/>
  <c r="J377" i="58"/>
  <c r="N377" i="58"/>
  <c r="R377" i="58"/>
  <c r="J374" i="58"/>
  <c r="N374" i="58"/>
  <c r="R374" i="58"/>
  <c r="J347" i="58"/>
  <c r="J348" i="58" s="1"/>
  <c r="J349" i="58" s="1"/>
  <c r="R347" i="58"/>
  <c r="R348" i="58" s="1"/>
  <c r="R349" i="58" s="1"/>
  <c r="I348" i="58"/>
  <c r="I349" i="58" s="1"/>
  <c r="M348" i="58"/>
  <c r="M349" i="58" s="1"/>
  <c r="Q386" i="58"/>
  <c r="Q348" i="58"/>
  <c r="Q349" i="58" s="1"/>
  <c r="H380" i="58"/>
  <c r="T380" i="58" s="1"/>
  <c r="L380" i="58"/>
  <c r="P380" i="58"/>
  <c r="P349" i="58"/>
  <c r="P360" i="58" s="1"/>
  <c r="N320" i="58"/>
  <c r="N321" i="58" s="1"/>
  <c r="N322" i="58" s="1"/>
  <c r="J320" i="58"/>
  <c r="R320" i="58"/>
  <c r="H386" i="58"/>
  <c r="L386" i="58"/>
  <c r="P386" i="58"/>
  <c r="I377" i="58"/>
  <c r="M377" i="58"/>
  <c r="Q377" i="58"/>
  <c r="I374" i="58"/>
  <c r="M374" i="58"/>
  <c r="Q374" i="58"/>
  <c r="Q321" i="58"/>
  <c r="Q322" i="58" s="1"/>
  <c r="P320" i="58"/>
  <c r="P321" i="58" s="1"/>
  <c r="P322" i="58" s="1"/>
  <c r="L348" i="58"/>
  <c r="L359" i="58" s="1"/>
  <c r="K347" i="58"/>
  <c r="K348" i="58" s="1"/>
  <c r="K359" i="58" s="1"/>
  <c r="O347" i="58"/>
  <c r="O348" i="58" s="1"/>
  <c r="O359" i="58" s="1"/>
  <c r="S347" i="58"/>
  <c r="K321" i="58"/>
  <c r="K332" i="58" s="1"/>
  <c r="O321" i="58"/>
  <c r="O332" i="58" s="1"/>
  <c r="R332" i="58"/>
  <c r="T362" i="58"/>
  <c r="J386" i="58"/>
  <c r="N386" i="58"/>
  <c r="R386" i="58"/>
  <c r="K377" i="58"/>
  <c r="O377" i="58"/>
  <c r="S377" i="58"/>
  <c r="K374" i="58"/>
  <c r="O374" i="58"/>
  <c r="S374" i="58"/>
  <c r="L320" i="58"/>
  <c r="L321" i="58" s="1"/>
  <c r="L332" i="58" s="1"/>
  <c r="S321" i="58"/>
  <c r="S332" i="58" s="1"/>
  <c r="T312" i="58"/>
  <c r="T314" i="58"/>
  <c r="S354" i="58"/>
  <c r="T358" i="58"/>
  <c r="I321" i="58"/>
  <c r="I322" i="58" s="1"/>
  <c r="S327" i="58"/>
  <c r="T331" i="58"/>
  <c r="T365" i="58"/>
  <c r="A38" i="19"/>
  <c r="T309" i="58"/>
  <c r="J321" i="58"/>
  <c r="J332" i="58" s="1"/>
  <c r="T341" i="58"/>
  <c r="H348" i="58"/>
  <c r="T350" i="58"/>
  <c r="S359" i="58"/>
  <c r="H377" i="58"/>
  <c r="P377" i="58"/>
  <c r="H321" i="58"/>
  <c r="J327" i="58"/>
  <c r="I327" i="58" s="1"/>
  <c r="H327" i="58" s="1"/>
  <c r="T335" i="58"/>
  <c r="J337" i="58"/>
  <c r="I337" i="58" s="1"/>
  <c r="J354" i="58"/>
  <c r="I354" i="58" s="1"/>
  <c r="H354" i="58" s="1"/>
  <c r="I454" i="58"/>
  <c r="H454" i="58" s="1"/>
  <c r="A41" i="29"/>
  <c r="T323" i="58"/>
  <c r="R327" i="58"/>
  <c r="R354" i="58"/>
  <c r="S307" i="58"/>
  <c r="R307" i="58" s="1"/>
  <c r="Q307" i="58" s="1"/>
  <c r="P307" i="58" s="1"/>
  <c r="O307" i="58" s="1"/>
  <c r="N307" i="58" s="1"/>
  <c r="M307" i="58"/>
  <c r="L307" i="58"/>
  <c r="K307" i="58"/>
  <c r="J307" i="58" s="1"/>
  <c r="I307" i="58"/>
  <c r="H307" i="58"/>
  <c r="D303" i="58"/>
  <c r="B303" i="58"/>
  <c r="D302" i="58"/>
  <c r="B302" i="58"/>
  <c r="S301" i="58"/>
  <c r="R301" i="58"/>
  <c r="Q301" i="58"/>
  <c r="P301" i="58"/>
  <c r="O301" i="58"/>
  <c r="N301" i="58"/>
  <c r="M301" i="58"/>
  <c r="L301" i="58"/>
  <c r="K301" i="58"/>
  <c r="J301" i="58"/>
  <c r="I301" i="58"/>
  <c r="H301" i="58"/>
  <c r="D301" i="58"/>
  <c r="B301" i="58"/>
  <c r="D300" i="58"/>
  <c r="B300" i="58"/>
  <c r="K349" i="58" l="1"/>
  <c r="K360" i="58" s="1"/>
  <c r="L371" i="58"/>
  <c r="L322" i="58"/>
  <c r="K322" i="58" s="1"/>
  <c r="J359" i="58"/>
  <c r="I359" i="58" s="1"/>
  <c r="O371" i="58"/>
  <c r="R359" i="58"/>
  <c r="Q359" i="58" s="1"/>
  <c r="S322" i="58"/>
  <c r="R322" i="58" s="1"/>
  <c r="T374" i="58"/>
  <c r="Q332" i="58"/>
  <c r="T386" i="58"/>
  <c r="O349" i="58"/>
  <c r="O360" i="58" s="1"/>
  <c r="N360" i="58" s="1"/>
  <c r="M360" i="58" s="1"/>
  <c r="T348" i="58"/>
  <c r="L349" i="58"/>
  <c r="L360" i="58" s="1"/>
  <c r="P332" i="58"/>
  <c r="P371" i="58" s="1"/>
  <c r="N359" i="58"/>
  <c r="M359" i="58" s="1"/>
  <c r="T347" i="58"/>
  <c r="O322" i="58"/>
  <c r="T320" i="58"/>
  <c r="T301" i="58"/>
  <c r="J322" i="58"/>
  <c r="K371" i="58"/>
  <c r="H332" i="58"/>
  <c r="T321" i="58"/>
  <c r="A39" i="19"/>
  <c r="A40" i="19" s="1"/>
  <c r="S371" i="58"/>
  <c r="H337" i="58"/>
  <c r="I375" i="58"/>
  <c r="I332" i="58"/>
  <c r="I371" i="58" s="1"/>
  <c r="H322" i="58"/>
  <c r="T377" i="58"/>
  <c r="N332" i="58"/>
  <c r="T307" i="58"/>
  <c r="H349" i="58"/>
  <c r="H359" i="58"/>
  <c r="J360" i="58"/>
  <c r="I360" i="58" s="1"/>
  <c r="A42" i="29"/>
  <c r="A43" i="29" s="1"/>
  <c r="P361" i="58"/>
  <c r="D299" i="58"/>
  <c r="B299" i="58"/>
  <c r="S298" i="58"/>
  <c r="R298" i="58"/>
  <c r="Q298" i="58"/>
  <c r="P298" i="58"/>
  <c r="O298" i="58"/>
  <c r="N298" i="58"/>
  <c r="M298" i="58"/>
  <c r="L298" i="58"/>
  <c r="K298" i="58"/>
  <c r="J298" i="58"/>
  <c r="I298" i="58"/>
  <c r="H298" i="58"/>
  <c r="D298" i="58"/>
  <c r="B298" i="58"/>
  <c r="D297" i="58"/>
  <c r="B297" i="58"/>
  <c r="S296" i="58"/>
  <c r="R296" i="58"/>
  <c r="Q296" i="58"/>
  <c r="P296" i="58"/>
  <c r="O296" i="58"/>
  <c r="N296" i="58"/>
  <c r="M296" i="58"/>
  <c r="L296" i="58"/>
  <c r="K296" i="58"/>
  <c r="J296" i="58"/>
  <c r="I296" i="58"/>
  <c r="H296" i="58"/>
  <c r="D296" i="58"/>
  <c r="B296" i="58"/>
  <c r="D295" i="58"/>
  <c r="B295" i="58"/>
  <c r="D294" i="58"/>
  <c r="B294" i="58"/>
  <c r="S293" i="58"/>
  <c r="R293" i="58"/>
  <c r="Q293" i="58"/>
  <c r="P293" i="58"/>
  <c r="O293" i="58"/>
  <c r="N293" i="58"/>
  <c r="M293" i="58"/>
  <c r="L293" i="58"/>
  <c r="K293" i="58"/>
  <c r="J293" i="58"/>
  <c r="I293" i="58"/>
  <c r="H293" i="58"/>
  <c r="D293" i="58"/>
  <c r="B293" i="58"/>
  <c r="S292" i="58"/>
  <c r="R292" i="58"/>
  <c r="Q292" i="58"/>
  <c r="P292" i="58"/>
  <c r="O292" i="58"/>
  <c r="N292" i="58"/>
  <c r="M292" i="58"/>
  <c r="L292" i="58"/>
  <c r="K292" i="58"/>
  <c r="J292" i="58"/>
  <c r="I292" i="58"/>
  <c r="H292" i="58"/>
  <c r="D292" i="58"/>
  <c r="B292" i="58"/>
  <c r="S291" i="58"/>
  <c r="R291" i="58"/>
  <c r="Q291" i="58"/>
  <c r="Q297" i="58" s="1"/>
  <c r="P291" i="58"/>
  <c r="O291" i="58"/>
  <c r="N291" i="58"/>
  <c r="N297" i="58" s="1"/>
  <c r="M291" i="58"/>
  <c r="M297" i="58" s="1"/>
  <c r="L291" i="58"/>
  <c r="K291" i="58"/>
  <c r="J291" i="58"/>
  <c r="J297" i="58" s="1"/>
  <c r="I291" i="58"/>
  <c r="I297" i="58" s="1"/>
  <c r="H291" i="58"/>
  <c r="D291" i="58"/>
  <c r="B291" i="58"/>
  <c r="D287" i="58"/>
  <c r="B287" i="58"/>
  <c r="D286" i="58"/>
  <c r="B286" i="58"/>
  <c r="S285" i="58"/>
  <c r="R285" i="58"/>
  <c r="Q285" i="58"/>
  <c r="P285" i="58"/>
  <c r="O285" i="58"/>
  <c r="N285" i="58"/>
  <c r="M285" i="58"/>
  <c r="L285" i="58"/>
  <c r="K285" i="58"/>
  <c r="J285" i="58"/>
  <c r="I285" i="58"/>
  <c r="H285" i="58"/>
  <c r="D285" i="58"/>
  <c r="B285" i="58"/>
  <c r="D284" i="58"/>
  <c r="B284" i="58"/>
  <c r="D283" i="58"/>
  <c r="B283" i="58"/>
  <c r="S282" i="58"/>
  <c r="R282" i="58"/>
  <c r="Q282" i="58"/>
  <c r="P282" i="58"/>
  <c r="O282" i="58"/>
  <c r="N282" i="58"/>
  <c r="M282" i="58"/>
  <c r="L282" i="58"/>
  <c r="K282" i="58"/>
  <c r="J282" i="58"/>
  <c r="I282" i="58"/>
  <c r="H282" i="58"/>
  <c r="D282" i="58"/>
  <c r="B282" i="58"/>
  <c r="D281" i="58"/>
  <c r="B281" i="58"/>
  <c r="S280" i="58"/>
  <c r="R280" i="58"/>
  <c r="Q280" i="58"/>
  <c r="P280" i="58"/>
  <c r="O280" i="58"/>
  <c r="N280" i="58"/>
  <c r="M280" i="58"/>
  <c r="L280" i="58"/>
  <c r="K280" i="58"/>
  <c r="J280" i="58"/>
  <c r="I280" i="58"/>
  <c r="H280" i="58"/>
  <c r="D280" i="58"/>
  <c r="B280" i="58"/>
  <c r="D279" i="58"/>
  <c r="B279" i="58"/>
  <c r="D278" i="58"/>
  <c r="B278" i="58"/>
  <c r="S277" i="58"/>
  <c r="R277" i="58"/>
  <c r="Q277" i="58"/>
  <c r="P277" i="58"/>
  <c r="O277" i="58"/>
  <c r="N277" i="58"/>
  <c r="M277" i="58"/>
  <c r="L277" i="58"/>
  <c r="K277" i="58"/>
  <c r="J277" i="58"/>
  <c r="I277" i="58"/>
  <c r="H277" i="58"/>
  <c r="D277" i="58"/>
  <c r="B277" i="58"/>
  <c r="S276" i="58"/>
  <c r="R276" i="58"/>
  <c r="Q276" i="58"/>
  <c r="P276" i="58"/>
  <c r="O276" i="58"/>
  <c r="N276" i="58"/>
  <c r="M276" i="58"/>
  <c r="L276" i="58"/>
  <c r="K276" i="58"/>
  <c r="J276" i="58"/>
  <c r="I276" i="58"/>
  <c r="H276" i="58"/>
  <c r="D276" i="58"/>
  <c r="B276" i="58"/>
  <c r="S275" i="58"/>
  <c r="R275" i="58"/>
  <c r="Q275" i="58"/>
  <c r="P275" i="58"/>
  <c r="O275" i="58"/>
  <c r="N275" i="58"/>
  <c r="M275" i="58"/>
  <c r="L275" i="58"/>
  <c r="K275" i="58"/>
  <c r="J275" i="58"/>
  <c r="I275" i="58"/>
  <c r="H275" i="58"/>
  <c r="D275" i="58"/>
  <c r="B275" i="58"/>
  <c r="T267" i="58"/>
  <c r="E260" i="58"/>
  <c r="D260" i="58"/>
  <c r="B260" i="58"/>
  <c r="E259" i="58"/>
  <c r="D259" i="58"/>
  <c r="B259" i="58"/>
  <c r="E258" i="58"/>
  <c r="D258" i="58"/>
  <c r="B258" i="58"/>
  <c r="S257" i="58"/>
  <c r="R257" i="58"/>
  <c r="Q257" i="58"/>
  <c r="P257" i="58"/>
  <c r="O257" i="58"/>
  <c r="N257" i="58"/>
  <c r="M257" i="58"/>
  <c r="L257" i="58"/>
  <c r="K257" i="58"/>
  <c r="J257" i="58"/>
  <c r="I257" i="58"/>
  <c r="H257" i="58"/>
  <c r="E257" i="58"/>
  <c r="D257" i="58"/>
  <c r="B257" i="58"/>
  <c r="E256" i="58"/>
  <c r="D256" i="58"/>
  <c r="B256" i="58"/>
  <c r="E255" i="58"/>
  <c r="D255" i="58"/>
  <c r="B255" i="58"/>
  <c r="S254" i="58"/>
  <c r="S255" i="58" s="1"/>
  <c r="R254" i="58"/>
  <c r="R255" i="58" s="1"/>
  <c r="Q254" i="58"/>
  <c r="Q255" i="58" s="1"/>
  <c r="P254" i="58"/>
  <c r="P255" i="58" s="1"/>
  <c r="O254" i="58"/>
  <c r="O255" i="58" s="1"/>
  <c r="N254" i="58"/>
  <c r="N255" i="58" s="1"/>
  <c r="M254" i="58"/>
  <c r="M255" i="58" s="1"/>
  <c r="L254" i="58"/>
  <c r="L255" i="58" s="1"/>
  <c r="L259" i="58" s="1"/>
  <c r="K254" i="58"/>
  <c r="K255" i="58" s="1"/>
  <c r="J254" i="58"/>
  <c r="J255" i="58" s="1"/>
  <c r="I254" i="58"/>
  <c r="I255" i="58" s="1"/>
  <c r="H254" i="58"/>
  <c r="H255" i="58" s="1"/>
  <c r="E254" i="58"/>
  <c r="D254" i="58"/>
  <c r="B254" i="58"/>
  <c r="T253" i="58"/>
  <c r="E253" i="58"/>
  <c r="D253" i="58"/>
  <c r="B253" i="58"/>
  <c r="E252" i="58"/>
  <c r="D252" i="58"/>
  <c r="B252" i="58"/>
  <c r="E251" i="58"/>
  <c r="D251" i="58"/>
  <c r="B251" i="58"/>
  <c r="E248" i="58"/>
  <c r="D248" i="58"/>
  <c r="B248" i="58"/>
  <c r="E247" i="58"/>
  <c r="D247" i="58"/>
  <c r="B247" i="58"/>
  <c r="S246" i="58"/>
  <c r="R246" i="58"/>
  <c r="Q246" i="58"/>
  <c r="P246" i="58"/>
  <c r="O246" i="58"/>
  <c r="N246" i="58"/>
  <c r="M246" i="58"/>
  <c r="L246" i="58"/>
  <c r="K246" i="58"/>
  <c r="J246" i="58"/>
  <c r="I246" i="58"/>
  <c r="H246" i="58"/>
  <c r="E246" i="58"/>
  <c r="D246" i="58"/>
  <c r="B246" i="58"/>
  <c r="E245" i="58"/>
  <c r="D245" i="58"/>
  <c r="B245" i="58"/>
  <c r="E244" i="58"/>
  <c r="D244" i="58"/>
  <c r="B244" i="58"/>
  <c r="S243" i="58"/>
  <c r="R243" i="58"/>
  <c r="Q243" i="58"/>
  <c r="P243" i="58"/>
  <c r="O243" i="58"/>
  <c r="N243" i="58"/>
  <c r="M243" i="58"/>
  <c r="L243" i="58"/>
  <c r="K243" i="58"/>
  <c r="J243" i="58"/>
  <c r="I243" i="58"/>
  <c r="H243" i="58"/>
  <c r="E243" i="58"/>
  <c r="D243" i="58"/>
  <c r="B243" i="58"/>
  <c r="E242" i="58"/>
  <c r="D242" i="58"/>
  <c r="B242" i="58"/>
  <c r="E241" i="58"/>
  <c r="D241" i="58"/>
  <c r="B241" i="58"/>
  <c r="E240" i="58"/>
  <c r="D240" i="58"/>
  <c r="B240" i="58"/>
  <c r="S239" i="58"/>
  <c r="R239" i="58"/>
  <c r="Q239" i="58"/>
  <c r="P239" i="58"/>
  <c r="O239" i="58"/>
  <c r="N239" i="58"/>
  <c r="M239" i="58"/>
  <c r="L239" i="58"/>
  <c r="K239" i="58"/>
  <c r="J239" i="58"/>
  <c r="I239" i="58"/>
  <c r="H239" i="58"/>
  <c r="E239" i="58"/>
  <c r="D239" i="58"/>
  <c r="B239" i="58"/>
  <c r="S238" i="58"/>
  <c r="R238" i="58"/>
  <c r="Q238" i="58"/>
  <c r="P238" i="58"/>
  <c r="O238" i="58"/>
  <c r="N238" i="58"/>
  <c r="M238" i="58"/>
  <c r="L238" i="58"/>
  <c r="K238" i="58"/>
  <c r="J238" i="58"/>
  <c r="I238" i="58"/>
  <c r="H238" i="58"/>
  <c r="E238" i="58"/>
  <c r="D238" i="58"/>
  <c r="B238" i="58"/>
  <c r="E235" i="58"/>
  <c r="D235" i="58"/>
  <c r="B235" i="58"/>
  <c r="E234" i="58"/>
  <c r="D234" i="58"/>
  <c r="B234" i="58"/>
  <c r="S233" i="58"/>
  <c r="R233" i="58"/>
  <c r="R268" i="58" s="1"/>
  <c r="Q233" i="58"/>
  <c r="P233" i="58"/>
  <c r="P268" i="58" s="1"/>
  <c r="O233" i="58"/>
  <c r="N233" i="58"/>
  <c r="N268" i="58" s="1"/>
  <c r="M233" i="58"/>
  <c r="L233" i="58"/>
  <c r="L268" i="58" s="1"/>
  <c r="K233" i="58"/>
  <c r="J233" i="58"/>
  <c r="J268" i="58" s="1"/>
  <c r="I233" i="58"/>
  <c r="H233" i="58"/>
  <c r="H268" i="58" s="1"/>
  <c r="E233" i="58"/>
  <c r="D233" i="58"/>
  <c r="B233" i="58"/>
  <c r="E232" i="58"/>
  <c r="D232" i="58"/>
  <c r="B232" i="58"/>
  <c r="E231" i="58"/>
  <c r="D231" i="58"/>
  <c r="B231" i="58"/>
  <c r="S230" i="58"/>
  <c r="R230" i="58"/>
  <c r="Q230" i="58"/>
  <c r="P230" i="58"/>
  <c r="O230" i="58"/>
  <c r="N230" i="58"/>
  <c r="M230" i="58"/>
  <c r="L230" i="58"/>
  <c r="K230" i="58"/>
  <c r="J230" i="58"/>
  <c r="I230" i="58"/>
  <c r="H230" i="58"/>
  <c r="E230" i="58"/>
  <c r="D230" i="58"/>
  <c r="B230" i="58"/>
  <c r="E229" i="58"/>
  <c r="D229" i="58"/>
  <c r="B229" i="58"/>
  <c r="E228" i="58"/>
  <c r="D228" i="58"/>
  <c r="B228" i="58"/>
  <c r="E227" i="58"/>
  <c r="D227" i="58"/>
  <c r="B227" i="58"/>
  <c r="E226" i="58"/>
  <c r="D226" i="58"/>
  <c r="B226" i="58"/>
  <c r="S225" i="58"/>
  <c r="R225" i="58"/>
  <c r="Q225" i="58"/>
  <c r="P225" i="58"/>
  <c r="O225" i="58"/>
  <c r="N225" i="58"/>
  <c r="M225" i="58"/>
  <c r="L225" i="58"/>
  <c r="K225" i="58"/>
  <c r="J225" i="58"/>
  <c r="I225" i="58"/>
  <c r="H225" i="58"/>
  <c r="E225" i="58"/>
  <c r="D225" i="58"/>
  <c r="B225" i="58"/>
  <c r="S224" i="58"/>
  <c r="R224" i="58"/>
  <c r="Q224" i="58"/>
  <c r="P224" i="58"/>
  <c r="O224" i="58"/>
  <c r="N224" i="58"/>
  <c r="M224" i="58"/>
  <c r="L224" i="58"/>
  <c r="K224" i="58"/>
  <c r="J224" i="58"/>
  <c r="I224" i="58"/>
  <c r="H224" i="58"/>
  <c r="E224" i="58"/>
  <c r="D224" i="58"/>
  <c r="B224" i="58"/>
  <c r="S223" i="58"/>
  <c r="R223" i="58"/>
  <c r="Q223" i="58"/>
  <c r="P223" i="58"/>
  <c r="O223" i="58"/>
  <c r="N223" i="58"/>
  <c r="M223" i="58"/>
  <c r="L223" i="58"/>
  <c r="K223" i="58"/>
  <c r="J223" i="58"/>
  <c r="I223" i="58"/>
  <c r="H223" i="58"/>
  <c r="E223" i="58"/>
  <c r="D223" i="58"/>
  <c r="B223" i="58"/>
  <c r="T208" i="58"/>
  <c r="H265" i="58" l="1"/>
  <c r="P265" i="58"/>
  <c r="K297" i="58"/>
  <c r="O297" i="58"/>
  <c r="S297" i="58"/>
  <c r="H297" i="58"/>
  <c r="H299" i="58" s="1"/>
  <c r="L297" i="58"/>
  <c r="L299" i="58" s="1"/>
  <c r="P297" i="58"/>
  <c r="J371" i="58"/>
  <c r="T349" i="58"/>
  <c r="R371" i="58"/>
  <c r="L311" i="58"/>
  <c r="L313" i="58" s="1"/>
  <c r="H311" i="58"/>
  <c r="H313" i="58" s="1"/>
  <c r="P311" i="58"/>
  <c r="M311" i="58"/>
  <c r="M313" i="58" s="1"/>
  <c r="M315" i="58" s="1"/>
  <c r="N311" i="58"/>
  <c r="I311" i="58"/>
  <c r="Q311" i="58"/>
  <c r="J311" i="58"/>
  <c r="R311" i="58"/>
  <c r="K311" i="58"/>
  <c r="O311" i="58"/>
  <c r="S311" i="58"/>
  <c r="N265" i="58"/>
  <c r="R265" i="58"/>
  <c r="O361" i="58"/>
  <c r="N361" i="58" s="1"/>
  <c r="M361" i="58" s="1"/>
  <c r="T359" i="58"/>
  <c r="I268" i="58"/>
  <c r="M268" i="58"/>
  <c r="Q268" i="58"/>
  <c r="K268" i="58"/>
  <c r="O268" i="58"/>
  <c r="S268" i="58"/>
  <c r="R297" i="58"/>
  <c r="T243" i="58"/>
  <c r="T285" i="58"/>
  <c r="T292" i="58"/>
  <c r="T275" i="58"/>
  <c r="T298" i="58"/>
  <c r="M265" i="58"/>
  <c r="L265" i="58" s="1"/>
  <c r="K265" i="58" s="1"/>
  <c r="J265" i="58" s="1"/>
  <c r="I265" i="58" s="1"/>
  <c r="Q265" i="58"/>
  <c r="T238" i="58"/>
  <c r="T246" i="58"/>
  <c r="T257" i="58"/>
  <c r="I299" i="58"/>
  <c r="M299" i="58"/>
  <c r="Q299" i="58"/>
  <c r="L361" i="58"/>
  <c r="K361" i="58" s="1"/>
  <c r="O265" i="58"/>
  <c r="T282" i="58"/>
  <c r="K299" i="58"/>
  <c r="O299" i="58"/>
  <c r="S299" i="58"/>
  <c r="H360" i="58"/>
  <c r="J299" i="58"/>
  <c r="N299" i="58"/>
  <c r="T255" i="58"/>
  <c r="H259" i="58"/>
  <c r="K259" i="58"/>
  <c r="J259" i="58" s="1"/>
  <c r="I259" i="58" s="1"/>
  <c r="P299" i="58"/>
  <c r="H371" i="58"/>
  <c r="I228" i="58"/>
  <c r="M228" i="58"/>
  <c r="Q228" i="58"/>
  <c r="T230" i="58"/>
  <c r="T291" i="58"/>
  <c r="G273" i="64" s="1"/>
  <c r="T223" i="58"/>
  <c r="H228" i="58"/>
  <c r="L228" i="58"/>
  <c r="P228" i="58"/>
  <c r="J229" i="58"/>
  <c r="I229" i="58" s="1"/>
  <c r="T233" i="58"/>
  <c r="A44" i="29"/>
  <c r="M332" i="58"/>
  <c r="T332" i="58" s="1"/>
  <c r="N371" i="58"/>
  <c r="K228" i="58"/>
  <c r="O228" i="58"/>
  <c r="S228" i="58"/>
  <c r="T254" i="58"/>
  <c r="T280" i="58"/>
  <c r="Q371" i="58"/>
  <c r="H333" i="58"/>
  <c r="T322" i="58"/>
  <c r="H375" i="58"/>
  <c r="A41" i="19"/>
  <c r="J228" i="58"/>
  <c r="N228" i="58"/>
  <c r="R228" i="58"/>
  <c r="T296" i="58"/>
  <c r="J361" i="58"/>
  <c r="I361" i="58" s="1"/>
  <c r="T297" i="58" l="1"/>
  <c r="T268" i="58"/>
  <c r="H361" i="58"/>
  <c r="K313" i="58"/>
  <c r="T311" i="58"/>
  <c r="R299" i="58"/>
  <c r="T299" i="58" s="1"/>
  <c r="J313" i="58"/>
  <c r="I313" i="58" s="1"/>
  <c r="J273" i="64"/>
  <c r="M273" i="64"/>
  <c r="L315" i="58"/>
  <c r="A45" i="29"/>
  <c r="A42" i="19"/>
  <c r="A43" i="19" s="1"/>
  <c r="A44" i="19" s="1"/>
  <c r="A45" i="19" s="1"/>
  <c r="T228" i="58"/>
  <c r="U312" i="58"/>
  <c r="H315" i="58"/>
  <c r="H303" i="58"/>
  <c r="I231" i="58"/>
  <c r="I235" i="58" s="1"/>
  <c r="H372" i="58"/>
  <c r="H229" i="58"/>
  <c r="H231" i="58" s="1"/>
  <c r="I264" i="58"/>
  <c r="M371" i="58"/>
  <c r="T371" i="58" s="1"/>
  <c r="J231" i="58"/>
  <c r="J235" i="58" s="1"/>
  <c r="T204" i="58"/>
  <c r="T203" i="58"/>
  <c r="R203" i="58"/>
  <c r="T202" i="58"/>
  <c r="T197" i="58"/>
  <c r="K315" i="58" l="1"/>
  <c r="J315" i="58"/>
  <c r="I315" i="58" s="1"/>
  <c r="U314" i="58"/>
  <c r="H264" i="58"/>
  <c r="A46" i="29"/>
  <c r="H235" i="58"/>
  <c r="A46" i="19"/>
  <c r="A47" i="19" l="1"/>
  <c r="A48" i="19" s="1"/>
  <c r="A47" i="29"/>
  <c r="A48" i="29" s="1"/>
  <c r="E179" i="58"/>
  <c r="D179" i="58"/>
  <c r="B179" i="58"/>
  <c r="E178" i="58"/>
  <c r="D178" i="58"/>
  <c r="B178" i="58"/>
  <c r="S177" i="58"/>
  <c r="R177" i="58"/>
  <c r="Q177" i="58"/>
  <c r="P177" i="58"/>
  <c r="O177" i="58"/>
  <c r="N177" i="58"/>
  <c r="M177" i="58"/>
  <c r="L177" i="58"/>
  <c r="K177" i="58"/>
  <c r="J177" i="58"/>
  <c r="I177" i="58"/>
  <c r="H177" i="58"/>
  <c r="E177" i="58"/>
  <c r="D177" i="58"/>
  <c r="B177" i="58"/>
  <c r="E176" i="58"/>
  <c r="D176" i="58"/>
  <c r="B176" i="58"/>
  <c r="E175" i="58"/>
  <c r="D175" i="58"/>
  <c r="B175" i="58"/>
  <c r="S174" i="58"/>
  <c r="R174" i="58"/>
  <c r="Q174" i="58"/>
  <c r="P174" i="58"/>
  <c r="O174" i="58"/>
  <c r="N174" i="58"/>
  <c r="T177" i="58" l="1"/>
  <c r="A49" i="29"/>
  <c r="A49" i="19"/>
  <c r="M174" i="58"/>
  <c r="L174" i="58"/>
  <c r="K174" i="58"/>
  <c r="J174" i="58"/>
  <c r="I174" i="58"/>
  <c r="H174" i="58"/>
  <c r="E174" i="58"/>
  <c r="D174" i="58"/>
  <c r="B174" i="58"/>
  <c r="E173" i="58"/>
  <c r="D173" i="58"/>
  <c r="B173" i="58"/>
  <c r="E172" i="58"/>
  <c r="D172" i="58"/>
  <c r="B172" i="58"/>
  <c r="E171" i="58"/>
  <c r="D171" i="58"/>
  <c r="B171" i="58"/>
  <c r="S170" i="58"/>
  <c r="R170" i="58"/>
  <c r="Q170" i="58"/>
  <c r="P170" i="58"/>
  <c r="O170" i="58"/>
  <c r="N170" i="58"/>
  <c r="M170" i="58"/>
  <c r="L170" i="58"/>
  <c r="K170" i="58"/>
  <c r="J170" i="58"/>
  <c r="I170" i="58"/>
  <c r="H170" i="58"/>
  <c r="E170" i="58"/>
  <c r="D170" i="58"/>
  <c r="B170" i="58"/>
  <c r="E169" i="58"/>
  <c r="D169" i="58"/>
  <c r="B169" i="58"/>
  <c r="E168" i="58"/>
  <c r="D168" i="58"/>
  <c r="B168" i="58"/>
  <c r="S167" i="58"/>
  <c r="R167" i="58"/>
  <c r="Q167" i="58"/>
  <c r="P167" i="58"/>
  <c r="O167" i="58"/>
  <c r="N167" i="58"/>
  <c r="M167" i="58"/>
  <c r="L167" i="58"/>
  <c r="K167" i="58"/>
  <c r="J167" i="58"/>
  <c r="I167" i="58"/>
  <c r="H167" i="58"/>
  <c r="E167" i="58"/>
  <c r="D167" i="58"/>
  <c r="B167" i="58"/>
  <c r="Q166" i="58"/>
  <c r="P166" i="58"/>
  <c r="O166" i="58"/>
  <c r="N166" i="58"/>
  <c r="M166" i="58"/>
  <c r="L166" i="58"/>
  <c r="K166" i="58"/>
  <c r="E166" i="58"/>
  <c r="D166" i="58"/>
  <c r="B166" i="58"/>
  <c r="S165" i="58"/>
  <c r="R165" i="58"/>
  <c r="Q165" i="58"/>
  <c r="P165" i="58"/>
  <c r="O165" i="58"/>
  <c r="N165" i="58"/>
  <c r="M165" i="58"/>
  <c r="L165" i="58"/>
  <c r="K165" i="58"/>
  <c r="J165" i="58"/>
  <c r="I165" i="58"/>
  <c r="H165" i="58"/>
  <c r="E165" i="58"/>
  <c r="D165" i="58"/>
  <c r="B165" i="58"/>
  <c r="S164" i="58"/>
  <c r="S159" i="58" s="1"/>
  <c r="S160" i="58" s="1"/>
  <c r="S161" i="58" s="1"/>
  <c r="R164" i="58"/>
  <c r="R159" i="58" s="1"/>
  <c r="R160" i="58" s="1"/>
  <c r="R161" i="58" s="1"/>
  <c r="Q164" i="58"/>
  <c r="P164" i="58"/>
  <c r="O164" i="58"/>
  <c r="O159" i="58" s="1"/>
  <c r="O160" i="58" s="1"/>
  <c r="O161" i="58" s="1"/>
  <c r="N164" i="58"/>
  <c r="M164" i="58"/>
  <c r="L164" i="58"/>
  <c r="K164" i="58"/>
  <c r="K159" i="58" s="1"/>
  <c r="J164" i="58"/>
  <c r="J159" i="58" s="1"/>
  <c r="I164" i="58"/>
  <c r="H164" i="58"/>
  <c r="E164" i="58"/>
  <c r="D164" i="58"/>
  <c r="B164" i="58"/>
  <c r="E163" i="58"/>
  <c r="D163" i="58"/>
  <c r="B163" i="58"/>
  <c r="S162" i="58"/>
  <c r="R162" i="58"/>
  <c r="Q162" i="58"/>
  <c r="P162" i="58"/>
  <c r="O162" i="58"/>
  <c r="N162" i="58"/>
  <c r="M162" i="58"/>
  <c r="L162" i="58"/>
  <c r="K162" i="58"/>
  <c r="J162" i="58"/>
  <c r="I162" i="58"/>
  <c r="H162" i="58"/>
  <c r="E162" i="58"/>
  <c r="D162" i="58"/>
  <c r="B162" i="58"/>
  <c r="E161" i="58"/>
  <c r="D161" i="58"/>
  <c r="B161" i="58"/>
  <c r="E160" i="58"/>
  <c r="D160" i="58"/>
  <c r="B160" i="58"/>
  <c r="P159" i="58"/>
  <c r="E159" i="58"/>
  <c r="D159" i="58"/>
  <c r="B159" i="58"/>
  <c r="E155" i="58"/>
  <c r="D155" i="58"/>
  <c r="B155" i="58"/>
  <c r="E154" i="58"/>
  <c r="D154" i="58"/>
  <c r="B154" i="58"/>
  <c r="S153" i="58"/>
  <c r="S192" i="58" s="1"/>
  <c r="R153" i="58"/>
  <c r="R192" i="58" s="1"/>
  <c r="Q153" i="58"/>
  <c r="Q192" i="58" s="1"/>
  <c r="N159" i="58" l="1"/>
  <c r="P160" i="58"/>
  <c r="P171" i="58" s="1"/>
  <c r="I159" i="58"/>
  <c r="I160" i="58" s="1"/>
  <c r="I161" i="58" s="1"/>
  <c r="M159" i="58"/>
  <c r="M160" i="58" s="1"/>
  <c r="M171" i="58" s="1"/>
  <c r="Q159" i="58"/>
  <c r="Q160" i="58" s="1"/>
  <c r="Q161" i="58" s="1"/>
  <c r="J160" i="58"/>
  <c r="J171" i="58" s="1"/>
  <c r="S166" i="58"/>
  <c r="H159" i="58"/>
  <c r="H160" i="58" s="1"/>
  <c r="L159" i="58"/>
  <c r="L160" i="58" s="1"/>
  <c r="L171" i="58" s="1"/>
  <c r="T174" i="58"/>
  <c r="K160" i="58"/>
  <c r="K171" i="58" s="1"/>
  <c r="N160" i="58"/>
  <c r="N161" i="58" s="1"/>
  <c r="T162" i="58"/>
  <c r="O171" i="58"/>
  <c r="J166" i="58"/>
  <c r="I166" i="58" s="1"/>
  <c r="H166" i="58" s="1"/>
  <c r="A50" i="29"/>
  <c r="R166" i="58"/>
  <c r="T170" i="58"/>
  <c r="A50" i="19"/>
  <c r="P153" i="58"/>
  <c r="P192" i="58" s="1"/>
  <c r="O153" i="58"/>
  <c r="O192" i="58" s="1"/>
  <c r="N153" i="58"/>
  <c r="N192" i="58" s="1"/>
  <c r="M153" i="58"/>
  <c r="M192" i="58" s="1"/>
  <c r="L153" i="58"/>
  <c r="L192" i="58" s="1"/>
  <c r="K153" i="58"/>
  <c r="K192" i="58" s="1"/>
  <c r="J153" i="58"/>
  <c r="J192" i="58" s="1"/>
  <c r="I153" i="58"/>
  <c r="I192" i="58" s="1"/>
  <c r="H153" i="58"/>
  <c r="E153" i="58"/>
  <c r="D153" i="58"/>
  <c r="B153" i="58"/>
  <c r="E152" i="58"/>
  <c r="D152" i="58"/>
  <c r="B152" i="58"/>
  <c r="E151" i="58"/>
  <c r="D151" i="58"/>
  <c r="B151" i="58"/>
  <c r="E150" i="58"/>
  <c r="D150" i="58"/>
  <c r="B150" i="58"/>
  <c r="E149" i="58"/>
  <c r="D149" i="58"/>
  <c r="B149" i="58"/>
  <c r="E148" i="58"/>
  <c r="D148" i="58"/>
  <c r="B148" i="58"/>
  <c r="E147" i="58"/>
  <c r="D147" i="58"/>
  <c r="B147" i="58"/>
  <c r="E146" i="58"/>
  <c r="D146" i="58"/>
  <c r="B146" i="58"/>
  <c r="E145" i="58"/>
  <c r="D145" i="58"/>
  <c r="B145" i="58"/>
  <c r="E144" i="58"/>
  <c r="D144" i="58"/>
  <c r="B144" i="58"/>
  <c r="S143" i="58"/>
  <c r="S189" i="58" s="1"/>
  <c r="R143" i="58"/>
  <c r="R189" i="58" s="1"/>
  <c r="Q143" i="58"/>
  <c r="Q189" i="58" s="1"/>
  <c r="P143" i="58"/>
  <c r="P189" i="58" s="1"/>
  <c r="O143" i="58"/>
  <c r="O189" i="58" s="1"/>
  <c r="N143" i="58"/>
  <c r="N189" i="58" s="1"/>
  <c r="M143" i="58"/>
  <c r="M189" i="58" s="1"/>
  <c r="L143" i="58"/>
  <c r="L189" i="58" s="1"/>
  <c r="K143" i="58"/>
  <c r="K189" i="58" s="1"/>
  <c r="J143" i="58"/>
  <c r="J189" i="58" s="1"/>
  <c r="I143" i="58"/>
  <c r="I189" i="58" s="1"/>
  <c r="H143" i="58"/>
  <c r="H189" i="58" s="1"/>
  <c r="E143" i="58"/>
  <c r="D143" i="58"/>
  <c r="B143" i="58"/>
  <c r="E142" i="58"/>
  <c r="D142" i="58"/>
  <c r="B142" i="58"/>
  <c r="S141" i="58"/>
  <c r="R141" i="58"/>
  <c r="Q141" i="58"/>
  <c r="P141" i="58"/>
  <c r="O141" i="58"/>
  <c r="N141" i="58"/>
  <c r="M141" i="58"/>
  <c r="L141" i="58"/>
  <c r="K141" i="58"/>
  <c r="J141" i="58"/>
  <c r="I141" i="58"/>
  <c r="H141" i="58"/>
  <c r="E141" i="58"/>
  <c r="D141" i="58"/>
  <c r="B141" i="58"/>
  <c r="S140" i="58"/>
  <c r="R140" i="58"/>
  <c r="Q140" i="58"/>
  <c r="P140" i="58"/>
  <c r="O140" i="58"/>
  <c r="N140" i="58"/>
  <c r="M140" i="58"/>
  <c r="L140" i="58"/>
  <c r="K140" i="58"/>
  <c r="J140" i="58"/>
  <c r="I140" i="58"/>
  <c r="H140" i="58"/>
  <c r="E140" i="58"/>
  <c r="D140" i="58"/>
  <c r="B140" i="58"/>
  <c r="Q139" i="58"/>
  <c r="P139" i="58"/>
  <c r="O139" i="58"/>
  <c r="N139" i="58"/>
  <c r="M139" i="58"/>
  <c r="L139" i="58"/>
  <c r="K139" i="58"/>
  <c r="E139" i="58"/>
  <c r="D139" i="58"/>
  <c r="B139" i="58"/>
  <c r="S138" i="58"/>
  <c r="S139" i="58" s="1"/>
  <c r="R138" i="58"/>
  <c r="R139" i="58" s="1"/>
  <c r="Q138" i="58"/>
  <c r="P138" i="58"/>
  <c r="O138" i="58"/>
  <c r="N138" i="58"/>
  <c r="M138" i="58"/>
  <c r="L138" i="58"/>
  <c r="K138" i="58"/>
  <c r="J138" i="58"/>
  <c r="J139" i="58" s="1"/>
  <c r="I138" i="58"/>
  <c r="I139" i="58" s="1"/>
  <c r="H138" i="58"/>
  <c r="H139" i="58" s="1"/>
  <c r="E138" i="58"/>
  <c r="D138" i="58"/>
  <c r="B138" i="58"/>
  <c r="S137" i="58"/>
  <c r="R137" i="58"/>
  <c r="R132" i="58" s="1"/>
  <c r="Q137" i="58"/>
  <c r="P137" i="58"/>
  <c r="O137" i="58"/>
  <c r="N137" i="58"/>
  <c r="M137" i="58"/>
  <c r="L137" i="58"/>
  <c r="K137" i="58"/>
  <c r="J137" i="58"/>
  <c r="I137" i="58"/>
  <c r="H137" i="58"/>
  <c r="E137" i="58"/>
  <c r="D137" i="58"/>
  <c r="B137" i="58"/>
  <c r="E136" i="58"/>
  <c r="D136" i="58"/>
  <c r="B136" i="58"/>
  <c r="S135" i="58"/>
  <c r="R135" i="58"/>
  <c r="R133" i="58" s="1"/>
  <c r="R134" i="58" s="1"/>
  <c r="Q135" i="58"/>
  <c r="P135" i="58"/>
  <c r="P149" i="58" s="1"/>
  <c r="O135" i="58"/>
  <c r="N135" i="58"/>
  <c r="N149" i="58" s="1"/>
  <c r="M135" i="58"/>
  <c r="L135" i="58"/>
  <c r="L133" i="58" s="1"/>
  <c r="L134" i="58" s="1"/>
  <c r="K135" i="58"/>
  <c r="J135" i="58"/>
  <c r="I135" i="58"/>
  <c r="H135" i="58"/>
  <c r="H149" i="58" s="1"/>
  <c r="E135" i="58"/>
  <c r="D135" i="58"/>
  <c r="B135" i="58"/>
  <c r="E134" i="58"/>
  <c r="D134" i="58"/>
  <c r="B134" i="58"/>
  <c r="E133" i="58"/>
  <c r="D133" i="58"/>
  <c r="B133" i="58"/>
  <c r="J132" i="58"/>
  <c r="E132" i="58"/>
  <c r="D132" i="58"/>
  <c r="B132" i="58"/>
  <c r="D125" i="58"/>
  <c r="B125" i="58"/>
  <c r="D124" i="58"/>
  <c r="B124" i="58"/>
  <c r="S123" i="58"/>
  <c r="R123" i="58"/>
  <c r="Q123" i="58"/>
  <c r="P123" i="58"/>
  <c r="O123" i="58"/>
  <c r="N123" i="58"/>
  <c r="M123" i="58"/>
  <c r="L123" i="58"/>
  <c r="K123" i="58"/>
  <c r="J123" i="58"/>
  <c r="I123" i="58"/>
  <c r="H123" i="58"/>
  <c r="D123" i="58"/>
  <c r="B123" i="58"/>
  <c r="D122" i="58"/>
  <c r="B122" i="58"/>
  <c r="D121" i="58"/>
  <c r="B121" i="58"/>
  <c r="T120" i="58"/>
  <c r="D120" i="58"/>
  <c r="B120" i="58"/>
  <c r="T119" i="58"/>
  <c r="J276" i="64" s="1"/>
  <c r="G276" i="64" s="1"/>
  <c r="D119" i="58"/>
  <c r="B119" i="58"/>
  <c r="T118" i="58"/>
  <c r="D118" i="58"/>
  <c r="B118" i="58"/>
  <c r="D117" i="58"/>
  <c r="B117" i="58"/>
  <c r="D116" i="58"/>
  <c r="B116" i="58"/>
  <c r="D115" i="58"/>
  <c r="B115" i="58"/>
  <c r="D114" i="58"/>
  <c r="B114" i="58"/>
  <c r="D113" i="58"/>
  <c r="B113" i="58"/>
  <c r="D112" i="58"/>
  <c r="B112" i="58"/>
  <c r="D111" i="58"/>
  <c r="B111" i="58"/>
  <c r="S110" i="58"/>
  <c r="R110" i="58"/>
  <c r="Q110" i="58"/>
  <c r="P110" i="58"/>
  <c r="O110" i="58"/>
  <c r="N110" i="58"/>
  <c r="M110" i="58"/>
  <c r="L110" i="58"/>
  <c r="K110" i="58"/>
  <c r="J110" i="58"/>
  <c r="I110" i="58"/>
  <c r="H110" i="58"/>
  <c r="D110" i="58"/>
  <c r="B110" i="58"/>
  <c r="S109" i="58"/>
  <c r="R109" i="58"/>
  <c r="Q109" i="58"/>
  <c r="P109" i="58"/>
  <c r="O109" i="58"/>
  <c r="N109" i="58"/>
  <c r="M109" i="58"/>
  <c r="L109" i="58"/>
  <c r="K109" i="58"/>
  <c r="J109" i="58"/>
  <c r="I109" i="58"/>
  <c r="H109" i="58"/>
  <c r="D109" i="58"/>
  <c r="B109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D108" i="58"/>
  <c r="B108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D107" i="58"/>
  <c r="B107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D106" i="58"/>
  <c r="B106" i="58"/>
  <c r="D105" i="58"/>
  <c r="B105" i="58"/>
  <c r="S104" i="58"/>
  <c r="R104" i="58"/>
  <c r="Q104" i="58"/>
  <c r="P104" i="58"/>
  <c r="O104" i="58"/>
  <c r="N104" i="58"/>
  <c r="M104" i="58"/>
  <c r="L104" i="58"/>
  <c r="K104" i="58"/>
  <c r="H104" i="58"/>
  <c r="D104" i="58"/>
  <c r="B104" i="58"/>
  <c r="T103" i="58"/>
  <c r="G272" i="64" s="1"/>
  <c r="D103" i="58"/>
  <c r="B103" i="58"/>
  <c r="D99" i="58"/>
  <c r="B99" i="58"/>
  <c r="D98" i="58"/>
  <c r="B98" i="58"/>
  <c r="S97" i="58"/>
  <c r="R97" i="58"/>
  <c r="Q97" i="58"/>
  <c r="P97" i="58"/>
  <c r="O97" i="58"/>
  <c r="N97" i="58"/>
  <c r="M97" i="58"/>
  <c r="L97" i="58"/>
  <c r="K97" i="58"/>
  <c r="J97" i="58"/>
  <c r="I97" i="58"/>
  <c r="H97" i="58"/>
  <c r="D97" i="58"/>
  <c r="B97" i="58"/>
  <c r="D96" i="58"/>
  <c r="B96" i="58"/>
  <c r="D95" i="58"/>
  <c r="B95" i="58"/>
  <c r="T94" i="58"/>
  <c r="D94" i="58"/>
  <c r="B94" i="58"/>
  <c r="T93" i="58"/>
  <c r="D93" i="58"/>
  <c r="B93" i="58"/>
  <c r="T92" i="58"/>
  <c r="D92" i="58"/>
  <c r="B92" i="58"/>
  <c r="D91" i="58"/>
  <c r="B91" i="58"/>
  <c r="D90" i="58"/>
  <c r="B90" i="58"/>
  <c r="D89" i="58"/>
  <c r="B89" i="58"/>
  <c r="D88" i="58"/>
  <c r="B88" i="58"/>
  <c r="D87" i="58"/>
  <c r="B87" i="58"/>
  <c r="D86" i="58"/>
  <c r="B86" i="58"/>
  <c r="D85" i="58"/>
  <c r="B85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D84" i="58"/>
  <c r="B84" i="58"/>
  <c r="S83" i="58"/>
  <c r="R83" i="58"/>
  <c r="Q83" i="58"/>
  <c r="P83" i="58"/>
  <c r="O83" i="58"/>
  <c r="N83" i="58"/>
  <c r="M83" i="58"/>
  <c r="L83" i="58"/>
  <c r="K83" i="58"/>
  <c r="J83" i="58"/>
  <c r="I83" i="58"/>
  <c r="H83" i="58"/>
  <c r="D83" i="58"/>
  <c r="B83" i="58"/>
  <c r="S82" i="58"/>
  <c r="R82" i="58"/>
  <c r="Q82" i="58"/>
  <c r="P82" i="58"/>
  <c r="O82" i="58"/>
  <c r="N82" i="58"/>
  <c r="M82" i="58"/>
  <c r="L82" i="58"/>
  <c r="K82" i="58"/>
  <c r="J82" i="58"/>
  <c r="I82" i="58"/>
  <c r="H82" i="58"/>
  <c r="D82" i="58"/>
  <c r="B82" i="58"/>
  <c r="S81" i="58"/>
  <c r="R81" i="58"/>
  <c r="Q81" i="58"/>
  <c r="P81" i="58"/>
  <c r="O81" i="58"/>
  <c r="N81" i="58"/>
  <c r="M81" i="58"/>
  <c r="L81" i="58"/>
  <c r="K81" i="58"/>
  <c r="J81" i="58"/>
  <c r="I81" i="58"/>
  <c r="H81" i="58"/>
  <c r="D81" i="58"/>
  <c r="B81" i="58"/>
  <c r="S80" i="58"/>
  <c r="R80" i="58"/>
  <c r="Q80" i="58"/>
  <c r="P80" i="58"/>
  <c r="O80" i="58"/>
  <c r="N80" i="58"/>
  <c r="M80" i="58"/>
  <c r="L80" i="58"/>
  <c r="K80" i="58"/>
  <c r="J80" i="58"/>
  <c r="I80" i="58"/>
  <c r="H80" i="58"/>
  <c r="D80" i="58"/>
  <c r="B80" i="58"/>
  <c r="D79" i="58"/>
  <c r="B79" i="58"/>
  <c r="S78" i="58"/>
  <c r="R78" i="58"/>
  <c r="Q78" i="58"/>
  <c r="P78" i="58"/>
  <c r="O78" i="58"/>
  <c r="N78" i="58"/>
  <c r="M78" i="58"/>
  <c r="L78" i="58"/>
  <c r="K78" i="58"/>
  <c r="H78" i="58"/>
  <c r="D78" i="58"/>
  <c r="B78" i="58"/>
  <c r="T77" i="58"/>
  <c r="D77" i="58"/>
  <c r="B77" i="58"/>
  <c r="J69" i="58"/>
  <c r="T67" i="58"/>
  <c r="T66" i="58"/>
  <c r="W211" i="58" s="1"/>
  <c r="T65" i="58"/>
  <c r="E59" i="58"/>
  <c r="D59" i="58"/>
  <c r="B59" i="58"/>
  <c r="E58" i="58"/>
  <c r="D58" i="58"/>
  <c r="B58" i="58"/>
  <c r="E57" i="58"/>
  <c r="D57" i="58"/>
  <c r="B57" i="58"/>
  <c r="S56" i="58"/>
  <c r="R56" i="58"/>
  <c r="Q56" i="58"/>
  <c r="P56" i="58"/>
  <c r="O56" i="58"/>
  <c r="N56" i="58"/>
  <c r="M56" i="58"/>
  <c r="L56" i="58"/>
  <c r="K56" i="58"/>
  <c r="J56" i="58"/>
  <c r="I56" i="58"/>
  <c r="H56" i="58"/>
  <c r="E56" i="58"/>
  <c r="D56" i="58"/>
  <c r="B56" i="58"/>
  <c r="E55" i="58"/>
  <c r="D55" i="58"/>
  <c r="B55" i="58"/>
  <c r="J54" i="58"/>
  <c r="E54" i="58"/>
  <c r="D54" i="58"/>
  <c r="B54" i="58"/>
  <c r="S53" i="58"/>
  <c r="R53" i="58"/>
  <c r="Q53" i="58"/>
  <c r="P53" i="58"/>
  <c r="O53" i="58"/>
  <c r="N53" i="58"/>
  <c r="M53" i="58"/>
  <c r="L53" i="58"/>
  <c r="K53" i="58"/>
  <c r="K149" i="58" l="1"/>
  <c r="S149" i="58"/>
  <c r="S187" i="58" s="1"/>
  <c r="J272" i="64"/>
  <c r="M272" i="64"/>
  <c r="G279" i="64"/>
  <c r="M276" i="64"/>
  <c r="Q149" i="58"/>
  <c r="Q187" i="58" s="1"/>
  <c r="P161" i="58"/>
  <c r="P133" i="58"/>
  <c r="P134" i="58" s="1"/>
  <c r="K132" i="58"/>
  <c r="S132" i="58"/>
  <c r="N132" i="58"/>
  <c r="N133" i="58"/>
  <c r="N134" i="58" s="1"/>
  <c r="O132" i="58"/>
  <c r="L132" i="58"/>
  <c r="P132" i="58"/>
  <c r="S133" i="58"/>
  <c r="S134" i="58" s="1"/>
  <c r="I132" i="58"/>
  <c r="M132" i="58"/>
  <c r="Q132" i="58"/>
  <c r="O133" i="58"/>
  <c r="O134" i="58" s="1"/>
  <c r="W210" i="58"/>
  <c r="H133" i="58"/>
  <c r="H134" i="58" s="1"/>
  <c r="H145" i="58" s="1"/>
  <c r="T123" i="58"/>
  <c r="I133" i="58"/>
  <c r="I144" i="58" s="1"/>
  <c r="T159" i="58"/>
  <c r="T56" i="58"/>
  <c r="T97" i="58"/>
  <c r="K133" i="58"/>
  <c r="K134" i="58" s="1"/>
  <c r="R149" i="58"/>
  <c r="R187" i="58" s="1"/>
  <c r="M133" i="58"/>
  <c r="M134" i="58" s="1"/>
  <c r="Q133" i="58"/>
  <c r="Q134" i="58" s="1"/>
  <c r="P187" i="58"/>
  <c r="H187" i="58"/>
  <c r="K187" i="58"/>
  <c r="N187" i="58"/>
  <c r="J196" i="58"/>
  <c r="H192" i="58"/>
  <c r="T192" i="58" s="1"/>
  <c r="T153" i="58"/>
  <c r="T78" i="58"/>
  <c r="H88" i="58"/>
  <c r="N88" i="58"/>
  <c r="R88" i="58"/>
  <c r="L114" i="58"/>
  <c r="P114" i="58"/>
  <c r="K147" i="58"/>
  <c r="O147" i="58"/>
  <c r="S147" i="58"/>
  <c r="O149" i="58"/>
  <c r="I171" i="58"/>
  <c r="M161" i="58"/>
  <c r="L161" i="58" s="1"/>
  <c r="K161" i="58" s="1"/>
  <c r="A51" i="19"/>
  <c r="T160" i="58"/>
  <c r="H161" i="58"/>
  <c r="M88" i="58"/>
  <c r="Q88" i="58"/>
  <c r="K114" i="58"/>
  <c r="O114" i="58"/>
  <c r="S114" i="58"/>
  <c r="J147" i="58"/>
  <c r="N147" i="58"/>
  <c r="R147" i="58"/>
  <c r="J149" i="58"/>
  <c r="A51" i="29"/>
  <c r="N171" i="58"/>
  <c r="L88" i="58"/>
  <c r="P88" i="58"/>
  <c r="T104" i="58"/>
  <c r="G271" i="64" s="1"/>
  <c r="H114" i="58"/>
  <c r="N114" i="58"/>
  <c r="R114" i="58"/>
  <c r="J133" i="58"/>
  <c r="J134" i="58" s="1"/>
  <c r="T189" i="58"/>
  <c r="T143" i="58"/>
  <c r="I147" i="58"/>
  <c r="M147" i="58"/>
  <c r="Q147" i="58"/>
  <c r="I149" i="58"/>
  <c r="M149" i="58"/>
  <c r="K88" i="58"/>
  <c r="J88" i="58" s="1"/>
  <c r="I88" i="58" s="1"/>
  <c r="O88" i="58"/>
  <c r="S88" i="58"/>
  <c r="M114" i="58"/>
  <c r="Q114" i="58"/>
  <c r="H147" i="58"/>
  <c r="L147" i="58"/>
  <c r="P147" i="58"/>
  <c r="L149" i="58"/>
  <c r="I53" i="58"/>
  <c r="H53" i="58"/>
  <c r="T53" i="58" s="1"/>
  <c r="E53" i="58"/>
  <c r="D53" i="58"/>
  <c r="B53" i="58"/>
  <c r="S52" i="58"/>
  <c r="R52" i="58"/>
  <c r="Q52" i="58"/>
  <c r="P52" i="58"/>
  <c r="P48" i="58" s="1"/>
  <c r="O52" i="58"/>
  <c r="N52" i="58"/>
  <c r="M52" i="58"/>
  <c r="L52" i="58"/>
  <c r="K52" i="58"/>
  <c r="H52" i="58"/>
  <c r="E52" i="58"/>
  <c r="D52" i="58"/>
  <c r="B52" i="58"/>
  <c r="E51" i="58"/>
  <c r="D51" i="58"/>
  <c r="B51" i="58"/>
  <c r="E50" i="58"/>
  <c r="D50" i="58"/>
  <c r="B50" i="58"/>
  <c r="S49" i="58"/>
  <c r="R49" i="58"/>
  <c r="Q49" i="58"/>
  <c r="P49" i="58"/>
  <c r="O49" i="58"/>
  <c r="N49" i="58"/>
  <c r="M49" i="58"/>
  <c r="L49" i="58"/>
  <c r="K49" i="58"/>
  <c r="J49" i="58"/>
  <c r="J48" i="58" s="1"/>
  <c r="I49" i="58"/>
  <c r="I48" i="58" s="1"/>
  <c r="H49" i="58"/>
  <c r="E49" i="58"/>
  <c r="D49" i="58"/>
  <c r="B49" i="58"/>
  <c r="E48" i="58"/>
  <c r="D48" i="58"/>
  <c r="B48" i="58"/>
  <c r="E45" i="58"/>
  <c r="D45" i="58"/>
  <c r="B45" i="58"/>
  <c r="E44" i="58"/>
  <c r="D44" i="58"/>
  <c r="B44" i="58"/>
  <c r="S43" i="58"/>
  <c r="R43" i="58"/>
  <c r="Q43" i="58"/>
  <c r="P43" i="58"/>
  <c r="O43" i="58"/>
  <c r="N43" i="58"/>
  <c r="M43" i="58"/>
  <c r="L43" i="58"/>
  <c r="K43" i="58"/>
  <c r="J43" i="58"/>
  <c r="I43" i="58"/>
  <c r="H43" i="58"/>
  <c r="E43" i="58"/>
  <c r="D43" i="58"/>
  <c r="B43" i="58"/>
  <c r="E42" i="58"/>
  <c r="D42" i="58"/>
  <c r="B42" i="58"/>
  <c r="E41" i="58"/>
  <c r="D41" i="58"/>
  <c r="B41" i="58"/>
  <c r="S40" i="58"/>
  <c r="R40" i="58"/>
  <c r="Q40" i="58"/>
  <c r="P40" i="58"/>
  <c r="O40" i="58"/>
  <c r="N40" i="58"/>
  <c r="M40" i="58"/>
  <c r="L40" i="58"/>
  <c r="K40" i="58"/>
  <c r="H40" i="58"/>
  <c r="E40" i="58"/>
  <c r="D40" i="58"/>
  <c r="B40" i="58"/>
  <c r="E39" i="58"/>
  <c r="D39" i="58"/>
  <c r="B39" i="58"/>
  <c r="S38" i="58"/>
  <c r="R38" i="58"/>
  <c r="Q38" i="58"/>
  <c r="P38" i="58"/>
  <c r="O38" i="58"/>
  <c r="N38" i="58"/>
  <c r="M38" i="58"/>
  <c r="L38" i="58"/>
  <c r="K38" i="58"/>
  <c r="H38" i="58"/>
  <c r="E38" i="58"/>
  <c r="D38" i="58"/>
  <c r="B38" i="58"/>
  <c r="E37" i="58"/>
  <c r="D37" i="58"/>
  <c r="B37" i="58"/>
  <c r="E36" i="58"/>
  <c r="D36" i="58"/>
  <c r="B36" i="58"/>
  <c r="S35" i="58"/>
  <c r="R35" i="58"/>
  <c r="Q35" i="58"/>
  <c r="P35" i="58"/>
  <c r="O35" i="58"/>
  <c r="N35" i="58"/>
  <c r="M35" i="58"/>
  <c r="L35" i="58"/>
  <c r="K35" i="58"/>
  <c r="J35" i="58"/>
  <c r="I35" i="58"/>
  <c r="H35" i="58"/>
  <c r="E35" i="58"/>
  <c r="D35" i="58"/>
  <c r="B35" i="58"/>
  <c r="S34" i="58"/>
  <c r="R34" i="58"/>
  <c r="Q34" i="58"/>
  <c r="P34" i="58"/>
  <c r="O34" i="58"/>
  <c r="N34" i="58"/>
  <c r="M34" i="58"/>
  <c r="L34" i="58"/>
  <c r="K34" i="58"/>
  <c r="J34" i="58"/>
  <c r="I34" i="58"/>
  <c r="H34" i="58"/>
  <c r="E34" i="58"/>
  <c r="D34" i="58"/>
  <c r="B34" i="58"/>
  <c r="S33" i="58"/>
  <c r="R33" i="58"/>
  <c r="Q33" i="58"/>
  <c r="P33" i="58"/>
  <c r="O33" i="58"/>
  <c r="N33" i="58"/>
  <c r="M33" i="58"/>
  <c r="L33" i="58"/>
  <c r="K33" i="58"/>
  <c r="J33" i="58"/>
  <c r="I33" i="58"/>
  <c r="H33" i="58"/>
  <c r="E33" i="58"/>
  <c r="D33" i="58"/>
  <c r="B33" i="58"/>
  <c r="S32" i="58"/>
  <c r="R32" i="58"/>
  <c r="Q32" i="58"/>
  <c r="P32" i="58"/>
  <c r="O32" i="58"/>
  <c r="N32" i="58"/>
  <c r="M32" i="58"/>
  <c r="L32" i="58"/>
  <c r="K32" i="58"/>
  <c r="J32" i="58"/>
  <c r="I32" i="58"/>
  <c r="H32" i="58"/>
  <c r="E32" i="58"/>
  <c r="D32" i="58"/>
  <c r="B32" i="58"/>
  <c r="S31" i="58"/>
  <c r="R31" i="58"/>
  <c r="Q31" i="58"/>
  <c r="P31" i="58"/>
  <c r="O31" i="58"/>
  <c r="N31" i="58"/>
  <c r="M31" i="58"/>
  <c r="L31" i="58"/>
  <c r="K31" i="58"/>
  <c r="M48" i="58" l="1"/>
  <c r="K48" i="58"/>
  <c r="O48" i="58"/>
  <c r="M279" i="64"/>
  <c r="J279" i="64"/>
  <c r="Q48" i="58"/>
  <c r="T132" i="58"/>
  <c r="R48" i="58"/>
  <c r="I134" i="58"/>
  <c r="I145" i="58" s="1"/>
  <c r="I146" i="58" s="1"/>
  <c r="J271" i="64"/>
  <c r="J277" i="64" s="1"/>
  <c r="J281" i="64" s="1"/>
  <c r="M271" i="64"/>
  <c r="M277" i="64" s="1"/>
  <c r="H144" i="58"/>
  <c r="H146" i="58" s="1"/>
  <c r="S48" i="58"/>
  <c r="N48" i="58"/>
  <c r="T43" i="58"/>
  <c r="L48" i="58"/>
  <c r="H54" i="58"/>
  <c r="N54" i="58"/>
  <c r="R54" i="58"/>
  <c r="H186" i="58"/>
  <c r="T147" i="58"/>
  <c r="M187" i="58"/>
  <c r="I186" i="58"/>
  <c r="R186" i="58"/>
  <c r="J161" i="58"/>
  <c r="T161" i="58" s="1"/>
  <c r="K172" i="58"/>
  <c r="O186" i="58"/>
  <c r="M54" i="58"/>
  <c r="Q54" i="58"/>
  <c r="I54" i="58"/>
  <c r="L186" i="58"/>
  <c r="M186" i="58"/>
  <c r="J187" i="58"/>
  <c r="S186" i="58"/>
  <c r="T38" i="58"/>
  <c r="H48" i="58"/>
  <c r="T149" i="58"/>
  <c r="L54" i="58"/>
  <c r="P54" i="58"/>
  <c r="P186" i="58"/>
  <c r="Q186" i="58"/>
  <c r="J186" i="58"/>
  <c r="A52" i="19"/>
  <c r="A53" i="19" s="1"/>
  <c r="A54" i="19" s="1"/>
  <c r="O187" i="58"/>
  <c r="T52" i="58"/>
  <c r="T88" i="58"/>
  <c r="K54" i="58"/>
  <c r="O54" i="58"/>
  <c r="S54" i="58"/>
  <c r="L187" i="58"/>
  <c r="I187" i="58"/>
  <c r="A52" i="29"/>
  <c r="N186" i="58"/>
  <c r="J114" i="58"/>
  <c r="H171" i="58"/>
  <c r="K186" i="58"/>
  <c r="T40" i="58"/>
  <c r="I183" i="58"/>
  <c r="I31" i="58"/>
  <c r="H31" i="58"/>
  <c r="E31" i="58"/>
  <c r="D31" i="58"/>
  <c r="B31" i="58"/>
  <c r="H30" i="58"/>
  <c r="E30" i="58"/>
  <c r="D30" i="58"/>
  <c r="B30" i="58"/>
  <c r="E27" i="58"/>
  <c r="D27" i="58"/>
  <c r="B27" i="58"/>
  <c r="E26" i="58"/>
  <c r="D26" i="58"/>
  <c r="B26" i="58"/>
  <c r="S25" i="58"/>
  <c r="S72" i="58" s="1"/>
  <c r="R25" i="58"/>
  <c r="R72" i="58" s="1"/>
  <c r="Q25" i="58"/>
  <c r="Q72" i="58" s="1"/>
  <c r="P25" i="58"/>
  <c r="P72" i="58" s="1"/>
  <c r="O25" i="58"/>
  <c r="O72" i="58" s="1"/>
  <c r="N25" i="58"/>
  <c r="N72" i="58" s="1"/>
  <c r="M25" i="58"/>
  <c r="M72" i="58" s="1"/>
  <c r="L25" i="58"/>
  <c r="L72" i="58" s="1"/>
  <c r="K25" i="58"/>
  <c r="K72" i="58" s="1"/>
  <c r="J25" i="58"/>
  <c r="J72" i="58" s="1"/>
  <c r="I25" i="58"/>
  <c r="I72" i="58" s="1"/>
  <c r="H25" i="58"/>
  <c r="H72" i="58" s="1"/>
  <c r="E25" i="58"/>
  <c r="D25" i="58"/>
  <c r="B25" i="58"/>
  <c r="E24" i="58"/>
  <c r="D24" i="58"/>
  <c r="B24" i="58"/>
  <c r="E23" i="58"/>
  <c r="D23" i="58"/>
  <c r="B23" i="58"/>
  <c r="S22" i="58"/>
  <c r="R22" i="58"/>
  <c r="Q22" i="58"/>
  <c r="P22" i="58"/>
  <c r="O22" i="58"/>
  <c r="N22" i="58"/>
  <c r="M22" i="58"/>
  <c r="L22" i="58"/>
  <c r="K22" i="58"/>
  <c r="M281" i="64" l="1"/>
  <c r="M283" i="64" s="1"/>
  <c r="M284" i="64" s="1"/>
  <c r="T31" i="58"/>
  <c r="T187" i="58"/>
  <c r="T48" i="58"/>
  <c r="A55" i="19"/>
  <c r="A56" i="19" s="1"/>
  <c r="A57" i="19" s="1"/>
  <c r="A58" i="19" s="1"/>
  <c r="A59" i="19" s="1"/>
  <c r="J172" i="58"/>
  <c r="K173" i="58"/>
  <c r="I114" i="58"/>
  <c r="T54" i="58"/>
  <c r="A53" i="29"/>
  <c r="T72" i="58"/>
  <c r="T25" i="58"/>
  <c r="H183" i="58"/>
  <c r="T186" i="58"/>
  <c r="J22" i="58"/>
  <c r="H22" i="58"/>
  <c r="E22" i="58"/>
  <c r="D22" i="58"/>
  <c r="B22" i="58"/>
  <c r="E21" i="58"/>
  <c r="D21" i="58"/>
  <c r="B21" i="58"/>
  <c r="E20" i="58"/>
  <c r="D20" i="58"/>
  <c r="B20" i="58"/>
  <c r="E19" i="58"/>
  <c r="D19" i="58"/>
  <c r="B19" i="58"/>
  <c r="S18" i="58"/>
  <c r="R18" i="58"/>
  <c r="R9" i="58" s="1"/>
  <c r="Q18" i="58"/>
  <c r="P18" i="58"/>
  <c r="O18" i="58"/>
  <c r="N18" i="58"/>
  <c r="N9" i="58" s="1"/>
  <c r="M18" i="58"/>
  <c r="L18" i="58"/>
  <c r="K18" i="58"/>
  <c r="I18" i="58"/>
  <c r="H18" i="58"/>
  <c r="H9" i="58" s="1"/>
  <c r="E18" i="58"/>
  <c r="D18" i="58"/>
  <c r="B18" i="58"/>
  <c r="E17" i="58"/>
  <c r="D17" i="58"/>
  <c r="B17" i="58"/>
  <c r="E16" i="58"/>
  <c r="D16" i="58"/>
  <c r="B16" i="58"/>
  <c r="S15" i="58"/>
  <c r="R15" i="58"/>
  <c r="Q15" i="58"/>
  <c r="P15" i="58"/>
  <c r="O15" i="58"/>
  <c r="N15" i="58"/>
  <c r="M15" i="58"/>
  <c r="L15" i="58"/>
  <c r="K15" i="58"/>
  <c r="J15" i="58"/>
  <c r="I15" i="58"/>
  <c r="H15" i="58"/>
  <c r="E15" i="58"/>
  <c r="D15" i="58"/>
  <c r="B15" i="58"/>
  <c r="S14" i="58"/>
  <c r="R14" i="58"/>
  <c r="Q14" i="58"/>
  <c r="P14" i="58"/>
  <c r="O14" i="58"/>
  <c r="N14" i="58"/>
  <c r="M14" i="58"/>
  <c r="L14" i="58"/>
  <c r="K14" i="58"/>
  <c r="J14" i="58"/>
  <c r="I14" i="58"/>
  <c r="H14" i="58"/>
  <c r="E14" i="58"/>
  <c r="D14" i="58"/>
  <c r="B14" i="58"/>
  <c r="S13" i="58"/>
  <c r="R13" i="58" s="1"/>
  <c r="Q13" i="58"/>
  <c r="P13" i="58"/>
  <c r="O13" i="58"/>
  <c r="N13" i="58" s="1"/>
  <c r="M13" i="58"/>
  <c r="L13" i="58"/>
  <c r="K13" i="58"/>
  <c r="J13" i="58"/>
  <c r="J21" i="58" s="1"/>
  <c r="I13" i="58"/>
  <c r="H13" i="58"/>
  <c r="E13" i="58"/>
  <c r="D13" i="58"/>
  <c r="B13" i="58"/>
  <c r="S12" i="58"/>
  <c r="R12" i="58"/>
  <c r="Q12" i="58"/>
  <c r="P12" i="58"/>
  <c r="O12" i="58"/>
  <c r="N12" i="58"/>
  <c r="M12" i="58"/>
  <c r="L12" i="58"/>
  <c r="K12" i="58"/>
  <c r="J12" i="58"/>
  <c r="I12" i="58"/>
  <c r="H12" i="58"/>
  <c r="E12" i="58"/>
  <c r="D12" i="58"/>
  <c r="B12" i="58"/>
  <c r="S11" i="58"/>
  <c r="R11" i="58"/>
  <c r="Q11" i="58"/>
  <c r="P11" i="58"/>
  <c r="O11" i="58"/>
  <c r="N11" i="58"/>
  <c r="M11" i="58"/>
  <c r="L11" i="58"/>
  <c r="K11" i="58"/>
  <c r="J11" i="58"/>
  <c r="I11" i="58"/>
  <c r="H11" i="58"/>
  <c r="E11" i="58"/>
  <c r="D11" i="58"/>
  <c r="B11" i="58"/>
  <c r="S10" i="58"/>
  <c r="S196" i="58" s="1"/>
  <c r="R10" i="58"/>
  <c r="R196" i="58" s="1"/>
  <c r="Q10" i="58"/>
  <c r="Q196" i="58" s="1"/>
  <c r="P10" i="58"/>
  <c r="P196" i="58" s="1"/>
  <c r="O10" i="58"/>
  <c r="O196" i="58" s="1"/>
  <c r="N10" i="58"/>
  <c r="N196" i="58" s="1"/>
  <c r="M10" i="58"/>
  <c r="M196" i="58" s="1"/>
  <c r="L10" i="58"/>
  <c r="L196" i="58" s="1"/>
  <c r="K10" i="58"/>
  <c r="K196" i="58" s="1"/>
  <c r="I10" i="58"/>
  <c r="H10" i="58"/>
  <c r="E10" i="58"/>
  <c r="D10" i="58"/>
  <c r="B10" i="58"/>
  <c r="J9" i="58"/>
  <c r="E9" i="58"/>
  <c r="D9" i="58"/>
  <c r="B9" i="58"/>
  <c r="P137" i="18"/>
  <c r="C137" i="18"/>
  <c r="BE137" i="18" s="1"/>
  <c r="P136" i="18"/>
  <c r="C136" i="18"/>
  <c r="P135" i="18"/>
  <c r="C135" i="18"/>
  <c r="P134" i="18"/>
  <c r="C134" i="18"/>
  <c r="J134" i="18" s="1"/>
  <c r="P133" i="18"/>
  <c r="C133" i="18"/>
  <c r="BC133" i="18" s="1"/>
  <c r="P132" i="18"/>
  <c r="C132" i="18"/>
  <c r="BE132" i="18" s="1"/>
  <c r="P131" i="18"/>
  <c r="C131" i="18"/>
  <c r="BC131" i="18" s="1"/>
  <c r="P130" i="18"/>
  <c r="C130" i="18"/>
  <c r="AZ129" i="18"/>
  <c r="AS129" i="18"/>
  <c r="R129" i="18"/>
  <c r="P129" i="18"/>
  <c r="N129" i="18"/>
  <c r="J129" i="18"/>
  <c r="D129" i="18"/>
  <c r="C129" i="18"/>
  <c r="P128" i="18"/>
  <c r="C128" i="18"/>
  <c r="P127" i="18"/>
  <c r="C127" i="18"/>
  <c r="BA127" i="18" s="1"/>
  <c r="P126" i="18"/>
  <c r="C126" i="18"/>
  <c r="BB126" i="18" s="1"/>
  <c r="P125" i="18"/>
  <c r="C125" i="18"/>
  <c r="BE125" i="18" s="1"/>
  <c r="P124" i="18"/>
  <c r="C124" i="18"/>
  <c r="R124" i="18" s="1"/>
  <c r="P123" i="18"/>
  <c r="C123" i="18"/>
  <c r="BC123" i="18" s="1"/>
  <c r="P122" i="18"/>
  <c r="C122" i="18"/>
  <c r="P121" i="18"/>
  <c r="C121" i="18"/>
  <c r="BD121" i="18" s="1"/>
  <c r="P120" i="18"/>
  <c r="C120" i="18"/>
  <c r="BA120" i="18" s="1"/>
  <c r="P119" i="18"/>
  <c r="C119" i="18"/>
  <c r="P118" i="18"/>
  <c r="C118" i="18"/>
  <c r="BC118" i="18" s="1"/>
  <c r="P117" i="18"/>
  <c r="C117" i="18"/>
  <c r="BD117" i="18" s="1"/>
  <c r="P116" i="18"/>
  <c r="C116" i="18"/>
  <c r="I116" i="18" s="1"/>
  <c r="P115" i="18"/>
  <c r="C115" i="18"/>
  <c r="BE115" i="18" s="1"/>
  <c r="P114" i="18"/>
  <c r="C114" i="18"/>
  <c r="AS114" i="18" s="1"/>
  <c r="P113" i="18"/>
  <c r="O113" i="18"/>
  <c r="C113" i="18"/>
  <c r="BE113" i="18" s="1"/>
  <c r="P112" i="18"/>
  <c r="C112" i="18"/>
  <c r="P111" i="18"/>
  <c r="C111" i="18"/>
  <c r="BE111" i="18" s="1"/>
  <c r="BB110" i="18"/>
  <c r="P110" i="18"/>
  <c r="E110" i="18"/>
  <c r="C110" i="18"/>
  <c r="BE110" i="18" s="1"/>
  <c r="P109" i="18"/>
  <c r="C109" i="18"/>
  <c r="BE109" i="18" s="1"/>
  <c r="P108" i="18"/>
  <c r="C108" i="18"/>
  <c r="BD108" i="18" s="1"/>
  <c r="P107" i="18"/>
  <c r="J107" i="18"/>
  <c r="C107" i="18"/>
  <c r="BE107" i="18" s="1"/>
  <c r="P106" i="18"/>
  <c r="C106" i="18"/>
  <c r="R106" i="18" s="1"/>
  <c r="P105" i="18"/>
  <c r="C105" i="18"/>
  <c r="R105" i="18" s="1"/>
  <c r="BE104" i="18"/>
  <c r="P104" i="18"/>
  <c r="J104" i="18"/>
  <c r="C104" i="18"/>
  <c r="BA104" i="18" s="1"/>
  <c r="P103" i="18"/>
  <c r="C103" i="18"/>
  <c r="S103" i="18" s="1"/>
  <c r="P102" i="18"/>
  <c r="C102" i="18"/>
  <c r="S102" i="18" s="1"/>
  <c r="P101" i="18"/>
  <c r="C101" i="18"/>
  <c r="Q101" i="18" s="1"/>
  <c r="AR100" i="18"/>
  <c r="P100" i="18"/>
  <c r="C100" i="18"/>
  <c r="BB100" i="18" s="1"/>
  <c r="P99" i="18"/>
  <c r="C99" i="18"/>
  <c r="BE99" i="18" s="1"/>
  <c r="P98" i="18"/>
  <c r="C98" i="18"/>
  <c r="P97" i="18"/>
  <c r="C97" i="18"/>
  <c r="BC97" i="18" s="1"/>
  <c r="P96" i="18"/>
  <c r="C96" i="18"/>
  <c r="BE96" i="18" s="1"/>
  <c r="P95" i="18"/>
  <c r="C95" i="18"/>
  <c r="J95" i="18" s="1"/>
  <c r="P94" i="18"/>
  <c r="J94" i="18"/>
  <c r="F94" i="18"/>
  <c r="C94" i="18"/>
  <c r="AT94" i="18" s="1"/>
  <c r="BA93" i="18"/>
  <c r="P93" i="18"/>
  <c r="I93" i="18"/>
  <c r="C93" i="18"/>
  <c r="BC93" i="18" s="1"/>
  <c r="P92" i="18"/>
  <c r="C92" i="18"/>
  <c r="S91" i="18"/>
  <c r="P91" i="18"/>
  <c r="C91" i="18"/>
  <c r="BA91" i="18" s="1"/>
  <c r="P90" i="18"/>
  <c r="C90" i="18"/>
  <c r="P89" i="18"/>
  <c r="C89" i="18"/>
  <c r="BE89" i="18" s="1"/>
  <c r="P88" i="18"/>
  <c r="C88" i="18"/>
  <c r="BE88" i="18" s="1"/>
  <c r="P87" i="18"/>
  <c r="C87" i="18"/>
  <c r="BD87" i="18" s="1"/>
  <c r="P86" i="18"/>
  <c r="C86" i="18"/>
  <c r="AS86" i="18" s="1"/>
  <c r="P85" i="18"/>
  <c r="C85" i="18"/>
  <c r="BD85" i="18" s="1"/>
  <c r="P84" i="18"/>
  <c r="C84" i="18"/>
  <c r="BD84" i="18" s="1"/>
  <c r="P83" i="18"/>
  <c r="C83" i="18"/>
  <c r="P82" i="18"/>
  <c r="N82" i="18"/>
  <c r="C82" i="18"/>
  <c r="BB82" i="18" s="1"/>
  <c r="P81" i="18"/>
  <c r="C81" i="18"/>
  <c r="BA81" i="18" s="1"/>
  <c r="BB80" i="18"/>
  <c r="P80" i="18"/>
  <c r="C80" i="18"/>
  <c r="AS80" i="18" s="1"/>
  <c r="P79" i="18"/>
  <c r="C79" i="18"/>
  <c r="L79" i="18" s="1"/>
  <c r="P78" i="18"/>
  <c r="C78" i="18"/>
  <c r="P77" i="18"/>
  <c r="C77" i="18"/>
  <c r="BC77" i="18" s="1"/>
  <c r="P76" i="18"/>
  <c r="C76" i="18"/>
  <c r="BB76" i="18" s="1"/>
  <c r="BC75" i="18"/>
  <c r="P75" i="18"/>
  <c r="C75" i="18"/>
  <c r="I75" i="18" s="1"/>
  <c r="P74" i="18"/>
  <c r="C74" i="18"/>
  <c r="BE74" i="18" s="1"/>
  <c r="P73" i="18"/>
  <c r="C73" i="18"/>
  <c r="P72" i="18"/>
  <c r="C72" i="18"/>
  <c r="BE72" i="18" s="1"/>
  <c r="P71" i="18"/>
  <c r="C71" i="18"/>
  <c r="AT71" i="18" s="1"/>
  <c r="P70" i="18"/>
  <c r="M70" i="18"/>
  <c r="C70" i="18"/>
  <c r="Q70" i="18" s="1"/>
  <c r="P69" i="18"/>
  <c r="J69" i="18"/>
  <c r="C69" i="18"/>
  <c r="BE69" i="18" s="1"/>
  <c r="P68" i="18"/>
  <c r="C68" i="18"/>
  <c r="I68" i="18" s="1"/>
  <c r="P67" i="18"/>
  <c r="C67" i="18"/>
  <c r="P66" i="18"/>
  <c r="F66" i="18"/>
  <c r="C66" i="18"/>
  <c r="R66" i="18" s="1"/>
  <c r="P65" i="18"/>
  <c r="C65" i="18"/>
  <c r="BA65" i="18" s="1"/>
  <c r="P64" i="18"/>
  <c r="C64" i="18"/>
  <c r="BE64" i="18" s="1"/>
  <c r="P63" i="18"/>
  <c r="C63" i="18"/>
  <c r="BA63" i="18" s="1"/>
  <c r="Q62" i="18"/>
  <c r="P62" i="18"/>
  <c r="C62" i="18"/>
  <c r="BE62" i="18" s="1"/>
  <c r="P61" i="18"/>
  <c r="C61" i="18"/>
  <c r="AR61" i="18" s="1"/>
  <c r="P60" i="18"/>
  <c r="C60" i="18"/>
  <c r="AT60" i="18" s="1"/>
  <c r="P59" i="18"/>
  <c r="C59" i="18"/>
  <c r="S58" i="18"/>
  <c r="P58" i="18"/>
  <c r="F58" i="18"/>
  <c r="C58" i="18"/>
  <c r="BD58" i="18" s="1"/>
  <c r="P57" i="18"/>
  <c r="L57" i="18"/>
  <c r="C57" i="18"/>
  <c r="S57" i="18" s="1"/>
  <c r="BD56" i="18"/>
  <c r="P56" i="18"/>
  <c r="C56" i="18"/>
  <c r="AT56" i="18" s="1"/>
  <c r="R55" i="18"/>
  <c r="P55" i="18"/>
  <c r="C55" i="18"/>
  <c r="AZ55" i="18" s="1"/>
  <c r="P54" i="18"/>
  <c r="C54" i="18"/>
  <c r="BA54" i="18" s="1"/>
  <c r="P53" i="18"/>
  <c r="C53" i="18"/>
  <c r="BA53" i="18" s="1"/>
  <c r="P52" i="18"/>
  <c r="C52" i="18"/>
  <c r="BA52" i="18" s="1"/>
  <c r="P51" i="18"/>
  <c r="C51" i="18"/>
  <c r="P50" i="18"/>
  <c r="C50" i="18"/>
  <c r="BD50" i="18" s="1"/>
  <c r="P49" i="18"/>
  <c r="C49" i="18"/>
  <c r="AT49" i="18" s="1"/>
  <c r="P48" i="18"/>
  <c r="C48" i="18"/>
  <c r="AT48" i="18" s="1"/>
  <c r="P47" i="18"/>
  <c r="C47" i="18"/>
  <c r="BD47" i="18" s="1"/>
  <c r="P46" i="18"/>
  <c r="C46" i="18"/>
  <c r="P45" i="18"/>
  <c r="C45" i="18"/>
  <c r="P44" i="18"/>
  <c r="C44" i="18"/>
  <c r="I44" i="18" s="1"/>
  <c r="P43" i="18"/>
  <c r="C43" i="18"/>
  <c r="D43" i="18" s="1"/>
  <c r="P42" i="18"/>
  <c r="C42" i="18"/>
  <c r="BB42" i="18" s="1"/>
  <c r="P41" i="18"/>
  <c r="C41" i="18"/>
  <c r="AT41" i="18" s="1"/>
  <c r="P40" i="18"/>
  <c r="C40" i="18"/>
  <c r="BB40" i="18" s="1"/>
  <c r="P39" i="18"/>
  <c r="C39" i="18"/>
  <c r="AS39" i="18" s="1"/>
  <c r="P38" i="18"/>
  <c r="C38" i="18"/>
  <c r="BE38" i="18" s="1"/>
  <c r="P37" i="18"/>
  <c r="C37" i="18"/>
  <c r="R37" i="18" s="1"/>
  <c r="P36" i="18"/>
  <c r="C36" i="18"/>
  <c r="R36" i="18" s="1"/>
  <c r="P35" i="18"/>
  <c r="C35" i="18"/>
  <c r="O35" i="18" s="1"/>
  <c r="P34" i="18"/>
  <c r="C34" i="18"/>
  <c r="BE34" i="18" s="1"/>
  <c r="P33" i="18"/>
  <c r="C33" i="18"/>
  <c r="BE33" i="18" s="1"/>
  <c r="P32" i="18"/>
  <c r="C32" i="18"/>
  <c r="BD32" i="18" s="1"/>
  <c r="P31" i="18"/>
  <c r="C31" i="18"/>
  <c r="BC31" i="18" s="1"/>
  <c r="P30" i="18"/>
  <c r="J30" i="18"/>
  <c r="I30" i="18"/>
  <c r="C30" i="18"/>
  <c r="R30" i="18" s="1"/>
  <c r="P29" i="18"/>
  <c r="C29" i="18"/>
  <c r="AT29" i="18" s="1"/>
  <c r="P28" i="18"/>
  <c r="C28" i="18"/>
  <c r="E28" i="18" s="1"/>
  <c r="E28" i="29" s="1"/>
  <c r="P27" i="18"/>
  <c r="C27" i="18"/>
  <c r="AS27" i="18" s="1"/>
  <c r="P26" i="18"/>
  <c r="C26" i="18"/>
  <c r="AZ26" i="18" s="1"/>
  <c r="P25" i="18"/>
  <c r="C25" i="18"/>
  <c r="P24" i="18"/>
  <c r="C24" i="18"/>
  <c r="P23" i="18"/>
  <c r="C23" i="18"/>
  <c r="BE23" i="18" s="1"/>
  <c r="P22" i="18"/>
  <c r="C22" i="18"/>
  <c r="P21" i="18"/>
  <c r="N21" i="18"/>
  <c r="D21" i="18"/>
  <c r="C21" i="18"/>
  <c r="BD21" i="18" s="1"/>
  <c r="P20" i="18"/>
  <c r="C20" i="18"/>
  <c r="BE20" i="18" s="1"/>
  <c r="P19" i="18"/>
  <c r="C19" i="18"/>
  <c r="BD19" i="18" s="1"/>
  <c r="P18" i="18"/>
  <c r="C18" i="18"/>
  <c r="BE18" i="18" s="1"/>
  <c r="P17" i="18"/>
  <c r="C17" i="18"/>
  <c r="BB17" i="18" s="1"/>
  <c r="P16" i="18"/>
  <c r="C16" i="18"/>
  <c r="BA16" i="18" s="1"/>
  <c r="P15" i="18"/>
  <c r="C15" i="18"/>
  <c r="BE15" i="18" s="1"/>
  <c r="P14" i="18"/>
  <c r="C14" i="18"/>
  <c r="BE14" i="18" s="1"/>
  <c r="P13" i="18"/>
  <c r="C13" i="18"/>
  <c r="BD13" i="18" s="1"/>
  <c r="P9" i="58" l="1"/>
  <c r="M9" i="58"/>
  <c r="Q9" i="58"/>
  <c r="L9" i="58"/>
  <c r="S19" i="18"/>
  <c r="BC21" i="18"/>
  <c r="BC26" i="18"/>
  <c r="BC30" i="18"/>
  <c r="AZ31" i="18"/>
  <c r="I55" i="18"/>
  <c r="D56" i="18"/>
  <c r="J57" i="18"/>
  <c r="BE58" i="18"/>
  <c r="AR63" i="18"/>
  <c r="Q69" i="18"/>
  <c r="J80" i="18"/>
  <c r="BC94" i="18"/>
  <c r="L100" i="18"/>
  <c r="Q100" i="18"/>
  <c r="L120" i="18"/>
  <c r="F121" i="18"/>
  <c r="BE19" i="18"/>
  <c r="AZ84" i="18"/>
  <c r="M100" i="18"/>
  <c r="S100" i="18"/>
  <c r="I9" i="58"/>
  <c r="I19" i="18"/>
  <c r="X19" i="18" s="1"/>
  <c r="L26" i="18"/>
  <c r="BD120" i="18"/>
  <c r="AZ121" i="18"/>
  <c r="I31" i="18"/>
  <c r="Z31" i="18" s="1"/>
  <c r="BB27" i="18"/>
  <c r="BA57" i="18"/>
  <c r="S141" i="19" s="1"/>
  <c r="W141" i="19" s="1"/>
  <c r="F84" i="18"/>
  <c r="N89" i="18"/>
  <c r="AZ103" i="18"/>
  <c r="S72" i="18"/>
  <c r="E19" i="18"/>
  <c r="E19" i="29" s="1"/>
  <c r="BC19" i="18"/>
  <c r="S21" i="18"/>
  <c r="I26" i="18"/>
  <c r="AR26" i="18"/>
  <c r="AS28" i="18"/>
  <c r="S30" i="18"/>
  <c r="E31" i="18"/>
  <c r="E31" i="29" s="1"/>
  <c r="S31" i="18"/>
  <c r="BD33" i="18"/>
  <c r="BA34" i="18"/>
  <c r="S80" i="19" s="1"/>
  <c r="W80" i="19" s="1"/>
  <c r="BB39" i="18"/>
  <c r="M40" i="18"/>
  <c r="AT40" i="18"/>
  <c r="AR57" i="18"/>
  <c r="E58" i="18"/>
  <c r="BB58" i="18"/>
  <c r="L61" i="18"/>
  <c r="L63" i="18"/>
  <c r="E84" i="18"/>
  <c r="AR84" i="18"/>
  <c r="AR86" i="18"/>
  <c r="AS94" i="18"/>
  <c r="S95" i="18"/>
  <c r="BC96" i="18"/>
  <c r="BE100" i="18"/>
  <c r="E104" i="18"/>
  <c r="AS104" i="18"/>
  <c r="I109" i="18"/>
  <c r="D110" i="18"/>
  <c r="O110" i="18"/>
  <c r="AZ110" i="18"/>
  <c r="BA114" i="18"/>
  <c r="S288" i="19" s="1"/>
  <c r="W288" i="19" s="1"/>
  <c r="E120" i="18"/>
  <c r="S120" i="18"/>
  <c r="E121" i="18"/>
  <c r="AR121" i="18"/>
  <c r="I123" i="18"/>
  <c r="BB123" i="18"/>
  <c r="AT131" i="18"/>
  <c r="D19" i="18"/>
  <c r="AZ19" i="18"/>
  <c r="D26" i="18"/>
  <c r="R26" i="18"/>
  <c r="E27" i="18"/>
  <c r="E27" i="29" s="1"/>
  <c r="AZ29" i="18"/>
  <c r="D31" i="18"/>
  <c r="I40" i="18"/>
  <c r="R40" i="18"/>
  <c r="I43" i="18"/>
  <c r="Z43" i="18" s="1"/>
  <c r="D58" i="18"/>
  <c r="O58" i="18"/>
  <c r="AZ58" i="18"/>
  <c r="E61" i="18"/>
  <c r="BE61" i="18"/>
  <c r="AR65" i="18"/>
  <c r="J72" i="18"/>
  <c r="AT74" i="18"/>
  <c r="BC79" i="18"/>
  <c r="Q99" i="18"/>
  <c r="N103" i="18"/>
  <c r="Q104" i="18"/>
  <c r="M110" i="18"/>
  <c r="AR110" i="18"/>
  <c r="R120" i="18"/>
  <c r="F123" i="18"/>
  <c r="AS123" i="18"/>
  <c r="Q135" i="18"/>
  <c r="K9" i="58"/>
  <c r="O9" i="58"/>
  <c r="S9" i="58"/>
  <c r="N19" i="18"/>
  <c r="AR19" i="18"/>
  <c r="BD31" i="18"/>
  <c r="D33" i="18"/>
  <c r="J34" i="18"/>
  <c r="D39" i="18"/>
  <c r="F40" i="18"/>
  <c r="Q40" i="18"/>
  <c r="N41" i="18"/>
  <c r="L50" i="18"/>
  <c r="M58" i="18"/>
  <c r="AR58" i="18"/>
  <c r="AZ61" i="18"/>
  <c r="E72" i="18"/>
  <c r="AZ72" i="18"/>
  <c r="O84" i="18"/>
  <c r="BE84" i="18"/>
  <c r="J87" i="18"/>
  <c r="J96" i="18"/>
  <c r="L103" i="18"/>
  <c r="BA103" i="18"/>
  <c r="S259" i="19" s="1"/>
  <c r="W259" i="19" s="1"/>
  <c r="AZ109" i="18"/>
  <c r="F110" i="18"/>
  <c r="U110" i="18" s="1"/>
  <c r="S110" i="18"/>
  <c r="F114" i="18"/>
  <c r="BE120" i="18"/>
  <c r="O121" i="18"/>
  <c r="BE121" i="18"/>
  <c r="E123" i="18"/>
  <c r="E123" i="29" s="1"/>
  <c r="R123" i="18"/>
  <c r="E131" i="18"/>
  <c r="L21" i="18"/>
  <c r="R21" i="18"/>
  <c r="BA21" i="18"/>
  <c r="S43" i="19" s="1"/>
  <c r="W43" i="19" s="1"/>
  <c r="O27" i="18"/>
  <c r="BA27" i="18"/>
  <c r="S57" i="19" s="1"/>
  <c r="W57" i="19" s="1"/>
  <c r="D18" i="18"/>
  <c r="BC18" i="18"/>
  <c r="E21" i="18"/>
  <c r="E21" i="29" s="1"/>
  <c r="AR21" i="18"/>
  <c r="BE21" i="18"/>
  <c r="F27" i="18"/>
  <c r="S27" i="18"/>
  <c r="BD30" i="18"/>
  <c r="E33" i="18"/>
  <c r="E33" i="29" s="1"/>
  <c r="S33" i="18"/>
  <c r="R34" i="18"/>
  <c r="E35" i="18"/>
  <c r="E35" i="29" s="1"/>
  <c r="F39" i="18"/>
  <c r="Q39" i="18"/>
  <c r="BE39" i="18"/>
  <c r="AS43" i="18"/>
  <c r="D47" i="18"/>
  <c r="M47" i="18"/>
  <c r="S47" i="18"/>
  <c r="BB47" i="18"/>
  <c r="J55" i="18"/>
  <c r="AT55" i="18"/>
  <c r="E56" i="18"/>
  <c r="R56" i="18"/>
  <c r="BE57" i="18"/>
  <c r="BB62" i="18"/>
  <c r="BE65" i="18"/>
  <c r="O72" i="18"/>
  <c r="BA72" i="18"/>
  <c r="S180" i="19" s="1"/>
  <c r="W180" i="19" s="1"/>
  <c r="N76" i="18"/>
  <c r="J77" i="18"/>
  <c r="S80" i="18"/>
  <c r="E81" i="18"/>
  <c r="AT81" i="18"/>
  <c r="L84" i="18"/>
  <c r="U84" i="18" s="1"/>
  <c r="Q84" i="18"/>
  <c r="BA84" i="18"/>
  <c r="AR89" i="18"/>
  <c r="M93" i="18"/>
  <c r="BD94" i="18"/>
  <c r="R96" i="18"/>
  <c r="D97" i="18"/>
  <c r="N97" i="18"/>
  <c r="S97" i="18"/>
  <c r="BD97" i="18"/>
  <c r="BA99" i="18"/>
  <c r="S249" i="19" s="1"/>
  <c r="W249" i="19" s="1"/>
  <c r="I102" i="18"/>
  <c r="M104" i="18"/>
  <c r="AZ104" i="18"/>
  <c r="N105" i="18"/>
  <c r="D108" i="18"/>
  <c r="N108" i="18"/>
  <c r="S108" i="18"/>
  <c r="BC108" i="18"/>
  <c r="J109" i="18"/>
  <c r="Z109" i="18" s="1"/>
  <c r="BC109" i="18"/>
  <c r="N111" i="18"/>
  <c r="BD113" i="18"/>
  <c r="J114" i="18"/>
  <c r="BB114" i="18"/>
  <c r="D118" i="18"/>
  <c r="N118" i="18"/>
  <c r="S118" i="18"/>
  <c r="BD118" i="18"/>
  <c r="N120" i="18"/>
  <c r="AT120" i="18"/>
  <c r="L121" i="18"/>
  <c r="U121" i="18" s="1"/>
  <c r="Q121" i="18"/>
  <c r="BA121" i="18"/>
  <c r="S307" i="19" s="1"/>
  <c r="W307" i="19" s="1"/>
  <c r="F124" i="18"/>
  <c r="E126" i="18"/>
  <c r="Q126" i="18"/>
  <c r="BE126" i="18"/>
  <c r="D128" i="18"/>
  <c r="BB128" i="18"/>
  <c r="BA133" i="18"/>
  <c r="S341" i="19" s="1"/>
  <c r="W341" i="19" s="1"/>
  <c r="BB135" i="18"/>
  <c r="S18" i="18"/>
  <c r="R81" i="18"/>
  <c r="L97" i="18"/>
  <c r="R97" i="18"/>
  <c r="BA97" i="18"/>
  <c r="S245" i="19" s="1"/>
  <c r="W245" i="19" s="1"/>
  <c r="BB102" i="18"/>
  <c r="L108" i="18"/>
  <c r="R108" i="18"/>
  <c r="BA108" i="18"/>
  <c r="S274" i="19" s="1"/>
  <c r="W274" i="19" s="1"/>
  <c r="L118" i="18"/>
  <c r="R118" i="18"/>
  <c r="BA118" i="18"/>
  <c r="S302" i="19" s="1"/>
  <c r="W302" i="19" s="1"/>
  <c r="AZ124" i="18"/>
  <c r="D126" i="18"/>
  <c r="BA126" i="18"/>
  <c r="S318" i="19" s="1"/>
  <c r="W318" i="19" s="1"/>
  <c r="R128" i="18"/>
  <c r="Q131" i="18"/>
  <c r="L47" i="18"/>
  <c r="Q47" i="18"/>
  <c r="BA47" i="18"/>
  <c r="S113" i="19" s="1"/>
  <c r="O33" i="18"/>
  <c r="BA33" i="18"/>
  <c r="S75" i="19" s="1"/>
  <c r="W75" i="19" s="1"/>
  <c r="BC76" i="18"/>
  <c r="Q77" i="18"/>
  <c r="I97" i="18"/>
  <c r="AZ97" i="18"/>
  <c r="BA105" i="18"/>
  <c r="S267" i="19" s="1"/>
  <c r="W267" i="19" s="1"/>
  <c r="BC107" i="18"/>
  <c r="I108" i="18"/>
  <c r="AZ108" i="18"/>
  <c r="R109" i="18"/>
  <c r="S114" i="18"/>
  <c r="I118" i="18"/>
  <c r="AZ118" i="18"/>
  <c r="M126" i="18"/>
  <c r="AZ126" i="18"/>
  <c r="AS35" i="18"/>
  <c r="O39" i="18"/>
  <c r="AZ39" i="18"/>
  <c r="F47" i="18"/>
  <c r="AZ47" i="18"/>
  <c r="BC56" i="18"/>
  <c r="AR93" i="18"/>
  <c r="AT101" i="18"/>
  <c r="N18" i="18"/>
  <c r="L19" i="18"/>
  <c r="R19" i="18"/>
  <c r="BA19" i="18"/>
  <c r="S41" i="19" s="1"/>
  <c r="W41" i="19" s="1"/>
  <c r="I21" i="18"/>
  <c r="AZ21" i="18"/>
  <c r="BE26" i="18"/>
  <c r="J27" i="18"/>
  <c r="I29" i="18"/>
  <c r="D30" i="18"/>
  <c r="N31" i="18"/>
  <c r="AT31" i="18"/>
  <c r="J33" i="18"/>
  <c r="AZ33" i="18"/>
  <c r="E34" i="18"/>
  <c r="E34" i="29" s="1"/>
  <c r="AZ34" i="18"/>
  <c r="J39" i="18"/>
  <c r="BC40" i="18"/>
  <c r="BB41" i="18"/>
  <c r="E47" i="18"/>
  <c r="E47" i="29" s="1"/>
  <c r="D47" i="29" s="1"/>
  <c r="O47" i="18"/>
  <c r="AR47" i="18"/>
  <c r="BE47" i="18"/>
  <c r="AR50" i="18"/>
  <c r="O55" i="18"/>
  <c r="J56" i="18"/>
  <c r="E57" i="18"/>
  <c r="E57" i="29" s="1"/>
  <c r="L58" i="18"/>
  <c r="U58" i="18" s="1"/>
  <c r="Q58" i="18"/>
  <c r="BA58" i="18"/>
  <c r="S142" i="19" s="1"/>
  <c r="W142" i="19" s="1"/>
  <c r="D61" i="18"/>
  <c r="J62" i="18"/>
  <c r="BE63" i="18"/>
  <c r="L65" i="18"/>
  <c r="BA69" i="18"/>
  <c r="S171" i="19" s="1"/>
  <c r="W171" i="19" s="1"/>
  <c r="D72" i="18"/>
  <c r="BD72" i="18"/>
  <c r="N74" i="18"/>
  <c r="F80" i="18"/>
  <c r="BA80" i="18"/>
  <c r="S200" i="19" s="1"/>
  <c r="W200" i="19" s="1"/>
  <c r="I81" i="18"/>
  <c r="S82" i="18"/>
  <c r="D84" i="18"/>
  <c r="M84" i="18"/>
  <c r="S84" i="18"/>
  <c r="BB84" i="18"/>
  <c r="BD86" i="18"/>
  <c r="Q87" i="18"/>
  <c r="L89" i="18"/>
  <c r="AT89" i="18"/>
  <c r="L91" i="18"/>
  <c r="D94" i="18"/>
  <c r="Q94" i="18"/>
  <c r="I96" i="18"/>
  <c r="Z96" i="18" s="1"/>
  <c r="AZ96" i="18"/>
  <c r="E97" i="18"/>
  <c r="AT97" i="18"/>
  <c r="BE97" i="18"/>
  <c r="J99" i="18"/>
  <c r="O102" i="18"/>
  <c r="D103" i="18"/>
  <c r="D104" i="18"/>
  <c r="AZ106" i="18"/>
  <c r="R107" i="18"/>
  <c r="E108" i="18"/>
  <c r="AR108" i="18"/>
  <c r="BE108" i="18"/>
  <c r="L110" i="18"/>
  <c r="Q110" i="18"/>
  <c r="BA110" i="18"/>
  <c r="S278" i="19" s="1"/>
  <c r="W278" i="19" s="1"/>
  <c r="D113" i="18"/>
  <c r="E118" i="18"/>
  <c r="AT118" i="18"/>
  <c r="BE118" i="18"/>
  <c r="D120" i="18"/>
  <c r="AZ120" i="18"/>
  <c r="D121" i="18"/>
  <c r="M121" i="18"/>
  <c r="S121" i="18"/>
  <c r="BB121" i="18"/>
  <c r="N123" i="18"/>
  <c r="BA123" i="18"/>
  <c r="S315" i="19" s="1"/>
  <c r="N124" i="18"/>
  <c r="L126" i="18"/>
  <c r="S126" i="18"/>
  <c r="N128" i="18"/>
  <c r="J131" i="18"/>
  <c r="AZ131" i="18"/>
  <c r="I133" i="18"/>
  <c r="J135" i="18"/>
  <c r="BB67" i="18"/>
  <c r="N67" i="18"/>
  <c r="AT83" i="18"/>
  <c r="J83" i="18"/>
  <c r="BC90" i="18"/>
  <c r="Q90" i="18"/>
  <c r="I90" i="18"/>
  <c r="BB92" i="18"/>
  <c r="AR92" i="18"/>
  <c r="O92" i="18"/>
  <c r="F92" i="18"/>
  <c r="BE98" i="18"/>
  <c r="AZ98" i="18"/>
  <c r="R98" i="18"/>
  <c r="L98" i="18"/>
  <c r="D98" i="18"/>
  <c r="BB112" i="18"/>
  <c r="R112" i="18"/>
  <c r="N112" i="18"/>
  <c r="D112" i="18"/>
  <c r="BE119" i="18"/>
  <c r="AZ119" i="18"/>
  <c r="R119" i="18"/>
  <c r="L119" i="18"/>
  <c r="D119" i="18"/>
  <c r="BA119" i="18"/>
  <c r="S303" i="19" s="1"/>
  <c r="W303" i="19" s="1"/>
  <c r="S119" i="18"/>
  <c r="N119" i="18"/>
  <c r="E119" i="18"/>
  <c r="BA122" i="18"/>
  <c r="S312" i="19" s="1"/>
  <c r="W312" i="19" s="1"/>
  <c r="AR122" i="18"/>
  <c r="L122" i="18"/>
  <c r="AZ122" i="18"/>
  <c r="Q67" i="18"/>
  <c r="BE83" i="18"/>
  <c r="BD90" i="18"/>
  <c r="L92" i="18"/>
  <c r="S92" i="18"/>
  <c r="BD92" i="18"/>
  <c r="N98" i="18"/>
  <c r="AR98" i="18"/>
  <c r="BD98" i="18"/>
  <c r="O112" i="18"/>
  <c r="AT112" i="18"/>
  <c r="BD119" i="18"/>
  <c r="BB122" i="18"/>
  <c r="BE22" i="18"/>
  <c r="AZ22" i="18"/>
  <c r="Q22" i="18"/>
  <c r="L22" i="18"/>
  <c r="BA24" i="18"/>
  <c r="S54" i="19" s="1"/>
  <c r="W54" i="19" s="1"/>
  <c r="BB24" i="18"/>
  <c r="F24" i="18"/>
  <c r="AT25" i="18"/>
  <c r="I25" i="18"/>
  <c r="BA28" i="18"/>
  <c r="S64" i="19" s="1"/>
  <c r="W64" i="19" s="1"/>
  <c r="M28" i="18"/>
  <c r="BE35" i="18"/>
  <c r="AZ35" i="18"/>
  <c r="Q35" i="18"/>
  <c r="L35" i="18"/>
  <c r="D35" i="18"/>
  <c r="AZ45" i="18"/>
  <c r="I45" i="18"/>
  <c r="AZ46" i="18"/>
  <c r="O46" i="18"/>
  <c r="D46" i="18"/>
  <c r="BE51" i="18"/>
  <c r="AZ51" i="18"/>
  <c r="Q51" i="18"/>
  <c r="L51" i="18"/>
  <c r="D51" i="18"/>
  <c r="BC59" i="18"/>
  <c r="M59" i="18"/>
  <c r="BC73" i="18"/>
  <c r="AR73" i="18"/>
  <c r="O73" i="18"/>
  <c r="F73" i="18"/>
  <c r="BE27" i="18"/>
  <c r="AZ27" i="18"/>
  <c r="Q27" i="18"/>
  <c r="L27" i="18"/>
  <c r="U27" i="18" s="1"/>
  <c r="D27" i="18"/>
  <c r="AT30" i="18"/>
  <c r="E30" i="18"/>
  <c r="E30" i="29" s="1"/>
  <c r="BA39" i="18"/>
  <c r="S93" i="19" s="1"/>
  <c r="W93" i="19" s="1"/>
  <c r="S39" i="18"/>
  <c r="M39" i="18"/>
  <c r="E39" i="18"/>
  <c r="E39" i="29" s="1"/>
  <c r="D39" i="29" s="1"/>
  <c r="BB43" i="18"/>
  <c r="N43" i="18"/>
  <c r="X43" i="18" s="1"/>
  <c r="BC55" i="18"/>
  <c r="D55" i="18"/>
  <c r="AZ56" i="18"/>
  <c r="I56" i="18"/>
  <c r="X56" i="18" s="1"/>
  <c r="AZ57" i="18"/>
  <c r="O57" i="18"/>
  <c r="Y57" i="18" s="1"/>
  <c r="D57" i="18"/>
  <c r="D57" i="29" s="1"/>
  <c r="BD61" i="18"/>
  <c r="S61" i="18"/>
  <c r="J61" i="18"/>
  <c r="BC66" i="18"/>
  <c r="M66" i="18"/>
  <c r="BD70" i="18"/>
  <c r="AS70" i="18"/>
  <c r="F70" i="18"/>
  <c r="AS81" i="18"/>
  <c r="L81" i="18"/>
  <c r="AZ100" i="18"/>
  <c r="E100" i="18"/>
  <c r="BE103" i="18"/>
  <c r="R103" i="18"/>
  <c r="E103" i="18"/>
  <c r="BB104" i="18"/>
  <c r="AR104" i="18"/>
  <c r="O104" i="18"/>
  <c r="F104" i="18"/>
  <c r="AZ113" i="18"/>
  <c r="AT113" i="18"/>
  <c r="I113" i="18"/>
  <c r="BA134" i="18"/>
  <c r="S344" i="19" s="1"/>
  <c r="W344" i="19" s="1"/>
  <c r="Q134" i="18"/>
  <c r="L134" i="18"/>
  <c r="D134" i="18"/>
  <c r="BB134" i="18"/>
  <c r="S134" i="18"/>
  <c r="M134" i="18"/>
  <c r="E134" i="18"/>
  <c r="E134" i="29" s="1"/>
  <c r="D134" i="29" s="1"/>
  <c r="BC134" i="18"/>
  <c r="AR134" i="18"/>
  <c r="O134" i="18"/>
  <c r="F134" i="18"/>
  <c r="R13" i="18"/>
  <c r="J15" i="18"/>
  <c r="AS15" i="18"/>
  <c r="BD15" i="18"/>
  <c r="O17" i="18"/>
  <c r="AT17" i="18"/>
  <c r="J20" i="18"/>
  <c r="AT20" i="18"/>
  <c r="BD20" i="18"/>
  <c r="J22" i="18"/>
  <c r="S22" i="18"/>
  <c r="BB22" i="18"/>
  <c r="N25" i="18"/>
  <c r="R25" i="18"/>
  <c r="BD25" i="18"/>
  <c r="R28" i="18"/>
  <c r="J32" i="18"/>
  <c r="S32" i="18"/>
  <c r="M35" i="18"/>
  <c r="AR35" i="18"/>
  <c r="BD35" i="18"/>
  <c r="BC36" i="18"/>
  <c r="O37" i="18"/>
  <c r="AZ37" i="18"/>
  <c r="L38" i="18"/>
  <c r="AZ38" i="18"/>
  <c r="N45" i="18"/>
  <c r="S45" i="18"/>
  <c r="BD46" i="18"/>
  <c r="M51" i="18"/>
  <c r="AR51" i="18"/>
  <c r="BD51" i="18"/>
  <c r="AT59" i="18"/>
  <c r="BA64" i="18"/>
  <c r="S158" i="19" s="1"/>
  <c r="L73" i="18"/>
  <c r="BE73" i="18"/>
  <c r="N13" i="18"/>
  <c r="E15" i="18"/>
  <c r="E15" i="29" s="1"/>
  <c r="M15" i="18"/>
  <c r="S15" i="18"/>
  <c r="BA15" i="18"/>
  <c r="I17" i="18"/>
  <c r="Q17" i="18"/>
  <c r="BD17" i="18"/>
  <c r="I18" i="18"/>
  <c r="X18" i="18" s="1"/>
  <c r="AZ18" i="18"/>
  <c r="J19" i="18"/>
  <c r="AT19" i="18"/>
  <c r="E20" i="18"/>
  <c r="E20" i="29" s="1"/>
  <c r="N20" i="18"/>
  <c r="S20" i="18"/>
  <c r="BA20" i="18"/>
  <c r="S42" i="19" s="1"/>
  <c r="W42" i="19" s="1"/>
  <c r="J21" i="18"/>
  <c r="AT21" i="18"/>
  <c r="E22" i="18"/>
  <c r="E22" i="29" s="1"/>
  <c r="O22" i="18"/>
  <c r="AS22" i="18"/>
  <c r="F25" i="18"/>
  <c r="AZ25" i="18"/>
  <c r="M27" i="18"/>
  <c r="AR27" i="18"/>
  <c r="BD27" i="18"/>
  <c r="N30" i="18"/>
  <c r="AZ30" i="18"/>
  <c r="I32" i="18"/>
  <c r="R32" i="18"/>
  <c r="D34" i="18"/>
  <c r="D34" i="29" s="1"/>
  <c r="N34" i="18"/>
  <c r="AT34" i="18"/>
  <c r="J35" i="18"/>
  <c r="Y35" i="18" s="1"/>
  <c r="S35" i="18"/>
  <c r="BB35" i="18"/>
  <c r="I36" i="18"/>
  <c r="BB36" i="18"/>
  <c r="J37" i="18"/>
  <c r="Z37" i="18" s="1"/>
  <c r="AT37" i="18"/>
  <c r="E38" i="18"/>
  <c r="E38" i="29" s="1"/>
  <c r="AR38" i="18"/>
  <c r="L39" i="18"/>
  <c r="AR39" i="18"/>
  <c r="BD39" i="18"/>
  <c r="D41" i="18"/>
  <c r="Q43" i="18"/>
  <c r="J45" i="18"/>
  <c r="R45" i="18"/>
  <c r="BD45" i="18"/>
  <c r="L46" i="18"/>
  <c r="BA46" i="18"/>
  <c r="S112" i="19" s="1"/>
  <c r="J50" i="18"/>
  <c r="S50" i="18"/>
  <c r="BE50" i="18"/>
  <c r="J51" i="18"/>
  <c r="S51" i="18"/>
  <c r="BB51" i="18"/>
  <c r="S129" i="19"/>
  <c r="W129" i="19" s="1"/>
  <c r="N56" i="18"/>
  <c r="S56" i="18"/>
  <c r="BD57" i="18"/>
  <c r="R59" i="18"/>
  <c r="J60" i="18"/>
  <c r="O61" i="18"/>
  <c r="BA61" i="18"/>
  <c r="S151" i="19" s="1"/>
  <c r="W151" i="19" s="1"/>
  <c r="F62" i="18"/>
  <c r="AZ62" i="18"/>
  <c r="AR64" i="18"/>
  <c r="AT66" i="18"/>
  <c r="E69" i="18"/>
  <c r="AZ69" i="18"/>
  <c r="BB70" i="18"/>
  <c r="J73" i="18"/>
  <c r="Y73" i="18" s="1"/>
  <c r="Q73" i="18"/>
  <c r="BB73" i="18"/>
  <c r="M74" i="18"/>
  <c r="AR74" i="18"/>
  <c r="M76" i="18"/>
  <c r="E80" i="18"/>
  <c r="O80" i="18"/>
  <c r="Q81" i="18"/>
  <c r="BE81" i="18"/>
  <c r="N83" i="18"/>
  <c r="BD83" i="18"/>
  <c r="AZ87" i="18"/>
  <c r="D89" i="18"/>
  <c r="Q89" i="18"/>
  <c r="O90" i="18"/>
  <c r="AT90" i="18"/>
  <c r="I91" i="18"/>
  <c r="R91" i="18"/>
  <c r="BC91" i="18"/>
  <c r="J92" i="18"/>
  <c r="Q92" i="18"/>
  <c r="BA92" i="18"/>
  <c r="S230" i="19" s="1"/>
  <c r="W230" i="19" s="1"/>
  <c r="F93" i="18"/>
  <c r="R93" i="18"/>
  <c r="D96" i="18"/>
  <c r="AT96" i="18"/>
  <c r="J98" i="18"/>
  <c r="S98" i="18"/>
  <c r="BC98" i="18"/>
  <c r="E99" i="18"/>
  <c r="AZ99" i="18"/>
  <c r="BA100" i="18"/>
  <c r="S254" i="19" s="1"/>
  <c r="W254" i="19" s="1"/>
  <c r="L104" i="18"/>
  <c r="S104" i="18"/>
  <c r="BD104" i="18"/>
  <c r="M105" i="18"/>
  <c r="AR105" i="18"/>
  <c r="I107" i="18"/>
  <c r="AZ107" i="18"/>
  <c r="D109" i="18"/>
  <c r="AT109" i="18"/>
  <c r="D111" i="18"/>
  <c r="BC111" i="18"/>
  <c r="M112" i="18"/>
  <c r="S112" i="18"/>
  <c r="AR113" i="18"/>
  <c r="E114" i="18"/>
  <c r="O114" i="18"/>
  <c r="O116" i="18"/>
  <c r="X118" i="18"/>
  <c r="BC119" i="18"/>
  <c r="Q122" i="18"/>
  <c r="BE134" i="18"/>
  <c r="AT32" i="18"/>
  <c r="E32" i="18"/>
  <c r="E32" i="29" s="1"/>
  <c r="BC34" i="18"/>
  <c r="AR34" i="18"/>
  <c r="I34" i="18"/>
  <c r="AS41" i="18"/>
  <c r="I41" i="18"/>
  <c r="X41" i="18" s="1"/>
  <c r="AZ68" i="18"/>
  <c r="BA68" i="18"/>
  <c r="S170" i="19" s="1"/>
  <c r="W170" i="19" s="1"/>
  <c r="AR76" i="18"/>
  <c r="D76" i="18"/>
  <c r="BE80" i="18"/>
  <c r="AZ80" i="18"/>
  <c r="Q80" i="18"/>
  <c r="L80" i="18"/>
  <c r="U80" i="18" s="1"/>
  <c r="D80" i="18"/>
  <c r="BB89" i="18"/>
  <c r="R89" i="18"/>
  <c r="M89" i="18"/>
  <c r="AS93" i="18"/>
  <c r="N93" i="18"/>
  <c r="X93" i="18" s="1"/>
  <c r="E93" i="18"/>
  <c r="BA96" i="18"/>
  <c r="S244" i="19" s="1"/>
  <c r="W244" i="19" s="1"/>
  <c r="S96" i="18"/>
  <c r="N96" i="18"/>
  <c r="E96" i="18"/>
  <c r="BA109" i="18"/>
  <c r="S275" i="19" s="1"/>
  <c r="W275" i="19" s="1"/>
  <c r="S109" i="18"/>
  <c r="N109" i="18"/>
  <c r="X109" i="18" s="1"/>
  <c r="E109" i="18"/>
  <c r="BE114" i="18"/>
  <c r="AZ114" i="18"/>
  <c r="Q114" i="18"/>
  <c r="L114" i="18"/>
  <c r="U114" i="18" s="1"/>
  <c r="D114" i="18"/>
  <c r="N32" i="18"/>
  <c r="X32" i="18" s="1"/>
  <c r="AZ32" i="18"/>
  <c r="F15" i="18"/>
  <c r="O15" i="18"/>
  <c r="AR15" i="18"/>
  <c r="BB15" i="18"/>
  <c r="M17" i="18"/>
  <c r="S17" i="18"/>
  <c r="L18" i="18"/>
  <c r="R18" i="18"/>
  <c r="BA18" i="18"/>
  <c r="S38" i="19" s="1"/>
  <c r="W38" i="19" s="1"/>
  <c r="I20" i="18"/>
  <c r="X20" i="18" s="1"/>
  <c r="AR20" i="18"/>
  <c r="BC20" i="18"/>
  <c r="F22" i="18"/>
  <c r="BA22" i="18"/>
  <c r="S46" i="19" s="1"/>
  <c r="W46" i="19" s="1"/>
  <c r="AR24" i="18"/>
  <c r="M25" i="18"/>
  <c r="Q25" i="18"/>
  <c r="BB25" i="18"/>
  <c r="F13" i="18"/>
  <c r="AZ13" i="18"/>
  <c r="D15" i="18"/>
  <c r="L15" i="18"/>
  <c r="Q15" i="18"/>
  <c r="AZ15" i="18"/>
  <c r="D17" i="18"/>
  <c r="E18" i="18"/>
  <c r="E18" i="29" s="1"/>
  <c r="O18" i="18"/>
  <c r="AR18" i="18"/>
  <c r="D20" i="18"/>
  <c r="L20" i="18"/>
  <c r="R20" i="18"/>
  <c r="AZ20" i="18"/>
  <c r="D22" i="18"/>
  <c r="M22" i="18"/>
  <c r="AR22" i="18"/>
  <c r="BD22" i="18"/>
  <c r="N24" i="18"/>
  <c r="D25" i="18"/>
  <c r="O25" i="18"/>
  <c r="S25" i="18"/>
  <c r="I28" i="18"/>
  <c r="BC28" i="18"/>
  <c r="D32" i="18"/>
  <c r="BC32" i="18"/>
  <c r="L34" i="18"/>
  <c r="S34" i="18"/>
  <c r="BD34" i="18"/>
  <c r="F35" i="18"/>
  <c r="U35" i="18" s="1"/>
  <c r="BA35" i="18"/>
  <c r="S83" i="19" s="1"/>
  <c r="W83" i="19" s="1"/>
  <c r="F36" i="18"/>
  <c r="I37" i="18"/>
  <c r="D38" i="18"/>
  <c r="Q41" i="18"/>
  <c r="E45" i="18"/>
  <c r="E45" i="29" s="1"/>
  <c r="BC45" i="18"/>
  <c r="J46" i="18"/>
  <c r="AR46" i="18"/>
  <c r="D50" i="18"/>
  <c r="F51" i="18"/>
  <c r="U51" i="18" s="1"/>
  <c r="BA51" i="18"/>
  <c r="S125" i="19" s="1"/>
  <c r="Y55" i="18"/>
  <c r="D60" i="18"/>
  <c r="D62" i="18"/>
  <c r="O62" i="18"/>
  <c r="Y62" i="18" s="1"/>
  <c r="AS62" i="18"/>
  <c r="I67" i="18"/>
  <c r="X67" i="18" s="1"/>
  <c r="D69" i="18"/>
  <c r="M69" i="18"/>
  <c r="AS69" i="18"/>
  <c r="E73" i="18"/>
  <c r="AT73" i="18"/>
  <c r="D74" i="18"/>
  <c r="R74" i="18"/>
  <c r="AS76" i="18"/>
  <c r="M80" i="18"/>
  <c r="AR80" i="18"/>
  <c r="BD80" i="18"/>
  <c r="E83" i="18"/>
  <c r="AZ83" i="18"/>
  <c r="BA89" i="18"/>
  <c r="S225" i="19" s="1"/>
  <c r="W225" i="19" s="1"/>
  <c r="J90" i="18"/>
  <c r="AS90" i="18"/>
  <c r="D91" i="18"/>
  <c r="E92" i="18"/>
  <c r="AZ92" i="18"/>
  <c r="BB93" i="18"/>
  <c r="L96" i="18"/>
  <c r="AR96" i="18"/>
  <c r="BD96" i="18"/>
  <c r="I98" i="18"/>
  <c r="Z98" i="18" s="1"/>
  <c r="BA98" i="18"/>
  <c r="S246" i="19" s="1"/>
  <c r="W246" i="19" s="1"/>
  <c r="D99" i="18"/>
  <c r="M99" i="18"/>
  <c r="AS99" i="18"/>
  <c r="F105" i="18"/>
  <c r="L106" i="18"/>
  <c r="D107" i="18"/>
  <c r="AT107" i="18"/>
  <c r="X108" i="18"/>
  <c r="L109" i="18"/>
  <c r="AR109" i="18"/>
  <c r="BD109" i="18"/>
  <c r="AR111" i="18"/>
  <c r="I112" i="18"/>
  <c r="Q112" i="18"/>
  <c r="BD112" i="18"/>
  <c r="M114" i="18"/>
  <c r="AR114" i="18"/>
  <c r="BD114" i="18"/>
  <c r="J119" i="18"/>
  <c r="AT119" i="18"/>
  <c r="AT134" i="18"/>
  <c r="AT36" i="18"/>
  <c r="M36" i="18"/>
  <c r="BC37" i="18"/>
  <c r="D37" i="18"/>
  <c r="BD38" i="18"/>
  <c r="S38" i="18"/>
  <c r="J38" i="18"/>
  <c r="AT44" i="18"/>
  <c r="AZ44" i="18"/>
  <c r="BA50" i="18"/>
  <c r="E50" i="18"/>
  <c r="E50" i="29" s="1"/>
  <c r="BC60" i="18"/>
  <c r="O60" i="18"/>
  <c r="BA62" i="18"/>
  <c r="S154" i="19" s="1"/>
  <c r="W154" i="19" s="1"/>
  <c r="S62" i="18"/>
  <c r="M62" i="18"/>
  <c r="E62" i="18"/>
  <c r="BB69" i="18"/>
  <c r="AR69" i="18"/>
  <c r="O69" i="18"/>
  <c r="Y69" i="18" s="1"/>
  <c r="F69" i="18"/>
  <c r="BA74" i="18"/>
  <c r="S186" i="19" s="1"/>
  <c r="W186" i="19" s="1"/>
  <c r="Q74" i="18"/>
  <c r="L74" i="18"/>
  <c r="BE91" i="18"/>
  <c r="AR91" i="18"/>
  <c r="O91" i="18"/>
  <c r="E91" i="18"/>
  <c r="BD95" i="18"/>
  <c r="AT95" i="18"/>
  <c r="I95" i="18"/>
  <c r="BB99" i="18"/>
  <c r="AR99" i="18"/>
  <c r="O99" i="18"/>
  <c r="Y99" i="18" s="1"/>
  <c r="F99" i="18"/>
  <c r="BB105" i="18"/>
  <c r="E105" i="18"/>
  <c r="BA107" i="18"/>
  <c r="S273" i="19" s="1"/>
  <c r="W273" i="19" s="1"/>
  <c r="S107" i="18"/>
  <c r="N107" i="18"/>
  <c r="E107" i="18"/>
  <c r="AZ116" i="18"/>
  <c r="AS116" i="18"/>
  <c r="F116" i="18"/>
  <c r="D35" i="29"/>
  <c r="Q36" i="18"/>
  <c r="O38" i="18"/>
  <c r="BA38" i="18"/>
  <c r="S86" i="19" s="1"/>
  <c r="W86" i="19" s="1"/>
  <c r="U39" i="18"/>
  <c r="D45" i="18"/>
  <c r="AT45" i="18"/>
  <c r="E46" i="18"/>
  <c r="E46" i="29" s="1"/>
  <c r="S46" i="18"/>
  <c r="BE46" i="18"/>
  <c r="O50" i="18"/>
  <c r="AZ50" i="18"/>
  <c r="E51" i="18"/>
  <c r="E51" i="29" s="1"/>
  <c r="O51" i="18"/>
  <c r="AS51" i="18"/>
  <c r="S128" i="19"/>
  <c r="W128" i="19" s="1"/>
  <c r="S130" i="19"/>
  <c r="W130" i="19" s="1"/>
  <c r="F59" i="18"/>
  <c r="U59" i="18" s="1"/>
  <c r="R60" i="18"/>
  <c r="L62" i="18"/>
  <c r="AR62" i="18"/>
  <c r="BD62" i="18"/>
  <c r="L64" i="18"/>
  <c r="D67" i="18"/>
  <c r="AS67" i="18"/>
  <c r="L69" i="18"/>
  <c r="U69" i="18" s="1"/>
  <c r="S69" i="18"/>
  <c r="BD69" i="18"/>
  <c r="D73" i="18"/>
  <c r="M73" i="18"/>
  <c r="AS73" i="18"/>
  <c r="BB74" i="18"/>
  <c r="D83" i="18"/>
  <c r="R83" i="18"/>
  <c r="D90" i="18"/>
  <c r="N91" i="18"/>
  <c r="AZ91" i="18"/>
  <c r="D92" i="18"/>
  <c r="M92" i="18"/>
  <c r="AS92" i="18"/>
  <c r="BE92" i="18"/>
  <c r="BA95" i="18"/>
  <c r="S241" i="19" s="1"/>
  <c r="W241" i="19" s="1"/>
  <c r="E98" i="18"/>
  <c r="AT98" i="18"/>
  <c r="L99" i="18"/>
  <c r="S99" i="18"/>
  <c r="BD99" i="18"/>
  <c r="L107" i="18"/>
  <c r="AR107" i="18"/>
  <c r="BD107" i="18"/>
  <c r="F112" i="18"/>
  <c r="AZ112" i="18"/>
  <c r="BC116" i="18"/>
  <c r="I119" i="18"/>
  <c r="Z119" i="18" s="1"/>
  <c r="AR119" i="18"/>
  <c r="E122" i="18"/>
  <c r="BE122" i="18"/>
  <c r="J137" i="18"/>
  <c r="J120" i="18"/>
  <c r="AR120" i="18"/>
  <c r="BC120" i="18"/>
  <c r="J126" i="18"/>
  <c r="AS126" i="18"/>
  <c r="BD126" i="18"/>
  <c r="M128" i="18"/>
  <c r="Q128" i="18"/>
  <c r="AZ128" i="18"/>
  <c r="E133" i="18"/>
  <c r="N133" i="18"/>
  <c r="X133" i="18" s="1"/>
  <c r="S133" i="18"/>
  <c r="AZ133" i="18"/>
  <c r="BE133" i="18"/>
  <c r="F135" i="18"/>
  <c r="AZ135" i="18"/>
  <c r="F137" i="18"/>
  <c r="O137" i="18"/>
  <c r="AZ137" i="18"/>
  <c r="O26" i="18"/>
  <c r="J31" i="18"/>
  <c r="R31" i="18"/>
  <c r="L33" i="18"/>
  <c r="AR33" i="18"/>
  <c r="J47" i="18"/>
  <c r="AS47" i="18"/>
  <c r="J58" i="18"/>
  <c r="Y58" i="18" s="1"/>
  <c r="AS58" i="18"/>
  <c r="L72" i="18"/>
  <c r="AR72" i="18"/>
  <c r="AT77" i="18"/>
  <c r="J84" i="18"/>
  <c r="AS84" i="18"/>
  <c r="N94" i="18"/>
  <c r="J97" i="18"/>
  <c r="AR97" i="18"/>
  <c r="J108" i="18"/>
  <c r="AT108" i="18"/>
  <c r="J110" i="18"/>
  <c r="Y110" i="18" s="1"/>
  <c r="AS110" i="18"/>
  <c r="J118" i="18"/>
  <c r="AR118" i="18"/>
  <c r="I120" i="18"/>
  <c r="X120" i="18" s="1"/>
  <c r="J121" i="18"/>
  <c r="Y121" i="18" s="1"/>
  <c r="AS121" i="18"/>
  <c r="M123" i="18"/>
  <c r="AR123" i="18"/>
  <c r="F126" i="18"/>
  <c r="U126" i="18" s="1"/>
  <c r="O126" i="18"/>
  <c r="AR126" i="18"/>
  <c r="I128" i="18"/>
  <c r="AT128" i="18"/>
  <c r="BC129" i="18"/>
  <c r="D131" i="18"/>
  <c r="N131" i="18"/>
  <c r="AS131" i="18"/>
  <c r="D133" i="18"/>
  <c r="L133" i="18"/>
  <c r="R133" i="18"/>
  <c r="AT133" i="18"/>
  <c r="D135" i="18"/>
  <c r="O135" i="18"/>
  <c r="AS135" i="18"/>
  <c r="E137" i="18"/>
  <c r="M137" i="18"/>
  <c r="S137" i="18"/>
  <c r="S325" i="19"/>
  <c r="W325" i="19" s="1"/>
  <c r="F128" i="18"/>
  <c r="O128" i="18"/>
  <c r="S128" i="18"/>
  <c r="M131" i="18"/>
  <c r="R131" i="18"/>
  <c r="J133" i="18"/>
  <c r="AR133" i="18"/>
  <c r="M135" i="18"/>
  <c r="S135" i="18"/>
  <c r="D137" i="18"/>
  <c r="L137" i="18"/>
  <c r="Q137" i="18"/>
  <c r="C17" i="29"/>
  <c r="S63" i="19"/>
  <c r="S47" i="19"/>
  <c r="S52" i="19"/>
  <c r="W52" i="19" s="1"/>
  <c r="S60" i="19"/>
  <c r="O60" i="19" s="1"/>
  <c r="M60" i="19" s="1"/>
  <c r="S37" i="19"/>
  <c r="S49" i="19"/>
  <c r="S58" i="19"/>
  <c r="O58" i="19" s="1"/>
  <c r="M58" i="19" s="1"/>
  <c r="S48" i="19"/>
  <c r="S36" i="19"/>
  <c r="S45" i="19"/>
  <c r="S50" i="19"/>
  <c r="S59" i="19"/>
  <c r="O59" i="19" s="1"/>
  <c r="M59" i="19" s="1"/>
  <c r="S44" i="19"/>
  <c r="S39" i="19"/>
  <c r="S40" i="19"/>
  <c r="S53" i="19"/>
  <c r="S62" i="19"/>
  <c r="S61" i="19"/>
  <c r="O61" i="19" s="1"/>
  <c r="M61" i="19" s="1"/>
  <c r="BE17" i="18"/>
  <c r="BA17" i="18"/>
  <c r="S35" i="19" s="1"/>
  <c r="W35" i="19" s="1"/>
  <c r="AR17" i="18"/>
  <c r="L17" i="18"/>
  <c r="E17" i="18"/>
  <c r="E17" i="29" s="1"/>
  <c r="D17" i="29" s="1"/>
  <c r="C26" i="29"/>
  <c r="BB26" i="18"/>
  <c r="AS26" i="18"/>
  <c r="Q26" i="18"/>
  <c r="M26" i="18"/>
  <c r="F26" i="18"/>
  <c r="U26" i="18" s="1"/>
  <c r="C28" i="29"/>
  <c r="S66" i="19"/>
  <c r="O66" i="19" s="1"/>
  <c r="M66" i="19" s="1"/>
  <c r="S89" i="19"/>
  <c r="O89" i="19" s="1"/>
  <c r="M89" i="19" s="1"/>
  <c r="S81" i="19"/>
  <c r="W81" i="19" s="1"/>
  <c r="S92" i="19"/>
  <c r="S76" i="19"/>
  <c r="O76" i="19" s="1"/>
  <c r="M76" i="19" s="1"/>
  <c r="S78" i="19"/>
  <c r="O78" i="19" s="1"/>
  <c r="M78" i="19" s="1"/>
  <c r="S82" i="19"/>
  <c r="O82" i="19" s="1"/>
  <c r="M82" i="19" s="1"/>
  <c r="S73" i="19"/>
  <c r="R73" i="19" s="1"/>
  <c r="S69" i="19"/>
  <c r="O69" i="19" s="1"/>
  <c r="M69" i="19" s="1"/>
  <c r="S68" i="19"/>
  <c r="O68" i="19" s="1"/>
  <c r="M68" i="19" s="1"/>
  <c r="S90" i="19"/>
  <c r="O90" i="19" s="1"/>
  <c r="M90" i="19" s="1"/>
  <c r="S65" i="19"/>
  <c r="O65" i="19" s="1"/>
  <c r="M65" i="19" s="1"/>
  <c r="S74" i="19"/>
  <c r="O74" i="19" s="1"/>
  <c r="M74" i="19" s="1"/>
  <c r="S79" i="19"/>
  <c r="O79" i="19" s="1"/>
  <c r="M79" i="19" s="1"/>
  <c r="S88" i="19"/>
  <c r="O88" i="19" s="1"/>
  <c r="M88" i="19" s="1"/>
  <c r="S87" i="19"/>
  <c r="O87" i="19" s="1"/>
  <c r="M87" i="19" s="1"/>
  <c r="S91" i="19"/>
  <c r="S77" i="19"/>
  <c r="O77" i="19" s="1"/>
  <c r="M77" i="19" s="1"/>
  <c r="BD28" i="18"/>
  <c r="AZ28" i="18"/>
  <c r="S28" i="18"/>
  <c r="O28" i="18"/>
  <c r="J28" i="18"/>
  <c r="D28" i="18"/>
  <c r="C43" i="29"/>
  <c r="BD43" i="18"/>
  <c r="AZ43" i="18"/>
  <c r="S43" i="18"/>
  <c r="J43" i="18"/>
  <c r="E43" i="18"/>
  <c r="E43" i="29" s="1"/>
  <c r="D43" i="29" s="1"/>
  <c r="BE43" i="18"/>
  <c r="BA43" i="18"/>
  <c r="S101" i="19" s="1"/>
  <c r="AR43" i="18"/>
  <c r="L43" i="18"/>
  <c r="C59" i="29"/>
  <c r="BD59" i="18"/>
  <c r="AZ59" i="18"/>
  <c r="S59" i="18"/>
  <c r="O59" i="18"/>
  <c r="J59" i="18"/>
  <c r="D59" i="18"/>
  <c r="BE59" i="18"/>
  <c r="BA59" i="18"/>
  <c r="S143" i="19" s="1"/>
  <c r="W143" i="19" s="1"/>
  <c r="AR59" i="18"/>
  <c r="L59" i="18"/>
  <c r="E59" i="18"/>
  <c r="C60" i="29"/>
  <c r="BE60" i="18"/>
  <c r="BA60" i="18"/>
  <c r="S144" i="19" s="1"/>
  <c r="W144" i="19" s="1"/>
  <c r="AR60" i="18"/>
  <c r="L60" i="18"/>
  <c r="E60" i="18"/>
  <c r="BB60" i="18"/>
  <c r="AS60" i="18"/>
  <c r="Q60" i="18"/>
  <c r="M60" i="18"/>
  <c r="F60" i="18"/>
  <c r="U60" i="18" s="1"/>
  <c r="C63" i="29"/>
  <c r="BC63" i="18"/>
  <c r="AT63" i="18"/>
  <c r="R63" i="18"/>
  <c r="N63" i="18"/>
  <c r="I63" i="18"/>
  <c r="D63" i="18"/>
  <c r="BD63" i="18"/>
  <c r="AZ63" i="18"/>
  <c r="S63" i="18"/>
  <c r="J63" i="18"/>
  <c r="E63" i="18"/>
  <c r="C64" i="29"/>
  <c r="BC64" i="18"/>
  <c r="AT64" i="18"/>
  <c r="R64" i="18"/>
  <c r="N64" i="18"/>
  <c r="I64" i="18"/>
  <c r="D64" i="18"/>
  <c r="BD64" i="18"/>
  <c r="AZ64" i="18"/>
  <c r="S64" i="18"/>
  <c r="J64" i="18"/>
  <c r="E64" i="18"/>
  <c r="C65" i="29"/>
  <c r="BC65" i="18"/>
  <c r="AT65" i="18"/>
  <c r="R65" i="18"/>
  <c r="N65" i="18"/>
  <c r="I65" i="18"/>
  <c r="D65" i="18"/>
  <c r="BD65" i="18"/>
  <c r="AZ65" i="18"/>
  <c r="S65" i="18"/>
  <c r="J65" i="18"/>
  <c r="E65" i="18"/>
  <c r="C66" i="29"/>
  <c r="BD66" i="18"/>
  <c r="AZ66" i="18"/>
  <c r="S66" i="18"/>
  <c r="O66" i="18"/>
  <c r="J66" i="18"/>
  <c r="D66" i="18"/>
  <c r="BE66" i="18"/>
  <c r="BA66" i="18"/>
  <c r="S162" i="19" s="1"/>
  <c r="W162" i="19" s="1"/>
  <c r="AR66" i="18"/>
  <c r="L66" i="18"/>
  <c r="E66" i="18"/>
  <c r="C67" i="29"/>
  <c r="BD67" i="18"/>
  <c r="AZ67" i="18"/>
  <c r="S67" i="18"/>
  <c r="J67" i="18"/>
  <c r="E67" i="18"/>
  <c r="BE67" i="18"/>
  <c r="BA67" i="18"/>
  <c r="S167" i="19" s="1"/>
  <c r="W167" i="19" s="1"/>
  <c r="AR67" i="18"/>
  <c r="L67" i="18"/>
  <c r="C75" i="29"/>
  <c r="BD75" i="18"/>
  <c r="AZ75" i="18"/>
  <c r="S75" i="18"/>
  <c r="J75" i="18"/>
  <c r="E75" i="18"/>
  <c r="BE75" i="18"/>
  <c r="AT75" i="18"/>
  <c r="Q75" i="18"/>
  <c r="L75" i="18"/>
  <c r="D75" i="18"/>
  <c r="BA75" i="18"/>
  <c r="S187" i="19" s="1"/>
  <c r="W187" i="19" s="1"/>
  <c r="R75" i="18"/>
  <c r="M75" i="18"/>
  <c r="BB75" i="18"/>
  <c r="AR75" i="18"/>
  <c r="N75" i="18"/>
  <c r="X75" i="18" s="1"/>
  <c r="F16" i="18"/>
  <c r="N16" i="18"/>
  <c r="AR16" i="18"/>
  <c r="BB16" i="18"/>
  <c r="I13" i="18"/>
  <c r="O13" i="18"/>
  <c r="S13" i="18"/>
  <c r="BB13" i="18"/>
  <c r="D14" i="18"/>
  <c r="L14" i="18"/>
  <c r="R14" i="18"/>
  <c r="AZ14" i="18"/>
  <c r="E16" i="18"/>
  <c r="E16" i="29" s="1"/>
  <c r="M16" i="18"/>
  <c r="R16" i="18"/>
  <c r="J17" i="18"/>
  <c r="AS17" i="18"/>
  <c r="BC17" i="18"/>
  <c r="D18" i="29"/>
  <c r="D21" i="29"/>
  <c r="E23" i="18"/>
  <c r="E23" i="29" s="1"/>
  <c r="L23" i="18"/>
  <c r="Q23" i="18"/>
  <c r="AZ23" i="18"/>
  <c r="I24" i="18"/>
  <c r="X24" i="18" s="1"/>
  <c r="AS24" i="18"/>
  <c r="BC24" i="18"/>
  <c r="J26" i="18"/>
  <c r="Y26" i="18" s="1"/>
  <c r="AT26" i="18"/>
  <c r="BD26" i="18"/>
  <c r="D27" i="29"/>
  <c r="L28" i="18"/>
  <c r="Q28" i="18"/>
  <c r="AT28" i="18"/>
  <c r="BE28" i="18"/>
  <c r="J29" i="18"/>
  <c r="Z29" i="18" s="1"/>
  <c r="R29" i="18"/>
  <c r="BC29" i="18"/>
  <c r="D30" i="29"/>
  <c r="D32" i="29"/>
  <c r="D42" i="18"/>
  <c r="N42" i="18"/>
  <c r="AS42" i="18"/>
  <c r="M43" i="18"/>
  <c r="R43" i="18"/>
  <c r="BC43" i="18"/>
  <c r="J44" i="18"/>
  <c r="Z44" i="18" s="1"/>
  <c r="R44" i="18"/>
  <c r="BC44" i="18"/>
  <c r="D45" i="29"/>
  <c r="F48" i="18"/>
  <c r="D49" i="18"/>
  <c r="O49" i="18"/>
  <c r="Z55" i="18"/>
  <c r="N59" i="18"/>
  <c r="AS59" i="18"/>
  <c r="N60" i="18"/>
  <c r="S60" i="18"/>
  <c r="BD60" i="18"/>
  <c r="M63" i="18"/>
  <c r="AS63" i="18"/>
  <c r="M64" i="18"/>
  <c r="AS64" i="18"/>
  <c r="M65" i="18"/>
  <c r="AS65" i="18"/>
  <c r="N66" i="18"/>
  <c r="AS66" i="18"/>
  <c r="M67" i="18"/>
  <c r="R67" i="18"/>
  <c r="BC67" i="18"/>
  <c r="J68" i="18"/>
  <c r="Z68" i="18" s="1"/>
  <c r="R68" i="18"/>
  <c r="BD68" i="18"/>
  <c r="I71" i="18"/>
  <c r="M78" i="18"/>
  <c r="C14" i="29"/>
  <c r="BB14" i="18"/>
  <c r="AS14" i="18"/>
  <c r="Q14" i="18"/>
  <c r="M14" i="18"/>
  <c r="F14" i="18"/>
  <c r="U14" i="18" s="1"/>
  <c r="C16" i="29"/>
  <c r="BD16" i="18"/>
  <c r="AZ16" i="18"/>
  <c r="S16" i="18"/>
  <c r="O16" i="18"/>
  <c r="J16" i="18"/>
  <c r="D16" i="18"/>
  <c r="J14" i="18"/>
  <c r="AT14" i="18"/>
  <c r="BD14" i="18"/>
  <c r="L16" i="18"/>
  <c r="Q16" i="18"/>
  <c r="AT16" i="18"/>
  <c r="BE16" i="18"/>
  <c r="C23" i="29"/>
  <c r="BC23" i="18"/>
  <c r="AT23" i="18"/>
  <c r="R23" i="18"/>
  <c r="N23" i="18"/>
  <c r="I23" i="18"/>
  <c r="D23" i="18"/>
  <c r="C48" i="29"/>
  <c r="BD48" i="18"/>
  <c r="AZ48" i="18"/>
  <c r="S48" i="18"/>
  <c r="O48" i="18"/>
  <c r="J48" i="18"/>
  <c r="D48" i="18"/>
  <c r="BE48" i="18"/>
  <c r="BA48" i="18"/>
  <c r="S114" i="19" s="1"/>
  <c r="AR48" i="18"/>
  <c r="L48" i="18"/>
  <c r="E48" i="18"/>
  <c r="E48" i="29" s="1"/>
  <c r="C49" i="29"/>
  <c r="BE49" i="18"/>
  <c r="BA49" i="18"/>
  <c r="S115" i="19" s="1"/>
  <c r="AR49" i="18"/>
  <c r="L49" i="18"/>
  <c r="E49" i="18"/>
  <c r="E49" i="29" s="1"/>
  <c r="BB49" i="18"/>
  <c r="AS49" i="18"/>
  <c r="Q49" i="18"/>
  <c r="M49" i="18"/>
  <c r="F49" i="18"/>
  <c r="U49" i="18" s="1"/>
  <c r="C52" i="29"/>
  <c r="BC52" i="18"/>
  <c r="AT52" i="18"/>
  <c r="R52" i="18"/>
  <c r="N52" i="18"/>
  <c r="I52" i="18"/>
  <c r="D52" i="18"/>
  <c r="BD52" i="18"/>
  <c r="AZ52" i="18"/>
  <c r="S52" i="18"/>
  <c r="J52" i="18"/>
  <c r="E52" i="18"/>
  <c r="C53" i="29"/>
  <c r="BC53" i="18"/>
  <c r="AT53" i="18"/>
  <c r="R53" i="18"/>
  <c r="N53" i="18"/>
  <c r="I53" i="18"/>
  <c r="D53" i="18"/>
  <c r="BD53" i="18"/>
  <c r="AZ53" i="18"/>
  <c r="S53" i="18"/>
  <c r="J53" i="18"/>
  <c r="E53" i="18"/>
  <c r="C54" i="29"/>
  <c r="BD54" i="18"/>
  <c r="BC54" i="18" s="1"/>
  <c r="AT54" i="18"/>
  <c r="R54" i="18"/>
  <c r="N54" i="18"/>
  <c r="I54" i="18"/>
  <c r="D54" i="18"/>
  <c r="BE54" i="18"/>
  <c r="AZ54" i="18"/>
  <c r="S54" i="18"/>
  <c r="J54" i="18"/>
  <c r="E54" i="18"/>
  <c r="C71" i="29"/>
  <c r="BD71" i="18"/>
  <c r="AZ71" i="18"/>
  <c r="S71" i="18"/>
  <c r="O71" i="18"/>
  <c r="J71" i="18"/>
  <c r="D71" i="18"/>
  <c r="BE71" i="18"/>
  <c r="BA71" i="18"/>
  <c r="S173" i="19" s="1"/>
  <c r="W173" i="19" s="1"/>
  <c r="AR71" i="18"/>
  <c r="L71" i="18"/>
  <c r="E71" i="18"/>
  <c r="BB71" i="18"/>
  <c r="AS71" i="18"/>
  <c r="Q71" i="18"/>
  <c r="M71" i="18"/>
  <c r="F71" i="18"/>
  <c r="U71" i="18" s="1"/>
  <c r="C78" i="29"/>
  <c r="BE78" i="18"/>
  <c r="BA78" i="18"/>
  <c r="S196" i="19" s="1"/>
  <c r="W196" i="19" s="1"/>
  <c r="AR78" i="18"/>
  <c r="L78" i="18"/>
  <c r="BC78" i="18"/>
  <c r="AS78" i="18"/>
  <c r="J78" i="18"/>
  <c r="D78" i="18"/>
  <c r="AZ78" i="18"/>
  <c r="R78" i="18"/>
  <c r="N78" i="18"/>
  <c r="E78" i="18"/>
  <c r="BB78" i="18"/>
  <c r="S78" i="18"/>
  <c r="BD78" i="18"/>
  <c r="I78" i="18"/>
  <c r="C18" i="29"/>
  <c r="BB18" i="18"/>
  <c r="AS18" i="18"/>
  <c r="Q18" i="18"/>
  <c r="M18" i="18"/>
  <c r="F18" i="18"/>
  <c r="U18" i="18" s="1"/>
  <c r="C25" i="29"/>
  <c r="BE25" i="18"/>
  <c r="BA25" i="18"/>
  <c r="S55" i="19" s="1"/>
  <c r="W55" i="19" s="1"/>
  <c r="AR25" i="18"/>
  <c r="L25" i="18"/>
  <c r="U25" i="18" s="1"/>
  <c r="E25" i="18"/>
  <c r="E25" i="29" s="1"/>
  <c r="D25" i="29" s="1"/>
  <c r="C36" i="29"/>
  <c r="BD36" i="18"/>
  <c r="AZ36" i="18"/>
  <c r="S36" i="18"/>
  <c r="O36" i="18"/>
  <c r="J36" i="18"/>
  <c r="Y36" i="18" s="1"/>
  <c r="D36" i="18"/>
  <c r="BE36" i="18"/>
  <c r="BA36" i="18"/>
  <c r="S84" i="19" s="1"/>
  <c r="W84" i="19" s="1"/>
  <c r="AR36" i="18"/>
  <c r="L36" i="18"/>
  <c r="E36" i="18"/>
  <c r="E36" i="29" s="1"/>
  <c r="C37" i="29"/>
  <c r="BE37" i="18"/>
  <c r="BA37" i="18"/>
  <c r="S85" i="19" s="1"/>
  <c r="W85" i="19" s="1"/>
  <c r="AR37" i="18"/>
  <c r="L37" i="18"/>
  <c r="E37" i="18"/>
  <c r="E37" i="29" s="1"/>
  <c r="D37" i="29" s="1"/>
  <c r="BB37" i="18"/>
  <c r="AS37" i="18"/>
  <c r="Q37" i="18"/>
  <c r="M37" i="18"/>
  <c r="F37" i="18"/>
  <c r="C40" i="29"/>
  <c r="BD40" i="18"/>
  <c r="AZ40" i="18"/>
  <c r="S40" i="18"/>
  <c r="O40" i="18"/>
  <c r="J40" i="18"/>
  <c r="Z40" i="18" s="1"/>
  <c r="D40" i="18"/>
  <c r="BE40" i="18"/>
  <c r="BA40" i="18"/>
  <c r="S96" i="19" s="1"/>
  <c r="W96" i="19" s="1"/>
  <c r="AR40" i="18"/>
  <c r="L40" i="18"/>
  <c r="E40" i="18"/>
  <c r="E40" i="29" s="1"/>
  <c r="C41" i="29"/>
  <c r="BD41" i="18"/>
  <c r="AZ41" i="18"/>
  <c r="S41" i="18"/>
  <c r="J41" i="18"/>
  <c r="E41" i="18"/>
  <c r="E41" i="29" s="1"/>
  <c r="D41" i="29" s="1"/>
  <c r="BE41" i="18"/>
  <c r="BA41" i="18"/>
  <c r="S99" i="19" s="1"/>
  <c r="W99" i="19" s="1"/>
  <c r="AR41" i="18"/>
  <c r="L41" i="18"/>
  <c r="C55" i="29"/>
  <c r="BE55" i="18"/>
  <c r="BA55" i="18"/>
  <c r="S133" i="19" s="1"/>
  <c r="W133" i="19" s="1"/>
  <c r="AR55" i="18"/>
  <c r="L55" i="18"/>
  <c r="E55" i="18"/>
  <c r="BB55" i="18"/>
  <c r="AS55" i="18"/>
  <c r="Q55" i="18"/>
  <c r="M55" i="18"/>
  <c r="F55" i="18"/>
  <c r="C79" i="29"/>
  <c r="BB79" i="18"/>
  <c r="AS79" i="18"/>
  <c r="Q79" i="18"/>
  <c r="M79" i="18"/>
  <c r="F79" i="18"/>
  <c r="U79" i="18" s="1"/>
  <c r="BA79" i="18"/>
  <c r="S199" i="19" s="1"/>
  <c r="S79" i="18"/>
  <c r="N79" i="18"/>
  <c r="E79" i="18"/>
  <c r="E79" i="29" s="1"/>
  <c r="BD79" i="18"/>
  <c r="AR79" i="18"/>
  <c r="O79" i="18"/>
  <c r="D79" i="18"/>
  <c r="BE79" i="18"/>
  <c r="AT79" i="18"/>
  <c r="I79" i="18"/>
  <c r="X79" i="18" s="1"/>
  <c r="AZ79" i="18"/>
  <c r="R79" i="18"/>
  <c r="J79" i="18"/>
  <c r="C82" i="29"/>
  <c r="BE82" i="18"/>
  <c r="BA82" i="18"/>
  <c r="S202" i="19" s="1"/>
  <c r="W202" i="19" s="1"/>
  <c r="AR82" i="18"/>
  <c r="L82" i="18"/>
  <c r="E82" i="18"/>
  <c r="BD82" i="18"/>
  <c r="AT82" i="18"/>
  <c r="Q82" i="18"/>
  <c r="M82" i="18"/>
  <c r="D82" i="18"/>
  <c r="BC82" i="18"/>
  <c r="O82" i="18"/>
  <c r="F82" i="18"/>
  <c r="AS82" i="18"/>
  <c r="I82" i="18"/>
  <c r="AZ82" i="18"/>
  <c r="R82" i="18"/>
  <c r="J82" i="18"/>
  <c r="J23" i="18"/>
  <c r="AS23" i="18"/>
  <c r="BD23" i="18"/>
  <c r="N48" i="18"/>
  <c r="AS48" i="18"/>
  <c r="N49" i="18"/>
  <c r="S49" i="18"/>
  <c r="BD49" i="18"/>
  <c r="M52" i="18"/>
  <c r="AS52" i="18"/>
  <c r="M53" i="18"/>
  <c r="AS53" i="18"/>
  <c r="M54" i="18"/>
  <c r="AS54" i="18"/>
  <c r="R71" i="18"/>
  <c r="D13" i="18"/>
  <c r="M13" i="18"/>
  <c r="Q13" i="18"/>
  <c r="AT13" i="18"/>
  <c r="I14" i="18"/>
  <c r="O14" i="18"/>
  <c r="AR14" i="18"/>
  <c r="BC14" i="18"/>
  <c r="I16" i="18"/>
  <c r="AS16" i="18"/>
  <c r="BC16" i="18"/>
  <c r="F17" i="18"/>
  <c r="N17" i="18"/>
  <c r="X17" i="18" s="1"/>
  <c r="R17" i="18"/>
  <c r="AZ17" i="18"/>
  <c r="J18" i="18"/>
  <c r="AT18" i="18"/>
  <c r="BD18" i="18"/>
  <c r="D19" i="29"/>
  <c r="X21" i="18"/>
  <c r="AR23" i="18"/>
  <c r="BB23" i="18"/>
  <c r="E24" i="18"/>
  <c r="E24" i="29" s="1"/>
  <c r="M24" i="18"/>
  <c r="R24" i="18"/>
  <c r="J25" i="18"/>
  <c r="Y25" i="18" s="1"/>
  <c r="AS25" i="18"/>
  <c r="BC25" i="18"/>
  <c r="E26" i="18"/>
  <c r="E26" i="29" s="1"/>
  <c r="D26" i="29" s="1"/>
  <c r="N26" i="18"/>
  <c r="X26" i="18" s="1"/>
  <c r="S26" i="18"/>
  <c r="BA26" i="18"/>
  <c r="S56" i="19" s="1"/>
  <c r="W56" i="19" s="1"/>
  <c r="Y27" i="18"/>
  <c r="F28" i="18"/>
  <c r="U28" i="18" s="1"/>
  <c r="N28" i="18"/>
  <c r="X28" i="18" s="1"/>
  <c r="AR28" i="18"/>
  <c r="BB28" i="18"/>
  <c r="D29" i="18"/>
  <c r="O29" i="18"/>
  <c r="D31" i="29"/>
  <c r="D33" i="29"/>
  <c r="N36" i="18"/>
  <c r="X36" i="18" s="1"/>
  <c r="AS36" i="18"/>
  <c r="N37" i="18"/>
  <c r="X37" i="18" s="1"/>
  <c r="S37" i="18"/>
  <c r="BD37" i="18"/>
  <c r="Y38" i="18"/>
  <c r="N40" i="18"/>
  <c r="X40" i="18" s="1"/>
  <c r="AS40" i="18"/>
  <c r="M41" i="18"/>
  <c r="R41" i="18"/>
  <c r="BC41" i="18"/>
  <c r="I42" i="18"/>
  <c r="X42" i="18" s="1"/>
  <c r="Q42" i="18"/>
  <c r="AT43" i="18"/>
  <c r="D44" i="18"/>
  <c r="O44" i="18"/>
  <c r="D46" i="29"/>
  <c r="M48" i="18"/>
  <c r="R48" i="18"/>
  <c r="BC48" i="18"/>
  <c r="J49" i="18"/>
  <c r="R49" i="18"/>
  <c r="BC49" i="18"/>
  <c r="D50" i="29"/>
  <c r="L52" i="18"/>
  <c r="AR52" i="18"/>
  <c r="BE52" i="18"/>
  <c r="L53" i="18"/>
  <c r="AR53" i="18"/>
  <c r="BE53" i="18"/>
  <c r="L54" i="18"/>
  <c r="AR54" i="18"/>
  <c r="N55" i="18"/>
  <c r="X55" i="18" s="1"/>
  <c r="S55" i="18"/>
  <c r="BD55" i="18"/>
  <c r="I59" i="18"/>
  <c r="X59" i="18" s="1"/>
  <c r="Q59" i="18"/>
  <c r="BB59" i="18"/>
  <c r="I60" i="18"/>
  <c r="AZ60" i="18"/>
  <c r="Q63" i="18"/>
  <c r="BB63" i="18"/>
  <c r="Q64" i="18"/>
  <c r="BB64" i="18"/>
  <c r="Q65" i="18"/>
  <c r="BB65" i="18"/>
  <c r="I66" i="18"/>
  <c r="X66" i="18" s="1"/>
  <c r="Q66" i="18"/>
  <c r="BB66" i="18"/>
  <c r="AT67" i="18"/>
  <c r="D68" i="18"/>
  <c r="O68" i="18"/>
  <c r="U73" i="18"/>
  <c r="Z75" i="18"/>
  <c r="AS75" i="18"/>
  <c r="Q78" i="18"/>
  <c r="C42" i="29"/>
  <c r="BD42" i="18"/>
  <c r="AZ42" i="18"/>
  <c r="S42" i="18"/>
  <c r="J42" i="18"/>
  <c r="E42" i="18"/>
  <c r="E42" i="29" s="1"/>
  <c r="D42" i="29" s="1"/>
  <c r="BE42" i="18"/>
  <c r="BA42" i="18"/>
  <c r="S100" i="19" s="1"/>
  <c r="W100" i="19" s="1"/>
  <c r="AR42" i="18"/>
  <c r="L42" i="18"/>
  <c r="C13" i="29"/>
  <c r="BE13" i="18"/>
  <c r="BA13" i="18"/>
  <c r="AR13" i="18"/>
  <c r="L13" i="18"/>
  <c r="U13" i="18" s="1"/>
  <c r="E13" i="18"/>
  <c r="E13" i="29" s="1"/>
  <c r="D13" i="29" s="1"/>
  <c r="C24" i="29"/>
  <c r="BD24" i="18"/>
  <c r="AZ24" i="18"/>
  <c r="S24" i="18"/>
  <c r="O24" i="18"/>
  <c r="J24" i="18"/>
  <c r="D24" i="18"/>
  <c r="C29" i="29"/>
  <c r="BE29" i="18"/>
  <c r="BA29" i="18"/>
  <c r="S67" i="19" s="1"/>
  <c r="W67" i="19" s="1"/>
  <c r="AR29" i="18"/>
  <c r="L29" i="18"/>
  <c r="E29" i="18"/>
  <c r="E29" i="29" s="1"/>
  <c r="BB29" i="18"/>
  <c r="AS29" i="18"/>
  <c r="Q29" i="18"/>
  <c r="M29" i="18"/>
  <c r="F29" i="18"/>
  <c r="C44" i="29"/>
  <c r="BE44" i="18"/>
  <c r="BA44" i="18"/>
  <c r="S104" i="19" s="1"/>
  <c r="W104" i="19" s="1"/>
  <c r="AR44" i="18"/>
  <c r="L44" i="18"/>
  <c r="E44" i="18"/>
  <c r="E44" i="29" s="1"/>
  <c r="BB44" i="18"/>
  <c r="AS44" i="18"/>
  <c r="Q44" i="18"/>
  <c r="M44" i="18"/>
  <c r="F44" i="18"/>
  <c r="C68" i="29"/>
  <c r="BB68" i="18"/>
  <c r="AR68" i="18"/>
  <c r="L68" i="18"/>
  <c r="E68" i="18"/>
  <c r="E68" i="29" s="1"/>
  <c r="D68" i="29" s="1"/>
  <c r="BC68" i="18"/>
  <c r="AT68" i="18"/>
  <c r="AS68" i="18" s="1"/>
  <c r="Q68" i="18"/>
  <c r="M68" i="18"/>
  <c r="F68" i="18"/>
  <c r="M42" i="18"/>
  <c r="R42" i="18"/>
  <c r="BC42" i="18"/>
  <c r="J13" i="18"/>
  <c r="AS13" i="18"/>
  <c r="BC13" i="18"/>
  <c r="E14" i="18"/>
  <c r="E14" i="29" s="1"/>
  <c r="D14" i="29" s="1"/>
  <c r="N14" i="18"/>
  <c r="S14" i="18"/>
  <c r="BA14" i="18"/>
  <c r="M23" i="18"/>
  <c r="S23" i="18"/>
  <c r="BA23" i="18"/>
  <c r="S51" i="19" s="1"/>
  <c r="W51" i="19" s="1"/>
  <c r="L24" i="18"/>
  <c r="U24" i="18" s="1"/>
  <c r="Q24" i="18"/>
  <c r="AT24" i="18"/>
  <c r="BE24" i="18"/>
  <c r="D28" i="29"/>
  <c r="N29" i="18"/>
  <c r="X29" i="18" s="1"/>
  <c r="S29" i="18"/>
  <c r="BD29" i="18"/>
  <c r="X30" i="18"/>
  <c r="Z30" i="18"/>
  <c r="Z32" i="18"/>
  <c r="AT42" i="18"/>
  <c r="N44" i="18"/>
  <c r="X44" i="18" s="1"/>
  <c r="S44" i="18"/>
  <c r="BD44" i="18"/>
  <c r="X45" i="18"/>
  <c r="Z45" i="18"/>
  <c r="I48" i="18"/>
  <c r="Q48" i="18"/>
  <c r="BB48" i="18"/>
  <c r="I49" i="18"/>
  <c r="AZ49" i="18"/>
  <c r="Q52" i="18"/>
  <c r="BB52" i="18"/>
  <c r="Q53" i="18"/>
  <c r="BB53" i="18"/>
  <c r="Q54" i="18"/>
  <c r="BB54" i="18"/>
  <c r="Z59" i="18"/>
  <c r="Z63" i="18"/>
  <c r="S157" i="19"/>
  <c r="W157" i="19" s="1"/>
  <c r="Z64" i="18"/>
  <c r="Z65" i="18"/>
  <c r="S159" i="19"/>
  <c r="W159" i="19" s="1"/>
  <c r="U66" i="18"/>
  <c r="N68" i="18"/>
  <c r="X68" i="18" s="1"/>
  <c r="S68" i="18"/>
  <c r="BE68" i="18"/>
  <c r="N71" i="18"/>
  <c r="BC71" i="18"/>
  <c r="AT78" i="18"/>
  <c r="C30" i="29"/>
  <c r="C31" i="29"/>
  <c r="C32" i="29"/>
  <c r="C33" i="29"/>
  <c r="C38" i="29"/>
  <c r="C50" i="29"/>
  <c r="S145" i="19"/>
  <c r="O145" i="19" s="1"/>
  <c r="M145" i="19" s="1"/>
  <c r="S149" i="19"/>
  <c r="S135" i="19"/>
  <c r="O135" i="19" s="1"/>
  <c r="M135" i="19" s="1"/>
  <c r="S126" i="19"/>
  <c r="O126" i="19" s="1"/>
  <c r="M126" i="19" s="1"/>
  <c r="S147" i="19"/>
  <c r="O147" i="19" s="1"/>
  <c r="M147" i="19" s="1"/>
  <c r="S146" i="19"/>
  <c r="O146" i="19" s="1"/>
  <c r="M146" i="19" s="1"/>
  <c r="S140" i="19"/>
  <c r="O140" i="19" s="1"/>
  <c r="M140" i="19" s="1"/>
  <c r="S148" i="19"/>
  <c r="O148" i="19" s="1"/>
  <c r="M148" i="19" s="1"/>
  <c r="S150" i="19"/>
  <c r="S124" i="19"/>
  <c r="O124" i="19" s="1"/>
  <c r="M124" i="19" s="1"/>
  <c r="S136" i="19"/>
  <c r="O136" i="19" s="1"/>
  <c r="M136" i="19" s="1"/>
  <c r="S132" i="19"/>
  <c r="O132" i="19" s="1"/>
  <c r="M132" i="19" s="1"/>
  <c r="S131" i="19"/>
  <c r="R131" i="19" s="1"/>
  <c r="S123" i="19"/>
  <c r="O123" i="19" s="1"/>
  <c r="M123" i="19" s="1"/>
  <c r="S134" i="19"/>
  <c r="O134" i="19" s="1"/>
  <c r="M134" i="19" s="1"/>
  <c r="S127" i="19"/>
  <c r="O127" i="19" s="1"/>
  <c r="M127" i="19" s="1"/>
  <c r="S137" i="19"/>
  <c r="O137" i="19" s="1"/>
  <c r="M137" i="19" s="1"/>
  <c r="S139" i="19"/>
  <c r="W139" i="19" s="1"/>
  <c r="C61" i="29"/>
  <c r="S178" i="19"/>
  <c r="S160" i="19"/>
  <c r="R160" i="19" s="1"/>
  <c r="S156" i="19"/>
  <c r="O156" i="19" s="1"/>
  <c r="M156" i="19" s="1"/>
  <c r="S165" i="19"/>
  <c r="O165" i="19" s="1"/>
  <c r="M165" i="19" s="1"/>
  <c r="S174" i="19"/>
  <c r="O174" i="19" s="1"/>
  <c r="M174" i="19" s="1"/>
  <c r="S155" i="19"/>
  <c r="O155" i="19" s="1"/>
  <c r="M155" i="19" s="1"/>
  <c r="S168" i="19"/>
  <c r="W168" i="19" s="1"/>
  <c r="S169" i="19"/>
  <c r="O169" i="19" s="1"/>
  <c r="M169" i="19" s="1"/>
  <c r="S161" i="19"/>
  <c r="O161" i="19" s="1"/>
  <c r="M161" i="19" s="1"/>
  <c r="S164" i="19"/>
  <c r="O164" i="19" s="1"/>
  <c r="M164" i="19" s="1"/>
  <c r="S177" i="19"/>
  <c r="O177" i="19" s="1"/>
  <c r="M177" i="19" s="1"/>
  <c r="S176" i="19"/>
  <c r="O176" i="19" s="1"/>
  <c r="M176" i="19" s="1"/>
  <c r="S152" i="19"/>
  <c r="O152" i="19" s="1"/>
  <c r="M152" i="19" s="1"/>
  <c r="S153" i="19"/>
  <c r="O153" i="19" s="1"/>
  <c r="M153" i="19" s="1"/>
  <c r="S163" i="19"/>
  <c r="O163" i="19" s="1"/>
  <c r="M163" i="19" s="1"/>
  <c r="S179" i="19"/>
  <c r="S166" i="19"/>
  <c r="O166" i="19" s="1"/>
  <c r="M166" i="19" s="1"/>
  <c r="S175" i="19"/>
  <c r="O175" i="19" s="1"/>
  <c r="M175" i="19" s="1"/>
  <c r="C72" i="29"/>
  <c r="S208" i="19"/>
  <c r="S205" i="19"/>
  <c r="O205" i="19" s="1"/>
  <c r="M205" i="19" s="1"/>
  <c r="S204" i="19"/>
  <c r="O204" i="19" s="1"/>
  <c r="M204" i="19" s="1"/>
  <c r="S203" i="19"/>
  <c r="O203" i="19" s="1"/>
  <c r="M203" i="19" s="1"/>
  <c r="S197" i="19"/>
  <c r="W197" i="19" s="1"/>
  <c r="S194" i="19"/>
  <c r="O194" i="19" s="1"/>
  <c r="M194" i="19" s="1"/>
  <c r="S189" i="19"/>
  <c r="R189" i="19" s="1"/>
  <c r="S185" i="19"/>
  <c r="O185" i="19" s="1"/>
  <c r="M185" i="19" s="1"/>
  <c r="S195" i="19"/>
  <c r="O195" i="19" s="1"/>
  <c r="M195" i="19" s="1"/>
  <c r="S184" i="19"/>
  <c r="O184" i="19" s="1"/>
  <c r="M184" i="19" s="1"/>
  <c r="S198" i="19"/>
  <c r="O198" i="19" s="1"/>
  <c r="M198" i="19" s="1"/>
  <c r="S181" i="19"/>
  <c r="O181" i="19" s="1"/>
  <c r="M181" i="19" s="1"/>
  <c r="S207" i="19"/>
  <c r="S193" i="19"/>
  <c r="O193" i="19" s="1"/>
  <c r="M193" i="19" s="1"/>
  <c r="S182" i="19"/>
  <c r="O182" i="19" s="1"/>
  <c r="M182" i="19" s="1"/>
  <c r="S192" i="19"/>
  <c r="O192" i="19" s="1"/>
  <c r="M192" i="19" s="1"/>
  <c r="S190" i="19"/>
  <c r="O190" i="19" s="1"/>
  <c r="M190" i="19" s="1"/>
  <c r="S206" i="19"/>
  <c r="O206" i="19" s="1"/>
  <c r="M206" i="19" s="1"/>
  <c r="C86" i="29"/>
  <c r="BC86" i="18"/>
  <c r="AT86" i="18"/>
  <c r="R86" i="18"/>
  <c r="N86" i="18"/>
  <c r="I86" i="18"/>
  <c r="D86" i="18"/>
  <c r="BE86" i="18"/>
  <c r="AZ86" i="18"/>
  <c r="Q86" i="18"/>
  <c r="L86" i="18"/>
  <c r="E86" i="18"/>
  <c r="C106" i="29"/>
  <c r="BB106" i="18"/>
  <c r="AS106" i="18"/>
  <c r="Q106" i="18"/>
  <c r="M106" i="18"/>
  <c r="F106" i="18"/>
  <c r="BC106" i="18"/>
  <c r="AR106" i="18"/>
  <c r="O106" i="18"/>
  <c r="I106" i="18"/>
  <c r="BD106" i="18"/>
  <c r="AT106" i="18"/>
  <c r="J106" i="18"/>
  <c r="BA106" i="18"/>
  <c r="S270" i="19" s="1"/>
  <c r="W270" i="19" s="1"/>
  <c r="S106" i="18"/>
  <c r="N106" i="18"/>
  <c r="D106" i="18"/>
  <c r="M30" i="18"/>
  <c r="Q30" i="18"/>
  <c r="AS30" i="18"/>
  <c r="BB30" i="18"/>
  <c r="M31" i="18"/>
  <c r="Q31" i="18"/>
  <c r="AS31" i="18"/>
  <c r="BB31" i="18"/>
  <c r="M32" i="18"/>
  <c r="Q32" i="18"/>
  <c r="AS32" i="18"/>
  <c r="BB32" i="18"/>
  <c r="I33" i="18"/>
  <c r="N33" i="18"/>
  <c r="R33" i="18"/>
  <c r="AT33" i="18"/>
  <c r="BC33" i="18"/>
  <c r="I38" i="18"/>
  <c r="N38" i="18"/>
  <c r="R38" i="18"/>
  <c r="AT38" i="18"/>
  <c r="BC38" i="18"/>
  <c r="I50" i="18"/>
  <c r="N50" i="18"/>
  <c r="R50" i="18"/>
  <c r="AT50" i="18"/>
  <c r="BC50" i="18"/>
  <c r="I61" i="18"/>
  <c r="N61" i="18"/>
  <c r="R61" i="18"/>
  <c r="AT61" i="18"/>
  <c r="BC61" i="18"/>
  <c r="E70" i="18"/>
  <c r="L70" i="18"/>
  <c r="U70" i="18" s="1"/>
  <c r="AR70" i="18"/>
  <c r="BA70" i="18"/>
  <c r="S172" i="19" s="1"/>
  <c r="W172" i="19" s="1"/>
  <c r="BE70" i="18"/>
  <c r="I72" i="18"/>
  <c r="N72" i="18"/>
  <c r="R72" i="18"/>
  <c r="AT72" i="18"/>
  <c r="BC72" i="18"/>
  <c r="J85" i="18"/>
  <c r="Q85" i="18"/>
  <c r="AZ85" i="18"/>
  <c r="M86" i="18"/>
  <c r="BB86" i="18"/>
  <c r="AS87" i="18"/>
  <c r="BE87" i="18"/>
  <c r="L88" i="18"/>
  <c r="BB88" i="18"/>
  <c r="S231" i="19"/>
  <c r="W231" i="19" s="1"/>
  <c r="Z95" i="18"/>
  <c r="BE106" i="18"/>
  <c r="C45" i="29"/>
  <c r="C46" i="29"/>
  <c r="C56" i="29"/>
  <c r="C57" i="29"/>
  <c r="C15" i="29"/>
  <c r="C19" i="29"/>
  <c r="C20" i="29"/>
  <c r="AG22" i="18" s="1"/>
  <c r="C21" i="29"/>
  <c r="C22" i="29"/>
  <c r="C27" i="29"/>
  <c r="C34" i="29"/>
  <c r="AG35" i="18" s="1"/>
  <c r="C35" i="29"/>
  <c r="C39" i="29"/>
  <c r="S119" i="19"/>
  <c r="O119" i="19" s="1"/>
  <c r="M119" i="19" s="1"/>
  <c r="S121" i="19"/>
  <c r="S105" i="19"/>
  <c r="O105" i="19" s="1"/>
  <c r="M105" i="19" s="1"/>
  <c r="S103" i="19"/>
  <c r="O103" i="19" s="1"/>
  <c r="M103" i="19" s="1"/>
  <c r="S120" i="19"/>
  <c r="S117" i="19"/>
  <c r="O117" i="19" s="1"/>
  <c r="M117" i="19" s="1"/>
  <c r="S118" i="19"/>
  <c r="O118" i="19" s="1"/>
  <c r="M118" i="19" s="1"/>
  <c r="S116" i="19"/>
  <c r="O116" i="19" s="1"/>
  <c r="M116" i="19" s="1"/>
  <c r="S102" i="19"/>
  <c r="R102" i="19" s="1"/>
  <c r="S95" i="19"/>
  <c r="O95" i="19" s="1"/>
  <c r="M95" i="19" s="1"/>
  <c r="S110" i="19"/>
  <c r="W110" i="19" s="1"/>
  <c r="S97" i="19"/>
  <c r="O97" i="19" s="1"/>
  <c r="M97" i="19" s="1"/>
  <c r="S94" i="19"/>
  <c r="O94" i="19" s="1"/>
  <c r="M94" i="19" s="1"/>
  <c r="S107" i="19"/>
  <c r="O107" i="19" s="1"/>
  <c r="M107" i="19" s="1"/>
  <c r="S98" i="19"/>
  <c r="O98" i="19" s="1"/>
  <c r="M98" i="19" s="1"/>
  <c r="S108" i="19"/>
  <c r="O108" i="19" s="1"/>
  <c r="M108" i="19" s="1"/>
  <c r="S111" i="19"/>
  <c r="O111" i="19" s="1"/>
  <c r="M111" i="19" s="1"/>
  <c r="S106" i="19"/>
  <c r="O106" i="19" s="1"/>
  <c r="M106" i="19" s="1"/>
  <c r="C47" i="29"/>
  <c r="C51" i="29"/>
  <c r="AI56" i="18" s="1"/>
  <c r="C58" i="29"/>
  <c r="C62" i="29"/>
  <c r="C69" i="29"/>
  <c r="C73" i="29"/>
  <c r="BD73" i="18"/>
  <c r="AZ73" i="18"/>
  <c r="S73" i="18"/>
  <c r="C74" i="29"/>
  <c r="BD74" i="18"/>
  <c r="AZ74" i="18"/>
  <c r="S74" i="18"/>
  <c r="J74" i="18"/>
  <c r="E74" i="18"/>
  <c r="C76" i="29"/>
  <c r="BD76" i="18"/>
  <c r="AZ76" i="18"/>
  <c r="S76" i="18"/>
  <c r="J76" i="18"/>
  <c r="E76" i="18"/>
  <c r="BE76" i="18"/>
  <c r="AT76" i="18"/>
  <c r="Q76" i="18"/>
  <c r="L76" i="18"/>
  <c r="C81" i="29"/>
  <c r="BD81" i="18"/>
  <c r="AZ81" i="18"/>
  <c r="S81" i="18"/>
  <c r="O81" i="18"/>
  <c r="J81" i="18"/>
  <c r="D81" i="18"/>
  <c r="BB81" i="18"/>
  <c r="AR81" i="18"/>
  <c r="N81" i="18"/>
  <c r="X81" i="18" s="1"/>
  <c r="F81" i="18"/>
  <c r="U81" i="18" s="1"/>
  <c r="C83" i="29"/>
  <c r="S236" i="19"/>
  <c r="S214" i="19"/>
  <c r="O214" i="19" s="1"/>
  <c r="M214" i="19" s="1"/>
  <c r="S221" i="19"/>
  <c r="O221" i="19" s="1"/>
  <c r="M221" i="19" s="1"/>
  <c r="S219" i="19"/>
  <c r="O219" i="19" s="1"/>
  <c r="M219" i="19" s="1"/>
  <c r="S211" i="19"/>
  <c r="O211" i="19" s="1"/>
  <c r="M211" i="19" s="1"/>
  <c r="S210" i="19"/>
  <c r="O210" i="19" s="1"/>
  <c r="M210" i="19" s="1"/>
  <c r="S224" i="19"/>
  <c r="O224" i="19" s="1"/>
  <c r="M224" i="19" s="1"/>
  <c r="S234" i="19"/>
  <c r="O234" i="19" s="1"/>
  <c r="M234" i="19" s="1"/>
  <c r="S233" i="19"/>
  <c r="O233" i="19" s="1"/>
  <c r="M233" i="19" s="1"/>
  <c r="S223" i="19"/>
  <c r="O223" i="19" s="1"/>
  <c r="M223" i="19" s="1"/>
  <c r="S226" i="19"/>
  <c r="W226" i="19" s="1"/>
  <c r="S237" i="19"/>
  <c r="S227" i="19"/>
  <c r="O227" i="19" s="1"/>
  <c r="M227" i="19" s="1"/>
  <c r="S235" i="19"/>
  <c r="O235" i="19" s="1"/>
  <c r="M235" i="19" s="1"/>
  <c r="S213" i="19"/>
  <c r="O213" i="19" s="1"/>
  <c r="M213" i="19" s="1"/>
  <c r="S222" i="19"/>
  <c r="O222" i="19" s="1"/>
  <c r="M222" i="19" s="1"/>
  <c r="S232" i="19"/>
  <c r="O232" i="19" s="1"/>
  <c r="M232" i="19" s="1"/>
  <c r="S218" i="19"/>
  <c r="R218" i="19" s="1"/>
  <c r="BB83" i="18"/>
  <c r="AS83" i="18"/>
  <c r="Q83" i="18"/>
  <c r="M83" i="18"/>
  <c r="F83" i="18"/>
  <c r="BC83" i="18"/>
  <c r="AR83" i="18"/>
  <c r="O83" i="18"/>
  <c r="I83" i="18"/>
  <c r="C90" i="29"/>
  <c r="BE90" i="18"/>
  <c r="BA90" i="18"/>
  <c r="S228" i="19" s="1"/>
  <c r="AR90" i="18"/>
  <c r="L90" i="18"/>
  <c r="E90" i="18"/>
  <c r="E90" i="29" s="1"/>
  <c r="D90" i="29" s="1"/>
  <c r="AZ90" i="18"/>
  <c r="R90" i="18"/>
  <c r="N90" i="18"/>
  <c r="X90" i="18" s="1"/>
  <c r="F90" i="18"/>
  <c r="C94" i="29"/>
  <c r="S247" i="19"/>
  <c r="R247" i="19" s="1"/>
  <c r="S265" i="19"/>
  <c r="W265" i="19" s="1"/>
  <c r="S251" i="19"/>
  <c r="S250" i="19"/>
  <c r="S262" i="19"/>
  <c r="S261" i="19"/>
  <c r="S255" i="19"/>
  <c r="W255" i="19" s="1"/>
  <c r="S253" i="19"/>
  <c r="S252" i="19"/>
  <c r="S264" i="19"/>
  <c r="S263" i="19"/>
  <c r="S240" i="19"/>
  <c r="S248" i="19"/>
  <c r="S242" i="19"/>
  <c r="S239" i="19"/>
  <c r="S256" i="19"/>
  <c r="S266" i="19"/>
  <c r="W266" i="19" s="1"/>
  <c r="S243" i="19"/>
  <c r="BE94" i="18"/>
  <c r="BA94" i="18"/>
  <c r="S238" i="19" s="1"/>
  <c r="W238" i="19" s="1"/>
  <c r="AR94" i="18"/>
  <c r="L94" i="18"/>
  <c r="E94" i="18"/>
  <c r="E94" i="29" s="1"/>
  <c r="D94" i="29" s="1"/>
  <c r="BB94" i="18"/>
  <c r="S94" i="18"/>
  <c r="O94" i="18"/>
  <c r="Y94" i="18" s="1"/>
  <c r="I94" i="18"/>
  <c r="M45" i="18"/>
  <c r="Q45" i="18"/>
  <c r="AS45" i="18"/>
  <c r="BB45" i="18"/>
  <c r="I46" i="18"/>
  <c r="N46" i="18"/>
  <c r="R46" i="18"/>
  <c r="AT46" i="18"/>
  <c r="BC46" i="18"/>
  <c r="M56" i="18"/>
  <c r="Q56" i="18"/>
  <c r="AS56" i="18"/>
  <c r="BB56" i="18"/>
  <c r="I57" i="18"/>
  <c r="N57" i="18"/>
  <c r="R57" i="18"/>
  <c r="AT57" i="18"/>
  <c r="BC57" i="18"/>
  <c r="F77" i="18"/>
  <c r="AS77" i="18"/>
  <c r="BD77" i="18"/>
  <c r="I15" i="18"/>
  <c r="Z15" i="18" s="1"/>
  <c r="N15" i="18"/>
  <c r="R15" i="18"/>
  <c r="AT15" i="18"/>
  <c r="BC15" i="18"/>
  <c r="M19" i="18"/>
  <c r="Q19" i="18"/>
  <c r="AS19" i="18"/>
  <c r="BB19" i="18"/>
  <c r="M20" i="18"/>
  <c r="Q20" i="18"/>
  <c r="AS20" i="18"/>
  <c r="BB20" i="18"/>
  <c r="M21" i="18"/>
  <c r="Q21" i="18"/>
  <c r="AS21" i="18"/>
  <c r="BB21" i="18"/>
  <c r="I22" i="18"/>
  <c r="N22" i="18"/>
  <c r="R22" i="18"/>
  <c r="AK22" i="18"/>
  <c r="AT22" i="18"/>
  <c r="BC22" i="18"/>
  <c r="I27" i="18"/>
  <c r="N27" i="18"/>
  <c r="R27" i="18"/>
  <c r="AT27" i="18"/>
  <c r="BC27" i="18"/>
  <c r="L30" i="18"/>
  <c r="AR30" i="18"/>
  <c r="BA30" i="18"/>
  <c r="S70" i="19" s="1"/>
  <c r="W70" i="19" s="1"/>
  <c r="BE30" i="18"/>
  <c r="L31" i="18"/>
  <c r="AR31" i="18"/>
  <c r="BA31" i="18"/>
  <c r="S71" i="19" s="1"/>
  <c r="W71" i="19" s="1"/>
  <c r="BE31" i="18"/>
  <c r="L32" i="18"/>
  <c r="AE32" i="18"/>
  <c r="AR32" i="18"/>
  <c r="BA32" i="18"/>
  <c r="S72" i="19" s="1"/>
  <c r="W72" i="19" s="1"/>
  <c r="BE32" i="18"/>
  <c r="F33" i="18"/>
  <c r="U33" i="18" s="1"/>
  <c r="M33" i="18"/>
  <c r="Q33" i="18"/>
  <c r="AS33" i="18"/>
  <c r="BB33" i="18"/>
  <c r="M34" i="18"/>
  <c r="Q34" i="18"/>
  <c r="AS34" i="18"/>
  <c r="BB34" i="18"/>
  <c r="I35" i="18"/>
  <c r="Z35" i="18" s="1"/>
  <c r="N35" i="18"/>
  <c r="R35" i="18"/>
  <c r="AT35" i="18"/>
  <c r="BC35" i="18"/>
  <c r="F38" i="18"/>
  <c r="U38" i="18" s="1"/>
  <c r="M38" i="18"/>
  <c r="Q38" i="18"/>
  <c r="AS38" i="18"/>
  <c r="BB38" i="18"/>
  <c r="I39" i="18"/>
  <c r="N39" i="18"/>
  <c r="R39" i="18"/>
  <c r="AT39" i="18"/>
  <c r="BC39" i="18"/>
  <c r="L45" i="18"/>
  <c r="AR45" i="18"/>
  <c r="BA45" i="18"/>
  <c r="S109" i="19" s="1"/>
  <c r="BE45" i="18"/>
  <c r="F46" i="18"/>
  <c r="U46" i="18" s="1"/>
  <c r="M46" i="18"/>
  <c r="Q46" i="18"/>
  <c r="AS46" i="18"/>
  <c r="BB46" i="18"/>
  <c r="I47" i="18"/>
  <c r="Z47" i="18" s="1"/>
  <c r="N47" i="18"/>
  <c r="R47" i="18"/>
  <c r="AG47" i="18"/>
  <c r="AK47" i="18"/>
  <c r="AT47" i="18"/>
  <c r="BC47" i="18"/>
  <c r="F50" i="18"/>
  <c r="U50" i="18" s="1"/>
  <c r="M50" i="18"/>
  <c r="Q50" i="18"/>
  <c r="AS50" i="18"/>
  <c r="BB50" i="18"/>
  <c r="I51" i="18"/>
  <c r="N51" i="18"/>
  <c r="R51" i="18"/>
  <c r="AT51" i="18"/>
  <c r="BC51" i="18"/>
  <c r="L56" i="18"/>
  <c r="AE56" i="18"/>
  <c r="AR56" i="18"/>
  <c r="BA56" i="18"/>
  <c r="S138" i="19" s="1"/>
  <c r="W138" i="19" s="1"/>
  <c r="BE56" i="18"/>
  <c r="F57" i="18"/>
  <c r="U57" i="18" s="1"/>
  <c r="M57" i="18"/>
  <c r="Q57" i="18"/>
  <c r="AF57" i="18"/>
  <c r="AS57" i="18"/>
  <c r="BB57" i="18"/>
  <c r="I58" i="18"/>
  <c r="Z58" i="18" s="1"/>
  <c r="N58" i="18"/>
  <c r="R58" i="18"/>
  <c r="AT58" i="18"/>
  <c r="BC58" i="18"/>
  <c r="F61" i="18"/>
  <c r="U61" i="18" s="1"/>
  <c r="M61" i="18"/>
  <c r="Q61" i="18"/>
  <c r="AS61" i="18"/>
  <c r="BB61" i="18"/>
  <c r="I62" i="18"/>
  <c r="N62" i="18"/>
  <c r="R62" i="18"/>
  <c r="AT62" i="18"/>
  <c r="BC62" i="18"/>
  <c r="I69" i="18"/>
  <c r="N69" i="18"/>
  <c r="R69" i="18"/>
  <c r="AT69" i="18"/>
  <c r="BC69" i="18"/>
  <c r="D70" i="18"/>
  <c r="J70" i="18"/>
  <c r="O70" i="18"/>
  <c r="S70" i="18"/>
  <c r="AZ70" i="18"/>
  <c r="F72" i="18"/>
  <c r="U72" i="18" s="1"/>
  <c r="M72" i="18"/>
  <c r="Q72" i="18"/>
  <c r="AS72" i="18"/>
  <c r="BB72" i="18"/>
  <c r="I73" i="18"/>
  <c r="N73" i="18"/>
  <c r="R73" i="18"/>
  <c r="BA73" i="18"/>
  <c r="S183" i="19" s="1"/>
  <c r="W183" i="19" s="1"/>
  <c r="I74" i="18"/>
  <c r="X74" i="18" s="1"/>
  <c r="AS74" i="18"/>
  <c r="BC74" i="18"/>
  <c r="I76" i="18"/>
  <c r="X76" i="18" s="1"/>
  <c r="R76" i="18"/>
  <c r="BA76" i="18"/>
  <c r="S188" i="19" s="1"/>
  <c r="W188" i="19" s="1"/>
  <c r="D77" i="18"/>
  <c r="N77" i="18"/>
  <c r="M81" i="18"/>
  <c r="BC81" i="18"/>
  <c r="L83" i="18"/>
  <c r="S83" i="18"/>
  <c r="BA83" i="18"/>
  <c r="S209" i="19" s="1"/>
  <c r="W209" i="19" s="1"/>
  <c r="AS85" i="18"/>
  <c r="BE85" i="18"/>
  <c r="J86" i="18"/>
  <c r="S86" i="18"/>
  <c r="BA86" i="18"/>
  <c r="S216" i="19" s="1"/>
  <c r="W216" i="19" s="1"/>
  <c r="E87" i="18"/>
  <c r="M87" i="18"/>
  <c r="I88" i="18"/>
  <c r="Q88" i="18"/>
  <c r="AT88" i="18"/>
  <c r="M90" i="18"/>
  <c r="S90" i="18"/>
  <c r="BB90" i="18"/>
  <c r="M94" i="18"/>
  <c r="R94" i="18"/>
  <c r="AZ94" i="18"/>
  <c r="E95" i="18"/>
  <c r="O95" i="18"/>
  <c r="Y95" i="18" s="1"/>
  <c r="AR95" i="18"/>
  <c r="L101" i="18"/>
  <c r="Z108" i="18"/>
  <c r="C70" i="29"/>
  <c r="C77" i="29"/>
  <c r="BE77" i="18"/>
  <c r="BA77" i="18"/>
  <c r="S191" i="19" s="1"/>
  <c r="W191" i="19" s="1"/>
  <c r="AR77" i="18"/>
  <c r="L77" i="18"/>
  <c r="E77" i="18"/>
  <c r="BB77" i="18"/>
  <c r="S77" i="18"/>
  <c r="O77" i="18"/>
  <c r="Y77" i="18" s="1"/>
  <c r="I77" i="18"/>
  <c r="C87" i="29"/>
  <c r="BC87" i="18"/>
  <c r="AT87" i="18"/>
  <c r="R87" i="18"/>
  <c r="N87" i="18"/>
  <c r="I87" i="18"/>
  <c r="D87" i="18"/>
  <c r="BB87" i="18"/>
  <c r="AR87" i="18"/>
  <c r="C95" i="29"/>
  <c r="BB95" i="18"/>
  <c r="AS95" i="18"/>
  <c r="Q95" i="18"/>
  <c r="M95" i="18"/>
  <c r="F95" i="18"/>
  <c r="BE95" i="18"/>
  <c r="AZ95" i="18"/>
  <c r="R95" i="18"/>
  <c r="L95" i="18"/>
  <c r="D95" i="18"/>
  <c r="C101" i="29"/>
  <c r="BD101" i="18"/>
  <c r="AZ101" i="18"/>
  <c r="S101" i="18"/>
  <c r="O101" i="18"/>
  <c r="J101" i="18"/>
  <c r="D101" i="18"/>
  <c r="BB101" i="18"/>
  <c r="AR101" i="18"/>
  <c r="N101" i="18"/>
  <c r="F101" i="18"/>
  <c r="U101" i="18" s="1"/>
  <c r="BC101" i="18"/>
  <c r="AS101" i="18"/>
  <c r="I101" i="18"/>
  <c r="X101" i="18" s="1"/>
  <c r="BA101" i="18"/>
  <c r="S257" i="19" s="1"/>
  <c r="W257" i="19" s="1"/>
  <c r="R101" i="18"/>
  <c r="M101" i="18"/>
  <c r="E101" i="18"/>
  <c r="E101" i="29" s="1"/>
  <c r="I70" i="18"/>
  <c r="N70" i="18"/>
  <c r="R70" i="18"/>
  <c r="AT70" i="18"/>
  <c r="BC70" i="18"/>
  <c r="M77" i="18"/>
  <c r="R77" i="18"/>
  <c r="AZ77" i="18"/>
  <c r="S201" i="19"/>
  <c r="W201" i="19" s="1"/>
  <c r="Y84" i="18"/>
  <c r="E85" i="18"/>
  <c r="E85" i="29" s="1"/>
  <c r="M85" i="18"/>
  <c r="L87" i="18"/>
  <c r="S87" i="18"/>
  <c r="BA87" i="18"/>
  <c r="S217" i="19" s="1"/>
  <c r="W217" i="19" s="1"/>
  <c r="F88" i="18"/>
  <c r="U88" i="18" s="1"/>
  <c r="AS88" i="18"/>
  <c r="Y92" i="18"/>
  <c r="N95" i="18"/>
  <c r="X95" i="18" s="1"/>
  <c r="BC95" i="18"/>
  <c r="BE101" i="18"/>
  <c r="C85" i="29"/>
  <c r="BC85" i="18"/>
  <c r="AT85" i="18"/>
  <c r="R85" i="18"/>
  <c r="N85" i="18"/>
  <c r="I85" i="18"/>
  <c r="D85" i="18"/>
  <c r="BB85" i="18"/>
  <c r="AR85" i="18"/>
  <c r="C88" i="29"/>
  <c r="BD88" i="18"/>
  <c r="AZ88" i="18"/>
  <c r="S88" i="18"/>
  <c r="O88" i="18"/>
  <c r="J88" i="18"/>
  <c r="D88" i="18"/>
  <c r="BA88" i="18"/>
  <c r="S220" i="19" s="1"/>
  <c r="W220" i="19" s="1"/>
  <c r="R88" i="18"/>
  <c r="M88" i="18"/>
  <c r="E88" i="18"/>
  <c r="X98" i="18"/>
  <c r="L85" i="18"/>
  <c r="S85" i="18"/>
  <c r="BA85" i="18"/>
  <c r="S215" i="19" s="1"/>
  <c r="W215" i="19" s="1"/>
  <c r="N88" i="18"/>
  <c r="AR88" i="18"/>
  <c r="BC88" i="18"/>
  <c r="U94" i="18"/>
  <c r="C102" i="29"/>
  <c r="BE102" i="18"/>
  <c r="BA102" i="18"/>
  <c r="S258" i="19" s="1"/>
  <c r="W258" i="19" s="1"/>
  <c r="AR102" i="18"/>
  <c r="L102" i="18"/>
  <c r="E102" i="18"/>
  <c r="J102" i="18"/>
  <c r="Y102" i="18" s="1"/>
  <c r="AS102" i="18"/>
  <c r="BC102" i="18"/>
  <c r="Y104" i="18"/>
  <c r="X107" i="18"/>
  <c r="AS111" i="18"/>
  <c r="X112" i="18"/>
  <c r="J113" i="18"/>
  <c r="Y113" i="18" s="1"/>
  <c r="R113" i="18"/>
  <c r="E115" i="18"/>
  <c r="AS115" i="18"/>
  <c r="J116" i="18"/>
  <c r="Y116" i="18" s="1"/>
  <c r="R116" i="18"/>
  <c r="D117" i="18"/>
  <c r="N117" i="18"/>
  <c r="C115" i="29"/>
  <c r="BD115" i="18"/>
  <c r="AZ115" i="18"/>
  <c r="S115" i="18"/>
  <c r="O115" i="18"/>
  <c r="J115" i="18"/>
  <c r="Y115" i="18" s="1"/>
  <c r="D115" i="18"/>
  <c r="BB115" i="18"/>
  <c r="AR115" i="18"/>
  <c r="N115" i="18"/>
  <c r="F115" i="18"/>
  <c r="C117" i="29"/>
  <c r="BB117" i="18"/>
  <c r="AS117" i="18"/>
  <c r="Q117" i="18"/>
  <c r="M117" i="18"/>
  <c r="F117" i="18"/>
  <c r="BC117" i="18"/>
  <c r="AR117" i="18"/>
  <c r="O117" i="18"/>
  <c r="I117" i="18"/>
  <c r="M115" i="18"/>
  <c r="BC115" i="18"/>
  <c r="Z116" i="18"/>
  <c r="L117" i="18"/>
  <c r="S117" i="18"/>
  <c r="BA117" i="18"/>
  <c r="S299" i="19" s="1"/>
  <c r="W299" i="19" s="1"/>
  <c r="C103" i="29"/>
  <c r="BB103" i="18"/>
  <c r="AS103" i="18"/>
  <c r="Q103" i="18"/>
  <c r="M103" i="18"/>
  <c r="F103" i="18"/>
  <c r="U103" i="18" s="1"/>
  <c r="C105" i="29"/>
  <c r="S271" i="19"/>
  <c r="O271" i="19" s="1"/>
  <c r="M271" i="19" s="1"/>
  <c r="S293" i="19"/>
  <c r="O293" i="19" s="1"/>
  <c r="M293" i="19" s="1"/>
  <c r="S292" i="19"/>
  <c r="O292" i="19" s="1"/>
  <c r="M292" i="19" s="1"/>
  <c r="S269" i="19"/>
  <c r="O269" i="19" s="1"/>
  <c r="M269" i="19" s="1"/>
  <c r="S295" i="19"/>
  <c r="S285" i="19"/>
  <c r="O285" i="19" s="1"/>
  <c r="M285" i="19" s="1"/>
  <c r="S280" i="19"/>
  <c r="O280" i="19" s="1"/>
  <c r="M280" i="19" s="1"/>
  <c r="S279" i="19"/>
  <c r="O279" i="19" s="1"/>
  <c r="M279" i="19" s="1"/>
  <c r="S276" i="19"/>
  <c r="R276" i="19" s="1"/>
  <c r="S268" i="19"/>
  <c r="O268" i="19" s="1"/>
  <c r="M268" i="19" s="1"/>
  <c r="S282" i="19"/>
  <c r="O282" i="19" s="1"/>
  <c r="M282" i="19" s="1"/>
  <c r="S290" i="19"/>
  <c r="O290" i="19" s="1"/>
  <c r="M290" i="19" s="1"/>
  <c r="S294" i="19"/>
  <c r="S281" i="19"/>
  <c r="O281" i="19" s="1"/>
  <c r="M281" i="19" s="1"/>
  <c r="S284" i="19"/>
  <c r="W284" i="19" s="1"/>
  <c r="S291" i="19"/>
  <c r="O291" i="19" s="1"/>
  <c r="M291" i="19" s="1"/>
  <c r="S272" i="19"/>
  <c r="O272" i="19" s="1"/>
  <c r="M272" i="19" s="1"/>
  <c r="S277" i="19"/>
  <c r="O277" i="19" s="1"/>
  <c r="M277" i="19" s="1"/>
  <c r="BD105" i="18"/>
  <c r="AZ105" i="18"/>
  <c r="S105" i="18"/>
  <c r="O105" i="18"/>
  <c r="J105" i="18"/>
  <c r="D105" i="18"/>
  <c r="C111" i="29"/>
  <c r="BD111" i="18"/>
  <c r="AZ111" i="18"/>
  <c r="S111" i="18"/>
  <c r="J111" i="18"/>
  <c r="E111" i="18"/>
  <c r="BA111" i="18"/>
  <c r="S283" i="19" s="1"/>
  <c r="W283" i="19" s="1"/>
  <c r="R111" i="18"/>
  <c r="M111" i="18"/>
  <c r="Z101" i="18"/>
  <c r="F102" i="18"/>
  <c r="N102" i="18"/>
  <c r="X102" i="18" s="1"/>
  <c r="R102" i="18"/>
  <c r="AZ102" i="18"/>
  <c r="J103" i="18"/>
  <c r="AT103" i="18"/>
  <c r="BD103" i="18"/>
  <c r="S260" i="19"/>
  <c r="W260" i="19" s="1"/>
  <c r="L105" i="18"/>
  <c r="U105" i="18" s="1"/>
  <c r="Q105" i="18"/>
  <c r="AT105" i="18"/>
  <c r="BE105" i="18"/>
  <c r="Z107" i="18"/>
  <c r="L111" i="18"/>
  <c r="BB111" i="18"/>
  <c r="L115" i="18"/>
  <c r="R115" i="18"/>
  <c r="BA115" i="18"/>
  <c r="S289" i="19" s="1"/>
  <c r="J117" i="18"/>
  <c r="R117" i="18"/>
  <c r="AZ117" i="18"/>
  <c r="X119" i="18"/>
  <c r="C89" i="29"/>
  <c r="BD89" i="18"/>
  <c r="AZ89" i="18"/>
  <c r="S89" i="18"/>
  <c r="J89" i="18"/>
  <c r="E89" i="18"/>
  <c r="E89" i="29" s="1"/>
  <c r="D89" i="29" s="1"/>
  <c r="C91" i="29"/>
  <c r="BB91" i="18"/>
  <c r="AS91" i="18"/>
  <c r="Q91" i="18"/>
  <c r="M91" i="18"/>
  <c r="F91" i="18"/>
  <c r="U91" i="18" s="1"/>
  <c r="C93" i="29"/>
  <c r="BD93" i="18"/>
  <c r="AZ93" i="18"/>
  <c r="S93" i="18"/>
  <c r="O93" i="18"/>
  <c r="J93" i="18"/>
  <c r="D93" i="18"/>
  <c r="C100" i="29"/>
  <c r="BC100" i="18"/>
  <c r="AT100" i="18"/>
  <c r="R100" i="18"/>
  <c r="N100" i="18"/>
  <c r="I100" i="18"/>
  <c r="D100" i="18"/>
  <c r="C113" i="29"/>
  <c r="BB113" i="18"/>
  <c r="AS113" i="18"/>
  <c r="Q113" i="18"/>
  <c r="M113" i="18"/>
  <c r="F113" i="18"/>
  <c r="BA113" i="18"/>
  <c r="S287" i="19" s="1"/>
  <c r="W287" i="19" s="1"/>
  <c r="S113" i="18"/>
  <c r="N113" i="18"/>
  <c r="X113" i="18" s="1"/>
  <c r="E113" i="18"/>
  <c r="C116" i="29"/>
  <c r="S300" i="19"/>
  <c r="O300" i="19" s="1"/>
  <c r="M300" i="19" s="1"/>
  <c r="S322" i="19"/>
  <c r="O322" i="19" s="1"/>
  <c r="M322" i="19" s="1"/>
  <c r="S314" i="19"/>
  <c r="O314" i="19" s="1"/>
  <c r="M314" i="19" s="1"/>
  <c r="S309" i="19"/>
  <c r="O309" i="19" s="1"/>
  <c r="M309" i="19" s="1"/>
  <c r="S308" i="19"/>
  <c r="O308" i="19" s="1"/>
  <c r="M308" i="19" s="1"/>
  <c r="S321" i="19"/>
  <c r="O321" i="19" s="1"/>
  <c r="M321" i="19" s="1"/>
  <c r="S297" i="19"/>
  <c r="O297" i="19" s="1"/>
  <c r="M297" i="19" s="1"/>
  <c r="S311" i="19"/>
  <c r="O311" i="19" s="1"/>
  <c r="M311" i="19" s="1"/>
  <c r="S298" i="19"/>
  <c r="O298" i="19" s="1"/>
  <c r="M298" i="19" s="1"/>
  <c r="S301" i="19"/>
  <c r="O301" i="19" s="1"/>
  <c r="M301" i="19" s="1"/>
  <c r="S319" i="19"/>
  <c r="O319" i="19" s="1"/>
  <c r="M319" i="19" s="1"/>
  <c r="S324" i="19"/>
  <c r="S305" i="19"/>
  <c r="R305" i="19" s="1"/>
  <c r="S313" i="19"/>
  <c r="W313" i="19" s="1"/>
  <c r="S320" i="19"/>
  <c r="O320" i="19" s="1"/>
  <c r="M320" i="19" s="1"/>
  <c r="S310" i="19"/>
  <c r="O310" i="19" s="1"/>
  <c r="M310" i="19" s="1"/>
  <c r="S306" i="19"/>
  <c r="O306" i="19" s="1"/>
  <c r="M306" i="19" s="1"/>
  <c r="S323" i="19"/>
  <c r="BE116" i="18"/>
  <c r="BA116" i="18"/>
  <c r="S296" i="19" s="1"/>
  <c r="W296" i="19" s="1"/>
  <c r="AR116" i="18"/>
  <c r="L116" i="18"/>
  <c r="U116" i="18" s="1"/>
  <c r="E116" i="18"/>
  <c r="BD116" i="18"/>
  <c r="AT116" i="18"/>
  <c r="Q116" i="18"/>
  <c r="M116" i="18"/>
  <c r="D116" i="18"/>
  <c r="Y80" i="18"/>
  <c r="I89" i="18"/>
  <c r="X89" i="18" s="1"/>
  <c r="AS89" i="18"/>
  <c r="BC89" i="18"/>
  <c r="J91" i="18"/>
  <c r="Y91" i="18" s="1"/>
  <c r="AT91" i="18"/>
  <c r="BD91" i="18"/>
  <c r="L93" i="18"/>
  <c r="U93" i="18" s="1"/>
  <c r="Q93" i="18"/>
  <c r="AT93" i="18"/>
  <c r="BE93" i="18"/>
  <c r="X97" i="18"/>
  <c r="J100" i="18"/>
  <c r="AS100" i="18"/>
  <c r="BD100" i="18"/>
  <c r="D102" i="18"/>
  <c r="M102" i="18"/>
  <c r="Q102" i="18"/>
  <c r="AT102" i="18"/>
  <c r="BD102" i="18"/>
  <c r="I103" i="18"/>
  <c r="O103" i="18"/>
  <c r="AR103" i="18"/>
  <c r="BC103" i="18"/>
  <c r="I105" i="18"/>
  <c r="X105" i="18" s="1"/>
  <c r="AS105" i="18"/>
  <c r="BC105" i="18"/>
  <c r="I111" i="18"/>
  <c r="X111" i="18" s="1"/>
  <c r="Q111" i="18"/>
  <c r="AT111" i="18"/>
  <c r="L113" i="18"/>
  <c r="BC113" i="18"/>
  <c r="I115" i="18"/>
  <c r="X115" i="18" s="1"/>
  <c r="Q115" i="18"/>
  <c r="AT115" i="18"/>
  <c r="N116" i="18"/>
  <c r="X116" i="18" s="1"/>
  <c r="S116" i="18"/>
  <c r="BB116" i="18"/>
  <c r="E117" i="18"/>
  <c r="AT117" i="18"/>
  <c r="BE117" i="18"/>
  <c r="C124" i="29"/>
  <c r="BE124" i="18"/>
  <c r="BA124" i="18"/>
  <c r="S316" i="19" s="1"/>
  <c r="AR124" i="18"/>
  <c r="L124" i="18"/>
  <c r="U124" i="18" s="1"/>
  <c r="E124" i="18"/>
  <c r="C130" i="29"/>
  <c r="BE130" i="18"/>
  <c r="BA130" i="18"/>
  <c r="S332" i="19" s="1"/>
  <c r="W332" i="19" s="1"/>
  <c r="AR130" i="18"/>
  <c r="L130" i="18"/>
  <c r="C136" i="29"/>
  <c r="BB136" i="18"/>
  <c r="AS136" i="18"/>
  <c r="Q136" i="18"/>
  <c r="M136" i="18"/>
  <c r="F136" i="18"/>
  <c r="AZ136" i="18"/>
  <c r="S136" i="18"/>
  <c r="O136" i="18"/>
  <c r="J136" i="18"/>
  <c r="D136" i="18"/>
  <c r="J124" i="18"/>
  <c r="AS124" i="18"/>
  <c r="BC124" i="18"/>
  <c r="E125" i="18"/>
  <c r="N125" i="18"/>
  <c r="S125" i="18"/>
  <c r="BA125" i="18"/>
  <c r="S317" i="19" s="1"/>
  <c r="W317" i="19" s="1"/>
  <c r="F127" i="18"/>
  <c r="N127" i="18"/>
  <c r="AR127" i="18"/>
  <c r="BB127" i="18"/>
  <c r="I130" i="18"/>
  <c r="S130" i="18"/>
  <c r="BB130" i="18"/>
  <c r="E132" i="18"/>
  <c r="N132" i="18"/>
  <c r="S132" i="18"/>
  <c r="BA132" i="18"/>
  <c r="S336" i="19" s="1"/>
  <c r="W336" i="19" s="1"/>
  <c r="N136" i="18"/>
  <c r="AT136" i="18"/>
  <c r="C80" i="29"/>
  <c r="AE73" i="18" s="1"/>
  <c r="C84" i="29"/>
  <c r="C92" i="29"/>
  <c r="C96" i="29"/>
  <c r="C97" i="29"/>
  <c r="C98" i="29"/>
  <c r="C99" i="29"/>
  <c r="C104" i="29"/>
  <c r="C107" i="29"/>
  <c r="C108" i="29"/>
  <c r="C109" i="29"/>
  <c r="C110" i="29"/>
  <c r="BD110" i="18"/>
  <c r="C112" i="29"/>
  <c r="BE112" i="18"/>
  <c r="BA112" i="18"/>
  <c r="S286" i="19" s="1"/>
  <c r="W286" i="19" s="1"/>
  <c r="AR112" i="18"/>
  <c r="L112" i="18"/>
  <c r="U112" i="18" s="1"/>
  <c r="E112" i="18"/>
  <c r="E112" i="29" s="1"/>
  <c r="D112" i="29" s="1"/>
  <c r="C123" i="29"/>
  <c r="BD123" i="18"/>
  <c r="AZ123" i="18"/>
  <c r="S123" i="18"/>
  <c r="O123" i="18"/>
  <c r="J123" i="18"/>
  <c r="Z123" i="18" s="1"/>
  <c r="D123" i="18"/>
  <c r="D123" i="29" s="1"/>
  <c r="C128" i="29"/>
  <c r="BE128" i="18"/>
  <c r="BA128" i="18"/>
  <c r="S328" i="19" s="1"/>
  <c r="W328" i="19" s="1"/>
  <c r="AR128" i="18"/>
  <c r="L128" i="18"/>
  <c r="E128" i="18"/>
  <c r="C131" i="29"/>
  <c r="BE131" i="18"/>
  <c r="BA131" i="18"/>
  <c r="S333" i="19" s="1"/>
  <c r="W333" i="19" s="1"/>
  <c r="AR131" i="18"/>
  <c r="L131" i="18"/>
  <c r="I80" i="18"/>
  <c r="N80" i="18"/>
  <c r="R80" i="18"/>
  <c r="AK80" i="18"/>
  <c r="AT80" i="18"/>
  <c r="BC80" i="18"/>
  <c r="I84" i="18"/>
  <c r="N84" i="18"/>
  <c r="R84" i="18"/>
  <c r="AT84" i="18"/>
  <c r="BC84" i="18"/>
  <c r="I92" i="18"/>
  <c r="N92" i="18"/>
  <c r="R92" i="18"/>
  <c r="AT92" i="18"/>
  <c r="BC92" i="18"/>
  <c r="M96" i="18"/>
  <c r="Q96" i="18"/>
  <c r="AS96" i="18"/>
  <c r="BB96" i="18"/>
  <c r="M97" i="18"/>
  <c r="Q97" i="18"/>
  <c r="AS97" i="18"/>
  <c r="BB97" i="18"/>
  <c r="M98" i="18"/>
  <c r="Q98" i="18"/>
  <c r="AS98" i="18"/>
  <c r="BB98" i="18"/>
  <c r="I99" i="18"/>
  <c r="N99" i="18"/>
  <c r="R99" i="18"/>
  <c r="AT99" i="18"/>
  <c r="BC99" i="18"/>
  <c r="I104" i="18"/>
  <c r="N104" i="18"/>
  <c r="R104" i="18"/>
  <c r="AT104" i="18"/>
  <c r="BC104" i="18"/>
  <c r="M107" i="18"/>
  <c r="Q107" i="18"/>
  <c r="AS107" i="18"/>
  <c r="BB107" i="18"/>
  <c r="M108" i="18"/>
  <c r="Q108" i="18"/>
  <c r="AS108" i="18"/>
  <c r="BB108" i="18"/>
  <c r="M109" i="18"/>
  <c r="Q109" i="18"/>
  <c r="AS109" i="18"/>
  <c r="BB109" i="18"/>
  <c r="I110" i="18"/>
  <c r="N110" i="18"/>
  <c r="R110" i="18"/>
  <c r="AT110" i="18"/>
  <c r="BC110" i="18"/>
  <c r="J112" i="18"/>
  <c r="Y112" i="18" s="1"/>
  <c r="AS112" i="18"/>
  <c r="BC112" i="18"/>
  <c r="Y114" i="18"/>
  <c r="S304" i="19"/>
  <c r="W304" i="19" s="1"/>
  <c r="M122" i="18"/>
  <c r="S122" i="18"/>
  <c r="L123" i="18"/>
  <c r="U123" i="18" s="1"/>
  <c r="Q123" i="18"/>
  <c r="AT123" i="18"/>
  <c r="BE123" i="18"/>
  <c r="I124" i="18"/>
  <c r="O124" i="18"/>
  <c r="S124" i="18"/>
  <c r="BB124" i="18"/>
  <c r="D125" i="18"/>
  <c r="L125" i="18"/>
  <c r="R125" i="18"/>
  <c r="AZ125" i="18"/>
  <c r="E127" i="18"/>
  <c r="M127" i="18"/>
  <c r="R127" i="18"/>
  <c r="J128" i="18"/>
  <c r="Y128" i="18" s="1"/>
  <c r="X128" i="18"/>
  <c r="AS128" i="18"/>
  <c r="BC128" i="18"/>
  <c r="E129" i="18"/>
  <c r="M129" i="18"/>
  <c r="Q129" i="18"/>
  <c r="AT129" i="18"/>
  <c r="N130" i="18"/>
  <c r="R130" i="18"/>
  <c r="AZ130" i="18"/>
  <c r="I131" i="18"/>
  <c r="S131" i="18"/>
  <c r="BB131" i="18"/>
  <c r="D132" i="18"/>
  <c r="L132" i="18"/>
  <c r="R132" i="18"/>
  <c r="AZ132" i="18"/>
  <c r="Y134" i="18"/>
  <c r="L136" i="18"/>
  <c r="AR136" i="18"/>
  <c r="BE136" i="18"/>
  <c r="C125" i="29"/>
  <c r="BB125" i="18"/>
  <c r="AS125" i="18"/>
  <c r="Q125" i="18"/>
  <c r="M125" i="18"/>
  <c r="F125" i="18"/>
  <c r="C127" i="29"/>
  <c r="S351" i="19"/>
  <c r="O351" i="19" s="1"/>
  <c r="M351" i="19" s="1"/>
  <c r="S343" i="19"/>
  <c r="O343" i="19" s="1"/>
  <c r="M343" i="19" s="1"/>
  <c r="S349" i="19"/>
  <c r="O349" i="19" s="1"/>
  <c r="M349" i="19" s="1"/>
  <c r="S348" i="19"/>
  <c r="O348" i="19" s="1"/>
  <c r="M348" i="19" s="1"/>
  <c r="S352" i="19"/>
  <c r="S350" i="19"/>
  <c r="O350" i="19" s="1"/>
  <c r="M350" i="19" s="1"/>
  <c r="S353" i="19"/>
  <c r="S340" i="19"/>
  <c r="O340" i="19" s="1"/>
  <c r="M340" i="19" s="1"/>
  <c r="S335" i="19"/>
  <c r="O335" i="19" s="1"/>
  <c r="M335" i="19" s="1"/>
  <c r="S326" i="19"/>
  <c r="O326" i="19" s="1"/>
  <c r="M326" i="19" s="1"/>
  <c r="S338" i="19"/>
  <c r="O338" i="19" s="1"/>
  <c r="M338" i="19" s="1"/>
  <c r="S329" i="19"/>
  <c r="O329" i="19" s="1"/>
  <c r="M329" i="19" s="1"/>
  <c r="S327" i="19"/>
  <c r="O327" i="19" s="1"/>
  <c r="M327" i="19" s="1"/>
  <c r="S339" i="19"/>
  <c r="O339" i="19" s="1"/>
  <c r="M339" i="19" s="1"/>
  <c r="S337" i="19"/>
  <c r="O337" i="19" s="1"/>
  <c r="M337" i="19" s="1"/>
  <c r="S330" i="19"/>
  <c r="O330" i="19" s="1"/>
  <c r="M330" i="19" s="1"/>
  <c r="S342" i="19"/>
  <c r="S334" i="19"/>
  <c r="R334" i="19" s="1"/>
  <c r="AZ127" i="18"/>
  <c r="S127" i="18"/>
  <c r="O127" i="18"/>
  <c r="J127" i="18"/>
  <c r="D127" i="18"/>
  <c r="C132" i="29"/>
  <c r="BB132" i="18"/>
  <c r="AS132" i="18"/>
  <c r="Q132" i="18"/>
  <c r="M132" i="18"/>
  <c r="F132" i="18"/>
  <c r="J125" i="18"/>
  <c r="AT125" i="18"/>
  <c r="BD125" i="18"/>
  <c r="L127" i="18"/>
  <c r="Q127" i="18"/>
  <c r="AT127" i="18"/>
  <c r="BE127" i="18"/>
  <c r="E130" i="18"/>
  <c r="M130" i="18"/>
  <c r="Q130" i="18"/>
  <c r="AT130" i="18"/>
  <c r="J132" i="18"/>
  <c r="AT132" i="18"/>
  <c r="Y135" i="18"/>
  <c r="I136" i="18"/>
  <c r="X136" i="18" s="1"/>
  <c r="R136" i="18"/>
  <c r="BC136" i="18"/>
  <c r="C122" i="29"/>
  <c r="BC122" i="18"/>
  <c r="AT122" i="18"/>
  <c r="R122" i="18"/>
  <c r="N122" i="18"/>
  <c r="I122" i="18"/>
  <c r="D122" i="18"/>
  <c r="C129" i="29"/>
  <c r="BE129" i="18"/>
  <c r="BA129" i="18"/>
  <c r="S331" i="19" s="1"/>
  <c r="W331" i="19" s="1"/>
  <c r="AR129" i="18"/>
  <c r="L129" i="18"/>
  <c r="I21" i="58"/>
  <c r="J63" i="58"/>
  <c r="J122" i="18"/>
  <c r="AS122" i="18"/>
  <c r="BD122" i="18"/>
  <c r="D124" i="18"/>
  <c r="M124" i="18"/>
  <c r="Q124" i="18"/>
  <c r="AT124" i="18"/>
  <c r="BD124" i="18"/>
  <c r="I125" i="18"/>
  <c r="X125" i="18" s="1"/>
  <c r="O125" i="18"/>
  <c r="AR125" i="18"/>
  <c r="BC125" i="18"/>
  <c r="I127" i="18"/>
  <c r="X127" i="18" s="1"/>
  <c r="AS127" i="18"/>
  <c r="BC127" i="18"/>
  <c r="I129" i="18"/>
  <c r="S129" i="18"/>
  <c r="BB129" i="18"/>
  <c r="D130" i="18"/>
  <c r="J130" i="18"/>
  <c r="AS130" i="18"/>
  <c r="BC130" i="18"/>
  <c r="I132" i="18"/>
  <c r="O132" i="18"/>
  <c r="AR132" i="18"/>
  <c r="BC132" i="18"/>
  <c r="E136" i="18"/>
  <c r="BA136" i="18"/>
  <c r="S346" i="19" s="1"/>
  <c r="W346" i="19" s="1"/>
  <c r="C135" i="29"/>
  <c r="H196" i="58"/>
  <c r="K69" i="58"/>
  <c r="O69" i="58"/>
  <c r="S69" i="58"/>
  <c r="T114" i="58"/>
  <c r="W58" i="19"/>
  <c r="A60" i="19"/>
  <c r="I135" i="18"/>
  <c r="N135" i="18"/>
  <c r="R135" i="18"/>
  <c r="AT135" i="18"/>
  <c r="BC135" i="18"/>
  <c r="AR137" i="18"/>
  <c r="BA137" i="18"/>
  <c r="S347" i="19" s="1"/>
  <c r="O19" i="58"/>
  <c r="O20" i="58" s="1"/>
  <c r="R21" i="58"/>
  <c r="I69" i="58"/>
  <c r="N69" i="58"/>
  <c r="R69" i="58"/>
  <c r="E52" i="29"/>
  <c r="D52" i="29" s="1"/>
  <c r="A54" i="29"/>
  <c r="I172" i="58"/>
  <c r="J173" i="58"/>
  <c r="T10" i="58"/>
  <c r="N19" i="58"/>
  <c r="N20" i="58" s="1"/>
  <c r="H21" i="58"/>
  <c r="Q21" i="58"/>
  <c r="C114" i="29"/>
  <c r="C118" i="29"/>
  <c r="C119" i="29"/>
  <c r="C120" i="29"/>
  <c r="C121" i="29"/>
  <c r="C126" i="29"/>
  <c r="C133" i="29"/>
  <c r="C134" i="29"/>
  <c r="C137" i="29"/>
  <c r="H69" i="58"/>
  <c r="M69" i="58"/>
  <c r="Q69" i="58"/>
  <c r="I114" i="18"/>
  <c r="N114" i="18"/>
  <c r="R114" i="18"/>
  <c r="AT114" i="18"/>
  <c r="BC114" i="18"/>
  <c r="M118" i="18"/>
  <c r="Q118" i="18"/>
  <c r="AS118" i="18"/>
  <c r="BB118" i="18"/>
  <c r="M119" i="18"/>
  <c r="Q119" i="18"/>
  <c r="AS119" i="18"/>
  <c r="BB119" i="18"/>
  <c r="M120" i="18"/>
  <c r="Q120" i="18"/>
  <c r="AS120" i="18"/>
  <c r="BB120" i="18"/>
  <c r="I121" i="18"/>
  <c r="N121" i="18"/>
  <c r="R121" i="18"/>
  <c r="AT121" i="18"/>
  <c r="BC121" i="18"/>
  <c r="I126" i="18"/>
  <c r="N126" i="18"/>
  <c r="R126" i="18"/>
  <c r="AT126" i="18"/>
  <c r="BC126" i="18"/>
  <c r="M133" i="18"/>
  <c r="Q133" i="18"/>
  <c r="AS133" i="18"/>
  <c r="BB133" i="18"/>
  <c r="I134" i="18"/>
  <c r="N134" i="18"/>
  <c r="R134" i="18"/>
  <c r="AZ134" i="18"/>
  <c r="E135" i="18"/>
  <c r="L135" i="18"/>
  <c r="U135" i="18" s="1"/>
  <c r="AR135" i="18"/>
  <c r="BA135" i="18"/>
  <c r="S345" i="19" s="1"/>
  <c r="W345" i="19" s="1"/>
  <c r="BE135" i="18"/>
  <c r="I137" i="18"/>
  <c r="N137" i="18"/>
  <c r="R137" i="18"/>
  <c r="AT137" i="18"/>
  <c r="BC137" i="18"/>
  <c r="K19" i="58"/>
  <c r="K20" i="58" s="1"/>
  <c r="S19" i="58"/>
  <c r="S20" i="58" s="1"/>
  <c r="N21" i="58"/>
  <c r="I196" i="58"/>
  <c r="I198" i="58" s="1"/>
  <c r="L69" i="58"/>
  <c r="P69" i="58"/>
  <c r="T22" i="58"/>
  <c r="AS137" i="18"/>
  <c r="BB137" i="18"/>
  <c r="T18" i="58"/>
  <c r="H19" i="58"/>
  <c r="R19" i="58"/>
  <c r="M21" i="58"/>
  <c r="O43" i="19"/>
  <c r="M43" i="19" s="1"/>
  <c r="O86" i="19"/>
  <c r="M86" i="19" s="1"/>
  <c r="O51" i="19"/>
  <c r="M51" i="19" s="1"/>
  <c r="O56" i="19"/>
  <c r="M56" i="19" s="1"/>
  <c r="O57" i="19"/>
  <c r="M57" i="19" s="1"/>
  <c r="O67" i="19"/>
  <c r="M67" i="19" s="1"/>
  <c r="O84" i="19"/>
  <c r="M84" i="19" s="1"/>
  <c r="O100" i="19"/>
  <c r="M100" i="19" s="1"/>
  <c r="O130" i="19"/>
  <c r="M130" i="19" s="1"/>
  <c r="O162" i="19"/>
  <c r="M162" i="19" s="1"/>
  <c r="O170" i="19"/>
  <c r="M170" i="19" s="1"/>
  <c r="O171" i="19"/>
  <c r="M171" i="19" s="1"/>
  <c r="O172" i="19"/>
  <c r="M172" i="19" s="1"/>
  <c r="O173" i="19"/>
  <c r="M173" i="19" s="1"/>
  <c r="O302" i="19"/>
  <c r="M302" i="19" s="1"/>
  <c r="O25" i="19"/>
  <c r="M25" i="19" s="1"/>
  <c r="O72" i="19"/>
  <c r="M72" i="19" s="1"/>
  <c r="O104" i="19"/>
  <c r="M104" i="19" s="1"/>
  <c r="O217" i="19"/>
  <c r="M217" i="19" s="1"/>
  <c r="O283" i="19"/>
  <c r="M283" i="19" s="1"/>
  <c r="S229" i="19"/>
  <c r="O328" i="19"/>
  <c r="M328" i="19" s="1"/>
  <c r="O41" i="19"/>
  <c r="M41" i="19" s="1"/>
  <c r="O26" i="19"/>
  <c r="M26" i="19" s="1"/>
  <c r="O27" i="19"/>
  <c r="M27" i="19" s="1"/>
  <c r="O46" i="19"/>
  <c r="M46" i="19" s="1"/>
  <c r="O80" i="19"/>
  <c r="M80" i="19" s="1"/>
  <c r="O273" i="19"/>
  <c r="M273" i="19" s="1"/>
  <c r="O332" i="19"/>
  <c r="M332" i="19" s="1"/>
  <c r="O157" i="19"/>
  <c r="M157" i="19" s="1"/>
  <c r="O196" i="19"/>
  <c r="M196" i="19" s="1"/>
  <c r="O202" i="19"/>
  <c r="M202" i="19" s="1"/>
  <c r="O215" i="19"/>
  <c r="M215" i="19" s="1"/>
  <c r="O274" i="19"/>
  <c r="M274" i="19" s="1"/>
  <c r="O288" i="19"/>
  <c r="M288" i="19" s="1"/>
  <c r="O333" i="19"/>
  <c r="M333" i="19" s="1"/>
  <c r="O345" i="19"/>
  <c r="M345" i="19" s="1"/>
  <c r="O346" i="19"/>
  <c r="M346" i="19" s="1"/>
  <c r="O28" i="19"/>
  <c r="M28" i="19" s="1"/>
  <c r="O42" i="19"/>
  <c r="M42" i="19" s="1"/>
  <c r="O54" i="19"/>
  <c r="M54" i="19" s="1"/>
  <c r="O55" i="19"/>
  <c r="M55" i="19" s="1"/>
  <c r="O71" i="19"/>
  <c r="M71" i="19" s="1"/>
  <c r="O75" i="19"/>
  <c r="M75" i="19" s="1"/>
  <c r="O96" i="19"/>
  <c r="M96" i="19" s="1"/>
  <c r="O128" i="19"/>
  <c r="M128" i="19" s="1"/>
  <c r="O133" i="19"/>
  <c r="M133" i="19" s="1"/>
  <c r="O159" i="19"/>
  <c r="M159" i="19" s="1"/>
  <c r="O167" i="19"/>
  <c r="M167" i="19" s="1"/>
  <c r="O183" i="19"/>
  <c r="M183" i="19" s="1"/>
  <c r="O188" i="19"/>
  <c r="M188" i="19" s="1"/>
  <c r="O200" i="19"/>
  <c r="M200" i="19" s="1"/>
  <c r="O212" i="19"/>
  <c r="M212" i="19" s="1"/>
  <c r="O216" i="19"/>
  <c r="M216" i="19" s="1"/>
  <c r="O220" i="19"/>
  <c r="M220" i="19" s="1"/>
  <c r="O230" i="19"/>
  <c r="M230" i="19" s="1"/>
  <c r="O286" i="19"/>
  <c r="M286" i="19" s="1"/>
  <c r="O304" i="19"/>
  <c r="M304" i="19" s="1"/>
  <c r="O317" i="19"/>
  <c r="M317" i="19" s="1"/>
  <c r="O331" i="19"/>
  <c r="M331" i="19" s="1"/>
  <c r="O336" i="19"/>
  <c r="M336" i="19" s="1"/>
  <c r="O186" i="19"/>
  <c r="M186" i="19" s="1"/>
  <c r="O278" i="19"/>
  <c r="M278" i="19" s="1"/>
  <c r="O303" i="19"/>
  <c r="M303" i="19" s="1"/>
  <c r="O344" i="19"/>
  <c r="M344" i="19" s="1"/>
  <c r="O22" i="19"/>
  <c r="M22" i="19" s="1"/>
  <c r="O38" i="19"/>
  <c r="M38" i="19" s="1"/>
  <c r="O70" i="19"/>
  <c r="M70" i="19" s="1"/>
  <c r="O83" i="19"/>
  <c r="M83" i="19" s="1"/>
  <c r="O85" i="19"/>
  <c r="M85" i="19" s="1"/>
  <c r="O99" i="19"/>
  <c r="M99" i="19" s="1"/>
  <c r="O129" i="19"/>
  <c r="M129" i="19" s="1"/>
  <c r="O138" i="19"/>
  <c r="M138" i="19" s="1"/>
  <c r="O141" i="19"/>
  <c r="M141" i="19" s="1"/>
  <c r="O142" i="19"/>
  <c r="M142" i="19" s="1"/>
  <c r="O143" i="19"/>
  <c r="M143" i="19" s="1"/>
  <c r="O144" i="19"/>
  <c r="M144" i="19" s="1"/>
  <c r="O154" i="19"/>
  <c r="M154" i="19" s="1"/>
  <c r="O187" i="19"/>
  <c r="M187" i="19" s="1"/>
  <c r="O191" i="19"/>
  <c r="M191" i="19" s="1"/>
  <c r="O201" i="19"/>
  <c r="M201" i="19" s="1"/>
  <c r="O225" i="19"/>
  <c r="M225" i="19" s="1"/>
  <c r="O231" i="19"/>
  <c r="M231" i="19" s="1"/>
  <c r="O270" i="19"/>
  <c r="M270" i="19" s="1"/>
  <c r="O275" i="19"/>
  <c r="M275" i="19" s="1"/>
  <c r="O287" i="19"/>
  <c r="M287" i="19" s="1"/>
  <c r="O299" i="19"/>
  <c r="M299" i="19" s="1"/>
  <c r="O307" i="19"/>
  <c r="M307" i="19" s="1"/>
  <c r="O312" i="19"/>
  <c r="M312" i="19" s="1"/>
  <c r="O318" i="19"/>
  <c r="M318" i="19" s="1"/>
  <c r="O341" i="19"/>
  <c r="M341" i="19" s="1"/>
  <c r="P12" i="18"/>
  <c r="C12" i="18"/>
  <c r="P11" i="18"/>
  <c r="C11" i="18"/>
  <c r="AZ11" i="18" s="1"/>
  <c r="P10" i="18"/>
  <c r="C10" i="18"/>
  <c r="BA10" i="18" s="1"/>
  <c r="P9" i="18"/>
  <c r="C9" i="18"/>
  <c r="BE9" i="18" s="1"/>
  <c r="P8" i="18"/>
  <c r="E8" i="18"/>
  <c r="E8" i="29" s="1"/>
  <c r="C8" i="18"/>
  <c r="AS8" i="18" s="1"/>
  <c r="P7" i="18"/>
  <c r="C7" i="18"/>
  <c r="BC7" i="18" s="1"/>
  <c r="A7" i="18"/>
  <c r="P6" i="18"/>
  <c r="O6" i="18"/>
  <c r="C6" i="18"/>
  <c r="BB6" i="18" s="1"/>
  <c r="B3" i="18"/>
  <c r="C16" i="17"/>
  <c r="D16" i="17" s="1"/>
  <c r="E15" i="17"/>
  <c r="C15" i="17"/>
  <c r="C14" i="17"/>
  <c r="E14" i="17" s="1"/>
  <c r="C13" i="17"/>
  <c r="E13" i="17" s="1"/>
  <c r="C12" i="17"/>
  <c r="E12" i="17" s="1"/>
  <c r="C11" i="17"/>
  <c r="C10" i="17"/>
  <c r="C9" i="17"/>
  <c r="C8" i="17"/>
  <c r="C7" i="17"/>
  <c r="D7" i="17" s="1"/>
  <c r="A7" i="17"/>
  <c r="X31" i="18" l="1"/>
  <c r="Y72" i="18"/>
  <c r="Y83" i="18"/>
  <c r="Z56" i="18"/>
  <c r="U36" i="18"/>
  <c r="Z20" i="18"/>
  <c r="X123" i="18"/>
  <c r="U128" i="18"/>
  <c r="Z67" i="18"/>
  <c r="U40" i="18"/>
  <c r="X96" i="18"/>
  <c r="T9" i="58"/>
  <c r="Y125" i="18"/>
  <c r="AJ38" i="18"/>
  <c r="AF34" i="18"/>
  <c r="AE31" i="18"/>
  <c r="AJ19" i="18"/>
  <c r="A8" i="17"/>
  <c r="Y39" i="18"/>
  <c r="D14" i="17"/>
  <c r="AZ6" i="18"/>
  <c r="AR8" i="18"/>
  <c r="A9" i="17"/>
  <c r="A10" i="17" s="1"/>
  <c r="A11" i="17" s="1"/>
  <c r="A12" i="17" s="1"/>
  <c r="A13" i="17" s="1"/>
  <c r="A14" i="17" s="1"/>
  <c r="A15" i="17" s="1"/>
  <c r="A16" i="17" s="1"/>
  <c r="D6" i="18"/>
  <c r="D6" i="29" s="1"/>
  <c r="D8" i="18"/>
  <c r="D8" i="29" s="1"/>
  <c r="AJ97" i="18"/>
  <c r="AG84" i="18"/>
  <c r="Z136" i="18"/>
  <c r="AG69" i="18"/>
  <c r="Z36" i="18"/>
  <c r="X64" i="18"/>
  <c r="Y59" i="18"/>
  <c r="AJ118" i="18"/>
  <c r="AK134" i="18"/>
  <c r="U99" i="18"/>
  <c r="X126" i="18"/>
  <c r="X132" i="18"/>
  <c r="Y117" i="18"/>
  <c r="Y13" i="18"/>
  <c r="U17" i="18"/>
  <c r="Y17" i="18"/>
  <c r="AQ17" i="18" s="1"/>
  <c r="Y90" i="18"/>
  <c r="Y49" i="18"/>
  <c r="Y47" i="18"/>
  <c r="U102" i="18"/>
  <c r="Y46" i="18"/>
  <c r="U22" i="18"/>
  <c r="AG114" i="18"/>
  <c r="Y137" i="18"/>
  <c r="Y33" i="18"/>
  <c r="M6" i="18"/>
  <c r="AR6" i="18"/>
  <c r="X23" i="18"/>
  <c r="E8" i="17"/>
  <c r="F6" i="18"/>
  <c r="S6" i="18"/>
  <c r="AK57" i="18"/>
  <c r="H45" i="18"/>
  <c r="U15" i="18"/>
  <c r="D8" i="17"/>
  <c r="E6" i="18"/>
  <c r="E6" i="29" s="1"/>
  <c r="BC6" i="18"/>
  <c r="Q8" i="18"/>
  <c r="H107" i="18"/>
  <c r="Y127" i="18"/>
  <c r="AG58" i="18"/>
  <c r="H19" i="18"/>
  <c r="W19" i="18" s="1"/>
  <c r="AO19" i="18" s="1"/>
  <c r="AJ45" i="18"/>
  <c r="AE30" i="18"/>
  <c r="U44" i="18"/>
  <c r="Z42" i="18"/>
  <c r="Z28" i="18"/>
  <c r="S212" i="19"/>
  <c r="W212" i="19" s="1"/>
  <c r="AX84" i="18"/>
  <c r="AX121" i="18"/>
  <c r="AX58" i="18"/>
  <c r="AX21" i="18"/>
  <c r="AX19" i="18"/>
  <c r="AX108" i="18"/>
  <c r="AX47" i="18"/>
  <c r="AX118" i="18"/>
  <c r="AX97" i="18"/>
  <c r="D12" i="17"/>
  <c r="L6" i="18"/>
  <c r="Q6" i="18"/>
  <c r="J8" i="18"/>
  <c r="BB8" i="18"/>
  <c r="U125" i="18"/>
  <c r="AK99" i="18"/>
  <c r="Z89" i="18"/>
  <c r="X117" i="18"/>
  <c r="AK58" i="18"/>
  <c r="AJ50" i="18"/>
  <c r="AI45" i="18"/>
  <c r="AK35" i="18"/>
  <c r="AK27" i="18"/>
  <c r="X57" i="18"/>
  <c r="AK69" i="18"/>
  <c r="AK39" i="18"/>
  <c r="G30" i="18"/>
  <c r="AF19" i="18"/>
  <c r="D44" i="29"/>
  <c r="X16" i="18"/>
  <c r="U55" i="18"/>
  <c r="D49" i="29"/>
  <c r="Y48" i="18"/>
  <c r="Y66" i="18"/>
  <c r="Y28" i="18"/>
  <c r="D51" i="29"/>
  <c r="X34" i="18"/>
  <c r="Z19" i="18"/>
  <c r="U47" i="18"/>
  <c r="AK114" i="18"/>
  <c r="AK131" i="18"/>
  <c r="AG134" i="18"/>
  <c r="X99" i="18"/>
  <c r="AK92" i="18"/>
  <c r="AF56" i="18"/>
  <c r="H52" i="18"/>
  <c r="AF45" i="18"/>
  <c r="X48" i="18"/>
  <c r="U92" i="18"/>
  <c r="BC8" i="18"/>
  <c r="AK121" i="18"/>
  <c r="AK84" i="18"/>
  <c r="Y88" i="18"/>
  <c r="AF46" i="18"/>
  <c r="AE45" i="18"/>
  <c r="AF21" i="18"/>
  <c r="AG57" i="18"/>
  <c r="D36" i="29"/>
  <c r="Y16" i="18"/>
  <c r="S122" i="19"/>
  <c r="W122" i="19" s="1"/>
  <c r="AX120" i="18"/>
  <c r="AX109" i="18"/>
  <c r="AX62" i="18"/>
  <c r="AX39" i="18"/>
  <c r="AX72" i="18"/>
  <c r="AX126" i="18"/>
  <c r="AX96" i="18"/>
  <c r="AX20" i="18"/>
  <c r="AX35" i="18"/>
  <c r="AX99" i="18"/>
  <c r="AX119" i="18"/>
  <c r="AX107" i="18"/>
  <c r="AX104" i="18"/>
  <c r="AX69" i="18"/>
  <c r="AX34" i="18"/>
  <c r="AX80" i="18"/>
  <c r="AX27" i="18"/>
  <c r="AX15" i="18"/>
  <c r="AX92" i="18"/>
  <c r="AX98" i="18"/>
  <c r="AX51" i="18"/>
  <c r="AX110" i="18"/>
  <c r="AX114" i="18"/>
  <c r="AX22" i="18"/>
  <c r="BA9" i="18"/>
  <c r="S13" i="19" s="1"/>
  <c r="W13" i="19" s="1"/>
  <c r="N11" i="18"/>
  <c r="AT11" i="18"/>
  <c r="AK137" i="18"/>
  <c r="AM135" i="18"/>
  <c r="AG121" i="18"/>
  <c r="AG130" i="18"/>
  <c r="Z127" i="18"/>
  <c r="U132" i="18"/>
  <c r="AK104" i="18"/>
  <c r="AF96" i="18"/>
  <c r="X92" i="18"/>
  <c r="AF83" i="18"/>
  <c r="Y93" i="18"/>
  <c r="Z76" i="18"/>
  <c r="AG70" i="18"/>
  <c r="AM94" i="18"/>
  <c r="AL74" i="18"/>
  <c r="Y70" i="18"/>
  <c r="AJ57" i="18"/>
  <c r="AQ57" i="18" s="1"/>
  <c r="AM56" i="18"/>
  <c r="G56" i="18"/>
  <c r="U56" i="18" s="1"/>
  <c r="AG51" i="18"/>
  <c r="AJ46" i="18"/>
  <c r="AQ46" i="18" s="1"/>
  <c r="AM45" i="18"/>
  <c r="AU45" i="18" s="1"/>
  <c r="G45" i="18"/>
  <c r="U45" i="18" s="1"/>
  <c r="AG39" i="18"/>
  <c r="AJ34" i="18"/>
  <c r="H34" i="18"/>
  <c r="W34" i="18" s="1"/>
  <c r="AF33" i="18"/>
  <c r="AI32" i="18"/>
  <c r="AI31" i="18"/>
  <c r="AP31" i="18" s="1"/>
  <c r="AI30" i="18"/>
  <c r="AJ21" i="18"/>
  <c r="H21" i="18"/>
  <c r="AF20" i="18"/>
  <c r="AJ56" i="18"/>
  <c r="H56" i="18"/>
  <c r="AG46" i="18"/>
  <c r="AJ87" i="18"/>
  <c r="AE26" i="18"/>
  <c r="AE75" i="18"/>
  <c r="Z66" i="18"/>
  <c r="U29" i="18"/>
  <c r="Y24" i="18"/>
  <c r="U82" i="18"/>
  <c r="D79" i="29"/>
  <c r="D40" i="29"/>
  <c r="U37" i="18"/>
  <c r="D48" i="29"/>
  <c r="Y126" i="18"/>
  <c r="Y60" i="18"/>
  <c r="Y51" i="18"/>
  <c r="Z21" i="18"/>
  <c r="Z34" i="18"/>
  <c r="U104" i="18"/>
  <c r="Y61" i="18"/>
  <c r="Z118" i="18"/>
  <c r="M9" i="18"/>
  <c r="AT9" i="18"/>
  <c r="M11" i="18"/>
  <c r="R11" i="18"/>
  <c r="E10" i="17"/>
  <c r="E16" i="17"/>
  <c r="L9" i="18"/>
  <c r="R9" i="18"/>
  <c r="S14" i="19"/>
  <c r="W14" i="19" s="1"/>
  <c r="F11" i="18"/>
  <c r="Q11" i="18"/>
  <c r="BD11" i="18"/>
  <c r="D10" i="17"/>
  <c r="S27" i="19"/>
  <c r="W27" i="19" s="1"/>
  <c r="J6" i="18"/>
  <c r="Y6" i="18" s="1"/>
  <c r="AT6" i="18"/>
  <c r="BD6" i="18"/>
  <c r="M8" i="18"/>
  <c r="D9" i="18"/>
  <c r="Q9" i="18"/>
  <c r="D11" i="18"/>
  <c r="U117" i="18"/>
  <c r="Z86" i="18"/>
  <c r="AK70" i="18"/>
  <c r="X70" i="18"/>
  <c r="AP70" i="18" s="1"/>
  <c r="U95" i="18"/>
  <c r="X69" i="18"/>
  <c r="AK51" i="18"/>
  <c r="AF50" i="18"/>
  <c r="AF38" i="18"/>
  <c r="AJ33" i="18"/>
  <c r="AM32" i="18"/>
  <c r="AU32" i="18" s="1"/>
  <c r="G32" i="18"/>
  <c r="AM31" i="18"/>
  <c r="G31" i="18"/>
  <c r="U31" i="18" s="1"/>
  <c r="AM30" i="18"/>
  <c r="AU30" i="18" s="1"/>
  <c r="AG27" i="18"/>
  <c r="AJ20" i="18"/>
  <c r="H20" i="18"/>
  <c r="W20" i="18" s="1"/>
  <c r="AK46" i="18"/>
  <c r="U90" i="18"/>
  <c r="AI70" i="18"/>
  <c r="AF32" i="18"/>
  <c r="X38" i="18"/>
  <c r="AK63" i="18"/>
  <c r="AM29" i="18"/>
  <c r="AU29" i="18" s="1"/>
  <c r="U68" i="18"/>
  <c r="Y82" i="18"/>
  <c r="U137" i="18"/>
  <c r="Y50" i="18"/>
  <c r="D38" i="29"/>
  <c r="Y37" i="18"/>
  <c r="Y15" i="18"/>
  <c r="X25" i="18"/>
  <c r="AE116" i="18"/>
  <c r="AI130" i="18"/>
  <c r="AG101" i="18"/>
  <c r="AH106" i="18"/>
  <c r="AG62" i="18"/>
  <c r="U32" i="18"/>
  <c r="U30" i="18"/>
  <c r="AI94" i="18"/>
  <c r="AH73" i="18"/>
  <c r="AE59" i="18"/>
  <c r="AL28" i="18"/>
  <c r="AM17" i="18"/>
  <c r="Z133" i="18"/>
  <c r="Z120" i="18"/>
  <c r="D22" i="29"/>
  <c r="Y22" i="18"/>
  <c r="Z90" i="18"/>
  <c r="Z97" i="18"/>
  <c r="AF137" i="18"/>
  <c r="AG137" i="18"/>
  <c r="AI135" i="18"/>
  <c r="AK126" i="18"/>
  <c r="H118" i="18"/>
  <c r="W118" i="18" s="1"/>
  <c r="AL127" i="18"/>
  <c r="AG104" i="18"/>
  <c r="AF98" i="18"/>
  <c r="H97" i="18"/>
  <c r="Y123" i="18"/>
  <c r="AH111" i="18"/>
  <c r="AF97" i="18"/>
  <c r="AL117" i="18"/>
  <c r="X87" i="18"/>
  <c r="Z74" i="18"/>
  <c r="AL70" i="18"/>
  <c r="AG72" i="18"/>
  <c r="AH43" i="18"/>
  <c r="D29" i="29"/>
  <c r="Z16" i="18"/>
  <c r="X91" i="18"/>
  <c r="U62" i="18"/>
  <c r="D20" i="29"/>
  <c r="D15" i="29"/>
  <c r="U134" i="18"/>
  <c r="AX18" i="18"/>
  <c r="AX31" i="18"/>
  <c r="AX30" i="18"/>
  <c r="AX116" i="18"/>
  <c r="AX61" i="18"/>
  <c r="AX46" i="18"/>
  <c r="AX56" i="18"/>
  <c r="AX16" i="18"/>
  <c r="AX76" i="18"/>
  <c r="AX29" i="18"/>
  <c r="AX87" i="18"/>
  <c r="AX60" i="18"/>
  <c r="AX73" i="18"/>
  <c r="AX23" i="18"/>
  <c r="AX75" i="18"/>
  <c r="AX14" i="18"/>
  <c r="AX100" i="18"/>
  <c r="AX122" i="18"/>
  <c r="AX93" i="18"/>
  <c r="AX115" i="18"/>
  <c r="AX57" i="18"/>
  <c r="AX90" i="18"/>
  <c r="AX81" i="18"/>
  <c r="AX86" i="18"/>
  <c r="AX65" i="18"/>
  <c r="AX48" i="18"/>
  <c r="AX82" i="18"/>
  <c r="AX54" i="18"/>
  <c r="AX68" i="18"/>
  <c r="AX123" i="18"/>
  <c r="AX103" i="18"/>
  <c r="AX89" i="18"/>
  <c r="AX38" i="18"/>
  <c r="AX74" i="18"/>
  <c r="AX33" i="18"/>
  <c r="AX41" i="18"/>
  <c r="AX79" i="18"/>
  <c r="AX36" i="18"/>
  <c r="AX67" i="18"/>
  <c r="AX66" i="18"/>
  <c r="AX125" i="18"/>
  <c r="AX102" i="18"/>
  <c r="AX111" i="18"/>
  <c r="AX105" i="18"/>
  <c r="AX101" i="18"/>
  <c r="AX88" i="18"/>
  <c r="AX50" i="18"/>
  <c r="AX49" i="18"/>
  <c r="AX26" i="18"/>
  <c r="AX59" i="18"/>
  <c r="AX43" i="18"/>
  <c r="AX55" i="18"/>
  <c r="AX113" i="18"/>
  <c r="AX91" i="18"/>
  <c r="AX85" i="18"/>
  <c r="AX95" i="18"/>
  <c r="AX83" i="18"/>
  <c r="AX53" i="18"/>
  <c r="AX13" i="18"/>
  <c r="AX40" i="18"/>
  <c r="AX37" i="18"/>
  <c r="AX52" i="18"/>
  <c r="AX24" i="18"/>
  <c r="AX64" i="18"/>
  <c r="AX63" i="18"/>
  <c r="AX28" i="18"/>
  <c r="AX106" i="18"/>
  <c r="AX124" i="18"/>
  <c r="AX117" i="18"/>
  <c r="AX45" i="18"/>
  <c r="AX77" i="18"/>
  <c r="AX17" i="18"/>
  <c r="AX70" i="18"/>
  <c r="AX112" i="18"/>
  <c r="AX94" i="18"/>
  <c r="AX71" i="18"/>
  <c r="AX44" i="18"/>
  <c r="AX25" i="18"/>
  <c r="AX32" i="18"/>
  <c r="AX78" i="18"/>
  <c r="AX42" i="18"/>
  <c r="C12" i="29"/>
  <c r="BD12" i="18"/>
  <c r="AZ12" i="18"/>
  <c r="BA12" i="18"/>
  <c r="S22" i="19" s="1"/>
  <c r="W22" i="19" s="1"/>
  <c r="BB12" i="18"/>
  <c r="AR12" i="18"/>
  <c r="BC12" i="18"/>
  <c r="AS12" i="18"/>
  <c r="BE12" i="18"/>
  <c r="AT12" i="18"/>
  <c r="L12" i="18"/>
  <c r="D13" i="17"/>
  <c r="D15" i="17"/>
  <c r="A8" i="18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C8" i="29"/>
  <c r="BD8" i="18"/>
  <c r="AZ8" i="18"/>
  <c r="L8" i="18"/>
  <c r="C9" i="29"/>
  <c r="BD9" i="18"/>
  <c r="AZ9" i="18"/>
  <c r="S9" i="18"/>
  <c r="J9" i="18"/>
  <c r="E9" i="18"/>
  <c r="E9" i="29" s="1"/>
  <c r="C11" i="29"/>
  <c r="BE11" i="18"/>
  <c r="BA11" i="18"/>
  <c r="S17" i="19" s="1"/>
  <c r="W17" i="19" s="1"/>
  <c r="AR11" i="18"/>
  <c r="L11" i="18"/>
  <c r="E11" i="18"/>
  <c r="E11" i="29" s="1"/>
  <c r="D11" i="29" s="1"/>
  <c r="U11" i="18"/>
  <c r="I12" i="18"/>
  <c r="Z12" i="18" s="1"/>
  <c r="S12" i="18"/>
  <c r="E9" i="17"/>
  <c r="E11" i="17"/>
  <c r="F7" i="18"/>
  <c r="N7" i="18"/>
  <c r="R7" i="18"/>
  <c r="AZ7" i="18"/>
  <c r="I8" i="18"/>
  <c r="S8" i="18"/>
  <c r="BA8" i="18"/>
  <c r="S12" i="19" s="1"/>
  <c r="W12" i="19" s="1"/>
  <c r="I9" i="18"/>
  <c r="AS9" i="18"/>
  <c r="BC9" i="18"/>
  <c r="M10" i="18"/>
  <c r="R10" i="18"/>
  <c r="J11" i="18"/>
  <c r="AS11" i="18"/>
  <c r="BC11" i="18"/>
  <c r="E12" i="18"/>
  <c r="E12" i="29" s="1"/>
  <c r="M12" i="18"/>
  <c r="Q12" i="18"/>
  <c r="C10" i="29"/>
  <c r="BD10" i="18"/>
  <c r="AZ10" i="18"/>
  <c r="S10" i="18"/>
  <c r="J10" i="18"/>
  <c r="E10" i="18"/>
  <c r="E10" i="29" s="1"/>
  <c r="I10" i="18"/>
  <c r="AS10" i="18"/>
  <c r="BC10" i="18"/>
  <c r="N10" i="18"/>
  <c r="AR10" i="18"/>
  <c r="BB10" i="18"/>
  <c r="N12" i="18"/>
  <c r="R12" i="18"/>
  <c r="E7" i="17"/>
  <c r="D9" i="17"/>
  <c r="D11" i="17"/>
  <c r="D7" i="18"/>
  <c r="M7" i="18"/>
  <c r="Q7" i="18"/>
  <c r="AT7" i="18"/>
  <c r="BD7" i="18"/>
  <c r="N8" i="18"/>
  <c r="R8" i="18"/>
  <c r="AT8" i="18"/>
  <c r="BE8" i="18"/>
  <c r="N9" i="18"/>
  <c r="AR9" i="18"/>
  <c r="BB9" i="18"/>
  <c r="D10" i="18"/>
  <c r="L10" i="18"/>
  <c r="Q10" i="18"/>
  <c r="AT10" i="18"/>
  <c r="BE10" i="18"/>
  <c r="I11" i="18"/>
  <c r="O11" i="18"/>
  <c r="S11" i="18"/>
  <c r="BB11" i="18"/>
  <c r="D12" i="18"/>
  <c r="J12" i="18"/>
  <c r="J7" i="18"/>
  <c r="AS7" i="18"/>
  <c r="C7" i="29"/>
  <c r="BE7" i="18"/>
  <c r="BA7" i="18"/>
  <c r="S9" i="19" s="1"/>
  <c r="W9" i="19" s="1"/>
  <c r="AR7" i="18"/>
  <c r="L7" i="18"/>
  <c r="E7" i="18"/>
  <c r="E7" i="29" s="1"/>
  <c r="I7" i="18"/>
  <c r="O7" i="18"/>
  <c r="S7" i="18"/>
  <c r="BB7" i="18"/>
  <c r="Q19" i="58"/>
  <c r="N63" i="58"/>
  <c r="X137" i="18"/>
  <c r="Z137" i="18"/>
  <c r="X121" i="18"/>
  <c r="Z121" i="18"/>
  <c r="X114" i="18"/>
  <c r="Z114" i="18"/>
  <c r="E53" i="29"/>
  <c r="D53" i="29" s="1"/>
  <c r="A55" i="29"/>
  <c r="R63" i="58"/>
  <c r="X110" i="18"/>
  <c r="Z110" i="18"/>
  <c r="W97" i="18"/>
  <c r="O294" i="19"/>
  <c r="M294" i="19" s="1"/>
  <c r="W294" i="19"/>
  <c r="O295" i="19"/>
  <c r="M295" i="19" s="1"/>
  <c r="W295" i="19"/>
  <c r="X77" i="18"/>
  <c r="Z77" i="18"/>
  <c r="X83" i="18"/>
  <c r="Z83" i="18"/>
  <c r="O120" i="19"/>
  <c r="M120" i="19" s="1"/>
  <c r="W120" i="19"/>
  <c r="X72" i="18"/>
  <c r="Z72" i="18"/>
  <c r="E106" i="18"/>
  <c r="U106" i="18"/>
  <c r="O207" i="19"/>
  <c r="M207" i="19" s="1"/>
  <c r="W207" i="19"/>
  <c r="O208" i="19"/>
  <c r="M208" i="19" s="1"/>
  <c r="W208" i="19"/>
  <c r="O178" i="19"/>
  <c r="M178" i="19" s="1"/>
  <c r="W178" i="19"/>
  <c r="O150" i="19"/>
  <c r="M150" i="19" s="1"/>
  <c r="W150" i="19"/>
  <c r="O40" i="19"/>
  <c r="M40" i="19" s="1"/>
  <c r="W40" i="19"/>
  <c r="O50" i="19"/>
  <c r="M50" i="19" s="1"/>
  <c r="W50" i="19"/>
  <c r="AF120" i="18"/>
  <c r="AM137" i="18"/>
  <c r="AU137" i="18" s="1"/>
  <c r="AL130" i="18"/>
  <c r="AL125" i="18"/>
  <c r="AM122" i="18"/>
  <c r="G129" i="18"/>
  <c r="AM129" i="18"/>
  <c r="AI127" i="18"/>
  <c r="AP127" i="18" s="1"/>
  <c r="AH127" i="18"/>
  <c r="AJ125" i="18"/>
  <c r="AQ125" i="18" s="1"/>
  <c r="AI132" i="18"/>
  <c r="AH129" i="18"/>
  <c r="AI125" i="18"/>
  <c r="AI123" i="18"/>
  <c r="AP123" i="18" s="1"/>
  <c r="AE122" i="18"/>
  <c r="AG112" i="18"/>
  <c r="AK110" i="18"/>
  <c r="AF109" i="18"/>
  <c r="X104" i="18"/>
  <c r="AG99" i="18"/>
  <c r="AJ96" i="18"/>
  <c r="H96" i="18"/>
  <c r="W96" i="18" s="1"/>
  <c r="AG92" i="18"/>
  <c r="AE131" i="18"/>
  <c r="AM128" i="18"/>
  <c r="AU128" i="18" s="1"/>
  <c r="AM112" i="18"/>
  <c r="AU112" i="18" s="1"/>
  <c r="AK136" i="18"/>
  <c r="AK132" i="18"/>
  <c r="U127" i="18"/>
  <c r="Y136" i="18"/>
  <c r="AL136" i="18"/>
  <c r="G130" i="18"/>
  <c r="U130" i="18" s="1"/>
  <c r="AM130" i="18"/>
  <c r="AU130" i="18" s="1"/>
  <c r="AE124" i="18"/>
  <c r="Z112" i="18"/>
  <c r="AM105" i="18"/>
  <c r="AU105" i="18" s="1"/>
  <c r="AG103" i="18"/>
  <c r="AH100" i="18"/>
  <c r="AI93" i="18"/>
  <c r="AP93" i="18" s="1"/>
  <c r="AG89" i="18"/>
  <c r="AH116" i="18"/>
  <c r="AF113" i="18"/>
  <c r="AH93" i="18"/>
  <c r="AL89" i="18"/>
  <c r="AG115" i="18"/>
  <c r="AH103" i="18"/>
  <c r="Y105" i="18"/>
  <c r="AL105" i="18"/>
  <c r="AF117" i="18"/>
  <c r="AF115" i="18"/>
  <c r="AH115" i="18"/>
  <c r="AI117" i="18"/>
  <c r="AF116" i="18"/>
  <c r="AJ115" i="18"/>
  <c r="AG113" i="18"/>
  <c r="AE88" i="18"/>
  <c r="AL88" i="18"/>
  <c r="AL85" i="18"/>
  <c r="X85" i="18"/>
  <c r="AK85" i="18"/>
  <c r="AH95" i="18"/>
  <c r="AK101" i="18"/>
  <c r="Y101" i="18"/>
  <c r="AL101" i="18"/>
  <c r="AI95" i="18"/>
  <c r="AP95" i="18" s="1"/>
  <c r="H87" i="18"/>
  <c r="AK77" i="18"/>
  <c r="AE77" i="18"/>
  <c r="AK95" i="18"/>
  <c r="AG94" i="18"/>
  <c r="X88" i="18"/>
  <c r="G85" i="18"/>
  <c r="AG74" i="18"/>
  <c r="AJ73" i="18"/>
  <c r="AQ73" i="18" s="1"/>
  <c r="X73" i="18"/>
  <c r="AF72" i="18"/>
  <c r="AK62" i="18"/>
  <c r="X62" i="18"/>
  <c r="AF61" i="18"/>
  <c r="X51" i="18"/>
  <c r="X39" i="18"/>
  <c r="AJ90" i="18"/>
  <c r="AQ90" i="18" s="1"/>
  <c r="AE90" i="18"/>
  <c r="AK81" i="18"/>
  <c r="Y81" i="18"/>
  <c r="AL81" i="18"/>
  <c r="AH74" i="18"/>
  <c r="AL73" i="18"/>
  <c r="Z113" i="18"/>
  <c r="AG88" i="18"/>
  <c r="AN88" i="18" s="1"/>
  <c r="AJ77" i="18"/>
  <c r="AQ77" i="18" s="1"/>
  <c r="AK72" i="18"/>
  <c r="AM70" i="18"/>
  <c r="AU70" i="18" s="1"/>
  <c r="AG61" i="18"/>
  <c r="AJ32" i="18"/>
  <c r="H32" i="18"/>
  <c r="W32" i="18" s="1"/>
  <c r="AF31" i="18"/>
  <c r="AG106" i="18"/>
  <c r="AJ106" i="18"/>
  <c r="AF54" i="18"/>
  <c r="AF53" i="18"/>
  <c r="AF52" i="18"/>
  <c r="AH29" i="18"/>
  <c r="AE68" i="18"/>
  <c r="AE44" i="18"/>
  <c r="AI29" i="18"/>
  <c r="AP29" i="18" s="1"/>
  <c r="AL24" i="18"/>
  <c r="AL42" i="18"/>
  <c r="AK71" i="18"/>
  <c r="AF59" i="18"/>
  <c r="AH55" i="18"/>
  <c r="AI54" i="18"/>
  <c r="AI53" i="18"/>
  <c r="AI52" i="18"/>
  <c r="AG49" i="18"/>
  <c r="AG48" i="18"/>
  <c r="AK44" i="18"/>
  <c r="AK43" i="18"/>
  <c r="AK26" i="18"/>
  <c r="AG25" i="18"/>
  <c r="H23" i="18"/>
  <c r="AM18" i="18"/>
  <c r="AJ17" i="18"/>
  <c r="X14" i="18"/>
  <c r="AJ52" i="18"/>
  <c r="AF82" i="18"/>
  <c r="AK82" i="18"/>
  <c r="AJ82" i="18"/>
  <c r="AQ82" i="18" s="1"/>
  <c r="AM82" i="18"/>
  <c r="AG79" i="18"/>
  <c r="AL79" i="18"/>
  <c r="AK79" i="18"/>
  <c r="AE55" i="18"/>
  <c r="G41" i="18"/>
  <c r="AM41" i="18"/>
  <c r="AH41" i="18"/>
  <c r="AE40" i="18"/>
  <c r="AJ37" i="18"/>
  <c r="AQ37" i="18" s="1"/>
  <c r="AI36" i="18"/>
  <c r="AP36" i="18" s="1"/>
  <c r="AF18" i="18"/>
  <c r="AH78" i="18"/>
  <c r="AI78" i="18"/>
  <c r="AE71" i="18"/>
  <c r="AH54" i="18"/>
  <c r="AG54" i="18"/>
  <c r="AH52" i="18"/>
  <c r="AG52" i="18"/>
  <c r="AI49" i="18"/>
  <c r="AL48" i="18"/>
  <c r="Y14" i="18"/>
  <c r="AJ65" i="18"/>
  <c r="AE54" i="18"/>
  <c r="AE53" i="18"/>
  <c r="AE52" i="18"/>
  <c r="U48" i="18"/>
  <c r="Y29" i="18"/>
  <c r="AK75" i="18"/>
  <c r="AI75" i="18"/>
  <c r="AL75" i="18"/>
  <c r="AI67" i="18"/>
  <c r="AP67" i="18" s="1"/>
  <c r="AL66" i="18"/>
  <c r="AL64" i="18"/>
  <c r="AK64" i="18"/>
  <c r="AE60" i="18"/>
  <c r="AM59" i="18"/>
  <c r="AH59" i="18"/>
  <c r="AE43" i="18"/>
  <c r="AH28" i="18"/>
  <c r="AJ26" i="18"/>
  <c r="AQ26" i="18" s="1"/>
  <c r="AI17" i="18"/>
  <c r="AP17" i="18" s="1"/>
  <c r="Z38" i="18"/>
  <c r="X134" i="18"/>
  <c r="Z134" i="18"/>
  <c r="M19" i="58"/>
  <c r="H172" i="58"/>
  <c r="I184" i="58"/>
  <c r="W59" i="19"/>
  <c r="A61" i="19"/>
  <c r="T196" i="58"/>
  <c r="H198" i="58"/>
  <c r="I63" i="58"/>
  <c r="X122" i="18"/>
  <c r="Z122" i="18"/>
  <c r="O353" i="19"/>
  <c r="M353" i="19" s="1"/>
  <c r="W353" i="19"/>
  <c r="O323" i="19"/>
  <c r="M323" i="19" s="1"/>
  <c r="W323" i="19"/>
  <c r="X100" i="18"/>
  <c r="Z100" i="18"/>
  <c r="W87" i="18"/>
  <c r="X27" i="18"/>
  <c r="Z27" i="18"/>
  <c r="X46" i="18"/>
  <c r="Z46" i="18"/>
  <c r="Z94" i="18"/>
  <c r="X94" i="18"/>
  <c r="AP94" i="18" s="1"/>
  <c r="AI104" i="18"/>
  <c r="AJ99" i="18"/>
  <c r="AQ99" i="18" s="1"/>
  <c r="AE99" i="18"/>
  <c r="AM98" i="18"/>
  <c r="AH98" i="18"/>
  <c r="AL97" i="18"/>
  <c r="AG97" i="18"/>
  <c r="AK96" i="18"/>
  <c r="AE96" i="18"/>
  <c r="G96" i="18"/>
  <c r="U96" i="18" s="1"/>
  <c r="AJ104" i="18"/>
  <c r="AQ104" i="18" s="1"/>
  <c r="AE104" i="18"/>
  <c r="AN104" i="18" s="1"/>
  <c r="AI100" i="18"/>
  <c r="AL99" i="18"/>
  <c r="AF99" i="18"/>
  <c r="AI98" i="18"/>
  <c r="AP98" i="18" s="1"/>
  <c r="AM97" i="18"/>
  <c r="AU97" i="18" s="1"/>
  <c r="AH97" i="18"/>
  <c r="AL96" i="18"/>
  <c r="AG96" i="18"/>
  <c r="AM104" i="18"/>
  <c r="AH104" i="18"/>
  <c r="AK103" i="18"/>
  <c r="AE103" i="18"/>
  <c r="AN103" i="18" s="1"/>
  <c r="AL100" i="18"/>
  <c r="AF100" i="18"/>
  <c r="H100" i="18"/>
  <c r="AI99" i="18"/>
  <c r="AL98" i="18"/>
  <c r="AG98" i="18"/>
  <c r="AI103" i="18"/>
  <c r="AK102" i="18"/>
  <c r="AM99" i="18"/>
  <c r="AE97" i="18"/>
  <c r="AH96" i="18"/>
  <c r="AM95" i="18"/>
  <c r="AU95" i="18" s="1"/>
  <c r="AG95" i="18"/>
  <c r="AJ94" i="18"/>
  <c r="AQ94" i="18" s="1"/>
  <c r="AF104" i="18"/>
  <c r="AE100" i="18"/>
  <c r="AE98" i="18"/>
  <c r="AI97" i="18"/>
  <c r="AP97" i="18" s="1"/>
  <c r="AI96" i="18"/>
  <c r="AP96" i="18" s="1"/>
  <c r="AL94" i="18"/>
  <c r="AL104" i="18"/>
  <c r="AJ100" i="18"/>
  <c r="G100" i="18"/>
  <c r="U100" i="18" s="1"/>
  <c r="AK98" i="18"/>
  <c r="AK97" i="18"/>
  <c r="G97" i="18"/>
  <c r="U97" i="18" s="1"/>
  <c r="AM96" i="18"/>
  <c r="AF102" i="18"/>
  <c r="AH99" i="18"/>
  <c r="G98" i="18"/>
  <c r="U98" i="18" s="1"/>
  <c r="AL95" i="18"/>
  <c r="AE95" i="18"/>
  <c r="AH94" i="18"/>
  <c r="O237" i="19"/>
  <c r="M237" i="19" s="1"/>
  <c r="W237" i="19"/>
  <c r="AJ92" i="18"/>
  <c r="AQ92" i="18" s="1"/>
  <c r="AE92" i="18"/>
  <c r="AI84" i="18"/>
  <c r="AG93" i="18"/>
  <c r="AH92" i="18"/>
  <c r="AK91" i="18"/>
  <c r="AK90" i="18"/>
  <c r="AI89" i="18"/>
  <c r="G89" i="18"/>
  <c r="U89" i="18" s="1"/>
  <c r="AM87" i="18"/>
  <c r="AU87" i="18" s="1"/>
  <c r="AE87" i="18"/>
  <c r="AJ86" i="18"/>
  <c r="G86" i="18"/>
  <c r="U86" i="18" s="1"/>
  <c r="AH84" i="18"/>
  <c r="AJ93" i="18"/>
  <c r="AQ93" i="18" s="1"/>
  <c r="AI92" i="18"/>
  <c r="AP92" i="18" s="1"/>
  <c r="AL91" i="18"/>
  <c r="AE91" i="18"/>
  <c r="AL90" i="18"/>
  <c r="AF90" i="18"/>
  <c r="AJ89" i="18"/>
  <c r="H89" i="18"/>
  <c r="W89" i="18" s="1"/>
  <c r="AL86" i="18"/>
  <c r="AE86" i="18"/>
  <c r="H86" i="18"/>
  <c r="AJ84" i="18"/>
  <c r="AM83" i="18"/>
  <c r="AU83" i="18" s="1"/>
  <c r="AE83" i="18"/>
  <c r="AK93" i="18"/>
  <c r="AE93" i="18"/>
  <c r="AL92" i="18"/>
  <c r="AG91" i="18"/>
  <c r="AK89" i="18"/>
  <c r="AE89" i="18"/>
  <c r="AL84" i="18"/>
  <c r="AE84" i="18"/>
  <c r="AN84" i="18" s="1"/>
  <c r="AM93" i="18"/>
  <c r="AF93" i="18"/>
  <c r="AM92" i="18"/>
  <c r="AU92" i="18" s="1"/>
  <c r="AF92" i="18"/>
  <c r="AI91" i="18"/>
  <c r="AH90" i="18"/>
  <c r="AF89" i="18"/>
  <c r="AM84" i="18"/>
  <c r="AF84" i="18"/>
  <c r="AI83" i="18"/>
  <c r="AK83" i="18"/>
  <c r="O121" i="19"/>
  <c r="M121" i="19" s="1"/>
  <c r="W121" i="19"/>
  <c r="O149" i="19"/>
  <c r="M149" i="19" s="1"/>
  <c r="W149" i="19"/>
  <c r="X49" i="18"/>
  <c r="Z49" i="18"/>
  <c r="W45" i="18"/>
  <c r="AP45" i="18"/>
  <c r="AP32" i="18"/>
  <c r="X82" i="18"/>
  <c r="Z82" i="18"/>
  <c r="O53" i="19"/>
  <c r="M53" i="19" s="1"/>
  <c r="W53" i="19"/>
  <c r="O48" i="19"/>
  <c r="M48" i="19" s="1"/>
  <c r="W48" i="19"/>
  <c r="AL27" i="18"/>
  <c r="AF27" i="18"/>
  <c r="AM22" i="18"/>
  <c r="AH22" i="18"/>
  <c r="AL18" i="18"/>
  <c r="AG18" i="18"/>
  <c r="AL26" i="18"/>
  <c r="AG26" i="18"/>
  <c r="AN26" i="18" s="1"/>
  <c r="AK19" i="18"/>
  <c r="AE19" i="18"/>
  <c r="G19" i="18"/>
  <c r="U19" i="18" s="1"/>
  <c r="AK17" i="18"/>
  <c r="AF17" i="18"/>
  <c r="AM27" i="18"/>
  <c r="AU27" i="18" s="1"/>
  <c r="AH27" i="18"/>
  <c r="AI22" i="18"/>
  <c r="AL21" i="18"/>
  <c r="AG21" i="18"/>
  <c r="AK20" i="18"/>
  <c r="AE20" i="18"/>
  <c r="G20" i="18"/>
  <c r="U20" i="18" s="1"/>
  <c r="AI19" i="18"/>
  <c r="AK24" i="18"/>
  <c r="AJ22" i="18"/>
  <c r="AQ22" i="18" s="1"/>
  <c r="AE22" i="18"/>
  <c r="AM21" i="18"/>
  <c r="AU21" i="18" s="1"/>
  <c r="AI27" i="18"/>
  <c r="AH25" i="18"/>
  <c r="AF24" i="18"/>
  <c r="AI18" i="18"/>
  <c r="AP18" i="18" s="1"/>
  <c r="AJ27" i="18"/>
  <c r="AE27" i="18"/>
  <c r="AN27" i="18" s="1"/>
  <c r="AJ25" i="18"/>
  <c r="AL22" i="18"/>
  <c r="AF22" i="18"/>
  <c r="AI21" i="18"/>
  <c r="AM20" i="18"/>
  <c r="AU20" i="18" s="1"/>
  <c r="AH20" i="18"/>
  <c r="AO20" i="18" s="1"/>
  <c r="AL19" i="18"/>
  <c r="AG19" i="18"/>
  <c r="AK18" i="18"/>
  <c r="AE18" i="18"/>
  <c r="AI26" i="18"/>
  <c r="AK25" i="18"/>
  <c r="AF25" i="18"/>
  <c r="AK21" i="18"/>
  <c r="AE21" i="18"/>
  <c r="G21" i="18"/>
  <c r="U21" i="18" s="1"/>
  <c r="AI20" i="18"/>
  <c r="AP20" i="18" s="1"/>
  <c r="AM19" i="18"/>
  <c r="AU19" i="18" s="1"/>
  <c r="AH19" i="18"/>
  <c r="AH17" i="18"/>
  <c r="AH21" i="18"/>
  <c r="AL20" i="18"/>
  <c r="AG20" i="18"/>
  <c r="X215" i="19"/>
  <c r="AF133" i="18"/>
  <c r="AJ120" i="18"/>
  <c r="H120" i="18"/>
  <c r="W120" i="18" s="1"/>
  <c r="AF119" i="18"/>
  <c r="AP125" i="18"/>
  <c r="AI129" i="18"/>
  <c r="AK122" i="18"/>
  <c r="Y132" i="18"/>
  <c r="AH125" i="18"/>
  <c r="AJ132" i="18"/>
  <c r="AF125" i="18"/>
  <c r="AJ130" i="18"/>
  <c r="AG128" i="18"/>
  <c r="AE127" i="18"/>
  <c r="AJ122" i="18"/>
  <c r="G122" i="18"/>
  <c r="U122" i="18" s="1"/>
  <c r="AL112" i="18"/>
  <c r="AJ109" i="18"/>
  <c r="H109" i="18"/>
  <c r="W109" i="18" s="1"/>
  <c r="AF108" i="18"/>
  <c r="AP99" i="18"/>
  <c r="AI128" i="18"/>
  <c r="AP128" i="18" s="1"/>
  <c r="AL123" i="18"/>
  <c r="AI112" i="18"/>
  <c r="AP112" i="18" s="1"/>
  <c r="AF130" i="18"/>
  <c r="AE125" i="18"/>
  <c r="Y124" i="18"/>
  <c r="AH136" i="18"/>
  <c r="U136" i="18"/>
  <c r="AJ136" i="18"/>
  <c r="AF111" i="18"/>
  <c r="AL103" i="18"/>
  <c r="AM100" i="18"/>
  <c r="AU100" i="18" s="1"/>
  <c r="AH91" i="18"/>
  <c r="AM89" i="18"/>
  <c r="AM116" i="18"/>
  <c r="AK113" i="18"/>
  <c r="AK100" i="18"/>
  <c r="AH89" i="18"/>
  <c r="Z128" i="18"/>
  <c r="AE117" i="18"/>
  <c r="AM103" i="18"/>
  <c r="AU103" i="18" s="1"/>
  <c r="AJ102" i="18"/>
  <c r="AQ102" i="18" s="1"/>
  <c r="G111" i="18"/>
  <c r="AJ111" i="18"/>
  <c r="AH105" i="18"/>
  <c r="AJ103" i="18"/>
  <c r="AI115" i="18"/>
  <c r="AP115" i="18" s="1"/>
  <c r="AP117" i="18"/>
  <c r="Z132" i="18"/>
  <c r="AL116" i="18"/>
  <c r="AM113" i="18"/>
  <c r="AU113" i="18" s="1"/>
  <c r="H111" i="18"/>
  <c r="W111" i="18" s="1"/>
  <c r="AO111" i="18" s="1"/>
  <c r="AG102" i="18"/>
  <c r="AM102" i="18"/>
  <c r="Z117" i="18"/>
  <c r="AH85" i="18"/>
  <c r="AH88" i="18"/>
  <c r="AF85" i="18"/>
  <c r="AG85" i="18"/>
  <c r="D85" i="29"/>
  <c r="AF101" i="18"/>
  <c r="AH101" i="18"/>
  <c r="AJ95" i="18"/>
  <c r="AQ95" i="18" s="1"/>
  <c r="AL87" i="18"/>
  <c r="AK87" i="18"/>
  <c r="AF77" i="18"/>
  <c r="Z93" i="18"/>
  <c r="AJ85" i="18"/>
  <c r="AM74" i="18"/>
  <c r="AJ72" i="18"/>
  <c r="AQ72" i="18" s="1"/>
  <c r="AJ61" i="18"/>
  <c r="AQ61" i="18" s="1"/>
  <c r="AK94" i="18"/>
  <c r="AE94" i="18"/>
  <c r="AN94" i="18" s="1"/>
  <c r="AL83" i="18"/>
  <c r="AF81" i="18"/>
  <c r="AH81" i="18"/>
  <c r="AI76" i="18"/>
  <c r="AP76" i="18" s="1"/>
  <c r="AL76" i="18"/>
  <c r="Z99" i="18"/>
  <c r="AH86" i="18"/>
  <c r="AE85" i="18"/>
  <c r="Z81" i="18"/>
  <c r="AK61" i="18"/>
  <c r="X61" i="18"/>
  <c r="AG50" i="18"/>
  <c r="AJ31" i="18"/>
  <c r="H31" i="18"/>
  <c r="W31" i="18" s="1"/>
  <c r="AF30" i="18"/>
  <c r="AK106" i="18"/>
  <c r="AM106" i="18"/>
  <c r="AF106" i="18"/>
  <c r="Z51" i="18"/>
  <c r="H42" i="18"/>
  <c r="AE23" i="18"/>
  <c r="S26" i="19"/>
  <c r="W26" i="19" s="1"/>
  <c r="AG42" i="18"/>
  <c r="AJ68" i="18"/>
  <c r="AJ44" i="18"/>
  <c r="AE29" i="18"/>
  <c r="AH24" i="18"/>
  <c r="S25" i="19"/>
  <c r="W25" i="19" s="1"/>
  <c r="G42" i="18"/>
  <c r="U42" i="18" s="1"/>
  <c r="AM42" i="18"/>
  <c r="AU42" i="18" s="1"/>
  <c r="AH42" i="18"/>
  <c r="AH79" i="18"/>
  <c r="AK68" i="18"/>
  <c r="AK67" i="18"/>
  <c r="AF66" i="18"/>
  <c r="AF65" i="18"/>
  <c r="AF64" i="18"/>
  <c r="AF63" i="18"/>
  <c r="AF42" i="18"/>
  <c r="AG41" i="18"/>
  <c r="AJ40" i="18"/>
  <c r="AQ38" i="18"/>
  <c r="AF28" i="18"/>
  <c r="AL25" i="18"/>
  <c r="AE24" i="18"/>
  <c r="Z92" i="18"/>
  <c r="Z73" i="18"/>
  <c r="AH49" i="18"/>
  <c r="AJ48" i="18"/>
  <c r="AQ48" i="18" s="1"/>
  <c r="AI82" i="18"/>
  <c r="AE79" i="18"/>
  <c r="AJ55" i="18"/>
  <c r="AQ55" i="18" s="1"/>
  <c r="AI41" i="18"/>
  <c r="AP41" i="18" s="1"/>
  <c r="Y40" i="18"/>
  <c r="AL40" i="18"/>
  <c r="AF37" i="18"/>
  <c r="AM37" i="18"/>
  <c r="AU37" i="18" s="1"/>
  <c r="AE36" i="18"/>
  <c r="AM25" i="18"/>
  <c r="AJ78" i="18"/>
  <c r="AE78" i="18"/>
  <c r="AJ71" i="18"/>
  <c r="Y71" i="18"/>
  <c r="AL71" i="18"/>
  <c r="AL53" i="18"/>
  <c r="X53" i="18"/>
  <c r="AK53" i="18"/>
  <c r="AE49" i="18"/>
  <c r="AN49" i="18" s="1"/>
  <c r="AM48" i="18"/>
  <c r="AU48" i="18" s="1"/>
  <c r="AH48" i="18"/>
  <c r="Z79" i="18"/>
  <c r="Y68" i="18"/>
  <c r="AJ64" i="18"/>
  <c r="AM54" i="18"/>
  <c r="AM53" i="18"/>
  <c r="AM52" i="18"/>
  <c r="AK49" i="18"/>
  <c r="Z48" i="18"/>
  <c r="AG44" i="18"/>
  <c r="AG43" i="18"/>
  <c r="AJ42" i="18"/>
  <c r="Z39" i="18"/>
  <c r="AI28" i="18"/>
  <c r="AP28" i="18" s="1"/>
  <c r="AH26" i="18"/>
  <c r="Z24" i="18"/>
  <c r="AG17" i="18"/>
  <c r="AF75" i="18"/>
  <c r="G75" i="18"/>
  <c r="AJ75" i="18"/>
  <c r="AH75" i="18"/>
  <c r="AE67" i="18"/>
  <c r="AM66" i="18"/>
  <c r="AH66" i="18"/>
  <c r="AH64" i="18"/>
  <c r="AG64" i="18"/>
  <c r="AJ60" i="18"/>
  <c r="AQ60" i="18" s="1"/>
  <c r="AI59" i="18"/>
  <c r="AL43" i="18"/>
  <c r="AF26" i="18"/>
  <c r="AE17" i="18"/>
  <c r="AK78" i="18"/>
  <c r="Z57" i="18"/>
  <c r="Z23" i="18"/>
  <c r="Z14" i="18"/>
  <c r="C6" i="29"/>
  <c r="AI12" i="18" s="1"/>
  <c r="S31" i="19"/>
  <c r="S8" i="19"/>
  <c r="S23" i="19"/>
  <c r="W23" i="19" s="1"/>
  <c r="S34" i="19"/>
  <c r="S18" i="19"/>
  <c r="S29" i="19"/>
  <c r="S10" i="19"/>
  <c r="S24" i="19"/>
  <c r="S20" i="19"/>
  <c r="S15" i="19"/>
  <c r="S7" i="19"/>
  <c r="S16" i="19"/>
  <c r="S21" i="19"/>
  <c r="S30" i="19"/>
  <c r="S11" i="19"/>
  <c r="S33" i="19"/>
  <c r="S19" i="19"/>
  <c r="S32" i="19"/>
  <c r="H63" i="58"/>
  <c r="AM134" i="18"/>
  <c r="AL137" i="18"/>
  <c r="AL135" i="18"/>
  <c r="AJ134" i="18"/>
  <c r="AE134" i="18"/>
  <c r="AN134" i="18" s="1"/>
  <c r="AM133" i="18"/>
  <c r="AU133" i="18" s="1"/>
  <c r="AH133" i="18"/>
  <c r="AH131" i="18"/>
  <c r="AJ128" i="18"/>
  <c r="AF135" i="18"/>
  <c r="AL134" i="18"/>
  <c r="AS134" i="18" s="1"/>
  <c r="AF134" i="18"/>
  <c r="AI133" i="18"/>
  <c r="AP133" i="18" s="1"/>
  <c r="AJ131" i="18"/>
  <c r="H131" i="18"/>
  <c r="AL129" i="18"/>
  <c r="AG129" i="18"/>
  <c r="AK128" i="18"/>
  <c r="AF128" i="18"/>
  <c r="AH135" i="18"/>
  <c r="AH134" i="18"/>
  <c r="AK133" i="18"/>
  <c r="AE133" i="18"/>
  <c r="G133" i="18"/>
  <c r="U133" i="18" s="1"/>
  <c r="AH137" i="18"/>
  <c r="AJ135" i="18"/>
  <c r="AQ135" i="18" s="1"/>
  <c r="AI134" i="18"/>
  <c r="AL133" i="18"/>
  <c r="AG133" i="18"/>
  <c r="AL131" i="18"/>
  <c r="AG131" i="18"/>
  <c r="AJ129" i="18"/>
  <c r="H129" i="18"/>
  <c r="AH128" i="18"/>
  <c r="X130" i="18"/>
  <c r="Z130" i="18"/>
  <c r="X103" i="18"/>
  <c r="AP103" i="18" s="1"/>
  <c r="Z103" i="18"/>
  <c r="AP89" i="18"/>
  <c r="W107" i="18"/>
  <c r="O236" i="19"/>
  <c r="M236" i="19" s="1"/>
  <c r="W236" i="19"/>
  <c r="X50" i="18"/>
  <c r="Z50" i="18"/>
  <c r="X106" i="18"/>
  <c r="Z106" i="18"/>
  <c r="AP30" i="18"/>
  <c r="X60" i="18"/>
  <c r="Z60" i="18"/>
  <c r="W56" i="18"/>
  <c r="AP56" i="18"/>
  <c r="W21" i="18"/>
  <c r="AP21" i="18"/>
  <c r="Y18" i="18"/>
  <c r="Z18" i="18"/>
  <c r="X78" i="18"/>
  <c r="Z78" i="18"/>
  <c r="W23" i="18"/>
  <c r="Z71" i="18"/>
  <c r="X71" i="18"/>
  <c r="X13" i="18"/>
  <c r="Z13" i="18"/>
  <c r="AP75" i="18"/>
  <c r="O92" i="19"/>
  <c r="M92" i="19" s="1"/>
  <c r="W92" i="19"/>
  <c r="AK34" i="18"/>
  <c r="AG34" i="18"/>
  <c r="AL35" i="18"/>
  <c r="AH35" i="18"/>
  <c r="AM38" i="18"/>
  <c r="AU38" i="18" s="1"/>
  <c r="AE38" i="18"/>
  <c r="AG37" i="18"/>
  <c r="AG36" i="18"/>
  <c r="AN36" i="18" s="1"/>
  <c r="AM35" i="18"/>
  <c r="AU35" i="18" s="1"/>
  <c r="AE35" i="18"/>
  <c r="AN35" i="18" s="1"/>
  <c r="AI34" i="18"/>
  <c r="AL33" i="18"/>
  <c r="AL32" i="18"/>
  <c r="AH31" i="18"/>
  <c r="AL30" i="18"/>
  <c r="AJ28" i="18"/>
  <c r="AE28" i="18"/>
  <c r="AN28" i="18" s="1"/>
  <c r="AH32" i="18"/>
  <c r="AL31" i="18"/>
  <c r="AH38" i="18"/>
  <c r="AF35" i="18"/>
  <c r="AL34" i="18"/>
  <c r="AM33" i="18"/>
  <c r="AE33" i="18"/>
  <c r="AG32" i="18"/>
  <c r="AK31" i="18"/>
  <c r="AG30" i="18"/>
  <c r="AI38" i="18"/>
  <c r="AK37" i="18"/>
  <c r="AK36" i="18"/>
  <c r="AH30" i="18"/>
  <c r="AL29" i="18"/>
  <c r="AM34" i="18"/>
  <c r="AU34" i="18" s="1"/>
  <c r="AE34" i="18"/>
  <c r="AH33" i="18"/>
  <c r="AL38" i="18"/>
  <c r="AL37" i="18"/>
  <c r="AF36" i="18"/>
  <c r="AJ35" i="18"/>
  <c r="AQ35" i="18" s="1"/>
  <c r="AH34" i="18"/>
  <c r="G34" i="18"/>
  <c r="U34" i="18" s="1"/>
  <c r="AI33" i="18"/>
  <c r="AK32" i="18"/>
  <c r="AG31" i="18"/>
  <c r="AK30" i="18"/>
  <c r="AI35" i="18"/>
  <c r="AM28" i="18"/>
  <c r="AG28" i="18"/>
  <c r="O62" i="19"/>
  <c r="M62" i="19" s="1"/>
  <c r="W62" i="19"/>
  <c r="R44" i="19"/>
  <c r="W44" i="19"/>
  <c r="O36" i="19"/>
  <c r="M36" i="19" s="1"/>
  <c r="W36" i="19"/>
  <c r="O37" i="19"/>
  <c r="M37" i="19" s="1"/>
  <c r="W37" i="19"/>
  <c r="O63" i="19"/>
  <c r="M63" i="19" s="1"/>
  <c r="W63" i="19"/>
  <c r="I6" i="18"/>
  <c r="N6" i="18"/>
  <c r="R6" i="18"/>
  <c r="AS6" i="18"/>
  <c r="BA6" i="18"/>
  <c r="S6" i="19" s="1"/>
  <c r="W6" i="19" s="1"/>
  <c r="BE6" i="18"/>
  <c r="R20" i="58"/>
  <c r="AJ137" i="18"/>
  <c r="AQ137" i="18" s="1"/>
  <c r="AE135" i="18"/>
  <c r="AJ133" i="18"/>
  <c r="H133" i="18"/>
  <c r="W133" i="18" s="1"/>
  <c r="AG126" i="18"/>
  <c r="AJ119" i="18"/>
  <c r="H119" i="18"/>
  <c r="W119" i="18" s="1"/>
  <c r="AF118" i="18"/>
  <c r="I173" i="58"/>
  <c r="AE137" i="18"/>
  <c r="AG135" i="18"/>
  <c r="AE136" i="18"/>
  <c r="AG132" i="18"/>
  <c r="AF129" i="18"/>
  <c r="AG127" i="18"/>
  <c r="AH124" i="18"/>
  <c r="AE129" i="18"/>
  <c r="AG122" i="18"/>
  <c r="AH132" i="18"/>
  <c r="AH130" i="18"/>
  <c r="AM125" i="18"/>
  <c r="AU125" i="18" s="1"/>
  <c r="AF132" i="18"/>
  <c r="AI136" i="18"/>
  <c r="AP136" i="18" s="1"/>
  <c r="AF131" i="18"/>
  <c r="H130" i="18"/>
  <c r="AL128" i="18"/>
  <c r="AJ127" i="18"/>
  <c r="AQ127" i="18" s="1"/>
  <c r="AF124" i="18"/>
  <c r="AJ108" i="18"/>
  <c r="H108" i="18"/>
  <c r="W108" i="18" s="1"/>
  <c r="AF107" i="18"/>
  <c r="AJ98" i="18"/>
  <c r="H98" i="18"/>
  <c r="W98" i="18" s="1"/>
  <c r="AO98" i="18" s="1"/>
  <c r="X84" i="18"/>
  <c r="AG80" i="18"/>
  <c r="G131" i="18"/>
  <c r="U131" i="18" s="1"/>
  <c r="AM131" i="18"/>
  <c r="AU131" i="18" s="1"/>
  <c r="AE128" i="18"/>
  <c r="AH123" i="18"/>
  <c r="AE112" i="18"/>
  <c r="AK130" i="18"/>
  <c r="AF127" i="18"/>
  <c r="AK125" i="18"/>
  <c r="AG124" i="18"/>
  <c r="AN124" i="18" s="1"/>
  <c r="AF136" i="18"/>
  <c r="AE130" i="18"/>
  <c r="AM124" i="18"/>
  <c r="AU124" i="18" s="1"/>
  <c r="AK117" i="18"/>
  <c r="AE115" i="18"/>
  <c r="AH113" i="18"/>
  <c r="AM111" i="18"/>
  <c r="AU111" i="18" s="1"/>
  <c r="Z105" i="18"/>
  <c r="AN93" i="18"/>
  <c r="AM91" i="18"/>
  <c r="AU91" i="18" s="1"/>
  <c r="AI116" i="18"/>
  <c r="AP116" i="18" s="1"/>
  <c r="AE113" i="18"/>
  <c r="AG100" i="18"/>
  <c r="AN91" i="18"/>
  <c r="AJ91" i="18"/>
  <c r="AQ91" i="18" s="1"/>
  <c r="AM117" i="18"/>
  <c r="U111" i="18"/>
  <c r="AE111" i="18"/>
  <c r="AL111" i="18"/>
  <c r="AF103" i="18"/>
  <c r="Z126" i="18"/>
  <c r="AH117" i="18"/>
  <c r="U115" i="18"/>
  <c r="Z111" i="18"/>
  <c r="AL102" i="18"/>
  <c r="AI102" i="18"/>
  <c r="AP102" i="18" s="1"/>
  <c r="Z91" i="18"/>
  <c r="Z104" i="18"/>
  <c r="Z88" i="18"/>
  <c r="AQ84" i="18"/>
  <c r="AG77" i="18"/>
  <c r="D101" i="29"/>
  <c r="AJ101" i="18"/>
  <c r="AM101" i="18"/>
  <c r="AF95" i="18"/>
  <c r="AF87" i="18"/>
  <c r="AG87" i="18"/>
  <c r="AM77" i="18"/>
  <c r="AF88" i="18"/>
  <c r="AF86" i="18"/>
  <c r="AH83" i="18"/>
  <c r="AI81" i="18"/>
  <c r="AP81" i="18" s="1"/>
  <c r="AF76" i="18"/>
  <c r="AH70" i="18"/>
  <c r="X58" i="18"/>
  <c r="X47" i="18"/>
  <c r="X35" i="18"/>
  <c r="X22" i="18"/>
  <c r="AP22" i="18" s="1"/>
  <c r="X15" i="18"/>
  <c r="AF94" i="18"/>
  <c r="AM90" i="18"/>
  <c r="AU90" i="18" s="1"/>
  <c r="AG83" i="18"/>
  <c r="U83" i="18"/>
  <c r="AJ83" i="18"/>
  <c r="AQ83" i="18" s="1"/>
  <c r="AH76" i="18"/>
  <c r="AM85" i="18"/>
  <c r="AU85" i="18" s="1"/>
  <c r="AE70" i="18"/>
  <c r="AN70" i="18" s="1"/>
  <c r="AK50" i="18"/>
  <c r="AG38" i="18"/>
  <c r="AG33" i="18"/>
  <c r="AJ30" i="18"/>
  <c r="H30" i="18"/>
  <c r="W30" i="18" s="1"/>
  <c r="AO30" i="18" s="1"/>
  <c r="AN30" i="18" s="1"/>
  <c r="AE106" i="18"/>
  <c r="Z102" i="18"/>
  <c r="AI86" i="18"/>
  <c r="X86" i="18"/>
  <c r="AK86" i="18"/>
  <c r="Z85" i="18"/>
  <c r="H54" i="18"/>
  <c r="H53" i="18"/>
  <c r="AL49" i="18"/>
  <c r="AI24" i="18"/>
  <c r="AP24" i="18" s="1"/>
  <c r="AJ23" i="18"/>
  <c r="G23" i="18"/>
  <c r="U23" i="18" s="1"/>
  <c r="AF68" i="18"/>
  <c r="AM68" i="18"/>
  <c r="AU68" i="18" s="1"/>
  <c r="AF44" i="18"/>
  <c r="AM44" i="18"/>
  <c r="AJ29" i="18"/>
  <c r="AI42" i="18"/>
  <c r="AP42" i="18" s="1"/>
  <c r="AI101" i="18"/>
  <c r="AP101" i="18" s="1"/>
  <c r="AG82" i="18"/>
  <c r="Z62" i="18"/>
  <c r="AP59" i="18"/>
  <c r="AO59" i="18" s="1"/>
  <c r="H43" i="18"/>
  <c r="W43" i="18" s="1"/>
  <c r="AO43" i="18" s="1"/>
  <c r="AK28" i="18"/>
  <c r="AQ27" i="18"/>
  <c r="AJ24" i="18"/>
  <c r="AQ24" i="18" s="1"/>
  <c r="D24" i="29"/>
  <c r="AF23" i="18"/>
  <c r="AJ54" i="18"/>
  <c r="AH23" i="18"/>
  <c r="AE82" i="18"/>
  <c r="Y79" i="18"/>
  <c r="AN79" i="18"/>
  <c r="AJ79" i="18"/>
  <c r="AF55" i="18"/>
  <c r="AM55" i="18"/>
  <c r="AU55" i="18" s="1"/>
  <c r="AE41" i="18"/>
  <c r="AM40" i="18"/>
  <c r="AH40" i="18"/>
  <c r="AI37" i="18"/>
  <c r="AP37" i="18" s="1"/>
  <c r="AL36" i="18"/>
  <c r="AI25" i="18"/>
  <c r="AP25" i="18" s="1"/>
  <c r="AO25" i="18" s="1"/>
  <c r="AL78" i="18"/>
  <c r="AF71" i="18"/>
  <c r="AM71" i="18"/>
  <c r="AU71" i="18" s="1"/>
  <c r="AH71" i="18"/>
  <c r="AH53" i="18"/>
  <c r="AG53" i="18"/>
  <c r="AJ49" i="18"/>
  <c r="AQ49" i="18" s="1"/>
  <c r="AI48" i="18"/>
  <c r="AK23" i="18"/>
  <c r="AJ63" i="18"/>
  <c r="AH60" i="18"/>
  <c r="AJ59" i="18"/>
  <c r="G54" i="18"/>
  <c r="U54" i="18" s="1"/>
  <c r="G53" i="18"/>
  <c r="U53" i="18" s="1"/>
  <c r="G52" i="18"/>
  <c r="AK48" i="18"/>
  <c r="Z41" i="18"/>
  <c r="AG29" i="18"/>
  <c r="AM26" i="18"/>
  <c r="AU26" i="18" s="1"/>
  <c r="AG24" i="18"/>
  <c r="AI23" i="18"/>
  <c r="AP23" i="18" s="1"/>
  <c r="AL17" i="18"/>
  <c r="D16" i="29"/>
  <c r="U16" i="18"/>
  <c r="U75" i="18"/>
  <c r="AL67" i="18"/>
  <c r="AI66" i="18"/>
  <c r="AL65" i="18"/>
  <c r="X65" i="18"/>
  <c r="AK65" i="18"/>
  <c r="AL63" i="18"/>
  <c r="X63" i="18"/>
  <c r="AF60" i="18"/>
  <c r="AM60" i="18"/>
  <c r="G43" i="18"/>
  <c r="U43" i="18" s="1"/>
  <c r="AM43" i="18"/>
  <c r="AU43" i="18" s="1"/>
  <c r="Z61" i="18"/>
  <c r="Z22" i="18"/>
  <c r="S28" i="19"/>
  <c r="W28" i="19" s="1"/>
  <c r="Z26" i="18"/>
  <c r="L21" i="58"/>
  <c r="M63" i="58"/>
  <c r="J19" i="58"/>
  <c r="P21" i="58"/>
  <c r="Q63" i="58"/>
  <c r="Z135" i="18"/>
  <c r="X135" i="18"/>
  <c r="AP135" i="18" s="1"/>
  <c r="X129" i="18"/>
  <c r="Z129" i="18"/>
  <c r="M342" i="19"/>
  <c r="W342" i="19"/>
  <c r="O352" i="19"/>
  <c r="M352" i="19" s="1"/>
  <c r="W352" i="19"/>
  <c r="Z131" i="18"/>
  <c r="X131" i="18"/>
  <c r="Z124" i="18"/>
  <c r="X124" i="18"/>
  <c r="X80" i="18"/>
  <c r="Z80" i="18"/>
  <c r="O324" i="19"/>
  <c r="M324" i="19" s="1"/>
  <c r="W324" i="19"/>
  <c r="AI126" i="18"/>
  <c r="AK123" i="18"/>
  <c r="AF123" i="18"/>
  <c r="AJ121" i="18"/>
  <c r="AQ121" i="18" s="1"/>
  <c r="AE121" i="18"/>
  <c r="AM120" i="18"/>
  <c r="AU120" i="18" s="1"/>
  <c r="AH120" i="18"/>
  <c r="AL119" i="18"/>
  <c r="AG119" i="18"/>
  <c r="AJ126" i="18"/>
  <c r="AE126" i="18"/>
  <c r="AJ124" i="18"/>
  <c r="AM123" i="18"/>
  <c r="AU123" i="18" s="1"/>
  <c r="AG123" i="18"/>
  <c r="AL126" i="18"/>
  <c r="AF126" i="18"/>
  <c r="AM121" i="18"/>
  <c r="AH121" i="18"/>
  <c r="AK120" i="18"/>
  <c r="AE120" i="18"/>
  <c r="G120" i="18"/>
  <c r="U120" i="18" s="1"/>
  <c r="AI119" i="18"/>
  <c r="AP119" i="18" s="1"/>
  <c r="AM118" i="18"/>
  <c r="AU118" i="18" s="1"/>
  <c r="AH118" i="18"/>
  <c r="AO118" i="18" s="1"/>
  <c r="AM126" i="18"/>
  <c r="AU126" i="18" s="1"/>
  <c r="AH126" i="18"/>
  <c r="AJ123" i="18"/>
  <c r="AQ123" i="18" s="1"/>
  <c r="AE123" i="18"/>
  <c r="AL122" i="18"/>
  <c r="AF122" i="18"/>
  <c r="H122" i="18"/>
  <c r="AI121" i="18"/>
  <c r="AL120" i="18"/>
  <c r="AG120" i="18"/>
  <c r="AL121" i="18"/>
  <c r="AK119" i="18"/>
  <c r="G119" i="18"/>
  <c r="U119" i="18" s="1"/>
  <c r="AG118" i="18"/>
  <c r="G118" i="18"/>
  <c r="U118" i="18" s="1"/>
  <c r="AM119" i="18"/>
  <c r="AI118" i="18"/>
  <c r="AP118" i="18" s="1"/>
  <c r="AJ116" i="18"/>
  <c r="AQ116" i="18" s="1"/>
  <c r="AI120" i="18"/>
  <c r="AP120" i="18" s="1"/>
  <c r="AE119" i="18"/>
  <c r="AK118" i="18"/>
  <c r="AK116" i="18"/>
  <c r="AI122" i="18"/>
  <c r="AF121" i="18"/>
  <c r="AH119" i="18"/>
  <c r="AL118" i="18"/>
  <c r="AE118" i="18"/>
  <c r="AM114" i="18"/>
  <c r="AH114" i="18"/>
  <c r="AL114" i="18"/>
  <c r="AE114" i="18"/>
  <c r="AN114" i="18" s="1"/>
  <c r="AK112" i="18"/>
  <c r="AM110" i="18"/>
  <c r="AH110" i="18"/>
  <c r="AK109" i="18"/>
  <c r="AE109" i="18"/>
  <c r="G109" i="18"/>
  <c r="U109" i="18" s="1"/>
  <c r="AI108" i="18"/>
  <c r="AP108" i="18" s="1"/>
  <c r="AM107" i="18"/>
  <c r="AU107" i="18" s="1"/>
  <c r="AH107" i="18"/>
  <c r="AF114" i="18"/>
  <c r="AI113" i="18"/>
  <c r="AP113" i="18" s="1"/>
  <c r="AF112" i="18"/>
  <c r="AI110" i="18"/>
  <c r="AL109" i="18"/>
  <c r="AG109" i="18"/>
  <c r="AK108" i="18"/>
  <c r="AE108" i="18"/>
  <c r="G108" i="18"/>
  <c r="U108" i="18" s="1"/>
  <c r="AI107" i="18"/>
  <c r="AP107" i="18" s="1"/>
  <c r="AI114" i="18"/>
  <c r="AL113" i="18"/>
  <c r="AH112" i="18"/>
  <c r="AI111" i="18"/>
  <c r="AP111" i="18" s="1"/>
  <c r="AJ110" i="18"/>
  <c r="AQ110" i="18" s="1"/>
  <c r="AE110" i="18"/>
  <c r="AM109" i="18"/>
  <c r="AH109" i="18"/>
  <c r="AJ114" i="18"/>
  <c r="AQ114" i="18" s="1"/>
  <c r="AJ112" i="18"/>
  <c r="AQ112" i="18" s="1"/>
  <c r="AL110" i="18"/>
  <c r="AF110" i="18"/>
  <c r="AI109" i="18"/>
  <c r="AP109" i="18" s="1"/>
  <c r="AM108" i="18"/>
  <c r="AU108" i="18" s="1"/>
  <c r="AH108" i="18"/>
  <c r="AL107" i="18"/>
  <c r="AG107" i="18"/>
  <c r="AK105" i="18"/>
  <c r="AF105" i="18"/>
  <c r="AE107" i="18"/>
  <c r="AI106" i="18"/>
  <c r="AK107" i="18"/>
  <c r="AE105" i="18"/>
  <c r="AG108" i="18"/>
  <c r="AJ105" i="18"/>
  <c r="AL108" i="18"/>
  <c r="G107" i="18"/>
  <c r="U107" i="18" s="1"/>
  <c r="AL39" i="18"/>
  <c r="AH39" i="18"/>
  <c r="AL47" i="18"/>
  <c r="AH47" i="18"/>
  <c r="AJ47" i="18"/>
  <c r="AL46" i="18"/>
  <c r="AL45" i="18"/>
  <c r="AJ43" i="18"/>
  <c r="AF41" i="18"/>
  <c r="AG40" i="18"/>
  <c r="AN40" i="18" s="1"/>
  <c r="AM39" i="18"/>
  <c r="AE39" i="18"/>
  <c r="AN39" i="18" s="1"/>
  <c r="AK40" i="18"/>
  <c r="AM47" i="18"/>
  <c r="AU47" i="18" s="1"/>
  <c r="AE47" i="18"/>
  <c r="AN47" i="18" s="1"/>
  <c r="AM46" i="18"/>
  <c r="AU46" i="18" s="1"/>
  <c r="AE46" i="18"/>
  <c r="AN46" i="18" s="1"/>
  <c r="AG45" i="18"/>
  <c r="AF39" i="18"/>
  <c r="AF47" i="18"/>
  <c r="AH46" i="18"/>
  <c r="AF43" i="18"/>
  <c r="AI39" i="18"/>
  <c r="AH45" i="18"/>
  <c r="AL44" i="18"/>
  <c r="AJ41" i="18"/>
  <c r="AI47" i="18"/>
  <c r="AI46" i="18"/>
  <c r="AK45" i="18"/>
  <c r="AK41" i="18"/>
  <c r="H41" i="18"/>
  <c r="W41" i="18" s="1"/>
  <c r="AO41" i="18" s="1"/>
  <c r="AF40" i="18"/>
  <c r="AJ39" i="18"/>
  <c r="AQ39" i="18" s="1"/>
  <c r="X33" i="18"/>
  <c r="Z33" i="18"/>
  <c r="AM80" i="18"/>
  <c r="AU80" i="18" s="1"/>
  <c r="AH80" i="18"/>
  <c r="AG81" i="18"/>
  <c r="AF80" i="18"/>
  <c r="AK76" i="18"/>
  <c r="AE76" i="18"/>
  <c r="H76" i="18"/>
  <c r="W76" i="18" s="1"/>
  <c r="AO76" i="18" s="1"/>
  <c r="AK74" i="18"/>
  <c r="AF74" i="18"/>
  <c r="H74" i="18"/>
  <c r="W74" i="18" s="1"/>
  <c r="AO74" i="18" s="1"/>
  <c r="AI73" i="18"/>
  <c r="AM72" i="18"/>
  <c r="AU72" i="18" s="1"/>
  <c r="AI72" i="18"/>
  <c r="AE72" i="18"/>
  <c r="AN72" i="18" s="1"/>
  <c r="AI80" i="18"/>
  <c r="AJ81" i="18"/>
  <c r="AI74" i="18"/>
  <c r="AP74" i="18" s="1"/>
  <c r="AK73" i="18"/>
  <c r="AF73" i="18"/>
  <c r="AJ80" i="18"/>
  <c r="AQ80" i="18" s="1"/>
  <c r="AG76" i="18"/>
  <c r="AM81" i="18"/>
  <c r="AU81" i="18" s="1"/>
  <c r="AL80" i="18"/>
  <c r="AL77" i="18"/>
  <c r="AM75" i="18"/>
  <c r="AU75" i="18" s="1"/>
  <c r="AJ74" i="18"/>
  <c r="G74" i="18"/>
  <c r="U74" i="18" s="1"/>
  <c r="G76" i="18"/>
  <c r="U76" i="18" s="1"/>
  <c r="AJ76" i="18"/>
  <c r="AG73" i="18"/>
  <c r="AN73" i="18" s="1"/>
  <c r="AH72" i="18"/>
  <c r="AE81" i="18"/>
  <c r="AE80" i="18"/>
  <c r="AE74" i="18"/>
  <c r="AM73" i="18"/>
  <c r="AL72" i="18"/>
  <c r="O179" i="19"/>
  <c r="M179" i="19" s="1"/>
  <c r="W179" i="19"/>
  <c r="AJ69" i="18"/>
  <c r="AQ69" i="18" s="1"/>
  <c r="AF69" i="18"/>
  <c r="AL62" i="18"/>
  <c r="AH62" i="18"/>
  <c r="AL69" i="18"/>
  <c r="AH69" i="18"/>
  <c r="AJ67" i="18"/>
  <c r="AK66" i="18"/>
  <c r="AM65" i="18"/>
  <c r="AE65" i="18"/>
  <c r="G65" i="18"/>
  <c r="U65" i="18" s="1"/>
  <c r="AM64" i="18"/>
  <c r="AU64" i="18" s="1"/>
  <c r="AE64" i="18"/>
  <c r="G64" i="18"/>
  <c r="U64" i="18" s="1"/>
  <c r="AM63" i="18"/>
  <c r="AE63" i="18"/>
  <c r="G63" i="18"/>
  <c r="U63" i="18" s="1"/>
  <c r="AI62" i="18"/>
  <c r="AI61" i="18"/>
  <c r="AF70" i="18"/>
  <c r="AE69" i="18"/>
  <c r="AJ62" i="18"/>
  <c r="AQ62" i="18" s="1"/>
  <c r="AL61" i="18"/>
  <c r="AJ70" i="18"/>
  <c r="AI69" i="18"/>
  <c r="AP69" i="18" s="1"/>
  <c r="AL68" i="18"/>
  <c r="AF67" i="18"/>
  <c r="AG66" i="18"/>
  <c r="AI65" i="18"/>
  <c r="AI64" i="18"/>
  <c r="AP64" i="18" s="1"/>
  <c r="AI63" i="18"/>
  <c r="AM62" i="18"/>
  <c r="AU62" i="18" s="1"/>
  <c r="AE62" i="18"/>
  <c r="AN62" i="18" s="1"/>
  <c r="AM61" i="18"/>
  <c r="AU61" i="18" s="1"/>
  <c r="AE61" i="18"/>
  <c r="AN61" i="18" s="1"/>
  <c r="AM69" i="18"/>
  <c r="AU69" i="18" s="1"/>
  <c r="AF62" i="18"/>
  <c r="AH61" i="18"/>
  <c r="AL51" i="18"/>
  <c r="AH51" i="18"/>
  <c r="AL58" i="18"/>
  <c r="AH58" i="18"/>
  <c r="AK60" i="18"/>
  <c r="AK59" i="18"/>
  <c r="AI58" i="18"/>
  <c r="AI57" i="18"/>
  <c r="AP57" i="18" s="1"/>
  <c r="AK56" i="18"/>
  <c r="AG55" i="18"/>
  <c r="AJ51" i="18"/>
  <c r="AQ51" i="18" s="1"/>
  <c r="AL50" i="18"/>
  <c r="AJ58" i="18"/>
  <c r="AQ58" i="18" s="1"/>
  <c r="AL57" i="18"/>
  <c r="AL56" i="18"/>
  <c r="AM51" i="18"/>
  <c r="AU51" i="18" s="1"/>
  <c r="AE51" i="18"/>
  <c r="AN51" i="18" s="1"/>
  <c r="AM50" i="18"/>
  <c r="AU50" i="18" s="1"/>
  <c r="AE50" i="18"/>
  <c r="AG60" i="18"/>
  <c r="AN60" i="18" s="1"/>
  <c r="AG59" i="18"/>
  <c r="AM58" i="18"/>
  <c r="AU58" i="18" s="1"/>
  <c r="AE58" i="18"/>
  <c r="AN58" i="18" s="1"/>
  <c r="AM57" i="18"/>
  <c r="AU57" i="18" s="1"/>
  <c r="AE57" i="18"/>
  <c r="AN57" i="18" s="1"/>
  <c r="AG56" i="18"/>
  <c r="AK55" i="18"/>
  <c r="AF51" i="18"/>
  <c r="AH50" i="18"/>
  <c r="AF58" i="18"/>
  <c r="AH57" i="18"/>
  <c r="AH56" i="18"/>
  <c r="AL55" i="18"/>
  <c r="AI51" i="18"/>
  <c r="AI50" i="18"/>
  <c r="W42" i="18"/>
  <c r="AO42" i="18" s="1"/>
  <c r="AP19" i="18"/>
  <c r="O91" i="19"/>
  <c r="M91" i="19" s="1"/>
  <c r="W91" i="19"/>
  <c r="O39" i="19"/>
  <c r="M39" i="19" s="1"/>
  <c r="W39" i="19"/>
  <c r="O45" i="19"/>
  <c r="M45" i="19" s="1"/>
  <c r="W45" i="19"/>
  <c r="O49" i="19"/>
  <c r="M49" i="19" s="1"/>
  <c r="W49" i="19"/>
  <c r="O47" i="19"/>
  <c r="M47" i="19" s="1"/>
  <c r="W47" i="19"/>
  <c r="T69" i="58"/>
  <c r="AI137" i="18"/>
  <c r="AK135" i="18"/>
  <c r="AM136" i="18"/>
  <c r="AU136" i="18" s="1"/>
  <c r="AL132" i="18"/>
  <c r="AK129" i="18"/>
  <c r="AM127" i="18"/>
  <c r="AU127" i="18" s="1"/>
  <c r="AG125" i="18"/>
  <c r="AH122" i="18"/>
  <c r="U129" i="18"/>
  <c r="AG136" i="18"/>
  <c r="AM132" i="18"/>
  <c r="AU132" i="18" s="1"/>
  <c r="AQ134" i="18"/>
  <c r="AQ128" i="18"/>
  <c r="AK124" i="18"/>
  <c r="AG110" i="18"/>
  <c r="AJ107" i="18"/>
  <c r="AI131" i="18"/>
  <c r="H20" i="58"/>
  <c r="AE132" i="18"/>
  <c r="AK127" i="18"/>
  <c r="AL124" i="18"/>
  <c r="AI124" i="18"/>
  <c r="AG116" i="18"/>
  <c r="AN116" i="18" s="1"/>
  <c r="AM115" i="18"/>
  <c r="AU115" i="18" s="1"/>
  <c r="AG105" i="18"/>
  <c r="AH102" i="18"/>
  <c r="U113" i="18"/>
  <c r="AJ113" i="18"/>
  <c r="AQ113" i="18" s="1"/>
  <c r="AL93" i="18"/>
  <c r="AF91" i="18"/>
  <c r="Z125" i="18"/>
  <c r="AG111" i="18"/>
  <c r="AI105" i="18"/>
  <c r="AP105" i="18" s="1"/>
  <c r="Y103" i="18"/>
  <c r="AQ103" i="18" s="1"/>
  <c r="AG117" i="18"/>
  <c r="AN117" i="18" s="1"/>
  <c r="AJ117" i="18"/>
  <c r="AQ117" i="18" s="1"/>
  <c r="AK115" i="18"/>
  <c r="AQ115" i="18"/>
  <c r="AL115" i="18"/>
  <c r="Z115" i="18"/>
  <c r="AK111" i="18"/>
  <c r="AE102" i="18"/>
  <c r="AI88" i="18"/>
  <c r="U85" i="18"/>
  <c r="AJ88" i="18"/>
  <c r="AQ88" i="18" s="1"/>
  <c r="H85" i="18"/>
  <c r="AK88" i="18"/>
  <c r="AH87" i="18"/>
  <c r="AI85" i="18"/>
  <c r="Z84" i="18"/>
  <c r="AE101" i="18"/>
  <c r="AN101" i="18" s="1"/>
  <c r="AI77" i="18"/>
  <c r="AG90" i="18"/>
  <c r="AN90" i="18" s="1"/>
  <c r="AM88" i="18"/>
  <c r="AI87" i="18"/>
  <c r="AM86" i="18"/>
  <c r="AU86" i="18" s="1"/>
  <c r="AH77" i="18"/>
  <c r="AM76" i="18"/>
  <c r="AU76" i="18" s="1"/>
  <c r="U77" i="18"/>
  <c r="AI90" i="18"/>
  <c r="AP90" i="18" s="1"/>
  <c r="G87" i="18"/>
  <c r="U87" i="18" s="1"/>
  <c r="AK38" i="18"/>
  <c r="AP38" i="18"/>
  <c r="AK33" i="18"/>
  <c r="Y106" i="18"/>
  <c r="AQ106" i="18" s="1"/>
  <c r="AL106" i="18"/>
  <c r="AG86" i="18"/>
  <c r="AG71" i="18"/>
  <c r="AN71" i="18" s="1"/>
  <c r="AH68" i="18"/>
  <c r="AF48" i="18"/>
  <c r="AH44" i="18"/>
  <c r="AK42" i="18"/>
  <c r="AP26" i="18"/>
  <c r="AI68" i="18"/>
  <c r="AP68" i="18" s="1"/>
  <c r="AI44" i="18"/>
  <c r="AP44" i="18" s="1"/>
  <c r="AF29" i="18"/>
  <c r="AE42" i="18"/>
  <c r="Z87" i="18"/>
  <c r="Z69" i="18"/>
  <c r="H67" i="18"/>
  <c r="W67" i="18" s="1"/>
  <c r="AP66" i="18"/>
  <c r="H65" i="18"/>
  <c r="H64" i="18"/>
  <c r="W64" i="18" s="1"/>
  <c r="AO64" i="18" s="1"/>
  <c r="H63" i="18"/>
  <c r="AL60" i="18"/>
  <c r="U52" i="18"/>
  <c r="AH37" i="18"/>
  <c r="AJ36" i="18"/>
  <c r="AQ36" i="18" s="1"/>
  <c r="AK29" i="18"/>
  <c r="AQ25" i="18"/>
  <c r="AL23" i="18"/>
  <c r="AH18" i="18"/>
  <c r="Z70" i="18"/>
  <c r="AJ53" i="18"/>
  <c r="AM23" i="18"/>
  <c r="AL82" i="18"/>
  <c r="AH82" i="18"/>
  <c r="AM79" i="18"/>
  <c r="AU79" i="18" s="1"/>
  <c r="AI79" i="18"/>
  <c r="AP79" i="18" s="1"/>
  <c r="AF79" i="18"/>
  <c r="AI55" i="18"/>
  <c r="AP55" i="18" s="1"/>
  <c r="U41" i="18"/>
  <c r="AL41" i="18"/>
  <c r="AI40" i="18"/>
  <c r="AP40" i="18" s="1"/>
  <c r="AE37" i="18"/>
  <c r="AM36" i="18"/>
  <c r="AU36" i="18" s="1"/>
  <c r="AH36" i="18"/>
  <c r="AE25" i="18"/>
  <c r="AN18" i="18"/>
  <c r="AJ18" i="18"/>
  <c r="H78" i="18"/>
  <c r="AF78" i="18"/>
  <c r="AG78" i="18"/>
  <c r="G78" i="18"/>
  <c r="U78" i="18" s="1"/>
  <c r="AM78" i="18"/>
  <c r="AU78" i="18" s="1"/>
  <c r="AI71" i="18"/>
  <c r="AL54" i="18"/>
  <c r="X54" i="18"/>
  <c r="AK54" i="18"/>
  <c r="AL52" i="18"/>
  <c r="X52" i="18"/>
  <c r="AK52" i="18"/>
  <c r="AF49" i="18"/>
  <c r="AM49" i="18"/>
  <c r="AU49" i="18" s="1"/>
  <c r="AE48" i="18"/>
  <c r="AG23" i="18"/>
  <c r="AG75" i="18"/>
  <c r="AG68" i="18"/>
  <c r="AN68" i="18" s="1"/>
  <c r="AG67" i="18"/>
  <c r="AJ66" i="18"/>
  <c r="AQ66" i="18" s="1"/>
  <c r="Z54" i="18"/>
  <c r="Z53" i="18"/>
  <c r="Z52" i="18"/>
  <c r="Y44" i="18"/>
  <c r="AQ44" i="18" s="1"/>
  <c r="Z25" i="18"/>
  <c r="AM24" i="18"/>
  <c r="AU24" i="18" s="1"/>
  <c r="D23" i="29"/>
  <c r="H75" i="18"/>
  <c r="W75" i="18" s="1"/>
  <c r="AO75" i="18" s="1"/>
  <c r="G67" i="18"/>
  <c r="U67" i="18" s="1"/>
  <c r="AM67" i="18"/>
  <c r="AU67" i="18" s="1"/>
  <c r="AH67" i="18"/>
  <c r="AE66" i="18"/>
  <c r="AH65" i="18"/>
  <c r="AG65" i="18"/>
  <c r="AH63" i="18"/>
  <c r="AG63" i="18"/>
  <c r="AI60" i="18"/>
  <c r="AQ59" i="18"/>
  <c r="AL59" i="18"/>
  <c r="AI43" i="18"/>
  <c r="AP43" i="18" s="1"/>
  <c r="AQ28" i="18"/>
  <c r="Z17" i="18"/>
  <c r="AU28" i="18"/>
  <c r="O315" i="19"/>
  <c r="M315" i="19" s="1"/>
  <c r="W315" i="19"/>
  <c r="O229" i="19"/>
  <c r="M229" i="19" s="1"/>
  <c r="W229" i="19"/>
  <c r="O158" i="19"/>
  <c r="M158" i="19" s="1"/>
  <c r="W158" i="19"/>
  <c r="O112" i="19"/>
  <c r="M112" i="19" s="1"/>
  <c r="W112" i="19"/>
  <c r="O228" i="19"/>
  <c r="M228" i="19" s="1"/>
  <c r="W228" i="19"/>
  <c r="O199" i="19"/>
  <c r="M199" i="19" s="1"/>
  <c r="W199" i="19"/>
  <c r="O12" i="19"/>
  <c r="M12" i="19" s="1"/>
  <c r="AU98" i="18"/>
  <c r="AU31" i="18"/>
  <c r="AU82" i="18"/>
  <c r="AU74" i="18"/>
  <c r="AU109" i="18"/>
  <c r="AU89" i="18"/>
  <c r="AU66" i="18"/>
  <c r="AU117" i="18"/>
  <c r="AU84" i="18"/>
  <c r="AU59" i="18"/>
  <c r="AU54" i="18"/>
  <c r="AU135" i="18"/>
  <c r="O125" i="19"/>
  <c r="M125" i="19" s="1"/>
  <c r="W125" i="19"/>
  <c r="O115" i="19"/>
  <c r="M115" i="19" s="1"/>
  <c r="W115" i="19"/>
  <c r="O113" i="19"/>
  <c r="M113" i="19" s="1"/>
  <c r="W113" i="19"/>
  <c r="O109" i="19"/>
  <c r="M109" i="19" s="1"/>
  <c r="W109" i="19"/>
  <c r="O289" i="19"/>
  <c r="M289" i="19" s="1"/>
  <c r="W289" i="19"/>
  <c r="AU63" i="18"/>
  <c r="O316" i="19"/>
  <c r="M316" i="19" s="1"/>
  <c r="W316" i="19"/>
  <c r="O17" i="19"/>
  <c r="M17" i="19" s="1"/>
  <c r="O347" i="19"/>
  <c r="M347" i="19" s="1"/>
  <c r="W347" i="19"/>
  <c r="AU33" i="18"/>
  <c r="O101" i="19"/>
  <c r="M101" i="19" s="1"/>
  <c r="W101" i="19"/>
  <c r="AU116" i="18"/>
  <c r="AU65" i="18"/>
  <c r="AU60" i="18"/>
  <c r="O114" i="19"/>
  <c r="M114" i="19" s="1"/>
  <c r="W114" i="19"/>
  <c r="O14" i="19"/>
  <c r="M14" i="19" s="1"/>
  <c r="AU129" i="18"/>
  <c r="AU96" i="18"/>
  <c r="AU114" i="18"/>
  <c r="AU106" i="18"/>
  <c r="AU52" i="18"/>
  <c r="AU93" i="18"/>
  <c r="O9" i="19"/>
  <c r="M9" i="19" s="1"/>
  <c r="O13" i="19"/>
  <c r="M13" i="19" s="1"/>
  <c r="AU122" i="18"/>
  <c r="AU104" i="18"/>
  <c r="AU73" i="18"/>
  <c r="AU17" i="18"/>
  <c r="AU102" i="18"/>
  <c r="AU40" i="18"/>
  <c r="AU101" i="18"/>
  <c r="AU56" i="18"/>
  <c r="C6" i="17"/>
  <c r="D6" i="17" s="1"/>
  <c r="AP34" i="18" l="1"/>
  <c r="AP91" i="18"/>
  <c r="AP132" i="18"/>
  <c r="AN102" i="18"/>
  <c r="AQ70" i="18"/>
  <c r="AQ126" i="18"/>
  <c r="AP84" i="18"/>
  <c r="AN98" i="18"/>
  <c r="AQ50" i="18"/>
  <c r="AO69" i="18"/>
  <c r="AN69" i="18"/>
  <c r="AO40" i="18"/>
  <c r="AO66" i="18"/>
  <c r="AN123" i="18"/>
  <c r="AN59" i="18"/>
  <c r="AN121" i="18"/>
  <c r="AO135" i="18"/>
  <c r="AN29" i="18"/>
  <c r="H173" i="58"/>
  <c r="AN33" i="18"/>
  <c r="AQ132" i="18"/>
  <c r="U6" i="18"/>
  <c r="AP126" i="18"/>
  <c r="AN125" i="18"/>
  <c r="AN19" i="18"/>
  <c r="AP48" i="18"/>
  <c r="AP87" i="18"/>
  <c r="AN55" i="18"/>
  <c r="AQ47" i="18"/>
  <c r="AN137" i="18"/>
  <c r="AO34" i="18"/>
  <c r="AN22" i="18"/>
  <c r="AQ33" i="18"/>
  <c r="AN66" i="18"/>
  <c r="AN82" i="18"/>
  <c r="AP33" i="18"/>
  <c r="AQ79" i="18"/>
  <c r="AN38" i="18"/>
  <c r="D7" i="29"/>
  <c r="Y7" i="18"/>
  <c r="D9" i="29"/>
  <c r="AN24" i="18"/>
  <c r="AN135" i="18"/>
  <c r="AO119" i="18"/>
  <c r="AN119" i="18" s="1"/>
  <c r="AK6" i="18"/>
  <c r="X8" i="18"/>
  <c r="E6" i="17"/>
  <c r="X10" i="18"/>
  <c r="AN75" i="18"/>
  <c r="AN77" i="18"/>
  <c r="AN113" i="18"/>
  <c r="AW113" i="18" s="1"/>
  <c r="AN81" i="18"/>
  <c r="AN20" i="18"/>
  <c r="AN132" i="18"/>
  <c r="AN50" i="18"/>
  <c r="AN64" i="18"/>
  <c r="AN74" i="18"/>
  <c r="AN83" i="18"/>
  <c r="AN115" i="18"/>
  <c r="AG6" i="18"/>
  <c r="AP49" i="18"/>
  <c r="AN25" i="18"/>
  <c r="AN37" i="18"/>
  <c r="AN17" i="18"/>
  <c r="AN105" i="18"/>
  <c r="AN118" i="18"/>
  <c r="AN128" i="18"/>
  <c r="AO133" i="18"/>
  <c r="AN34" i="18"/>
  <c r="AN44" i="18"/>
  <c r="AP82" i="18"/>
  <c r="AO89" i="18"/>
  <c r="AN89" i="18" s="1"/>
  <c r="AN95" i="18"/>
  <c r="AN112" i="18"/>
  <c r="AX7" i="18"/>
  <c r="AX11" i="18"/>
  <c r="AX9" i="18"/>
  <c r="AX10" i="18"/>
  <c r="AX8" i="18"/>
  <c r="AX6" i="18"/>
  <c r="AO116" i="18"/>
  <c r="AW116" i="18" s="1"/>
  <c r="AO44" i="18"/>
  <c r="AO113" i="18"/>
  <c r="AO37" i="18"/>
  <c r="AO101" i="18"/>
  <c r="AO81" i="18"/>
  <c r="AO92" i="18"/>
  <c r="AO36" i="18"/>
  <c r="AO79" i="18"/>
  <c r="AO90" i="18"/>
  <c r="AO105" i="18"/>
  <c r="AO115" i="18"/>
  <c r="AO17" i="18"/>
  <c r="AO95" i="18"/>
  <c r="AO132" i="18"/>
  <c r="AN76" i="18"/>
  <c r="AO55" i="18"/>
  <c r="AO57" i="18"/>
  <c r="AW36" i="18"/>
  <c r="AO28" i="18"/>
  <c r="AW28" i="18" s="1"/>
  <c r="AO128" i="18"/>
  <c r="AO29" i="18"/>
  <c r="AO127" i="18"/>
  <c r="AO68" i="18"/>
  <c r="AO48" i="18"/>
  <c r="AO24" i="18"/>
  <c r="AW24" i="18" s="1"/>
  <c r="AO102" i="18"/>
  <c r="AO136" i="18"/>
  <c r="W52" i="18"/>
  <c r="AO52" i="18" s="1"/>
  <c r="AN52" i="18" s="1"/>
  <c r="AP52" i="18"/>
  <c r="W54" i="18"/>
  <c r="AO54" i="18" s="1"/>
  <c r="AN54" i="18" s="1"/>
  <c r="AP54" i="18"/>
  <c r="AO26" i="18"/>
  <c r="AO33" i="18"/>
  <c r="W63" i="18"/>
  <c r="AO63" i="18" s="1"/>
  <c r="AN63" i="18" s="1"/>
  <c r="AP63" i="18"/>
  <c r="W65" i="18"/>
  <c r="AO65" i="18" s="1"/>
  <c r="AN65" i="18" s="1"/>
  <c r="AP65" i="18"/>
  <c r="X6" i="18"/>
  <c r="AO103" i="18"/>
  <c r="O32" i="19"/>
  <c r="M32" i="19" s="1"/>
  <c r="W32" i="19"/>
  <c r="O30" i="19"/>
  <c r="M30" i="19" s="1"/>
  <c r="W30" i="19"/>
  <c r="R15" i="19"/>
  <c r="W15" i="19"/>
  <c r="O29" i="19"/>
  <c r="M29" i="19" s="1"/>
  <c r="W29" i="19"/>
  <c r="O8" i="19"/>
  <c r="M8" i="19" s="1"/>
  <c r="W8" i="19"/>
  <c r="W53" i="18"/>
  <c r="AO53" i="18" s="1"/>
  <c r="AN53" i="18" s="1"/>
  <c r="AP53" i="18"/>
  <c r="AO125" i="18"/>
  <c r="L19" i="58"/>
  <c r="M20" i="58"/>
  <c r="X11" i="18"/>
  <c r="Z11" i="18"/>
  <c r="AP80" i="18"/>
  <c r="AN43" i="18"/>
  <c r="AP35" i="18"/>
  <c r="AN80" i="18"/>
  <c r="AO23" i="18"/>
  <c r="AN23" i="18" s="1"/>
  <c r="AQ18" i="18"/>
  <c r="AO56" i="18"/>
  <c r="AN56" i="18" s="1"/>
  <c r="AP50" i="18"/>
  <c r="AQ71" i="18"/>
  <c r="AO112" i="18"/>
  <c r="AO117" i="18"/>
  <c r="AW117" i="18" s="1"/>
  <c r="AN136" i="18"/>
  <c r="AQ81" i="18"/>
  <c r="AP62" i="18"/>
  <c r="AP88" i="18"/>
  <c r="AQ101" i="18"/>
  <c r="AN92" i="18"/>
  <c r="AP104" i="18"/>
  <c r="AN106" i="18"/>
  <c r="AF7" i="18"/>
  <c r="AI7" i="18"/>
  <c r="AK11" i="18"/>
  <c r="H9" i="18"/>
  <c r="AM10" i="18"/>
  <c r="D12" i="29"/>
  <c r="AG11" i="18"/>
  <c r="X9" i="18"/>
  <c r="AJ7" i="18"/>
  <c r="AI11" i="18"/>
  <c r="AL9" i="18"/>
  <c r="AL8" i="18"/>
  <c r="AM12" i="18"/>
  <c r="AU12" i="18" s="1"/>
  <c r="AL12" i="18"/>
  <c r="AJ12" i="18"/>
  <c r="W131" i="18"/>
  <c r="AO131" i="18" s="1"/>
  <c r="AN131" i="18" s="1"/>
  <c r="AP131" i="18"/>
  <c r="I19" i="58"/>
  <c r="J20" i="58"/>
  <c r="K21" i="58"/>
  <c r="L63" i="58"/>
  <c r="AW79" i="18"/>
  <c r="AO22" i="18"/>
  <c r="O11" i="19"/>
  <c r="M11" i="19" s="1"/>
  <c r="W11" i="19"/>
  <c r="O7" i="19"/>
  <c r="M7" i="19" s="1"/>
  <c r="W7" i="19"/>
  <c r="O10" i="19"/>
  <c r="M10" i="19" s="1"/>
  <c r="W10" i="19"/>
  <c r="W100" i="18"/>
  <c r="AO100" i="18" s="1"/>
  <c r="AN100" i="18" s="1"/>
  <c r="AP100" i="18"/>
  <c r="P19" i="58"/>
  <c r="Q20" i="58"/>
  <c r="X7" i="18"/>
  <c r="Z7" i="18"/>
  <c r="AW90" i="18"/>
  <c r="AN42" i="18"/>
  <c r="AN41" i="18"/>
  <c r="AO31" i="18"/>
  <c r="AN31" i="18" s="1"/>
  <c r="AO109" i="18"/>
  <c r="AN109" i="18" s="1"/>
  <c r="AO32" i="18"/>
  <c r="AN32" i="18" s="1"/>
  <c r="AO49" i="18"/>
  <c r="AP27" i="18"/>
  <c r="AP39" i="18"/>
  <c r="AP73" i="18"/>
  <c r="AN99" i="18"/>
  <c r="AO123" i="18"/>
  <c r="AP72" i="18"/>
  <c r="AP83" i="18"/>
  <c r="AP77" i="18"/>
  <c r="AO97" i="18"/>
  <c r="AN97" i="18" s="1"/>
  <c r="AP114" i="18"/>
  <c r="AP137" i="18"/>
  <c r="AK7" i="18"/>
  <c r="AE7" i="18"/>
  <c r="AG7" i="18"/>
  <c r="AI10" i="18"/>
  <c r="AI8" i="18"/>
  <c r="AP8" i="18" s="1"/>
  <c r="AF10" i="18"/>
  <c r="AL11" i="18"/>
  <c r="AE10" i="18"/>
  <c r="Z9" i="18"/>
  <c r="AE8" i="18"/>
  <c r="U7" i="18"/>
  <c r="X12" i="18"/>
  <c r="AP12" i="18" s="1"/>
  <c r="AE11" i="18"/>
  <c r="AH9" i="18"/>
  <c r="AH8" i="18"/>
  <c r="AH12" i="18"/>
  <c r="AF12" i="18"/>
  <c r="AE12" i="18"/>
  <c r="AX12" i="18"/>
  <c r="Z6" i="18"/>
  <c r="AW57" i="18"/>
  <c r="AO126" i="18"/>
  <c r="W129" i="18"/>
  <c r="AO129" i="18" s="1"/>
  <c r="AN129" i="18" s="1"/>
  <c r="AP129" i="18"/>
  <c r="W86" i="18"/>
  <c r="AO86" i="18" s="1"/>
  <c r="AN86" i="18" s="1"/>
  <c r="AP86" i="18"/>
  <c r="W78" i="18"/>
  <c r="AO78" i="18" s="1"/>
  <c r="AN78" i="18" s="1"/>
  <c r="AP78" i="18"/>
  <c r="W130" i="18"/>
  <c r="AO130" i="18" s="1"/>
  <c r="AN130" i="18" s="1"/>
  <c r="AP130" i="18"/>
  <c r="O33" i="19"/>
  <c r="M33" i="19" s="1"/>
  <c r="W33" i="19"/>
  <c r="O16" i="19"/>
  <c r="M16" i="19" s="1"/>
  <c r="W16" i="19"/>
  <c r="O24" i="19"/>
  <c r="M24" i="19" s="1"/>
  <c r="W24" i="19"/>
  <c r="O34" i="19"/>
  <c r="M34" i="19" s="1"/>
  <c r="W34" i="19"/>
  <c r="AI15" i="18"/>
  <c r="AP15" i="18" s="1"/>
  <c r="AJ13" i="18"/>
  <c r="AQ13" i="18" s="1"/>
  <c r="AJ15" i="18"/>
  <c r="AQ15" i="18" s="1"/>
  <c r="AE15" i="18"/>
  <c r="AL15" i="18"/>
  <c r="AF15" i="18"/>
  <c r="AM15" i="18"/>
  <c r="AU15" i="18" s="1"/>
  <c r="AH15" i="18"/>
  <c r="AI14" i="18"/>
  <c r="AP14" i="18" s="1"/>
  <c r="AH16" i="18"/>
  <c r="AL14" i="18"/>
  <c r="AM13" i="18"/>
  <c r="AU13" i="18" s="1"/>
  <c r="AE14" i="18"/>
  <c r="AK13" i="18"/>
  <c r="AJ16" i="18"/>
  <c r="AQ16" i="18" s="1"/>
  <c r="AF14" i="18"/>
  <c r="AL16" i="18"/>
  <c r="AM14" i="18"/>
  <c r="AU14" i="18" s="1"/>
  <c r="AH13" i="18"/>
  <c r="AG14" i="18"/>
  <c r="AM16" i="18"/>
  <c r="AU16" i="18" s="1"/>
  <c r="AK15" i="18"/>
  <c r="AK16" i="18"/>
  <c r="AF13" i="18"/>
  <c r="AE16" i="18"/>
  <c r="AJ14" i="18"/>
  <c r="AQ14" i="18" s="1"/>
  <c r="AH14" i="18"/>
  <c r="AG16" i="18"/>
  <c r="AE13" i="18"/>
  <c r="AL13" i="18"/>
  <c r="AG15" i="18"/>
  <c r="AF16" i="18"/>
  <c r="AI16" i="18"/>
  <c r="AP16" i="18" s="1"/>
  <c r="AI13" i="18"/>
  <c r="AP13" i="18" s="1"/>
  <c r="AG13" i="18"/>
  <c r="AK14" i="18"/>
  <c r="AL6" i="18"/>
  <c r="AF6" i="18"/>
  <c r="AM8" i="18"/>
  <c r="AU8" i="18" s="1"/>
  <c r="AG8" i="18"/>
  <c r="AM6" i="18"/>
  <c r="AU6" i="18" s="1"/>
  <c r="AH6" i="18"/>
  <c r="AO6" i="18" s="1"/>
  <c r="AI6" i="18"/>
  <c r="AH11" i="18"/>
  <c r="AI9" i="18"/>
  <c r="AK8" i="18"/>
  <c r="AF8" i="18"/>
  <c r="AJ9" i="18"/>
  <c r="AE9" i="18"/>
  <c r="G9" i="18"/>
  <c r="U9" i="18" s="1"/>
  <c r="AJ6" i="18"/>
  <c r="AQ6" i="18" s="1"/>
  <c r="AE6" i="18"/>
  <c r="AJ11" i="18"/>
  <c r="AO18" i="18"/>
  <c r="AO91" i="18"/>
  <c r="AW91" i="18" s="1"/>
  <c r="W60" i="19"/>
  <c r="A62" i="19"/>
  <c r="H184" i="58"/>
  <c r="W85" i="18"/>
  <c r="AO85" i="18" s="1"/>
  <c r="AN85" i="18" s="1"/>
  <c r="AP85" i="18"/>
  <c r="E54" i="29"/>
  <c r="D54" i="29" s="1"/>
  <c r="A56" i="29"/>
  <c r="AN110" i="18"/>
  <c r="AN111" i="18"/>
  <c r="AP58" i="18"/>
  <c r="AN133" i="18"/>
  <c r="AO21" i="18"/>
  <c r="AN21" i="18" s="1"/>
  <c r="AP60" i="18"/>
  <c r="AO60" i="18" s="1"/>
  <c r="AP106" i="18"/>
  <c r="AO107" i="18"/>
  <c r="AN107" i="18" s="1"/>
  <c r="AQ40" i="18"/>
  <c r="AW40" i="18" s="1"/>
  <c r="AP61" i="18"/>
  <c r="AQ124" i="18"/>
  <c r="AO120" i="18"/>
  <c r="AN120" i="18" s="1"/>
  <c r="AO94" i="18"/>
  <c r="AP134" i="18"/>
  <c r="AN48" i="18"/>
  <c r="AW48" i="18" s="1"/>
  <c r="AO93" i="18"/>
  <c r="AW93" i="18" s="1"/>
  <c r="AN127" i="18"/>
  <c r="AL7" i="18"/>
  <c r="AF9" i="18"/>
  <c r="H8" i="18"/>
  <c r="W8" i="18" s="1"/>
  <c r="AK10" i="18"/>
  <c r="Z10" i="18"/>
  <c r="AL10" i="18"/>
  <c r="AJ10" i="18"/>
  <c r="G10" i="18"/>
  <c r="U10" i="18" s="1"/>
  <c r="AG9" i="18"/>
  <c r="AJ8" i="18"/>
  <c r="AK12" i="18"/>
  <c r="AW59" i="18"/>
  <c r="AO38" i="18"/>
  <c r="AW101" i="18"/>
  <c r="O21" i="58"/>
  <c r="P63" i="58"/>
  <c r="AO84" i="18"/>
  <c r="O19" i="19"/>
  <c r="M19" i="19" s="1"/>
  <c r="W19" i="19"/>
  <c r="O21" i="19"/>
  <c r="M21" i="19" s="1"/>
  <c r="W21" i="19"/>
  <c r="O20" i="19"/>
  <c r="M20" i="19" s="1"/>
  <c r="W20" i="19"/>
  <c r="O18" i="19"/>
  <c r="M18" i="19" s="1"/>
  <c r="W18" i="19"/>
  <c r="O31" i="19"/>
  <c r="M31" i="19" s="1"/>
  <c r="W31" i="19"/>
  <c r="AO99" i="18"/>
  <c r="W122" i="18"/>
  <c r="AO122" i="18" s="1"/>
  <c r="AN122" i="18" s="1"/>
  <c r="AP122" i="18"/>
  <c r="AW26" i="18"/>
  <c r="AO67" i="18"/>
  <c r="AN67" i="18" s="1"/>
  <c r="AP124" i="18"/>
  <c r="AP47" i="18"/>
  <c r="AO108" i="18"/>
  <c r="AN108" i="18" s="1"/>
  <c r="AN126" i="18"/>
  <c r="AP71" i="18"/>
  <c r="AQ68" i="18"/>
  <c r="AO70" i="18"/>
  <c r="AW70" i="18" s="1"/>
  <c r="AO82" i="18"/>
  <c r="AO45" i="18"/>
  <c r="AN45" i="18" s="1"/>
  <c r="AP46" i="18"/>
  <c r="AO87" i="18"/>
  <c r="AN87" i="18" s="1"/>
  <c r="AQ29" i="18"/>
  <c r="AP51" i="18"/>
  <c r="AQ105" i="18"/>
  <c r="AQ136" i="18"/>
  <c r="AO96" i="18"/>
  <c r="AN96" i="18" s="1"/>
  <c r="AP110" i="18"/>
  <c r="AP121" i="18"/>
  <c r="AM7" i="18"/>
  <c r="AU7" i="18" s="1"/>
  <c r="AF11" i="18"/>
  <c r="AK9" i="18"/>
  <c r="AH7" i="18"/>
  <c r="H12" i="18"/>
  <c r="W12" i="18" s="1"/>
  <c r="H10" i="18"/>
  <c r="W10" i="18" s="1"/>
  <c r="Z8" i="18"/>
  <c r="AG10" i="18"/>
  <c r="D10" i="29"/>
  <c r="AH10" i="18"/>
  <c r="Y11" i="18"/>
  <c r="AM9" i="18"/>
  <c r="AU9" i="18" s="1"/>
  <c r="AM11" i="18"/>
  <c r="AU11" i="18" s="1"/>
  <c r="G8" i="18"/>
  <c r="G12" i="18"/>
  <c r="U12" i="18" s="1"/>
  <c r="AG12" i="18"/>
  <c r="AU10" i="18"/>
  <c r="AW69" i="18" l="1"/>
  <c r="AY69" i="18" s="1"/>
  <c r="AW55" i="18"/>
  <c r="AW66" i="18"/>
  <c r="AW135" i="18"/>
  <c r="AW112" i="18"/>
  <c r="AW115" i="18"/>
  <c r="AY115" i="18" s="1"/>
  <c r="AW132" i="18"/>
  <c r="AQ7" i="18"/>
  <c r="AW37" i="18"/>
  <c r="AY37" i="18" s="1"/>
  <c r="AW33" i="18"/>
  <c r="AW17" i="18"/>
  <c r="AY17" i="18" s="1"/>
  <c r="AP10" i="18"/>
  <c r="AN7" i="18"/>
  <c r="AW95" i="18"/>
  <c r="AN15" i="18"/>
  <c r="AW15" i="18" s="1"/>
  <c r="AN16" i="18"/>
  <c r="AW103" i="18"/>
  <c r="AY103" i="18" s="1"/>
  <c r="AN11" i="18"/>
  <c r="AW81" i="18"/>
  <c r="AW68" i="18"/>
  <c r="AO10" i="18"/>
  <c r="AN10" i="18" s="1"/>
  <c r="AO14" i="18"/>
  <c r="AY93" i="18"/>
  <c r="AY40" i="18"/>
  <c r="AO13" i="18"/>
  <c r="AY117" i="18"/>
  <c r="AY70" i="18"/>
  <c r="AY24" i="18"/>
  <c r="AY91" i="18"/>
  <c r="AO77" i="18"/>
  <c r="AY79" i="18"/>
  <c r="K63" i="58"/>
  <c r="I20" i="58"/>
  <c r="T19" i="58"/>
  <c r="AW92" i="18"/>
  <c r="AO62" i="18"/>
  <c r="AY28" i="18"/>
  <c r="AP6" i="18"/>
  <c r="AY116" i="18"/>
  <c r="BF16" i="17"/>
  <c r="BB13" i="17"/>
  <c r="BE7" i="17"/>
  <c r="BB9" i="17"/>
  <c r="BF9" i="17"/>
  <c r="BF10" i="17"/>
  <c r="BF6" i="17"/>
  <c r="AW38" i="18"/>
  <c r="AW105" i="18"/>
  <c r="AW29" i="18"/>
  <c r="AN6" i="18"/>
  <c r="AW123" i="18"/>
  <c r="AO15" i="18"/>
  <c r="H185" i="58"/>
  <c r="AO16" i="18"/>
  <c r="AO110" i="18"/>
  <c r="AO46" i="18"/>
  <c r="AW46" i="18" s="1"/>
  <c r="AO47" i="18"/>
  <c r="AW47" i="18" s="1"/>
  <c r="O63" i="58"/>
  <c r="AW127" i="18"/>
  <c r="AO134" i="18"/>
  <c r="AO61" i="18"/>
  <c r="AO58" i="18"/>
  <c r="E55" i="29"/>
  <c r="D55" i="29" s="1"/>
  <c r="A57" i="29"/>
  <c r="AY57" i="18"/>
  <c r="AY90" i="18"/>
  <c r="AO104" i="18"/>
  <c r="AO88" i="18"/>
  <c r="AW136" i="18"/>
  <c r="AO80" i="18"/>
  <c r="AW80" i="18" s="1"/>
  <c r="AY36" i="18"/>
  <c r="BE15" i="17"/>
  <c r="BE16" i="17"/>
  <c r="BF15" i="17"/>
  <c r="BE13" i="17"/>
  <c r="BF11" i="17"/>
  <c r="BB15" i="17"/>
  <c r="AW49" i="18"/>
  <c r="AW82" i="18"/>
  <c r="BC6" i="17"/>
  <c r="AW128" i="18"/>
  <c r="AW60" i="18"/>
  <c r="AW102" i="18"/>
  <c r="AY48" i="18"/>
  <c r="AO106" i="18"/>
  <c r="AO114" i="18"/>
  <c r="AO72" i="18"/>
  <c r="AO39" i="18"/>
  <c r="AO27" i="18"/>
  <c r="W9" i="18"/>
  <c r="AO9" i="18" s="1"/>
  <c r="AN9" i="18" s="1"/>
  <c r="AP9" i="18"/>
  <c r="AO50" i="18"/>
  <c r="AW50" i="18" s="1"/>
  <c r="L20" i="58"/>
  <c r="BB6" i="17"/>
  <c r="AN13" i="18"/>
  <c r="AO12" i="18"/>
  <c r="AN12" i="18" s="1"/>
  <c r="BB14" i="17"/>
  <c r="BB11" i="17"/>
  <c r="BF13" i="17"/>
  <c r="BB16" i="17"/>
  <c r="AP11" i="18"/>
  <c r="AW84" i="18"/>
  <c r="AW125" i="18"/>
  <c r="BB8" i="17"/>
  <c r="BE9" i="17"/>
  <c r="BC9" i="17"/>
  <c r="BC11" i="17"/>
  <c r="BE6" i="17"/>
  <c r="BC10" i="17"/>
  <c r="BC7" i="17"/>
  <c r="BE10" i="17"/>
  <c r="BE8" i="17"/>
  <c r="BE11" i="17"/>
  <c r="AO51" i="18"/>
  <c r="AW51" i="18" s="1"/>
  <c r="AW126" i="18"/>
  <c r="AO124" i="18"/>
  <c r="AO121" i="18"/>
  <c r="AY113" i="18"/>
  <c r="W61" i="19"/>
  <c r="A63" i="19"/>
  <c r="A64" i="19" s="1"/>
  <c r="A65" i="19" s="1"/>
  <c r="A66" i="19" s="1"/>
  <c r="AO71" i="18"/>
  <c r="AW71" i="18" s="1"/>
  <c r="AY26" i="18"/>
  <c r="AY101" i="18"/>
  <c r="AY59" i="18"/>
  <c r="AO137" i="18"/>
  <c r="AO83" i="18"/>
  <c r="AO73" i="18"/>
  <c r="P20" i="58"/>
  <c r="AW106" i="18"/>
  <c r="AO35" i="18"/>
  <c r="BE12" i="17"/>
  <c r="U8" i="18"/>
  <c r="BF12" i="17"/>
  <c r="BB7" i="17"/>
  <c r="AQ11" i="18"/>
  <c r="BB12" i="17"/>
  <c r="BF14" i="17"/>
  <c r="AO8" i="18"/>
  <c r="AN14" i="18"/>
  <c r="BE14" i="17"/>
  <c r="AP7" i="18"/>
  <c r="BF8" i="17"/>
  <c r="BB10" i="17"/>
  <c r="BF7" i="17"/>
  <c r="B3" i="17"/>
  <c r="AW16" i="18" l="1"/>
  <c r="AY16" i="18" s="1"/>
  <c r="AY112" i="18"/>
  <c r="AY95" i="18"/>
  <c r="AY81" i="18"/>
  <c r="AY68" i="18"/>
  <c r="AY80" i="18"/>
  <c r="AY126" i="18"/>
  <c r="AY125" i="18"/>
  <c r="AO11" i="18"/>
  <c r="AW13" i="18"/>
  <c r="AY60" i="18"/>
  <c r="AY82" i="18"/>
  <c r="E56" i="29"/>
  <c r="D56" i="29" s="1"/>
  <c r="A58" i="29"/>
  <c r="A59" i="29" s="1"/>
  <c r="AY123" i="18"/>
  <c r="AY105" i="18"/>
  <c r="AW62" i="18"/>
  <c r="T20" i="58"/>
  <c r="AO7" i="18"/>
  <c r="AW14" i="18"/>
  <c r="AN8" i="18"/>
  <c r="AW83" i="18"/>
  <c r="AW124" i="18"/>
  <c r="AW27" i="18"/>
  <c r="AW72" i="18"/>
  <c r="AY102" i="18"/>
  <c r="AW104" i="18"/>
  <c r="AW61" i="18"/>
  <c r="AY47" i="18"/>
  <c r="AY29" i="18"/>
  <c r="AW35" i="18"/>
  <c r="W65" i="19"/>
  <c r="A67" i="19"/>
  <c r="H188" i="58"/>
  <c r="AW6" i="18"/>
  <c r="AY106" i="18"/>
  <c r="AW73" i="18"/>
  <c r="AW137" i="18"/>
  <c r="AY71" i="18"/>
  <c r="AY15" i="18"/>
  <c r="AY51" i="18"/>
  <c r="AY84" i="18"/>
  <c r="AY50" i="18"/>
  <c r="AW114" i="18"/>
  <c r="AY49" i="18"/>
  <c r="AW58" i="18"/>
  <c r="AY46" i="18"/>
  <c r="AY38" i="18"/>
  <c r="AY92" i="18"/>
  <c r="Z81" i="50"/>
  <c r="W66" i="19" l="1"/>
  <c r="A68" i="19"/>
  <c r="A69" i="19" s="1"/>
  <c r="AY83" i="18"/>
  <c r="AW11" i="18"/>
  <c r="AY114" i="18"/>
  <c r="AY73" i="18"/>
  <c r="AY6" i="18"/>
  <c r="H190" i="58"/>
  <c r="AY35" i="18"/>
  <c r="AY27" i="18"/>
  <c r="AY58" i="18"/>
  <c r="AY104" i="18"/>
  <c r="AY72" i="18"/>
  <c r="AY14" i="18"/>
  <c r="AY62" i="18"/>
  <c r="AY13" i="18"/>
  <c r="AY61" i="18"/>
  <c r="AW7" i="18"/>
  <c r="E58" i="29"/>
  <c r="D58" i="29" s="1"/>
  <c r="A60" i="29"/>
  <c r="AW76" i="50"/>
  <c r="AV76" i="50"/>
  <c r="E59" i="29" l="1"/>
  <c r="D59" i="29" s="1"/>
  <c r="A61" i="29"/>
  <c r="AY7" i="18"/>
  <c r="W68" i="19"/>
  <c r="A70" i="19"/>
  <c r="AW75" i="50"/>
  <c r="AV75" i="50"/>
  <c r="AU75" i="50"/>
  <c r="AT75" i="50"/>
  <c r="AS75" i="50"/>
  <c r="AR75" i="50"/>
  <c r="AQ75" i="50"/>
  <c r="AP75" i="50"/>
  <c r="AO75" i="50"/>
  <c r="AN75" i="50"/>
  <c r="AM75" i="50"/>
  <c r="AL75" i="50"/>
  <c r="K74" i="50"/>
  <c r="G74" i="50"/>
  <c r="AW73" i="50"/>
  <c r="AV73" i="50"/>
  <c r="AU73" i="50"/>
  <c r="AT73" i="50"/>
  <c r="AS73" i="50"/>
  <c r="AR73" i="50"/>
  <c r="AQ73" i="50"/>
  <c r="AP73" i="50"/>
  <c r="AO73" i="50"/>
  <c r="AN73" i="50"/>
  <c r="AM73" i="50"/>
  <c r="AL73" i="50"/>
  <c r="AK73" i="50"/>
  <c r="AJ73" i="50"/>
  <c r="AI73" i="50"/>
  <c r="AH73" i="50"/>
  <c r="AG73" i="50"/>
  <c r="AF73" i="50"/>
  <c r="AE73" i="50"/>
  <c r="AD73" i="50"/>
  <c r="AC73" i="50"/>
  <c r="AB73" i="50"/>
  <c r="AA73" i="50"/>
  <c r="Z73" i="50"/>
  <c r="K73" i="50"/>
  <c r="L73" i="50" l="1"/>
  <c r="M73" i="50"/>
  <c r="AX75" i="50"/>
  <c r="W69" i="19"/>
  <c r="A71" i="19"/>
  <c r="A72" i="19" s="1"/>
  <c r="A73" i="19" s="1"/>
  <c r="A74" i="19" s="1"/>
  <c r="E60" i="29"/>
  <c r="D60" i="29" s="1"/>
  <c r="A62" i="29"/>
  <c r="I73" i="50"/>
  <c r="H73" i="50"/>
  <c r="G73" i="50"/>
  <c r="E73" i="50"/>
  <c r="D73" i="50"/>
  <c r="K72" i="50"/>
  <c r="G72" i="50"/>
  <c r="AW70" i="50"/>
  <c r="AV70" i="50"/>
  <c r="AU70" i="50"/>
  <c r="AT70" i="50"/>
  <c r="AS70" i="50"/>
  <c r="AR70" i="50"/>
  <c r="AQ70" i="50"/>
  <c r="AP70" i="50"/>
  <c r="AO70" i="50"/>
  <c r="AN70" i="50"/>
  <c r="AM70" i="50"/>
  <c r="AL70" i="50"/>
  <c r="L70" i="50"/>
  <c r="K70" i="50"/>
  <c r="H70" i="50"/>
  <c r="G70" i="50"/>
  <c r="D70" i="50"/>
  <c r="AX69" i="50"/>
  <c r="Y68" i="50"/>
  <c r="X68" i="50"/>
  <c r="W68" i="50"/>
  <c r="V68" i="50"/>
  <c r="U68" i="50"/>
  <c r="T68" i="50"/>
  <c r="S68" i="50"/>
  <c r="R68" i="50"/>
  <c r="Q68" i="50"/>
  <c r="P68" i="50"/>
  <c r="O68" i="50"/>
  <c r="N68" i="50"/>
  <c r="AK67" i="50"/>
  <c r="AJ67" i="50"/>
  <c r="AI67" i="50"/>
  <c r="AH67" i="50"/>
  <c r="AG67" i="50"/>
  <c r="AF67" i="50"/>
  <c r="AE67" i="50"/>
  <c r="AD67" i="50"/>
  <c r="AC67" i="50"/>
  <c r="AB67" i="50"/>
  <c r="AA67" i="50"/>
  <c r="Z67" i="50"/>
  <c r="K67" i="50"/>
  <c r="G67" i="50"/>
  <c r="C67" i="50"/>
  <c r="AK66" i="50"/>
  <c r="AJ66" i="50"/>
  <c r="AI66" i="50"/>
  <c r="AH66" i="50"/>
  <c r="AG66" i="50"/>
  <c r="AF66" i="50"/>
  <c r="AE66" i="50"/>
  <c r="AD66" i="50"/>
  <c r="AC66" i="50"/>
  <c r="AB66" i="50"/>
  <c r="AA66" i="50"/>
  <c r="Z66" i="50"/>
  <c r="K66" i="50"/>
  <c r="K68" i="50" s="1"/>
  <c r="G66" i="50"/>
  <c r="C66" i="50"/>
  <c r="C68" i="50" s="1"/>
  <c r="G68" i="50" l="1"/>
  <c r="Z68" i="50"/>
  <c r="AD68" i="50"/>
  <c r="AH68" i="50"/>
  <c r="AJ68" i="50"/>
  <c r="M70" i="50"/>
  <c r="AF68" i="50"/>
  <c r="AC68" i="50"/>
  <c r="AG68" i="50"/>
  <c r="AK68" i="50"/>
  <c r="AA68" i="50"/>
  <c r="AE68" i="50"/>
  <c r="AI68" i="50"/>
  <c r="L66" i="50"/>
  <c r="H67" i="50"/>
  <c r="L67" i="50"/>
  <c r="D67" i="50"/>
  <c r="E70" i="50"/>
  <c r="I70" i="50"/>
  <c r="D66" i="50"/>
  <c r="AB68" i="50"/>
  <c r="AX70" i="50"/>
  <c r="E61" i="29"/>
  <c r="D61" i="29" s="1"/>
  <c r="A63" i="29"/>
  <c r="W73" i="19"/>
  <c r="A75" i="19"/>
  <c r="G65" i="50"/>
  <c r="AW64" i="50"/>
  <c r="AV64" i="50"/>
  <c r="AU64" i="50"/>
  <c r="AT64" i="50"/>
  <c r="AS64" i="50"/>
  <c r="AR64" i="50"/>
  <c r="T64" i="50" s="1"/>
  <c r="AQ64" i="50"/>
  <c r="S64" i="50" s="1"/>
  <c r="AP64" i="50"/>
  <c r="R64" i="50" s="1"/>
  <c r="AO64" i="50"/>
  <c r="Q64" i="50" s="1"/>
  <c r="AN64" i="50"/>
  <c r="AM64" i="50"/>
  <c r="AL64" i="50"/>
  <c r="N64" i="50" s="1"/>
  <c r="Y64" i="50"/>
  <c r="X64" i="50"/>
  <c r="W64" i="50"/>
  <c r="V64" i="50"/>
  <c r="U64" i="50"/>
  <c r="P64" i="50"/>
  <c r="O64" i="50"/>
  <c r="L64" i="50"/>
  <c r="L68" i="50" l="1"/>
  <c r="H68" i="50"/>
  <c r="K64" i="50"/>
  <c r="D68" i="50"/>
  <c r="W74" i="19"/>
  <c r="A76" i="19"/>
  <c r="A77" i="19" s="1"/>
  <c r="E62" i="29"/>
  <c r="D62" i="29" s="1"/>
  <c r="A64" i="29"/>
  <c r="AX64" i="50"/>
  <c r="M64" i="50"/>
  <c r="I64" i="50"/>
  <c r="H64" i="50"/>
  <c r="G64" i="50"/>
  <c r="E64" i="50"/>
  <c r="D64" i="50"/>
  <c r="C64" i="50"/>
  <c r="AX63" i="50"/>
  <c r="M63" i="50"/>
  <c r="L63" i="50"/>
  <c r="K63" i="50"/>
  <c r="I63" i="50"/>
  <c r="H63" i="50"/>
  <c r="G63" i="50"/>
  <c r="E63" i="50"/>
  <c r="D63" i="50"/>
  <c r="C63" i="50"/>
  <c r="AX60" i="50"/>
  <c r="M60" i="50"/>
  <c r="L60" i="50"/>
  <c r="K60" i="50"/>
  <c r="I60" i="50"/>
  <c r="H60" i="50"/>
  <c r="G60" i="50"/>
  <c r="E60" i="50"/>
  <c r="D60" i="50"/>
  <c r="C60" i="50"/>
  <c r="AK59" i="50"/>
  <c r="AJ59" i="50"/>
  <c r="AI59" i="50"/>
  <c r="AH59" i="50"/>
  <c r="AG59" i="50"/>
  <c r="E63" i="29" l="1"/>
  <c r="D63" i="29" s="1"/>
  <c r="A65" i="29"/>
  <c r="W76" i="19"/>
  <c r="A78" i="19"/>
  <c r="AF59" i="50"/>
  <c r="AE59" i="50"/>
  <c r="AD59" i="50"/>
  <c r="AC59" i="50"/>
  <c r="AB59" i="50"/>
  <c r="AA59" i="50"/>
  <c r="Z59" i="50"/>
  <c r="AK58" i="50"/>
  <c r="AK61" i="50" s="1"/>
  <c r="AJ58" i="50"/>
  <c r="AJ61" i="50" s="1"/>
  <c r="AI58" i="50"/>
  <c r="AI61" i="50" s="1"/>
  <c r="AH58" i="50"/>
  <c r="AH61" i="50" s="1"/>
  <c r="AG58" i="50"/>
  <c r="AG61" i="50" s="1"/>
  <c r="AF58" i="50"/>
  <c r="AF61" i="50" s="1"/>
  <c r="AE58" i="50"/>
  <c r="AE61" i="50" s="1"/>
  <c r="AD58" i="50"/>
  <c r="AD61" i="50" s="1"/>
  <c r="AC58" i="50"/>
  <c r="AB58" i="50"/>
  <c r="AB61" i="50" s="1"/>
  <c r="AA58" i="50"/>
  <c r="AA61" i="50" s="1"/>
  <c r="Z58" i="50"/>
  <c r="AX55" i="50"/>
  <c r="M55" i="50"/>
  <c r="L55" i="50"/>
  <c r="K55" i="50"/>
  <c r="I55" i="50"/>
  <c r="H55" i="50"/>
  <c r="G55" i="50"/>
  <c r="E55" i="50"/>
  <c r="D55" i="50"/>
  <c r="C55" i="50"/>
  <c r="AX54" i="50"/>
  <c r="M54" i="50"/>
  <c r="L54" i="50"/>
  <c r="K54" i="50"/>
  <c r="I54" i="50"/>
  <c r="H54" i="50"/>
  <c r="G54" i="50"/>
  <c r="E54" i="50"/>
  <c r="D54" i="50"/>
  <c r="C54" i="50"/>
  <c r="AK53" i="50"/>
  <c r="AJ53" i="50"/>
  <c r="AI53" i="50"/>
  <c r="AH53" i="50"/>
  <c r="H59" i="50" l="1"/>
  <c r="L59" i="50"/>
  <c r="L58" i="50"/>
  <c r="D59" i="50"/>
  <c r="W77" i="19"/>
  <c r="A79" i="19"/>
  <c r="E64" i="29"/>
  <c r="D64" i="29" s="1"/>
  <c r="A66" i="29"/>
  <c r="Y58" i="50"/>
  <c r="Z61" i="50"/>
  <c r="D58" i="50"/>
  <c r="H58" i="50"/>
  <c r="AC61" i="50"/>
  <c r="AG53" i="50"/>
  <c r="AF53" i="50"/>
  <c r="AE53" i="50"/>
  <c r="AD53" i="50"/>
  <c r="AC53" i="50"/>
  <c r="AB53" i="50"/>
  <c r="AA53" i="50"/>
  <c r="Z53" i="50"/>
  <c r="Y53" i="50"/>
  <c r="X53" i="50"/>
  <c r="W53" i="50"/>
  <c r="V53" i="50"/>
  <c r="U53" i="50"/>
  <c r="T53" i="50"/>
  <c r="S53" i="50"/>
  <c r="R53" i="50"/>
  <c r="Q53" i="50"/>
  <c r="P53" i="50" s="1"/>
  <c r="O53" i="50"/>
  <c r="N53" i="50"/>
  <c r="E65" i="29" l="1"/>
  <c r="D65" i="29" s="1"/>
  <c r="A67" i="29"/>
  <c r="X58" i="50"/>
  <c r="W78" i="19"/>
  <c r="A80" i="19"/>
  <c r="D61" i="50"/>
  <c r="L53" i="50"/>
  <c r="K53" i="50"/>
  <c r="H53" i="50"/>
  <c r="G53" i="50"/>
  <c r="D53" i="50"/>
  <c r="C53" i="50"/>
  <c r="AK52" i="50"/>
  <c r="AJ52" i="50"/>
  <c r="AI52" i="50"/>
  <c r="AH52" i="50"/>
  <c r="AG52" i="50"/>
  <c r="AF52" i="50"/>
  <c r="AE52" i="50"/>
  <c r="AG72" i="50" l="1"/>
  <c r="AG56" i="50"/>
  <c r="AK72" i="50"/>
  <c r="AK56" i="50"/>
  <c r="AF72" i="50"/>
  <c r="AF56" i="50"/>
  <c r="W79" i="19"/>
  <c r="A81" i="19"/>
  <c r="A82" i="19" s="1"/>
  <c r="A83" i="19" s="1"/>
  <c r="AE72" i="50"/>
  <c r="AE56" i="50"/>
  <c r="W58" i="50"/>
  <c r="AJ72" i="50"/>
  <c r="AJ56" i="50"/>
  <c r="AI72" i="50"/>
  <c r="AI56" i="50"/>
  <c r="AH72" i="50"/>
  <c r="AH56" i="50"/>
  <c r="E66" i="29"/>
  <c r="D66" i="29" s="1"/>
  <c r="A68" i="29"/>
  <c r="AD52" i="50"/>
  <c r="AC52" i="50"/>
  <c r="AB52" i="50"/>
  <c r="AA52" i="50"/>
  <c r="Z52" i="50"/>
  <c r="N52" i="50"/>
  <c r="N56" i="50" s="1"/>
  <c r="H52" i="50" l="1"/>
  <c r="AD72" i="50"/>
  <c r="AD56" i="50"/>
  <c r="AC72" i="50"/>
  <c r="AC56" i="50"/>
  <c r="D52" i="50"/>
  <c r="V58" i="50"/>
  <c r="Y52" i="50"/>
  <c r="Z72" i="50"/>
  <c r="Z56" i="50"/>
  <c r="AB72" i="50"/>
  <c r="AB56" i="50"/>
  <c r="AA72" i="50"/>
  <c r="AA56" i="50"/>
  <c r="E67" i="29"/>
  <c r="D67" i="29" s="1"/>
  <c r="A69" i="29"/>
  <c r="A70" i="29" s="1"/>
  <c r="W82" i="19"/>
  <c r="A84" i="19"/>
  <c r="A85" i="19" s="1"/>
  <c r="A86" i="19" s="1"/>
  <c r="A87" i="19" s="1"/>
  <c r="A88" i="19" s="1"/>
  <c r="L52" i="50"/>
  <c r="K50" i="50"/>
  <c r="G50" i="50"/>
  <c r="M49" i="50"/>
  <c r="L49" i="50"/>
  <c r="K49" i="50"/>
  <c r="I49" i="50"/>
  <c r="H49" i="50"/>
  <c r="G49" i="50"/>
  <c r="E49" i="50"/>
  <c r="D49" i="50"/>
  <c r="K48" i="50"/>
  <c r="G48" i="50"/>
  <c r="G47" i="50"/>
  <c r="AX46" i="50"/>
  <c r="I46" i="50"/>
  <c r="H46" i="50"/>
  <c r="G46" i="50"/>
  <c r="E46" i="50"/>
  <c r="D46" i="50"/>
  <c r="G45" i="50"/>
  <c r="Y44" i="50"/>
  <c r="X44" i="50"/>
  <c r="Q44" i="50"/>
  <c r="P44" i="50"/>
  <c r="O44" i="50"/>
  <c r="G44" i="50" s="1"/>
  <c r="N44" i="50"/>
  <c r="AA43" i="50"/>
  <c r="Z43" i="50" s="1"/>
  <c r="K43" i="50"/>
  <c r="G43" i="50"/>
  <c r="C43" i="50"/>
  <c r="AT42" i="50"/>
  <c r="AS42" i="50" s="1"/>
  <c r="AR42" i="50" s="1"/>
  <c r="AQ42" i="50" s="1"/>
  <c r="AP42" i="50" s="1"/>
  <c r="AO42" i="50" s="1"/>
  <c r="AN42" i="50" s="1"/>
  <c r="AM42" i="50" s="1"/>
  <c r="AL42" i="50" s="1"/>
  <c r="AK42" i="50" s="1"/>
  <c r="AJ42" i="50" s="1"/>
  <c r="AI42" i="50" s="1"/>
  <c r="AH42" i="50" s="1"/>
  <c r="AG42" i="50" s="1"/>
  <c r="AF42" i="50" s="1"/>
  <c r="AE42" i="50" s="1"/>
  <c r="AD42" i="50" s="1"/>
  <c r="AC42" i="50" s="1"/>
  <c r="AB42" i="50" s="1"/>
  <c r="AA42" i="50" s="1"/>
  <c r="Z42" i="50" s="1"/>
  <c r="K42" i="50"/>
  <c r="L72" i="50" l="1"/>
  <c r="L56" i="50"/>
  <c r="E69" i="29"/>
  <c r="D69" i="29" s="1"/>
  <c r="A71" i="29"/>
  <c r="X52" i="50"/>
  <c r="Y56" i="50"/>
  <c r="L42" i="50"/>
  <c r="D72" i="50"/>
  <c r="C72" i="50" s="1"/>
  <c r="H72" i="50"/>
  <c r="W87" i="19"/>
  <c r="A89" i="19"/>
  <c r="D56" i="50"/>
  <c r="H56" i="50"/>
  <c r="U58" i="50"/>
  <c r="H42" i="50"/>
  <c r="G42" i="50"/>
  <c r="D42" i="50"/>
  <c r="C42" i="50"/>
  <c r="AP41" i="50"/>
  <c r="AO41" i="50"/>
  <c r="AN41" i="50"/>
  <c r="AM41" i="50"/>
  <c r="AA41" i="50"/>
  <c r="R41" i="50"/>
  <c r="R44" i="50" s="1"/>
  <c r="G41" i="50"/>
  <c r="K38" i="50"/>
  <c r="G38" i="50"/>
  <c r="C38" i="50"/>
  <c r="M35" i="50"/>
  <c r="L35" i="50"/>
  <c r="K35" i="50"/>
  <c r="I35" i="50"/>
  <c r="H35" i="50"/>
  <c r="G35" i="50"/>
  <c r="E35" i="50"/>
  <c r="D35" i="50"/>
  <c r="C35" i="50"/>
  <c r="AP32" i="50"/>
  <c r="AO32" i="50"/>
  <c r="AN32" i="50"/>
  <c r="AM32" i="50" s="1"/>
  <c r="AL32" i="50" s="1"/>
  <c r="L32" i="50"/>
  <c r="K32" i="50"/>
  <c r="S41" i="50" l="1"/>
  <c r="T58" i="50"/>
  <c r="AL41" i="50"/>
  <c r="W88" i="19"/>
  <c r="A90" i="19"/>
  <c r="E70" i="29"/>
  <c r="D70" i="29" s="1"/>
  <c r="A72" i="29"/>
  <c r="Z41" i="50"/>
  <c r="AA44" i="50"/>
  <c r="W52" i="50"/>
  <c r="X56" i="50"/>
  <c r="H32" i="50"/>
  <c r="G32" i="50"/>
  <c r="D32" i="50"/>
  <c r="G31" i="50"/>
  <c r="BK30" i="50"/>
  <c r="BJ30" i="50"/>
  <c r="BI30" i="50"/>
  <c r="BH30" i="50"/>
  <c r="BG30" i="50"/>
  <c r="BF30" i="50"/>
  <c r="BE30" i="50"/>
  <c r="BD30" i="50"/>
  <c r="BC30" i="50"/>
  <c r="BB30" i="50"/>
  <c r="BA30" i="50"/>
  <c r="A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BL29" i="50"/>
  <c r="AW29" i="50" s="1"/>
  <c r="AV29" i="50" s="1"/>
  <c r="AU29" i="50" s="1"/>
  <c r="AT29" i="50" s="1"/>
  <c r="AS29" i="50" s="1"/>
  <c r="AR29" i="50" s="1"/>
  <c r="AQ29" i="50" s="1"/>
  <c r="AP29" i="50" s="1"/>
  <c r="AO29" i="50" s="1"/>
  <c r="AN29" i="50" s="1"/>
  <c r="AM29" i="50" s="1"/>
  <c r="AL29" i="50"/>
  <c r="AK29" i="50"/>
  <c r="AJ29" i="50"/>
  <c r="AI29" i="50"/>
  <c r="AH29" i="50"/>
  <c r="AG29" i="50"/>
  <c r="AF29" i="50"/>
  <c r="AE29" i="50"/>
  <c r="AD29" i="50"/>
  <c r="AC29" i="50"/>
  <c r="AB29" i="50"/>
  <c r="AA29" i="50"/>
  <c r="Z29" i="50"/>
  <c r="K29" i="50"/>
  <c r="G29" i="50"/>
  <c r="C29" i="50"/>
  <c r="BL28" i="50"/>
  <c r="K28" i="50"/>
  <c r="G28" i="50"/>
  <c r="C28" i="50"/>
  <c r="G27" i="50"/>
  <c r="BK26" i="50"/>
  <c r="BJ26" i="50"/>
  <c r="BI26" i="50"/>
  <c r="BH26" i="50"/>
  <c r="BG26" i="50"/>
  <c r="BF26" i="50"/>
  <c r="BE26" i="50"/>
  <c r="BD26" i="50"/>
  <c r="BC26" i="50"/>
  <c r="BB26" i="50"/>
  <c r="BA26" i="50"/>
  <c r="AZ26" i="50"/>
  <c r="Y25" i="50"/>
  <c r="X25" i="50"/>
  <c r="W25" i="50"/>
  <c r="V25" i="50"/>
  <c r="U25" i="50"/>
  <c r="T25" i="50"/>
  <c r="S25" i="50"/>
  <c r="R25" i="50"/>
  <c r="Q25" i="50"/>
  <c r="P25" i="50" s="1"/>
  <c r="O25" i="50"/>
  <c r="N25" i="50"/>
  <c r="Y24" i="50"/>
  <c r="X24" i="50"/>
  <c r="W24" i="50"/>
  <c r="V24" i="50"/>
  <c r="U24" i="50"/>
  <c r="T24" i="50" s="1"/>
  <c r="S24" i="50"/>
  <c r="R24" i="50"/>
  <c r="Q24" i="50"/>
  <c r="P24" i="50"/>
  <c r="O24" i="50"/>
  <c r="N24" i="50"/>
  <c r="G23" i="50"/>
  <c r="BK22" i="50"/>
  <c r="BJ22" i="50"/>
  <c r="BI22" i="50"/>
  <c r="BH22" i="50"/>
  <c r="BG22" i="50"/>
  <c r="BF22" i="50"/>
  <c r="BE22" i="50"/>
  <c r="BD22" i="50"/>
  <c r="BC22" i="50"/>
  <c r="BB22" i="50"/>
  <c r="BA22" i="50"/>
  <c r="AZ22" i="50"/>
  <c r="AG21" i="50"/>
  <c r="AF21" i="50" s="1"/>
  <c r="AE21" i="50" s="1"/>
  <c r="AD21" i="50" s="1"/>
  <c r="AC21" i="50"/>
  <c r="AB21" i="50" s="1"/>
  <c r="AA21" i="50"/>
  <c r="Z21" i="50"/>
  <c r="K21" i="50"/>
  <c r="G21" i="50"/>
  <c r="C21" i="50"/>
  <c r="R26" i="50" l="1"/>
  <c r="G30" i="50"/>
  <c r="K30" i="50"/>
  <c r="BL30" i="50"/>
  <c r="BL26" i="50"/>
  <c r="BL22" i="50"/>
  <c r="V26" i="50"/>
  <c r="S44" i="50"/>
  <c r="T41" i="50"/>
  <c r="W26" i="50"/>
  <c r="S26" i="50"/>
  <c r="I29" i="50"/>
  <c r="C25" i="50"/>
  <c r="C30" i="50"/>
  <c r="E29" i="50"/>
  <c r="O26" i="50"/>
  <c r="X26" i="50"/>
  <c r="Y26" i="50"/>
  <c r="K25" i="50"/>
  <c r="H29" i="50"/>
  <c r="L29" i="50"/>
  <c r="Q26" i="50"/>
  <c r="G25" i="50"/>
  <c r="C24" i="50"/>
  <c r="P26" i="50"/>
  <c r="AA50" i="50"/>
  <c r="AA48" i="50"/>
  <c r="W89" i="19"/>
  <c r="A91" i="19"/>
  <c r="U26" i="50"/>
  <c r="T26" i="50" s="1"/>
  <c r="K26" i="50" s="1"/>
  <c r="V52" i="50"/>
  <c r="W56" i="50"/>
  <c r="AK41" i="50"/>
  <c r="N26" i="50"/>
  <c r="E71" i="29"/>
  <c r="D71" i="29" s="1"/>
  <c r="A73" i="29"/>
  <c r="S58" i="50"/>
  <c r="G24" i="50"/>
  <c r="K24" i="50"/>
  <c r="D29" i="50"/>
  <c r="Z44" i="50"/>
  <c r="M29" i="50"/>
  <c r="Z20" i="50"/>
  <c r="Y20" i="50" s="1"/>
  <c r="X20" i="50"/>
  <c r="W20" i="50"/>
  <c r="V20" i="50" s="1"/>
  <c r="U20" i="50"/>
  <c r="T20" i="50"/>
  <c r="S20" i="50"/>
  <c r="R20" i="50"/>
  <c r="Q20" i="50"/>
  <c r="P20" i="50" s="1"/>
  <c r="O20" i="50"/>
  <c r="N20" i="50"/>
  <c r="Y19" i="50"/>
  <c r="X19" i="50"/>
  <c r="W19" i="50"/>
  <c r="V19" i="50"/>
  <c r="U19" i="50"/>
  <c r="T19" i="50"/>
  <c r="S19" i="50"/>
  <c r="R19" i="50"/>
  <c r="Q19" i="50"/>
  <c r="P19" i="50"/>
  <c r="P22" i="50" s="1"/>
  <c r="O19" i="50"/>
  <c r="N19" i="50"/>
  <c r="N22" i="50" s="1"/>
  <c r="O22" i="50" l="1"/>
  <c r="T44" i="50"/>
  <c r="U41" i="50"/>
  <c r="X22" i="50"/>
  <c r="S22" i="50"/>
  <c r="Y22" i="50"/>
  <c r="R22" i="50"/>
  <c r="V22" i="50"/>
  <c r="Q22" i="50"/>
  <c r="U22" i="50"/>
  <c r="K20" i="50"/>
  <c r="G20" i="50"/>
  <c r="W22" i="50"/>
  <c r="C26" i="50"/>
  <c r="G26" i="50"/>
  <c r="U52" i="50"/>
  <c r="V56" i="50"/>
  <c r="W90" i="19"/>
  <c r="A92" i="19"/>
  <c r="A93" i="19" s="1"/>
  <c r="A94" i="19" s="1"/>
  <c r="A95" i="19" s="1"/>
  <c r="C19" i="50"/>
  <c r="K19" i="50"/>
  <c r="T22" i="50"/>
  <c r="Z48" i="50"/>
  <c r="E72" i="29"/>
  <c r="D72" i="29" s="1"/>
  <c r="A74" i="29"/>
  <c r="AJ41" i="50"/>
  <c r="C20" i="50"/>
  <c r="R58" i="50"/>
  <c r="G19" i="50"/>
  <c r="V41" i="50" l="1"/>
  <c r="U44" i="50"/>
  <c r="G22" i="50"/>
  <c r="K22" i="50"/>
  <c r="C22" i="50"/>
  <c r="E73" i="29"/>
  <c r="D73" i="29" s="1"/>
  <c r="A75" i="29"/>
  <c r="AI41" i="50"/>
  <c r="Z50" i="50"/>
  <c r="W94" i="19"/>
  <c r="A96" i="19"/>
  <c r="T52" i="50"/>
  <c r="U56" i="50"/>
  <c r="Q58" i="50"/>
  <c r="K44" i="50" l="1"/>
  <c r="W41" i="50"/>
  <c r="W44" i="50" s="1"/>
  <c r="C41" i="50"/>
  <c r="V44" i="50"/>
  <c r="K41" i="50"/>
  <c r="E74" i="29"/>
  <c r="D74" i="29" s="1"/>
  <c r="A76" i="29"/>
  <c r="P58" i="50"/>
  <c r="K58" i="50"/>
  <c r="AH41" i="50"/>
  <c r="S52" i="50"/>
  <c r="T56" i="50"/>
  <c r="W95" i="19"/>
  <c r="A97" i="19"/>
  <c r="A98" i="19" s="1"/>
  <c r="AK16" i="50"/>
  <c r="AJ16" i="50"/>
  <c r="AI16" i="50"/>
  <c r="AH16" i="50"/>
  <c r="AG16" i="50"/>
  <c r="AF16" i="50"/>
  <c r="AE16" i="50"/>
  <c r="AD16" i="50"/>
  <c r="AC16" i="50"/>
  <c r="AB16" i="50"/>
  <c r="AA16" i="50"/>
  <c r="Z16" i="50"/>
  <c r="Y16" i="50" s="1"/>
  <c r="X16" i="50" s="1"/>
  <c r="W16" i="50"/>
  <c r="V16" i="50"/>
  <c r="U16" i="50"/>
  <c r="T16" i="50"/>
  <c r="S16" i="50"/>
  <c r="R16" i="50"/>
  <c r="Q16" i="50"/>
  <c r="P16" i="50" s="1"/>
  <c r="O16" i="50" s="1"/>
  <c r="N16" i="50"/>
  <c r="L16" i="50" l="1"/>
  <c r="K16" i="50"/>
  <c r="AG41" i="50"/>
  <c r="W97" i="19"/>
  <c r="A99" i="19"/>
  <c r="E75" i="29"/>
  <c r="D75" i="29" s="1"/>
  <c r="A77" i="29"/>
  <c r="R52" i="50"/>
  <c r="S56" i="50"/>
  <c r="O58" i="50"/>
  <c r="H16" i="50"/>
  <c r="G16" i="50"/>
  <c r="D16" i="50"/>
  <c r="C16" i="50"/>
  <c r="Y15" i="50"/>
  <c r="X15" i="50"/>
  <c r="W15" i="50"/>
  <c r="V15" i="50"/>
  <c r="U15" i="50"/>
  <c r="T15" i="50"/>
  <c r="S15" i="50"/>
  <c r="R15" i="50"/>
  <c r="Q15" i="50"/>
  <c r="P15" i="50"/>
  <c r="O15" i="50"/>
  <c r="N15" i="50"/>
  <c r="Y14" i="50"/>
  <c r="X14" i="50"/>
  <c r="W14" i="50"/>
  <c r="V14" i="50"/>
  <c r="U14" i="50"/>
  <c r="T14" i="50"/>
  <c r="S14" i="50"/>
  <c r="R14" i="50"/>
  <c r="Q14" i="50"/>
  <c r="P14" i="50"/>
  <c r="O14" i="50"/>
  <c r="N14" i="50"/>
  <c r="Y13" i="50"/>
  <c r="X13" i="50"/>
  <c r="W13" i="50"/>
  <c r="V13" i="50"/>
  <c r="U13" i="50"/>
  <c r="T13" i="50"/>
  <c r="S13" i="50"/>
  <c r="R13" i="50"/>
  <c r="Q13" i="50"/>
  <c r="P13" i="50"/>
  <c r="O13" i="50"/>
  <c r="N13" i="50"/>
  <c r="C14" i="50" l="1"/>
  <c r="K15" i="50"/>
  <c r="G15" i="50"/>
  <c r="G14" i="50"/>
  <c r="K14" i="50"/>
  <c r="N37" i="50"/>
  <c r="N17" i="50"/>
  <c r="P37" i="50"/>
  <c r="P17" i="50"/>
  <c r="P36" i="50" s="1"/>
  <c r="T37" i="50"/>
  <c r="T17" i="50"/>
  <c r="T36" i="50" s="1"/>
  <c r="X37" i="50"/>
  <c r="X17" i="50"/>
  <c r="X36" i="50" s="1"/>
  <c r="N58" i="50"/>
  <c r="AF41" i="50"/>
  <c r="Q37" i="50"/>
  <c r="Q17" i="50"/>
  <c r="O37" i="50"/>
  <c r="O17" i="50"/>
  <c r="O36" i="50" s="1"/>
  <c r="S37" i="50"/>
  <c r="S17" i="50"/>
  <c r="S36" i="50" s="1"/>
  <c r="W37" i="50"/>
  <c r="W17" i="50"/>
  <c r="W36" i="50" s="1"/>
  <c r="E76" i="29"/>
  <c r="D76" i="29" s="1"/>
  <c r="A78" i="29"/>
  <c r="C13" i="50"/>
  <c r="K13" i="50"/>
  <c r="R37" i="50"/>
  <c r="R17" i="50"/>
  <c r="R36" i="50" s="1"/>
  <c r="V37" i="50"/>
  <c r="V17" i="50"/>
  <c r="V36" i="50" s="1"/>
  <c r="Q52" i="50"/>
  <c r="R56" i="50"/>
  <c r="U37" i="50"/>
  <c r="U17" i="50"/>
  <c r="U36" i="50" s="1"/>
  <c r="Y37" i="50"/>
  <c r="Y17" i="50"/>
  <c r="Y36" i="50" s="1"/>
  <c r="W98" i="19"/>
  <c r="A100" i="19"/>
  <c r="A101" i="19" s="1"/>
  <c r="A102" i="19" s="1"/>
  <c r="A103" i="19" s="1"/>
  <c r="G13" i="50"/>
  <c r="K11" i="50"/>
  <c r="G11" i="50"/>
  <c r="C11" i="50"/>
  <c r="K10" i="50"/>
  <c r="G10" i="50"/>
  <c r="C10" i="50"/>
  <c r="K9" i="50"/>
  <c r="G9" i="50"/>
  <c r="C9" i="50"/>
  <c r="W102" i="19" l="1"/>
  <c r="A104" i="19"/>
  <c r="E77" i="29"/>
  <c r="D77" i="29" s="1"/>
  <c r="A79" i="29"/>
  <c r="C58" i="50"/>
  <c r="G58" i="50"/>
  <c r="G37" i="50"/>
  <c r="P52" i="50"/>
  <c r="Q56" i="50"/>
  <c r="K56" i="50" s="1"/>
  <c r="K52" i="50"/>
  <c r="N36" i="50"/>
  <c r="C17" i="50"/>
  <c r="C37" i="50" s="1"/>
  <c r="G17" i="50"/>
  <c r="K37" i="50"/>
  <c r="Q36" i="50"/>
  <c r="K36" i="50" s="1"/>
  <c r="K17" i="50"/>
  <c r="AE41" i="50"/>
  <c r="K8" i="50"/>
  <c r="G8" i="50"/>
  <c r="C8" i="50"/>
  <c r="AD41" i="50" l="1"/>
  <c r="O52" i="50"/>
  <c r="P56" i="50"/>
  <c r="W103" i="19"/>
  <c r="A105" i="19"/>
  <c r="A106" i="19" s="1"/>
  <c r="C36" i="50"/>
  <c r="G36" i="50"/>
  <c r="E78" i="29"/>
  <c r="D78" i="29" s="1"/>
  <c r="A80" i="29"/>
  <c r="A81" i="29" s="1"/>
  <c r="K7" i="50"/>
  <c r="G7" i="50"/>
  <c r="C7" i="50"/>
  <c r="O56" i="50" l="1"/>
  <c r="C52" i="50"/>
  <c r="G52" i="50"/>
  <c r="E80" i="29"/>
  <c r="D80" i="29" s="1"/>
  <c r="A82" i="29"/>
  <c r="AC41" i="50"/>
  <c r="W105" i="19"/>
  <c r="A107" i="19"/>
  <c r="E81" i="29" l="1"/>
  <c r="D81" i="29" s="1"/>
  <c r="A83" i="29"/>
  <c r="W106" i="19"/>
  <c r="A108" i="19"/>
  <c r="C56" i="50"/>
  <c r="G56" i="50"/>
  <c r="AB41" i="50"/>
  <c r="L41" i="50"/>
  <c r="BB5" i="50"/>
  <c r="BA5" i="50" s="1"/>
  <c r="E82" i="29" l="1"/>
  <c r="D82" i="29" s="1"/>
  <c r="A84" i="29"/>
  <c r="H41" i="50"/>
  <c r="D41" i="50"/>
  <c r="W107" i="19"/>
  <c r="A109" i="19"/>
  <c r="AZ5" i="50"/>
  <c r="AM5" i="50"/>
  <c r="AK4" i="50"/>
  <c r="AJ4" i="50"/>
  <c r="AI4" i="50"/>
  <c r="AH4" i="50"/>
  <c r="AG4" i="50"/>
  <c r="AF4" i="50"/>
  <c r="AE4" i="50"/>
  <c r="AD4" i="50"/>
  <c r="AC4" i="50"/>
  <c r="AB4" i="50"/>
  <c r="AA4" i="50"/>
  <c r="Z4" i="50"/>
  <c r="O3" i="50"/>
  <c r="D47" i="52"/>
  <c r="C47" i="52"/>
  <c r="B47" i="52"/>
  <c r="AA24" i="50" l="1"/>
  <c r="AA25" i="50"/>
  <c r="AA19" i="50"/>
  <c r="AA15" i="50"/>
  <c r="AA14" i="50"/>
  <c r="AA13" i="50"/>
  <c r="AA10" i="50"/>
  <c r="AA8" i="50"/>
  <c r="Z8" i="50" s="1"/>
  <c r="AA7" i="50"/>
  <c r="AE24" i="50"/>
  <c r="AE25" i="50"/>
  <c r="AE19" i="50"/>
  <c r="AE15" i="50"/>
  <c r="AE14" i="50"/>
  <c r="AE13" i="50"/>
  <c r="AE10" i="50"/>
  <c r="AE9" i="50"/>
  <c r="AE8" i="50"/>
  <c r="AD8" i="50" s="1"/>
  <c r="AE7" i="50"/>
  <c r="AI24" i="50"/>
  <c r="AI26" i="50" s="1"/>
  <c r="AI25" i="50"/>
  <c r="AI19" i="50"/>
  <c r="AI15" i="50"/>
  <c r="AI14" i="50"/>
  <c r="AI13" i="50"/>
  <c r="AI10" i="50"/>
  <c r="AI8" i="50"/>
  <c r="AI7" i="50"/>
  <c r="AM4" i="50"/>
  <c r="AQ4" i="50"/>
  <c r="AU4" i="50"/>
  <c r="AB24" i="50"/>
  <c r="AB26" i="50" s="1"/>
  <c r="AB25" i="50"/>
  <c r="AB19" i="50"/>
  <c r="AB14" i="50"/>
  <c r="AB13" i="50"/>
  <c r="AB15" i="50"/>
  <c r="AB10" i="50"/>
  <c r="AB9" i="50"/>
  <c r="AA9" i="50" s="1"/>
  <c r="AB8" i="50"/>
  <c r="AB7" i="50"/>
  <c r="AF24" i="50"/>
  <c r="AF25" i="50"/>
  <c r="AF19" i="50"/>
  <c r="AF14" i="50"/>
  <c r="AF13" i="50"/>
  <c r="AF15" i="50"/>
  <c r="AF10" i="50"/>
  <c r="AF8" i="50"/>
  <c r="AF7" i="50"/>
  <c r="AJ24" i="50"/>
  <c r="AJ25" i="50"/>
  <c r="AJ19" i="50"/>
  <c r="AJ14" i="50"/>
  <c r="AJ13" i="50"/>
  <c r="AJ15" i="50"/>
  <c r="AJ10" i="50"/>
  <c r="AJ9" i="50"/>
  <c r="AI9" i="50" s="1"/>
  <c r="AJ8" i="50"/>
  <c r="AJ7" i="50"/>
  <c r="AN4" i="50"/>
  <c r="AR4" i="50"/>
  <c r="AV4" i="50"/>
  <c r="AC25" i="50"/>
  <c r="AC24" i="50"/>
  <c r="AC19" i="50"/>
  <c r="AC14" i="50"/>
  <c r="AC13" i="50"/>
  <c r="AC15" i="50"/>
  <c r="AC9" i="50"/>
  <c r="AC10" i="50"/>
  <c r="AC8" i="50"/>
  <c r="AC7" i="50"/>
  <c r="AG25" i="50"/>
  <c r="AG24" i="50"/>
  <c r="AG19" i="50"/>
  <c r="AG14" i="50"/>
  <c r="AG13" i="50"/>
  <c r="AG15" i="50"/>
  <c r="AG9" i="50"/>
  <c r="AF9" i="50" s="1"/>
  <c r="AG10" i="50"/>
  <c r="AG8" i="50"/>
  <c r="AG7" i="50"/>
  <c r="AK25" i="50"/>
  <c r="AK24" i="50"/>
  <c r="AK19" i="50"/>
  <c r="AK14" i="50"/>
  <c r="AK13" i="50"/>
  <c r="AK15" i="50"/>
  <c r="AK10" i="50"/>
  <c r="AK9" i="50"/>
  <c r="AK8" i="50"/>
  <c r="AK7" i="50"/>
  <c r="AO4" i="50"/>
  <c r="AS4" i="50"/>
  <c r="AW4" i="50"/>
  <c r="Z25" i="50"/>
  <c r="Z24" i="50"/>
  <c r="Z19" i="50"/>
  <c r="Z15" i="50"/>
  <c r="Z14" i="50"/>
  <c r="Z13" i="50"/>
  <c r="Z10" i="50"/>
  <c r="Z9" i="50"/>
  <c r="Z7" i="50"/>
  <c r="AD25" i="50"/>
  <c r="AD24" i="50"/>
  <c r="AD19" i="50"/>
  <c r="AD13" i="50"/>
  <c r="AD15" i="50"/>
  <c r="AD14" i="50"/>
  <c r="AD9" i="50"/>
  <c r="AD10" i="50"/>
  <c r="AD7" i="50"/>
  <c r="AH25" i="50"/>
  <c r="AH24" i="50"/>
  <c r="AH19" i="50"/>
  <c r="AH13" i="50"/>
  <c r="AH15" i="50"/>
  <c r="AH14" i="50"/>
  <c r="AH9" i="50"/>
  <c r="AH10" i="50"/>
  <c r="AH8" i="50"/>
  <c r="AH7" i="50"/>
  <c r="AL4" i="50"/>
  <c r="AP4" i="50"/>
  <c r="AT4" i="50"/>
  <c r="E83" i="29"/>
  <c r="D83" i="29" s="1"/>
  <c r="A85" i="29"/>
  <c r="W108" i="19"/>
  <c r="A110" i="19"/>
  <c r="A111" i="19" s="1"/>
  <c r="A112" i="19" s="1"/>
  <c r="AK17" i="50" l="1"/>
  <c r="AJ11" i="50"/>
  <c r="AB17" i="50"/>
  <c r="AD26" i="50"/>
  <c r="H10" i="50"/>
  <c r="AE17" i="50"/>
  <c r="AG17" i="50"/>
  <c r="AA17" i="50"/>
  <c r="AT9" i="50"/>
  <c r="AS9" i="50" s="1"/>
  <c r="AR9" i="50" s="1"/>
  <c r="BH4" i="50"/>
  <c r="D19" i="50"/>
  <c r="Z22" i="50"/>
  <c r="H19" i="50"/>
  <c r="AW25" i="50"/>
  <c r="AV25" i="50" s="1"/>
  <c r="AR17" i="52" s="1"/>
  <c r="BK4" i="50"/>
  <c r="L8" i="50"/>
  <c r="AC17" i="50"/>
  <c r="L13" i="50"/>
  <c r="L25" i="50"/>
  <c r="AI11" i="50"/>
  <c r="D8" i="50"/>
  <c r="H8" i="50"/>
  <c r="AH17" i="50"/>
  <c r="AD11" i="50"/>
  <c r="Z17" i="50"/>
  <c r="H13" i="50"/>
  <c r="D13" i="50"/>
  <c r="Z26" i="50"/>
  <c r="D24" i="50"/>
  <c r="H24" i="50"/>
  <c r="BG4" i="50"/>
  <c r="AG11" i="50"/>
  <c r="AG26" i="50"/>
  <c r="D10" i="50"/>
  <c r="L10" i="50"/>
  <c r="L14" i="50"/>
  <c r="AV10" i="50"/>
  <c r="AU10" i="50" s="1"/>
  <c r="AT10" i="50" s="1"/>
  <c r="AS10" i="50" s="1"/>
  <c r="AR10" i="50" s="1"/>
  <c r="BJ4" i="50"/>
  <c r="AJ17" i="50"/>
  <c r="AJ26" i="50"/>
  <c r="AU25" i="50"/>
  <c r="AT25" i="50" s="1"/>
  <c r="AS25" i="50" s="1"/>
  <c r="AO17" i="52" s="1"/>
  <c r="BI4" i="50"/>
  <c r="AE11" i="50"/>
  <c r="AD17" i="50"/>
  <c r="Z11" i="50"/>
  <c r="H7" i="50"/>
  <c r="D7" i="50"/>
  <c r="H14" i="50"/>
  <c r="D14" i="50"/>
  <c r="D25" i="50"/>
  <c r="H25" i="50"/>
  <c r="AO25" i="50"/>
  <c r="AN25" i="50" s="1"/>
  <c r="AM25" i="50" s="1"/>
  <c r="AL25" i="50" s="1"/>
  <c r="AO24" i="50"/>
  <c r="AK16" i="52" s="1"/>
  <c r="AO9" i="50"/>
  <c r="AN9" i="50" s="1"/>
  <c r="AM9" i="50" s="1"/>
  <c r="AL9" i="50" s="1"/>
  <c r="AO10" i="50"/>
  <c r="AN10" i="50" s="1"/>
  <c r="AM10" i="50" s="1"/>
  <c r="AL10" i="50" s="1"/>
  <c r="AO8" i="50"/>
  <c r="AN8" i="50" s="1"/>
  <c r="AM8" i="50" s="1"/>
  <c r="AL8" i="50" s="1"/>
  <c r="AO7" i="50"/>
  <c r="BC4" i="50"/>
  <c r="L9" i="50"/>
  <c r="L19" i="50"/>
  <c r="AR25" i="50"/>
  <c r="AN17" i="52" s="1"/>
  <c r="AR8" i="50"/>
  <c r="AR7" i="50"/>
  <c r="BF4" i="50"/>
  <c r="AF11" i="50"/>
  <c r="AF17" i="50"/>
  <c r="AF26" i="50"/>
  <c r="AQ24" i="50"/>
  <c r="AM16" i="52" s="1"/>
  <c r="AQ25" i="50"/>
  <c r="AM17" i="52" s="1"/>
  <c r="AQ10" i="50"/>
  <c r="AQ9" i="50"/>
  <c r="AQ8" i="50"/>
  <c r="AQ7" i="50"/>
  <c r="BE4" i="50"/>
  <c r="AE26" i="50"/>
  <c r="AP9" i="50"/>
  <c r="AP10" i="50"/>
  <c r="AP7" i="50"/>
  <c r="BD4" i="50"/>
  <c r="AL24" i="50"/>
  <c r="AL26" i="50" s="1"/>
  <c r="AZ4" i="50"/>
  <c r="AL7" i="50"/>
  <c r="AH11" i="50"/>
  <c r="AH26" i="50"/>
  <c r="H9" i="50"/>
  <c r="D9" i="50"/>
  <c r="D15" i="50"/>
  <c r="H15" i="50"/>
  <c r="AK11" i="50"/>
  <c r="AK26" i="50"/>
  <c r="AC11" i="50"/>
  <c r="L7" i="50"/>
  <c r="L15" i="50"/>
  <c r="L24" i="50"/>
  <c r="AC26" i="50"/>
  <c r="BB4" i="50"/>
  <c r="AB11" i="50"/>
  <c r="AM7" i="50"/>
  <c r="BA4" i="50"/>
  <c r="AI17" i="50"/>
  <c r="AA11" i="50"/>
  <c r="AA26" i="50"/>
  <c r="W111" i="19"/>
  <c r="A113" i="19"/>
  <c r="A114" i="19" s="1"/>
  <c r="A115" i="19" s="1"/>
  <c r="A116" i="19" s="1"/>
  <c r="A117" i="19" s="1"/>
  <c r="E84" i="29"/>
  <c r="D84" i="29" s="1"/>
  <c r="A86" i="29"/>
  <c r="A87" i="29" s="1"/>
  <c r="AW7" i="50"/>
  <c r="AG44" i="52"/>
  <c r="AF44" i="52" s="1"/>
  <c r="AE44" i="52" s="1"/>
  <c r="AD44" i="52" s="1"/>
  <c r="AC44" i="52" s="1"/>
  <c r="AB44" i="52" s="1"/>
  <c r="AA44" i="52" s="1"/>
  <c r="Z44" i="52" s="1"/>
  <c r="Y44" i="52"/>
  <c r="X44" i="52" s="1"/>
  <c r="W44" i="52" s="1"/>
  <c r="V44" i="52" s="1"/>
  <c r="U44" i="52"/>
  <c r="T44" i="52"/>
  <c r="S44" i="52"/>
  <c r="R44" i="52"/>
  <c r="Q44" i="52"/>
  <c r="P44" i="52"/>
  <c r="O44" i="52"/>
  <c r="N44" i="52"/>
  <c r="M44" i="52"/>
  <c r="L44" i="52"/>
  <c r="K44" i="52"/>
  <c r="J44" i="52"/>
  <c r="AS43" i="52"/>
  <c r="AR43" i="52"/>
  <c r="AQ43" i="52"/>
  <c r="AP43" i="52"/>
  <c r="AO43" i="52"/>
  <c r="AN43" i="52"/>
  <c r="AM43" i="52"/>
  <c r="AL43" i="52"/>
  <c r="AK43" i="52"/>
  <c r="AJ43" i="52"/>
  <c r="AI43" i="52"/>
  <c r="AH43" i="52"/>
  <c r="AG43" i="52" s="1"/>
  <c r="AF43" i="52" s="1"/>
  <c r="AE43" i="52" s="1"/>
  <c r="AD43" i="52" s="1"/>
  <c r="AC43" i="52" s="1"/>
  <c r="AB43" i="52" s="1"/>
  <c r="AA43" i="52" s="1"/>
  <c r="Z43" i="52" s="1"/>
  <c r="Y43" i="52" s="1"/>
  <c r="X43" i="52" s="1"/>
  <c r="W43" i="52" s="1"/>
  <c r="V43" i="52" s="1"/>
  <c r="C43" i="52" s="1"/>
  <c r="U43" i="52"/>
  <c r="T43" i="52"/>
  <c r="S43" i="52"/>
  <c r="R43" i="52"/>
  <c r="Q43" i="52"/>
  <c r="P43" i="52"/>
  <c r="O43" i="52"/>
  <c r="N43" i="52"/>
  <c r="M43" i="52"/>
  <c r="L43" i="52"/>
  <c r="K43" i="52"/>
  <c r="J43" i="52"/>
  <c r="Y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J45" i="52" s="1"/>
  <c r="U41" i="52"/>
  <c r="T41" i="52"/>
  <c r="S41" i="52"/>
  <c r="R41" i="52"/>
  <c r="Q41" i="52"/>
  <c r="P41" i="52"/>
  <c r="O41" i="52"/>
  <c r="N41" i="52"/>
  <c r="M41" i="52"/>
  <c r="L41" i="52"/>
  <c r="K41" i="52"/>
  <c r="J41" i="52"/>
  <c r="AS39" i="52"/>
  <c r="AR39" i="52"/>
  <c r="AQ39" i="52"/>
  <c r="AP39" i="52"/>
  <c r="AO39" i="52"/>
  <c r="AN39" i="52"/>
  <c r="AM39" i="52"/>
  <c r="AL39" i="52"/>
  <c r="AK39" i="52"/>
  <c r="AJ39" i="52"/>
  <c r="AI39" i="52"/>
  <c r="K39" i="52" s="1"/>
  <c r="AH39" i="52"/>
  <c r="U32" i="52"/>
  <c r="T32" i="52"/>
  <c r="S32" i="52"/>
  <c r="R32" i="52"/>
  <c r="Q32" i="52"/>
  <c r="P32" i="52"/>
  <c r="O32" i="52"/>
  <c r="N32" i="52"/>
  <c r="M32" i="52"/>
  <c r="L32" i="52"/>
  <c r="K32" i="52"/>
  <c r="J32" i="52"/>
  <c r="AP31" i="52"/>
  <c r="AO31" i="52" s="1"/>
  <c r="AN31" i="52" s="1"/>
  <c r="AM31" i="52" s="1"/>
  <c r="AL31" i="52" s="1"/>
  <c r="AK31" i="52" s="1"/>
  <c r="AJ31" i="52" s="1"/>
  <c r="AI31" i="52" s="1"/>
  <c r="AH31" i="52" s="1"/>
  <c r="AG31" i="52" s="1"/>
  <c r="AF31" i="52" s="1"/>
  <c r="AE31" i="52" s="1"/>
  <c r="AD31" i="52" s="1"/>
  <c r="AC31" i="52" s="1"/>
  <c r="AB31" i="52" s="1"/>
  <c r="AA31" i="52" s="1"/>
  <c r="Z31" i="52" s="1"/>
  <c r="Y31" i="52" s="1"/>
  <c r="X31" i="52" s="1"/>
  <c r="W31" i="52" s="1"/>
  <c r="V31" i="52" s="1"/>
  <c r="C31" i="52" s="1"/>
  <c r="U31" i="52"/>
  <c r="T31" i="52"/>
  <c r="S31" i="52"/>
  <c r="R31" i="52"/>
  <c r="Q31" i="52"/>
  <c r="P31" i="52"/>
  <c r="O31" i="52"/>
  <c r="N31" i="52"/>
  <c r="M31" i="52"/>
  <c r="L31" i="52"/>
  <c r="K31" i="52"/>
  <c r="J31" i="52"/>
  <c r="U30" i="52"/>
  <c r="T30" i="52"/>
  <c r="S30" i="52"/>
  <c r="R30" i="52" s="1"/>
  <c r="Q30" i="52" s="1"/>
  <c r="P30" i="52" s="1"/>
  <c r="O30" i="52"/>
  <c r="N30" i="52"/>
  <c r="M30" i="52"/>
  <c r="L30" i="52"/>
  <c r="K30" i="52"/>
  <c r="J30" i="52"/>
  <c r="C25" i="52"/>
  <c r="B25" i="52"/>
  <c r="Y24" i="52"/>
  <c r="X24" i="52"/>
  <c r="W24" i="52" s="1"/>
  <c r="V24" i="52" s="1"/>
  <c r="Y23" i="52"/>
  <c r="X23" i="52" s="1"/>
  <c r="W23" i="52"/>
  <c r="V23" i="52" s="1"/>
  <c r="U23" i="52" s="1"/>
  <c r="T23" i="52" s="1"/>
  <c r="S23" i="52" s="1"/>
  <c r="R23" i="52" s="1"/>
  <c r="Q23" i="52" s="1"/>
  <c r="P23" i="52" s="1"/>
  <c r="O23" i="52" s="1"/>
  <c r="N23" i="52"/>
  <c r="M23" i="52" s="1"/>
  <c r="L23" i="52" s="1"/>
  <c r="K23" i="52"/>
  <c r="J23" i="52" s="1"/>
  <c r="AC21" i="52"/>
  <c r="AB21" i="52"/>
  <c r="AA21" i="52"/>
  <c r="Z21" i="52"/>
  <c r="Y21" i="52"/>
  <c r="X21" i="52"/>
  <c r="W21" i="52"/>
  <c r="V21" i="52"/>
  <c r="U21" i="52"/>
  <c r="T21" i="52"/>
  <c r="S21" i="52"/>
  <c r="R21" i="52"/>
  <c r="Q21" i="52"/>
  <c r="P21" i="52"/>
  <c r="O21" i="52"/>
  <c r="N21" i="52"/>
  <c r="M21" i="52"/>
  <c r="L21" i="52"/>
  <c r="K21" i="52"/>
  <c r="J21" i="52"/>
  <c r="J22" i="52" s="1"/>
  <c r="D20" i="52"/>
  <c r="C20" i="52"/>
  <c r="B20" i="52"/>
  <c r="V17" i="52"/>
  <c r="U17" i="52" s="1"/>
  <c r="T17" i="52" s="1"/>
  <c r="S17" i="52" s="1"/>
  <c r="R17" i="52" s="1"/>
  <c r="Q17" i="52" s="1"/>
  <c r="P17" i="52"/>
  <c r="O17" i="52" s="1"/>
  <c r="N17" i="52" s="1"/>
  <c r="M17" i="52" s="1"/>
  <c r="L17" i="52" s="1"/>
  <c r="K17" i="52" s="1"/>
  <c r="J17" i="52" s="1"/>
  <c r="AB16" i="52"/>
  <c r="AA16" i="52"/>
  <c r="Z16" i="52" s="1"/>
  <c r="Y16" i="52" s="1"/>
  <c r="X16" i="52" s="1"/>
  <c r="W16" i="52" s="1"/>
  <c r="V16" i="52" s="1"/>
  <c r="U16" i="52" s="1"/>
  <c r="T16" i="52" s="1"/>
  <c r="S16" i="52" s="1"/>
  <c r="R16" i="52" s="1"/>
  <c r="Q16" i="52" s="1"/>
  <c r="P16" i="52" s="1"/>
  <c r="O16" i="52" s="1"/>
  <c r="N16" i="52" s="1"/>
  <c r="M16" i="52" s="1"/>
  <c r="L16" i="52"/>
  <c r="K16" i="52" s="1"/>
  <c r="J16" i="52" s="1"/>
  <c r="AG13" i="52"/>
  <c r="AF13" i="52" s="1"/>
  <c r="AE13" i="52" s="1"/>
  <c r="AD13" i="52" s="1"/>
  <c r="AC13" i="52"/>
  <c r="AB13" i="52" s="1"/>
  <c r="AA13" i="52" s="1"/>
  <c r="Z13" i="52"/>
  <c r="Y13" i="52"/>
  <c r="X13" i="52"/>
  <c r="W13" i="52"/>
  <c r="V13" i="52"/>
  <c r="U13" i="52" s="1"/>
  <c r="T13" i="52" s="1"/>
  <c r="S13" i="52" s="1"/>
  <c r="R13" i="52" s="1"/>
  <c r="Q13" i="52" s="1"/>
  <c r="P13" i="52" s="1"/>
  <c r="O13" i="52" s="1"/>
  <c r="N13" i="52"/>
  <c r="M13" i="52" s="1"/>
  <c r="L13" i="52" s="1"/>
  <c r="K13" i="52" s="1"/>
  <c r="J13" i="52"/>
  <c r="M12" i="52"/>
  <c r="L12" i="52" s="1"/>
  <c r="K12" i="52" s="1"/>
  <c r="J12" i="52" s="1"/>
  <c r="AG9" i="52"/>
  <c r="AF9" i="52"/>
  <c r="AE9" i="52"/>
  <c r="AD9" i="52"/>
  <c r="AC9" i="52"/>
  <c r="AB9" i="52"/>
  <c r="AA9" i="52"/>
  <c r="Z9" i="52"/>
  <c r="Y9" i="52"/>
  <c r="X9" i="52" s="1"/>
  <c r="W9" i="52"/>
  <c r="V9" i="52"/>
  <c r="U9" i="52"/>
  <c r="T9" i="52" s="1"/>
  <c r="S9" i="52" s="1"/>
  <c r="R9" i="52" s="1"/>
  <c r="Q9" i="52" s="1"/>
  <c r="P9" i="52" s="1"/>
  <c r="O9" i="52" s="1"/>
  <c r="N9" i="52" s="1"/>
  <c r="M9" i="52"/>
  <c r="L9" i="52" s="1"/>
  <c r="K9" i="52" s="1"/>
  <c r="J9" i="52" s="1"/>
  <c r="AG8" i="52"/>
  <c r="AF8" i="52"/>
  <c r="AE8" i="52"/>
  <c r="AD8" i="52"/>
  <c r="AC8" i="52"/>
  <c r="AB8" i="52"/>
  <c r="AA8" i="52"/>
  <c r="Z8" i="52"/>
  <c r="Y8" i="52"/>
  <c r="X8" i="52"/>
  <c r="W8" i="52"/>
  <c r="V8" i="52"/>
  <c r="U8" i="52"/>
  <c r="T8" i="52"/>
  <c r="S8" i="52"/>
  <c r="R8" i="52"/>
  <c r="Q8" i="52"/>
  <c r="P8" i="52"/>
  <c r="O8" i="52"/>
  <c r="N8" i="52"/>
  <c r="M8" i="52"/>
  <c r="L8" i="52"/>
  <c r="K8" i="52"/>
  <c r="J8" i="52"/>
  <c r="J10" i="52" s="1"/>
  <c r="V5" i="52"/>
  <c r="V6" i="52" s="1"/>
  <c r="U5" i="52"/>
  <c r="T5" i="52"/>
  <c r="S5" i="52"/>
  <c r="R5" i="52"/>
  <c r="Q5" i="52"/>
  <c r="P5" i="52"/>
  <c r="O5" i="52"/>
  <c r="N5" i="52"/>
  <c r="M5" i="52"/>
  <c r="L5" i="52"/>
  <c r="K5" i="52"/>
  <c r="J5" i="52"/>
  <c r="AG3" i="52"/>
  <c r="AF3" i="52"/>
  <c r="AE3" i="52"/>
  <c r="AD3" i="52" s="1"/>
  <c r="AC3" i="52"/>
  <c r="AB3" i="52"/>
  <c r="AA3" i="52"/>
  <c r="Z3" i="52"/>
  <c r="Y3" i="52"/>
  <c r="X3" i="52"/>
  <c r="W3" i="52"/>
  <c r="V3" i="52"/>
  <c r="U3" i="52"/>
  <c r="T3" i="52"/>
  <c r="S3" i="52"/>
  <c r="R3" i="52"/>
  <c r="Q3" i="52"/>
  <c r="P3" i="52"/>
  <c r="O3" i="52"/>
  <c r="N3" i="52"/>
  <c r="M3" i="52"/>
  <c r="L3" i="52"/>
  <c r="K3" i="52"/>
  <c r="J3" i="52"/>
  <c r="O24" i="68"/>
  <c r="N24" i="68"/>
  <c r="M24" i="68"/>
  <c r="L24" i="68"/>
  <c r="K24" i="68"/>
  <c r="J24" i="68"/>
  <c r="I24" i="68"/>
  <c r="H24" i="68"/>
  <c r="G24" i="68"/>
  <c r="F24" i="68"/>
  <c r="E24" i="68"/>
  <c r="D24" i="68"/>
  <c r="O23" i="68" s="1"/>
  <c r="N23" i="68" s="1"/>
  <c r="M23" i="68" s="1"/>
  <c r="L23" i="68" s="1"/>
  <c r="K23" i="68" s="1"/>
  <c r="J23" i="68" s="1"/>
  <c r="I23" i="68" s="1"/>
  <c r="H23" i="68" s="1"/>
  <c r="G23" i="68" s="1"/>
  <c r="F23" i="68" s="1"/>
  <c r="E23" i="68" s="1"/>
  <c r="J33" i="52" l="1"/>
  <c r="N33" i="52"/>
  <c r="AS17" i="52"/>
  <c r="L26" i="50"/>
  <c r="M18" i="52"/>
  <c r="F42" i="52"/>
  <c r="AK17" i="52"/>
  <c r="AK18" i="52" s="1"/>
  <c r="I25" i="50"/>
  <c r="AH17" i="52"/>
  <c r="AG17" i="52" s="1"/>
  <c r="AF17" i="52" s="1"/>
  <c r="AE17" i="52" s="1"/>
  <c r="AD17" i="52" s="1"/>
  <c r="AC17" i="52" s="1"/>
  <c r="AB17" i="52" s="1"/>
  <c r="AA17" i="52" s="1"/>
  <c r="Z17" i="52" s="1"/>
  <c r="Y17" i="52" s="1"/>
  <c r="X17" i="52" s="1"/>
  <c r="W17" i="52" s="1"/>
  <c r="C17" i="52" s="1"/>
  <c r="B17" i="52" s="1"/>
  <c r="AI17" i="52"/>
  <c r="AP17" i="52"/>
  <c r="AJ17" i="52"/>
  <c r="AQ11" i="50"/>
  <c r="AQ17" i="52"/>
  <c r="AM11" i="50"/>
  <c r="M45" i="52"/>
  <c r="Q45" i="52"/>
  <c r="U45" i="52"/>
  <c r="AP24" i="50"/>
  <c r="AL16" i="52" s="1"/>
  <c r="AQ26" i="50"/>
  <c r="AL11" i="50"/>
  <c r="L33" i="52"/>
  <c r="AR11" i="50"/>
  <c r="H17" i="50"/>
  <c r="D17" i="50"/>
  <c r="L17" i="50"/>
  <c r="AH16" i="52"/>
  <c r="AG16" i="52" s="1"/>
  <c r="AF16" i="52" s="1"/>
  <c r="AE16" i="52" s="1"/>
  <c r="AD16" i="52" s="1"/>
  <c r="AC16" i="52" s="1"/>
  <c r="C16" i="52" s="1"/>
  <c r="K45" i="52"/>
  <c r="O45" i="52"/>
  <c r="S45" i="52"/>
  <c r="L11" i="50"/>
  <c r="AO11" i="50"/>
  <c r="AN24" i="50"/>
  <c r="AO26" i="50"/>
  <c r="H11" i="50"/>
  <c r="D11" i="50"/>
  <c r="H26" i="50"/>
  <c r="D26" i="50"/>
  <c r="J18" i="52"/>
  <c r="K33" i="52"/>
  <c r="B9" i="52"/>
  <c r="O18" i="52"/>
  <c r="U33" i="52"/>
  <c r="F9" i="52"/>
  <c r="F8" i="52"/>
  <c r="C13" i="52"/>
  <c r="M33" i="52"/>
  <c r="T33" i="52"/>
  <c r="B44" i="52"/>
  <c r="B41" i="52"/>
  <c r="L45" i="52"/>
  <c r="P45" i="52"/>
  <c r="T45" i="52"/>
  <c r="N18" i="52"/>
  <c r="B21" i="52"/>
  <c r="X26" i="52"/>
  <c r="C8" i="52"/>
  <c r="K14" i="52"/>
  <c r="B16" i="52"/>
  <c r="S18" i="52"/>
  <c r="B30" i="52"/>
  <c r="B31" i="52"/>
  <c r="U39" i="52"/>
  <c r="T39" i="52" s="1"/>
  <c r="S39" i="52" s="1"/>
  <c r="R39" i="52" s="1"/>
  <c r="Q39" i="52" s="1"/>
  <c r="P39" i="52" s="1"/>
  <c r="O39" i="52" s="1"/>
  <c r="N39" i="52" s="1"/>
  <c r="M39" i="52" s="1"/>
  <c r="L39" i="52" s="1"/>
  <c r="C44" i="52"/>
  <c r="B8" i="52"/>
  <c r="J14" i="52"/>
  <c r="L18" i="52"/>
  <c r="K18" i="52" s="1"/>
  <c r="R18" i="52"/>
  <c r="B32" i="52"/>
  <c r="D43" i="52"/>
  <c r="X42" i="52"/>
  <c r="Y45" i="52"/>
  <c r="B13" i="52"/>
  <c r="J6" i="52"/>
  <c r="C9" i="52"/>
  <c r="S33" i="52"/>
  <c r="R33" i="52" s="1"/>
  <c r="Q33" i="52" s="1"/>
  <c r="P33" i="52" s="1"/>
  <c r="O33" i="52" s="1"/>
  <c r="J39" i="52"/>
  <c r="F44" i="52"/>
  <c r="F45" i="52" s="1"/>
  <c r="W116" i="19"/>
  <c r="A118" i="19"/>
  <c r="B5" i="52"/>
  <c r="Q18" i="52"/>
  <c r="U18" i="52"/>
  <c r="B23" i="52"/>
  <c r="W26" i="52"/>
  <c r="D39" i="52"/>
  <c r="W45" i="52"/>
  <c r="B43" i="52"/>
  <c r="U6" i="52"/>
  <c r="L14" i="52"/>
  <c r="P18" i="52"/>
  <c r="T18" i="52"/>
  <c r="V26" i="52"/>
  <c r="B42" i="52"/>
  <c r="N45" i="52"/>
  <c r="R45" i="52"/>
  <c r="V45" i="52"/>
  <c r="E86" i="29"/>
  <c r="D86" i="29" s="1"/>
  <c r="A88" i="29"/>
  <c r="Y26" i="52"/>
  <c r="AM18" i="52"/>
  <c r="AV7" i="50"/>
  <c r="AV8" i="50"/>
  <c r="AV9" i="50"/>
  <c r="D23" i="68"/>
  <c r="O21" i="68"/>
  <c r="N21" i="68"/>
  <c r="M21" i="68"/>
  <c r="L21" i="68"/>
  <c r="K21" i="68"/>
  <c r="J21" i="68"/>
  <c r="I21" i="68"/>
  <c r="H21" i="68"/>
  <c r="G21" i="68"/>
  <c r="F21" i="68"/>
  <c r="E21" i="68"/>
  <c r="D21" i="68"/>
  <c r="AD18" i="52" l="1"/>
  <c r="AG18" i="52"/>
  <c r="C10" i="52"/>
  <c r="Y18" i="52"/>
  <c r="AB18" i="52"/>
  <c r="AA18" i="52" s="1"/>
  <c r="Z18" i="52"/>
  <c r="X18" i="52"/>
  <c r="F18" i="52" s="1"/>
  <c r="W18" i="52"/>
  <c r="V18" i="52" s="1"/>
  <c r="B39" i="52"/>
  <c r="AF18" i="52"/>
  <c r="B10" i="52"/>
  <c r="AM24" i="50"/>
  <c r="AN26" i="50"/>
  <c r="AJ16" i="52"/>
  <c r="AJ18" i="52" s="1"/>
  <c r="AH18" i="52"/>
  <c r="AE18" i="52"/>
  <c r="AC18" i="52"/>
  <c r="P21" i="68"/>
  <c r="B45" i="52"/>
  <c r="T6" i="52"/>
  <c r="W117" i="19"/>
  <c r="A119" i="19"/>
  <c r="X45" i="52"/>
  <c r="AS3" i="52"/>
  <c r="AR3" i="52" s="1"/>
  <c r="AQ3" i="52" s="1"/>
  <c r="AP3" i="52" s="1"/>
  <c r="AO3" i="52" s="1"/>
  <c r="AN3" i="52" s="1"/>
  <c r="AM3" i="52" s="1"/>
  <c r="AL3" i="52" s="1"/>
  <c r="AK3" i="52" s="1"/>
  <c r="AJ3" i="52" s="1"/>
  <c r="AI3" i="52" s="1"/>
  <c r="AH3" i="52" s="1"/>
  <c r="B6" i="52"/>
  <c r="E87" i="29"/>
  <c r="D87" i="29" s="1"/>
  <c r="A89" i="29"/>
  <c r="AU8" i="50"/>
  <c r="AU9" i="50"/>
  <c r="AU7" i="50"/>
  <c r="AV11" i="50"/>
  <c r="O17" i="68"/>
  <c r="N17" i="68"/>
  <c r="M17" i="68"/>
  <c r="L17" i="68"/>
  <c r="K17" i="68"/>
  <c r="J17" i="68"/>
  <c r="I17" i="68"/>
  <c r="H17" i="68"/>
  <c r="G17" i="68"/>
  <c r="F17" i="68"/>
  <c r="E17" i="68"/>
  <c r="D17" i="68"/>
  <c r="O15" i="68"/>
  <c r="N15" i="68"/>
  <c r="M15" i="68"/>
  <c r="L15" i="68"/>
  <c r="K15" i="68"/>
  <c r="J15" i="68"/>
  <c r="I15" i="68"/>
  <c r="H15" i="68"/>
  <c r="G15" i="68"/>
  <c r="F15" i="68"/>
  <c r="E15" i="68"/>
  <c r="D15" i="68"/>
  <c r="C18" i="52" l="1"/>
  <c r="B18" i="52" s="1"/>
  <c r="AM26" i="50"/>
  <c r="AI16" i="52"/>
  <c r="AI18" i="52" s="1"/>
  <c r="S6" i="52"/>
  <c r="W118" i="19"/>
  <c r="A120" i="19"/>
  <c r="E88" i="29"/>
  <c r="D88" i="29" s="1"/>
  <c r="A90" i="29"/>
  <c r="A91" i="29" s="1"/>
  <c r="A92" i="29" s="1"/>
  <c r="AG5" i="52"/>
  <c r="AT8" i="50"/>
  <c r="AT7" i="50"/>
  <c r="AU11" i="50"/>
  <c r="O12" i="68"/>
  <c r="N12" i="68"/>
  <c r="M12" i="68"/>
  <c r="L12" i="68"/>
  <c r="K12" i="68"/>
  <c r="J12" i="68"/>
  <c r="I12" i="68"/>
  <c r="H12" i="68"/>
  <c r="G12" i="68"/>
  <c r="F12" i="68"/>
  <c r="E12" i="68"/>
  <c r="D12" i="68"/>
  <c r="P12" i="68" l="1"/>
  <c r="W119" i="19"/>
  <c r="A121" i="19"/>
  <c r="A122" i="19" s="1"/>
  <c r="A123" i="19" s="1"/>
  <c r="A124" i="19" s="1"/>
  <c r="R6" i="52"/>
  <c r="E91" i="29"/>
  <c r="D91" i="29" s="1"/>
  <c r="A93" i="29"/>
  <c r="AF5" i="52"/>
  <c r="AG6" i="52"/>
  <c r="AS7" i="50"/>
  <c r="AT11" i="50"/>
  <c r="AS8" i="50"/>
  <c r="E92" i="29" l="1"/>
  <c r="D92" i="29" s="1"/>
  <c r="A94" i="29"/>
  <c r="W123" i="19"/>
  <c r="A125" i="19"/>
  <c r="AE5" i="52"/>
  <c r="AF6" i="52"/>
  <c r="Q6" i="52"/>
  <c r="AS11" i="50"/>
  <c r="E93" i="29" l="1"/>
  <c r="D93" i="29" s="1"/>
  <c r="A95" i="29"/>
  <c r="A96" i="29" s="1"/>
  <c r="AD5" i="52"/>
  <c r="AE6" i="52"/>
  <c r="P6" i="52"/>
  <c r="W124" i="19"/>
  <c r="A126" i="19"/>
  <c r="A127" i="19" s="1"/>
  <c r="O6" i="52" l="1"/>
  <c r="E95" i="29"/>
  <c r="D95" i="29" s="1"/>
  <c r="A97" i="29"/>
  <c r="AC5" i="52"/>
  <c r="AD6" i="52"/>
  <c r="W126" i="19"/>
  <c r="A128" i="19"/>
  <c r="H23" i="62"/>
  <c r="H24" i="62" s="1"/>
  <c r="H25" i="62" l="1"/>
  <c r="AB5" i="52"/>
  <c r="AC6" i="52"/>
  <c r="N6" i="52"/>
  <c r="W127" i="19"/>
  <c r="A129" i="19"/>
  <c r="A130" i="19" s="1"/>
  <c r="A131" i="19" s="1"/>
  <c r="A132" i="19" s="1"/>
  <c r="E96" i="29"/>
  <c r="D96" i="29" s="1"/>
  <c r="A98" i="29"/>
  <c r="E23" i="62"/>
  <c r="D23" i="62"/>
  <c r="D24" i="62" s="1"/>
  <c r="E24" i="62" l="1"/>
  <c r="M6" i="52"/>
  <c r="E97" i="29"/>
  <c r="D97" i="29" s="1"/>
  <c r="A99" i="29"/>
  <c r="AA5" i="52"/>
  <c r="AB6" i="52"/>
  <c r="W131" i="19"/>
  <c r="A133" i="19"/>
  <c r="H11" i="62"/>
  <c r="G11" i="62"/>
  <c r="F11" i="62"/>
  <c r="E11" i="62"/>
  <c r="G27" i="62" l="1"/>
  <c r="D27" i="62"/>
  <c r="E27" i="62"/>
  <c r="C27" i="62"/>
  <c r="W132" i="19"/>
  <c r="A134" i="19"/>
  <c r="A135" i="19" s="1"/>
  <c r="E25" i="62"/>
  <c r="D25" i="62" s="1"/>
  <c r="L6" i="52"/>
  <c r="Z5" i="52"/>
  <c r="AA6" i="52"/>
  <c r="E98" i="29"/>
  <c r="D98" i="29" s="1"/>
  <c r="A100" i="29"/>
  <c r="B7" i="62"/>
  <c r="Y5" i="52" l="1"/>
  <c r="X5" i="52" s="1"/>
  <c r="W5" i="52" s="1"/>
  <c r="Z6" i="52"/>
  <c r="H27" i="62"/>
  <c r="B8" i="62"/>
  <c r="K6" i="52"/>
  <c r="E99" i="29"/>
  <c r="D99" i="29" s="1"/>
  <c r="A101" i="29"/>
  <c r="W134" i="19"/>
  <c r="A136" i="19"/>
  <c r="Y6" i="52" l="1"/>
  <c r="W135" i="19"/>
  <c r="A137" i="19"/>
  <c r="B9" i="62"/>
  <c r="W6" i="52"/>
  <c r="C5" i="52"/>
  <c r="C6" i="52" s="1"/>
  <c r="B6" i="62" s="1"/>
  <c r="F5" i="52"/>
  <c r="X6" i="52"/>
  <c r="E100" i="29"/>
  <c r="D100" i="29" s="1"/>
  <c r="A102" i="29"/>
  <c r="A103" i="29" s="1"/>
  <c r="E6" i="62"/>
  <c r="C6" i="62"/>
  <c r="F6" i="52" l="1"/>
  <c r="W136" i="19"/>
  <c r="A138" i="19"/>
  <c r="B10" i="62"/>
  <c r="E102" i="29"/>
  <c r="D102" i="29" s="1"/>
  <c r="A104" i="29"/>
  <c r="D12" i="11"/>
  <c r="D22" i="11" s="1"/>
  <c r="W137" i="19" l="1"/>
  <c r="A139" i="19"/>
  <c r="A140" i="19" s="1"/>
  <c r="A141" i="19" s="1"/>
  <c r="E103" i="29"/>
  <c r="D103" i="29" s="1"/>
  <c r="A105" i="29"/>
  <c r="X63" i="12"/>
  <c r="V63" i="12"/>
  <c r="U63" i="12"/>
  <c r="W63" i="12" s="1"/>
  <c r="T63" i="12"/>
  <c r="S63" i="12"/>
  <c r="Q63" i="12"/>
  <c r="P63" i="12"/>
  <c r="R63" i="12" s="1"/>
  <c r="O63" i="12"/>
  <c r="N63" i="12"/>
  <c r="L63" i="12"/>
  <c r="K63" i="12"/>
  <c r="J63" i="12"/>
  <c r="I63" i="12"/>
  <c r="G63" i="12"/>
  <c r="F63" i="12"/>
  <c r="E63" i="12"/>
  <c r="X62" i="12"/>
  <c r="X64" i="12" s="1"/>
  <c r="V62" i="12"/>
  <c r="V64" i="12" s="1"/>
  <c r="U62" i="12"/>
  <c r="U64" i="12" s="1"/>
  <c r="T62" i="12"/>
  <c r="T64" i="12" s="1"/>
  <c r="S62" i="12"/>
  <c r="S64" i="12" s="1"/>
  <c r="Q62" i="12"/>
  <c r="Q64" i="12" s="1"/>
  <c r="P62" i="12"/>
  <c r="P64" i="12" s="1"/>
  <c r="O62" i="12"/>
  <c r="O64" i="12" s="1"/>
  <c r="N62" i="12"/>
  <c r="N64" i="12" s="1"/>
  <c r="L62" i="12"/>
  <c r="L64" i="12" s="1"/>
  <c r="K62" i="12"/>
  <c r="K64" i="12" s="1"/>
  <c r="J62" i="12"/>
  <c r="J64" i="12" s="1"/>
  <c r="I62" i="12"/>
  <c r="I64" i="12" s="1"/>
  <c r="G62" i="12"/>
  <c r="F62" i="12"/>
  <c r="F64" i="12" s="1"/>
  <c r="E62" i="12"/>
  <c r="X59" i="12"/>
  <c r="V59" i="12"/>
  <c r="U59" i="12"/>
  <c r="T59" i="12"/>
  <c r="S59" i="12"/>
  <c r="Q59" i="12"/>
  <c r="P59" i="12"/>
  <c r="O59" i="12"/>
  <c r="N59" i="12"/>
  <c r="L59" i="12"/>
  <c r="K59" i="12"/>
  <c r="J59" i="12"/>
  <c r="I59" i="12"/>
  <c r="G59" i="12"/>
  <c r="F59" i="12"/>
  <c r="E59" i="12"/>
  <c r="X57" i="12"/>
  <c r="X61" i="12" s="1"/>
  <c r="V57" i="12"/>
  <c r="V61" i="12" s="1"/>
  <c r="U57" i="12"/>
  <c r="U61" i="12" s="1"/>
  <c r="T57" i="12"/>
  <c r="T61" i="12" s="1"/>
  <c r="S57" i="12"/>
  <c r="S61" i="12" s="1"/>
  <c r="Q57" i="12"/>
  <c r="Q61" i="12" s="1"/>
  <c r="P57" i="12"/>
  <c r="P61" i="12" s="1"/>
  <c r="O57" i="12"/>
  <c r="O61" i="12" s="1"/>
  <c r="N57" i="12"/>
  <c r="L57" i="12"/>
  <c r="L61" i="12" s="1"/>
  <c r="K57" i="12"/>
  <c r="K61" i="12" s="1"/>
  <c r="J57" i="12"/>
  <c r="J61" i="12" s="1"/>
  <c r="I57" i="12"/>
  <c r="I61" i="12" s="1"/>
  <c r="G57" i="12"/>
  <c r="F57" i="12"/>
  <c r="F61" i="12" s="1"/>
  <c r="E57" i="12"/>
  <c r="E61" i="12" s="1"/>
  <c r="N61" i="12" l="1"/>
  <c r="H59" i="12"/>
  <c r="H57" i="12"/>
  <c r="H61" i="12" s="1"/>
  <c r="H62" i="12"/>
  <c r="M59" i="12"/>
  <c r="R59" i="12"/>
  <c r="W59" i="12"/>
  <c r="H63" i="12"/>
  <c r="H64" i="12" s="1"/>
  <c r="M63" i="12"/>
  <c r="M57" i="12"/>
  <c r="G61" i="12"/>
  <c r="W62" i="12"/>
  <c r="W64" i="12" s="1"/>
  <c r="E64" i="12"/>
  <c r="R62" i="12"/>
  <c r="R64" i="12" s="1"/>
  <c r="E104" i="29"/>
  <c r="D104" i="29" s="1"/>
  <c r="A106" i="29"/>
  <c r="W140" i="19"/>
  <c r="A142" i="19"/>
  <c r="A143" i="19" s="1"/>
  <c r="A144" i="19" s="1"/>
  <c r="A145" i="19" s="1"/>
  <c r="A146" i="19" s="1"/>
  <c r="W57" i="12"/>
  <c r="W61" i="12" s="1"/>
  <c r="M62" i="12"/>
  <c r="G64" i="12"/>
  <c r="R57" i="12"/>
  <c r="R61" i="12" s="1"/>
  <c r="AG10" i="52"/>
  <c r="AF10" i="52" s="1"/>
  <c r="AE10" i="52" s="1"/>
  <c r="AD10" i="52" s="1"/>
  <c r="AC10" i="52" s="1"/>
  <c r="AB10" i="52" s="1"/>
  <c r="W55" i="12"/>
  <c r="T55" i="12"/>
  <c r="S55" i="12"/>
  <c r="R55" i="12" s="1"/>
  <c r="O55" i="12"/>
  <c r="N55" i="12"/>
  <c r="M55" i="12" s="1"/>
  <c r="J55" i="12" s="1"/>
  <c r="I55" i="12"/>
  <c r="H55" i="12" s="1"/>
  <c r="E55" i="12"/>
  <c r="X54" i="12"/>
  <c r="V54" i="12"/>
  <c r="V56" i="12" s="1"/>
  <c r="U54" i="12"/>
  <c r="U56" i="12" s="1"/>
  <c r="T54" i="12"/>
  <c r="S54" i="12"/>
  <c r="S56" i="12" s="1"/>
  <c r="Q54" i="12"/>
  <c r="Q56" i="12" s="1"/>
  <c r="P54" i="12"/>
  <c r="P56" i="12" s="1"/>
  <c r="O54" i="12"/>
  <c r="N54" i="12"/>
  <c r="L54" i="12"/>
  <c r="L56" i="12" s="1"/>
  <c r="K54" i="12"/>
  <c r="K56" i="12" s="1"/>
  <c r="J54" i="12"/>
  <c r="I54" i="12"/>
  <c r="G54" i="12"/>
  <c r="G56" i="12" s="1"/>
  <c r="F54" i="12"/>
  <c r="F56" i="12" s="1"/>
  <c r="E54" i="12"/>
  <c r="E56" i="12" s="1"/>
  <c r="I56" i="12" l="1"/>
  <c r="T56" i="12"/>
  <c r="O56" i="12"/>
  <c r="N56" i="12"/>
  <c r="M64" i="12"/>
  <c r="J56" i="12"/>
  <c r="Y63" i="12"/>
  <c r="Y59" i="12"/>
  <c r="M61" i="12"/>
  <c r="Y62" i="12"/>
  <c r="AA10" i="52"/>
  <c r="Z10" i="52" s="1"/>
  <c r="Y10" i="52" s="1"/>
  <c r="C7" i="62"/>
  <c r="H54" i="12"/>
  <c r="H56" i="12" s="1"/>
  <c r="W54" i="12"/>
  <c r="E105" i="29"/>
  <c r="D105" i="29" s="1"/>
  <c r="A107" i="29"/>
  <c r="R54" i="12"/>
  <c r="R56" i="12" s="1"/>
  <c r="M54" i="12"/>
  <c r="M56" i="12" s="1"/>
  <c r="Y64" i="12"/>
  <c r="W145" i="19"/>
  <c r="A147" i="19"/>
  <c r="Y57" i="12"/>
  <c r="X52" i="12"/>
  <c r="W52" i="12"/>
  <c r="T52" i="12"/>
  <c r="S52" i="12"/>
  <c r="R52" i="12" s="1"/>
  <c r="O52" i="12"/>
  <c r="N52" i="12" s="1"/>
  <c r="M52" i="12" s="1"/>
  <c r="J52" i="12" s="1"/>
  <c r="I52" i="12"/>
  <c r="H52" i="12" s="1"/>
  <c r="E52" i="12" s="1"/>
  <c r="X51" i="12"/>
  <c r="V51" i="12"/>
  <c r="V53" i="12" s="1"/>
  <c r="U51" i="12"/>
  <c r="U53" i="12" s="1"/>
  <c r="T51" i="12"/>
  <c r="S51" i="12"/>
  <c r="Q51" i="12"/>
  <c r="Q53" i="12" s="1"/>
  <c r="P51" i="12"/>
  <c r="P53" i="12" s="1"/>
  <c r="O51" i="12"/>
  <c r="N51" i="12"/>
  <c r="L51" i="12"/>
  <c r="L53" i="12" s="1"/>
  <c r="K51" i="12"/>
  <c r="K53" i="12" s="1"/>
  <c r="J51" i="12"/>
  <c r="I51" i="12"/>
  <c r="G51" i="12"/>
  <c r="G53" i="12" s="1"/>
  <c r="F51" i="12"/>
  <c r="F53" i="12" s="1"/>
  <c r="E51" i="12"/>
  <c r="E53" i="12" s="1"/>
  <c r="X49" i="12"/>
  <c r="X50" i="12" s="1"/>
  <c r="V49" i="12"/>
  <c r="V50" i="12" s="1"/>
  <c r="U49" i="12"/>
  <c r="U50" i="12" s="1"/>
  <c r="T49" i="12"/>
  <c r="T50" i="12" s="1"/>
  <c r="S49" i="12"/>
  <c r="S50" i="12" s="1"/>
  <c r="Q49" i="12"/>
  <c r="Q50" i="12" s="1"/>
  <c r="P49" i="12"/>
  <c r="P50" i="12" s="1"/>
  <c r="O49" i="12"/>
  <c r="O50" i="12" s="1"/>
  <c r="N49" i="12"/>
  <c r="N50" i="12" s="1"/>
  <c r="L49" i="12"/>
  <c r="L50" i="12" s="1"/>
  <c r="K49" i="12"/>
  <c r="K50" i="12" s="1"/>
  <c r="J49" i="12"/>
  <c r="J50" i="12" s="1"/>
  <c r="I49" i="12"/>
  <c r="I50" i="12" s="1"/>
  <c r="G49" i="12"/>
  <c r="G50" i="12" s="1"/>
  <c r="F49" i="12"/>
  <c r="F50" i="12" s="1"/>
  <c r="E49" i="12"/>
  <c r="J53" i="12" l="1"/>
  <c r="N53" i="12"/>
  <c r="X53" i="12"/>
  <c r="I53" i="12"/>
  <c r="T53" i="12"/>
  <c r="O53" i="12"/>
  <c r="Y52" i="12"/>
  <c r="Y54" i="12"/>
  <c r="M49" i="12"/>
  <c r="M50" i="12" s="1"/>
  <c r="H51" i="12"/>
  <c r="H53" i="12" s="1"/>
  <c r="W146" i="19"/>
  <c r="A148" i="19"/>
  <c r="E106" i="29"/>
  <c r="D106" i="29" s="1"/>
  <c r="A108" i="29"/>
  <c r="R49" i="12"/>
  <c r="R50" i="12" s="1"/>
  <c r="E50" i="12"/>
  <c r="M51" i="12"/>
  <c r="X10" i="52"/>
  <c r="H49" i="12"/>
  <c r="H50" i="12" s="1"/>
  <c r="S53" i="12"/>
  <c r="W51" i="12"/>
  <c r="W53" i="12" s="1"/>
  <c r="W49" i="12"/>
  <c r="R51" i="12"/>
  <c r="Y49" i="12" l="1"/>
  <c r="Y51" i="12"/>
  <c r="W50" i="12"/>
  <c r="E107" i="29"/>
  <c r="D107" i="29" s="1"/>
  <c r="A109" i="29"/>
  <c r="R53" i="12"/>
  <c r="W147" i="19"/>
  <c r="A149" i="19"/>
  <c r="M53" i="12"/>
  <c r="W10" i="52"/>
  <c r="V10" i="52" s="1"/>
  <c r="W148" i="19" l="1"/>
  <c r="A150" i="19"/>
  <c r="A151" i="19" s="1"/>
  <c r="A152" i="19" s="1"/>
  <c r="A153" i="19" s="1"/>
  <c r="U10" i="52"/>
  <c r="F10" i="52"/>
  <c r="E108" i="29"/>
  <c r="D108" i="29" s="1"/>
  <c r="A110" i="29"/>
  <c r="E109" i="29" l="1"/>
  <c r="D109" i="29" s="1"/>
  <c r="A111" i="29"/>
  <c r="T10" i="52"/>
  <c r="W152" i="19"/>
  <c r="A154" i="19"/>
  <c r="E110" i="29" l="1"/>
  <c r="D110" i="29" s="1"/>
  <c r="A112" i="29"/>
  <c r="W153" i="19"/>
  <c r="A155" i="19"/>
  <c r="A156" i="19" s="1"/>
  <c r="S10" i="52"/>
  <c r="E111" i="29" l="1"/>
  <c r="D111" i="29" s="1"/>
  <c r="A113" i="29"/>
  <c r="A114" i="29" s="1"/>
  <c r="R10" i="52"/>
  <c r="W155" i="19"/>
  <c r="A157" i="19"/>
  <c r="E113" i="29" l="1"/>
  <c r="D113" i="29" s="1"/>
  <c r="A115" i="29"/>
  <c r="W156" i="19"/>
  <c r="A158" i="19"/>
  <c r="A159" i="19" s="1"/>
  <c r="A160" i="19" s="1"/>
  <c r="A161" i="19" s="1"/>
  <c r="Q10" i="52"/>
  <c r="E114" i="29" l="1"/>
  <c r="D114" i="29" s="1"/>
  <c r="A116" i="29"/>
  <c r="P10" i="52"/>
  <c r="W160" i="19"/>
  <c r="A162" i="19"/>
  <c r="G41" i="12"/>
  <c r="F41" i="12"/>
  <c r="X40" i="12"/>
  <c r="W40" i="12"/>
  <c r="T40" i="12"/>
  <c r="S40" i="12"/>
  <c r="R40" i="12"/>
  <c r="O40" i="12"/>
  <c r="N40" i="12"/>
  <c r="M40" i="12"/>
  <c r="W161" i="19" l="1"/>
  <c r="A163" i="19"/>
  <c r="A164" i="19" s="1"/>
  <c r="E115" i="29"/>
  <c r="D115" i="29" s="1"/>
  <c r="A117" i="29"/>
  <c r="O10" i="52"/>
  <c r="J40" i="12"/>
  <c r="I40" i="12"/>
  <c r="H40" i="12" s="1"/>
  <c r="E40" i="12"/>
  <c r="I39" i="12"/>
  <c r="H39" i="12"/>
  <c r="E39" i="12"/>
  <c r="N10" i="52" l="1"/>
  <c r="W163" i="19"/>
  <c r="A165" i="19"/>
  <c r="Y40" i="12"/>
  <c r="E116" i="29"/>
  <c r="D116" i="29" s="1"/>
  <c r="A118" i="29"/>
  <c r="Y39" i="12"/>
  <c r="Y35" i="12"/>
  <c r="Y34" i="12"/>
  <c r="Y31" i="12"/>
  <c r="X30" i="12"/>
  <c r="W30" i="12"/>
  <c r="T30" i="12"/>
  <c r="S30" i="12"/>
  <c r="R30" i="12"/>
  <c r="O30" i="12"/>
  <c r="N30" i="12"/>
  <c r="M30" i="12"/>
  <c r="J30" i="12"/>
  <c r="I30" i="12"/>
  <c r="H30" i="12"/>
  <c r="E30" i="12"/>
  <c r="Y28" i="12"/>
  <c r="V27" i="12"/>
  <c r="U27" i="12"/>
  <c r="Q27" i="12"/>
  <c r="P27" i="12"/>
  <c r="L27" i="12"/>
  <c r="K27" i="12"/>
  <c r="X26" i="12"/>
  <c r="W26" i="12"/>
  <c r="T26" i="12"/>
  <c r="S26" i="12" s="1"/>
  <c r="R26" i="12"/>
  <c r="O26" i="12"/>
  <c r="M10" i="52" l="1"/>
  <c r="Y30" i="12"/>
  <c r="E117" i="29"/>
  <c r="D117" i="29" s="1"/>
  <c r="A119" i="29"/>
  <c r="W164" i="19"/>
  <c r="A166" i="19"/>
  <c r="N26" i="12"/>
  <c r="M26" i="12"/>
  <c r="J26" i="12"/>
  <c r="L10" i="52" l="1"/>
  <c r="W165" i="19"/>
  <c r="A167" i="19"/>
  <c r="I26" i="12"/>
  <c r="H26" i="12" s="1"/>
  <c r="E26" i="12" s="1"/>
  <c r="Y26" i="12" s="1"/>
  <c r="J27" i="12"/>
  <c r="E118" i="29"/>
  <c r="D118" i="29" s="1"/>
  <c r="A120" i="29"/>
  <c r="E25" i="12"/>
  <c r="Y23" i="12"/>
  <c r="Y21" i="12"/>
  <c r="X18" i="12"/>
  <c r="X41" i="12" s="1"/>
  <c r="E119" i="29" l="1"/>
  <c r="D119" i="29" s="1"/>
  <c r="A121" i="29"/>
  <c r="K10" i="52"/>
  <c r="E27" i="12"/>
  <c r="W166" i="19"/>
  <c r="A168" i="19"/>
  <c r="A169" i="19" s="1"/>
  <c r="A170" i="19" s="1"/>
  <c r="W18" i="12"/>
  <c r="W41" i="12" s="1"/>
  <c r="T18" i="12"/>
  <c r="T41" i="12" s="1"/>
  <c r="S18" i="12"/>
  <c r="S41" i="12" s="1"/>
  <c r="R18" i="12"/>
  <c r="R41" i="12" s="1"/>
  <c r="O18" i="12"/>
  <c r="O41" i="12" s="1"/>
  <c r="N18" i="12"/>
  <c r="N41" i="12" s="1"/>
  <c r="M18" i="12"/>
  <c r="M41" i="12" s="1"/>
  <c r="E120" i="29" l="1"/>
  <c r="D120" i="29" s="1"/>
  <c r="A122" i="29"/>
  <c r="W169" i="19"/>
  <c r="A171" i="19"/>
  <c r="A172" i="19" s="1"/>
  <c r="A173" i="19" s="1"/>
  <c r="A174" i="19" s="1"/>
  <c r="A175" i="19" s="1"/>
  <c r="J18" i="12"/>
  <c r="J41" i="12" s="1"/>
  <c r="I18" i="12"/>
  <c r="I41" i="12" s="1"/>
  <c r="H18" i="12"/>
  <c r="H41" i="12" s="1"/>
  <c r="E18" i="12"/>
  <c r="E121" i="29" l="1"/>
  <c r="D121" i="29" s="1"/>
  <c r="A123" i="29"/>
  <c r="E41" i="12"/>
  <c r="Y18" i="12"/>
  <c r="W174" i="19"/>
  <c r="A176" i="19"/>
  <c r="X15" i="12"/>
  <c r="W15" i="12"/>
  <c r="T15" i="12"/>
  <c r="S15" i="12"/>
  <c r="R15" i="12"/>
  <c r="O15" i="12"/>
  <c r="N15" i="12"/>
  <c r="M15" i="12"/>
  <c r="J15" i="12"/>
  <c r="I15" i="12"/>
  <c r="H15" i="12"/>
  <c r="E15" i="12"/>
  <c r="X5" i="12"/>
  <c r="V5" i="12"/>
  <c r="T5" i="12"/>
  <c r="T20" i="12" s="1"/>
  <c r="S5" i="12"/>
  <c r="Q5" i="12"/>
  <c r="O5" i="12"/>
  <c r="P5" i="12" s="1"/>
  <c r="N5" i="12"/>
  <c r="L5" i="12"/>
  <c r="P22" i="12" l="1"/>
  <c r="O22" i="12" s="1"/>
  <c r="N22" i="12" s="1"/>
  <c r="P20" i="12"/>
  <c r="P17" i="12"/>
  <c r="P14" i="12"/>
  <c r="S20" i="12"/>
  <c r="S17" i="12"/>
  <c r="Q20" i="12"/>
  <c r="Q17" i="12"/>
  <c r="W175" i="19"/>
  <c r="A177" i="19"/>
  <c r="E122" i="29"/>
  <c r="D122" i="29" s="1"/>
  <c r="A124" i="29"/>
  <c r="A125" i="29" s="1"/>
  <c r="L20" i="12"/>
  <c r="L17" i="12"/>
  <c r="V22" i="12"/>
  <c r="V17" i="12"/>
  <c r="Y41" i="12"/>
  <c r="U5" i="12"/>
  <c r="Y15" i="12"/>
  <c r="O20" i="12"/>
  <c r="N20" i="12" s="1"/>
  <c r="N24" i="12" s="1"/>
  <c r="O17" i="12"/>
  <c r="N17" i="12" s="1"/>
  <c r="N19" i="12" s="1"/>
  <c r="O14" i="12"/>
  <c r="N14" i="12" s="1"/>
  <c r="N16" i="12" s="1"/>
  <c r="J5" i="12"/>
  <c r="K5" i="12" s="1"/>
  <c r="I5" i="12"/>
  <c r="G5" i="12"/>
  <c r="G20" i="12" s="1"/>
  <c r="E5" i="12"/>
  <c r="P65" i="6"/>
  <c r="O65" i="6"/>
  <c r="M65" i="6"/>
  <c r="O64" i="6"/>
  <c r="P64" i="6" s="1"/>
  <c r="M64" i="6"/>
  <c r="O63" i="6"/>
  <c r="P63" i="6" s="1"/>
  <c r="M63" i="6"/>
  <c r="O62" i="6"/>
  <c r="M62" i="6"/>
  <c r="K62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Q43" i="6"/>
  <c r="AP43" i="6"/>
  <c r="AO43" i="6"/>
  <c r="AN43" i="6"/>
  <c r="AM43" i="6"/>
  <c r="AM49" i="6" s="1"/>
  <c r="AL43" i="6"/>
  <c r="AK43" i="6"/>
  <c r="AJ43" i="6"/>
  <c r="AJ49" i="6" s="1"/>
  <c r="AI43" i="6"/>
  <c r="AH43" i="6"/>
  <c r="AG43" i="6"/>
  <c r="AF43" i="6"/>
  <c r="AA35" i="6"/>
  <c r="O24" i="6"/>
  <c r="P24" i="6" s="1"/>
  <c r="M24" i="6"/>
  <c r="AA23" i="6"/>
  <c r="P22" i="6"/>
  <c r="O22" i="6"/>
  <c r="M22" i="6"/>
  <c r="L62" i="6" l="1"/>
  <c r="N62" i="6"/>
  <c r="P62" i="6"/>
  <c r="AL49" i="6"/>
  <c r="AO49" i="6"/>
  <c r="AK49" i="6"/>
  <c r="K22" i="12"/>
  <c r="J22" i="12" s="1"/>
  <c r="I22" i="12" s="1"/>
  <c r="K20" i="12"/>
  <c r="K17" i="12"/>
  <c r="E20" i="12"/>
  <c r="E17" i="12"/>
  <c r="W176" i="19"/>
  <c r="A178" i="19"/>
  <c r="P24" i="12"/>
  <c r="O24" i="12" s="1"/>
  <c r="R20" i="12"/>
  <c r="U22" i="12"/>
  <c r="T22" i="12" s="1"/>
  <c r="S22" i="12" s="1"/>
  <c r="U20" i="12"/>
  <c r="U17" i="12"/>
  <c r="P19" i="12"/>
  <c r="O19" i="12" s="1"/>
  <c r="R17" i="12"/>
  <c r="E124" i="29"/>
  <c r="D124" i="29" s="1"/>
  <c r="A126" i="29"/>
  <c r="P16" i="12"/>
  <c r="O16" i="12" s="1"/>
  <c r="F5" i="12"/>
  <c r="AR51" i="6"/>
  <c r="AR44" i="6"/>
  <c r="AN49" i="6"/>
  <c r="AR43" i="6"/>
  <c r="AF47" i="6"/>
  <c r="AQ46" i="6" s="1"/>
  <c r="AF46" i="6"/>
  <c r="AO50" i="6" l="1"/>
  <c r="E19" i="12"/>
  <c r="F20" i="12"/>
  <c r="F22" i="12"/>
  <c r="E22" i="12" s="1"/>
  <c r="F17" i="12"/>
  <c r="E125" i="29"/>
  <c r="D125" i="29" s="1"/>
  <c r="A127" i="29"/>
  <c r="W177" i="19"/>
  <c r="A179" i="19"/>
  <c r="A180" i="19" s="1"/>
  <c r="A181" i="19" s="1"/>
  <c r="A182" i="19" s="1"/>
  <c r="J20" i="12"/>
  <c r="M20" i="12"/>
  <c r="K24" i="12"/>
  <c r="T17" i="12"/>
  <c r="T19" i="12" s="1"/>
  <c r="S19" i="12" s="1"/>
  <c r="R19" i="12" s="1"/>
  <c r="Q19" i="12" s="1"/>
  <c r="U19" i="12"/>
  <c r="W17" i="12"/>
  <c r="U24" i="12"/>
  <c r="T24" i="12" s="1"/>
  <c r="S24" i="12" s="1"/>
  <c r="E24" i="12"/>
  <c r="J17" i="12"/>
  <c r="K19" i="12"/>
  <c r="M17" i="12"/>
  <c r="M19" i="12" s="1"/>
  <c r="L19" i="12" s="1"/>
  <c r="AF49" i="6"/>
  <c r="AR45" i="6"/>
  <c r="AR47" i="6" s="1"/>
  <c r="AP46" i="6"/>
  <c r="F19" i="12" l="1"/>
  <c r="W181" i="19"/>
  <c r="A183" i="19"/>
  <c r="I17" i="12"/>
  <c r="I19" i="12" s="1"/>
  <c r="J19" i="12"/>
  <c r="I20" i="12"/>
  <c r="I24" i="12" s="1"/>
  <c r="J24" i="12"/>
  <c r="H20" i="12"/>
  <c r="F24" i="12"/>
  <c r="E126" i="29"/>
  <c r="D126" i="29" s="1"/>
  <c r="A128" i="29"/>
  <c r="AI46" i="6"/>
  <c r="AK19" i="6"/>
  <c r="AJ19" i="6"/>
  <c r="AI19" i="6"/>
  <c r="E127" i="29" l="1"/>
  <c r="D127" i="29" s="1"/>
  <c r="A129" i="29"/>
  <c r="W182" i="19"/>
  <c r="A184" i="19"/>
  <c r="A185" i="19" s="1"/>
  <c r="AH46" i="6"/>
  <c r="AH19" i="6"/>
  <c r="E128" i="29" l="1"/>
  <c r="D128" i="29" s="1"/>
  <c r="A130" i="29"/>
  <c r="W184" i="19"/>
  <c r="A186" i="19"/>
  <c r="AG46" i="6"/>
  <c r="AG19" i="6"/>
  <c r="AF19" i="6"/>
  <c r="P19" i="6"/>
  <c r="O19" i="6"/>
  <c r="M19" i="6"/>
  <c r="M20" i="6" s="1"/>
  <c r="J19" i="6"/>
  <c r="I19" i="6" s="1"/>
  <c r="O18" i="6"/>
  <c r="M18" i="6"/>
  <c r="P18" i="6" s="1"/>
  <c r="J18" i="6"/>
  <c r="AK17" i="6"/>
  <c r="AK21" i="6" s="1"/>
  <c r="AJ17" i="6"/>
  <c r="AJ21" i="6" s="1"/>
  <c r="AI17" i="6"/>
  <c r="AI21" i="6" s="1"/>
  <c r="AH17" i="6"/>
  <c r="AH21" i="6" s="1"/>
  <c r="AG17" i="6"/>
  <c r="AF17" i="6"/>
  <c r="AF21" i="6" s="1"/>
  <c r="R15" i="6"/>
  <c r="AK13" i="6"/>
  <c r="AI13" i="6"/>
  <c r="AH13" i="6"/>
  <c r="AG13" i="6"/>
  <c r="AF13" i="6"/>
  <c r="AL11" i="6"/>
  <c r="AK11" i="6"/>
  <c r="AQ47" i="6" s="1"/>
  <c r="AJ11" i="6"/>
  <c r="AJ13" i="6" s="1"/>
  <c r="AL9" i="6"/>
  <c r="AB19" i="6" s="1"/>
  <c r="E11" i="6" s="1"/>
  <c r="Y9" i="6"/>
  <c r="Z8" i="6"/>
  <c r="Z11" i="6" s="1"/>
  <c r="Z21" i="6" s="1"/>
  <c r="N5" i="6"/>
  <c r="M4" i="6"/>
  <c r="O15" i="6" s="1"/>
  <c r="L4" i="6"/>
  <c r="N4" i="6" l="1"/>
  <c r="AP47" i="6"/>
  <c r="AQ49" i="6"/>
  <c r="AL19" i="6"/>
  <c r="C11" i="62"/>
  <c r="B11" i="62"/>
  <c r="D11" i="62"/>
  <c r="AL13" i="6"/>
  <c r="AR52" i="6" s="1"/>
  <c r="AR53" i="6" s="1"/>
  <c r="AG21" i="6"/>
  <c r="AB31" i="6"/>
  <c r="Z31" i="6"/>
  <c r="M15" i="6"/>
  <c r="P15" i="6" s="1"/>
  <c r="AL17" i="6"/>
  <c r="I18" i="6"/>
  <c r="J20" i="6"/>
  <c r="E129" i="29"/>
  <c r="D129" i="29" s="1"/>
  <c r="A131" i="29"/>
  <c r="K19" i="6"/>
  <c r="L19" i="6" s="1"/>
  <c r="N19" i="6" s="1"/>
  <c r="W185" i="19"/>
  <c r="A187" i="19"/>
  <c r="A188" i="19" s="1"/>
  <c r="A189" i="19" s="1"/>
  <c r="A190" i="19" s="1"/>
  <c r="K18" i="6"/>
  <c r="AL21" i="6" l="1"/>
  <c r="Z19" i="6"/>
  <c r="Z23" i="6" s="1"/>
  <c r="AI47" i="6"/>
  <c r="AP49" i="6"/>
  <c r="E130" i="29"/>
  <c r="D130" i="29" s="1"/>
  <c r="A132" i="29"/>
  <c r="I20" i="6"/>
  <c r="L18" i="6"/>
  <c r="W189" i="19"/>
  <c r="A191" i="19"/>
  <c r="K20" i="6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AH47" i="6" l="1"/>
  <c r="AI49" i="6"/>
  <c r="AB23" i="6"/>
  <c r="B11" i="6"/>
  <c r="W190" i="19"/>
  <c r="A192" i="19"/>
  <c r="A193" i="19" s="1"/>
  <c r="E131" i="29"/>
  <c r="D131" i="29" s="1"/>
  <c r="A133" i="29"/>
  <c r="L20" i="6"/>
  <c r="N18" i="6"/>
  <c r="AB25" i="6" l="1"/>
  <c r="D11" i="6"/>
  <c r="F11" i="6" s="1"/>
  <c r="AG47" i="6"/>
  <c r="AG49" i="6" s="1"/>
  <c r="AH49" i="6"/>
  <c r="E132" i="29"/>
  <c r="D132" i="29" s="1"/>
  <c r="A134" i="29"/>
  <c r="W192" i="19"/>
  <c r="A194" i="19"/>
  <c r="AH50" i="6" l="1"/>
  <c r="AR49" i="6" s="1"/>
  <c r="E133" i="29"/>
  <c r="D133" i="29" s="1"/>
  <c r="A135" i="29"/>
  <c r="A136" i="29" s="1"/>
  <c r="W193" i="19"/>
  <c r="A195" i="19"/>
  <c r="E30" i="15"/>
  <c r="W194" i="19" l="1"/>
  <c r="A196" i="19"/>
  <c r="E135" i="29"/>
  <c r="D135" i="29" s="1"/>
  <c r="A137" i="29"/>
  <c r="E136" i="29" s="1"/>
  <c r="D136" i="29" s="1"/>
  <c r="AW25" i="15"/>
  <c r="AV25" i="15"/>
  <c r="AU25" i="15"/>
  <c r="AT25" i="15"/>
  <c r="AS25" i="15"/>
  <c r="AR25" i="15"/>
  <c r="AQ25" i="15"/>
  <c r="AP25" i="15"/>
  <c r="AO25" i="15"/>
  <c r="AN25" i="15"/>
  <c r="AM25" i="15"/>
  <c r="AL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E23" i="15"/>
  <c r="AE26" i="15" s="1"/>
  <c r="AD23" i="15"/>
  <c r="AD26" i="15" s="1"/>
  <c r="AC23" i="15"/>
  <c r="AC26" i="15" s="1"/>
  <c r="AB23" i="15"/>
  <c r="AB26" i="15" s="1"/>
  <c r="AA23" i="15"/>
  <c r="AA26" i="15" s="1"/>
  <c r="Z23" i="15"/>
  <c r="Z26" i="15" s="1"/>
  <c r="Y23" i="15"/>
  <c r="Y26" i="15" s="1"/>
  <c r="X23" i="15"/>
  <c r="X26" i="15" s="1"/>
  <c r="W23" i="15"/>
  <c r="W26" i="15" s="1"/>
  <c r="V23" i="15"/>
  <c r="V26" i="15" s="1"/>
  <c r="U23" i="15"/>
  <c r="U26" i="15" s="1"/>
  <c r="T23" i="15"/>
  <c r="T26" i="15" s="1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X22" i="15" s="1"/>
  <c r="AP26" i="15" l="1"/>
  <c r="AM26" i="15"/>
  <c r="AM27" i="15" s="1"/>
  <c r="AU26" i="15"/>
  <c r="AT26" i="15" s="1"/>
  <c r="AS26" i="15" s="1"/>
  <c r="AN26" i="15"/>
  <c r="AN27" i="15" s="1"/>
  <c r="AR26" i="15"/>
  <c r="AV26" i="15"/>
  <c r="AO26" i="15"/>
  <c r="AO27" i="15" s="1"/>
  <c r="AW26" i="15"/>
  <c r="AW27" i="15" s="1"/>
  <c r="K31" i="15"/>
  <c r="K30" i="15"/>
  <c r="AT27" i="15"/>
  <c r="AL26" i="15"/>
  <c r="AL27" i="15" s="1"/>
  <c r="W195" i="19"/>
  <c r="A197" i="19"/>
  <c r="A198" i="19" s="1"/>
  <c r="A199" i="19" s="1"/>
  <c r="AS27" i="15"/>
  <c r="AQ26" i="15"/>
  <c r="AQ27" i="15" s="1"/>
  <c r="AP27" i="15" s="1"/>
  <c r="AR27" i="15"/>
  <c r="AV27" i="15"/>
  <c r="AF21" i="15"/>
  <c r="E22" i="62" s="1"/>
  <c r="E26" i="62" s="1"/>
  <c r="K17" i="15"/>
  <c r="AU27" i="15" l="1"/>
  <c r="W198" i="19"/>
  <c r="A200" i="19"/>
  <c r="A201" i="19" s="1"/>
  <c r="A202" i="19" s="1"/>
  <c r="A203" i="19" s="1"/>
  <c r="A204" i="19" s="1"/>
  <c r="AX27" i="15"/>
  <c r="E17" i="15"/>
  <c r="W203" i="19" l="1"/>
  <c r="A205" i="19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AU13" i="15"/>
  <c r="AT13" i="15"/>
  <c r="AS13" i="15"/>
  <c r="AR13" i="15"/>
  <c r="AQ13" i="15"/>
  <c r="AP13" i="15"/>
  <c r="AO13" i="15"/>
  <c r="K13" i="15"/>
  <c r="E13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E12" i="15"/>
  <c r="AE16" i="15" s="1"/>
  <c r="AD12" i="15"/>
  <c r="AD16" i="15" s="1"/>
  <c r="AC12" i="15"/>
  <c r="AB12" i="15"/>
  <c r="AA12" i="15"/>
  <c r="Z12" i="15"/>
  <c r="Y12" i="15"/>
  <c r="X12" i="15"/>
  <c r="W12" i="15"/>
  <c r="V12" i="15"/>
  <c r="V16" i="15" s="1"/>
  <c r="U12" i="15"/>
  <c r="U16" i="15" s="1"/>
  <c r="T12" i="15"/>
  <c r="K12" i="15"/>
  <c r="E12" i="15"/>
  <c r="AX10" i="15"/>
  <c r="D22" i="62" s="1"/>
  <c r="D26" i="62" s="1"/>
  <c r="AE10" i="15"/>
  <c r="AD10" i="15"/>
  <c r="AC10" i="15"/>
  <c r="AB10" i="15"/>
  <c r="AA10" i="15"/>
  <c r="Z10" i="15"/>
  <c r="C23" i="62" s="1"/>
  <c r="Y10" i="15"/>
  <c r="X10" i="15"/>
  <c r="W10" i="15"/>
  <c r="V10" i="15"/>
  <c r="U10" i="15"/>
  <c r="T10" i="15"/>
  <c r="T33" i="15" s="1"/>
  <c r="C24" i="62" l="1"/>
  <c r="T37" i="15"/>
  <c r="AF10" i="15"/>
  <c r="C22" i="62" s="1"/>
  <c r="C26" i="62" s="1"/>
  <c r="C28" i="62" s="1"/>
  <c r="M12" i="15"/>
  <c r="U17" i="15"/>
  <c r="W204" i="19"/>
  <c r="A206" i="19"/>
  <c r="T16" i="15"/>
  <c r="T17" i="15" s="1"/>
  <c r="AQ17" i="15"/>
  <c r="M13" i="15"/>
  <c r="V17" i="15"/>
  <c r="AD17" i="15"/>
  <c r="AW9" i="15"/>
  <c r="AV9" i="15"/>
  <c r="AU9" i="15"/>
  <c r="AT9" i="15"/>
  <c r="AS9" i="15"/>
  <c r="AS17" i="15" s="1"/>
  <c r="AS18" i="15" s="1"/>
  <c r="AR9" i="15"/>
  <c r="AR17" i="15" s="1"/>
  <c r="AQ9" i="15"/>
  <c r="AP9" i="15"/>
  <c r="AO9" i="15"/>
  <c r="AO17" i="15" s="1"/>
  <c r="AN9" i="15"/>
  <c r="AM9" i="15"/>
  <c r="AM17" i="15" s="1"/>
  <c r="AM18" i="15" s="1"/>
  <c r="AL9" i="15"/>
  <c r="I49" i="14"/>
  <c r="AN17" i="15" l="1"/>
  <c r="AN18" i="15" s="1"/>
  <c r="E31" i="15"/>
  <c r="AP17" i="15"/>
  <c r="AP18" i="15" s="1"/>
  <c r="AO18" i="15" s="1"/>
  <c r="AO30" i="15" s="1"/>
  <c r="AN30" i="15" s="1"/>
  <c r="AL17" i="15"/>
  <c r="AL18" i="15" s="1"/>
  <c r="C25" i="62"/>
  <c r="M17" i="15"/>
  <c r="W205" i="19"/>
  <c r="A207" i="19"/>
  <c r="AM30" i="15"/>
  <c r="AQ18" i="15"/>
  <c r="AR18" i="15"/>
  <c r="AS30" i="15"/>
  <c r="W206" i="19" l="1"/>
  <c r="A208" i="19"/>
  <c r="A209" i="19" s="1"/>
  <c r="A210" i="19" s="1"/>
  <c r="A211" i="19" s="1"/>
  <c r="AW17" i="15"/>
  <c r="AL30" i="15"/>
  <c r="AR30" i="15"/>
  <c r="AQ30" i="15" s="1"/>
  <c r="AP30" i="15" s="1"/>
  <c r="AV17" i="15" l="1"/>
  <c r="AW18" i="15"/>
  <c r="AW30" i="15" s="1"/>
  <c r="W210" i="19"/>
  <c r="A212" i="19"/>
  <c r="M30" i="15"/>
  <c r="H22" i="14"/>
  <c r="H20" i="14"/>
  <c r="H18" i="14"/>
  <c r="AU17" i="15" l="1"/>
  <c r="AV18" i="15"/>
  <c r="AV30" i="15" s="1"/>
  <c r="W211" i="19"/>
  <c r="A213" i="19"/>
  <c r="A214" i="19" s="1"/>
  <c r="X14" i="14"/>
  <c r="AT17" i="15" l="1"/>
  <c r="AT18" i="15" s="1"/>
  <c r="AU18" i="15"/>
  <c r="AU30" i="15" s="1"/>
  <c r="W213" i="19"/>
  <c r="A215" i="19"/>
  <c r="U14" i="14"/>
  <c r="T14" i="14"/>
  <c r="W14" i="14" l="1"/>
  <c r="V14" i="14"/>
  <c r="W214" i="19"/>
  <c r="A216" i="19"/>
  <c r="A217" i="19" s="1"/>
  <c r="A218" i="19" s="1"/>
  <c r="A219" i="19" s="1"/>
  <c r="AT30" i="15"/>
  <c r="AX30" i="15" s="1"/>
  <c r="AX18" i="15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U12" i="14"/>
  <c r="AN11" i="14"/>
  <c r="AM11" i="14"/>
  <c r="AL11" i="14"/>
  <c r="AK11" i="14"/>
  <c r="AJ11" i="14"/>
  <c r="AI11" i="14"/>
  <c r="AH11" i="14"/>
  <c r="AG11" i="14"/>
  <c r="AF11" i="14"/>
  <c r="AE11" i="14"/>
  <c r="AD11" i="14"/>
  <c r="X12" i="14" l="1"/>
  <c r="W218" i="19"/>
  <c r="A220" i="19"/>
  <c r="T12" i="14"/>
  <c r="AC11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X10" i="14" s="1"/>
  <c r="U10" i="14"/>
  <c r="G10" i="14"/>
  <c r="F10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U9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X8" i="14" s="1"/>
  <c r="U8" i="14"/>
  <c r="AN7" i="14"/>
  <c r="AM7" i="14"/>
  <c r="AL7" i="14"/>
  <c r="AK7" i="14" s="1"/>
  <c r="AJ7" i="14" s="1"/>
  <c r="AI7" i="14"/>
  <c r="AH7" i="14"/>
  <c r="AG7" i="14" s="1"/>
  <c r="AF7" i="14"/>
  <c r="AE7" i="14"/>
  <c r="AD7" i="14"/>
  <c r="AC7" i="14"/>
  <c r="X7" i="14" s="1"/>
  <c r="AN6" i="14"/>
  <c r="AM6" i="14"/>
  <c r="AL6" i="14"/>
  <c r="AK6" i="14"/>
  <c r="AJ6" i="14"/>
  <c r="AI6" i="14"/>
  <c r="AH6" i="14"/>
  <c r="AG6" i="14"/>
  <c r="AF6" i="14"/>
  <c r="AE6" i="14"/>
  <c r="AD6" i="14"/>
  <c r="AC6" i="14"/>
  <c r="U6" i="14"/>
  <c r="I182" i="9"/>
  <c r="I179" i="9"/>
  <c r="G179" i="9"/>
  <c r="I178" i="9"/>
  <c r="G178" i="9"/>
  <c r="I177" i="9"/>
  <c r="G177" i="9"/>
  <c r="I175" i="9"/>
  <c r="I173" i="9"/>
  <c r="I168" i="9"/>
  <c r="I165" i="9"/>
  <c r="G165" i="9"/>
  <c r="I164" i="9"/>
  <c r="G164" i="9"/>
  <c r="J164" i="9" s="1"/>
  <c r="I163" i="9"/>
  <c r="G163" i="9"/>
  <c r="J161" i="9" s="1"/>
  <c r="I161" i="9"/>
  <c r="I159" i="9"/>
  <c r="J150" i="9"/>
  <c r="G150" i="9" s="1"/>
  <c r="X6" i="14" l="1"/>
  <c r="G16" i="14" s="1"/>
  <c r="J177" i="9"/>
  <c r="G14" i="14"/>
  <c r="X9" i="14"/>
  <c r="G12" i="14" s="1"/>
  <c r="J175" i="9"/>
  <c r="J159" i="9"/>
  <c r="T9" i="14"/>
  <c r="V9" i="14" s="1"/>
  <c r="T10" i="14"/>
  <c r="V10" i="14" s="1"/>
  <c r="T6" i="14"/>
  <c r="J178" i="9"/>
  <c r="J163" i="9"/>
  <c r="J173" i="9"/>
  <c r="W219" i="19"/>
  <c r="A221" i="19"/>
  <c r="A222" i="19" s="1"/>
  <c r="T7" i="14"/>
  <c r="T8" i="14"/>
  <c r="V12" i="14"/>
  <c r="W12" i="14"/>
  <c r="I145" i="9"/>
  <c r="G145" i="9" s="1"/>
  <c r="J145" i="9" s="1"/>
  <c r="W10" i="14" l="1"/>
  <c r="W9" i="14"/>
  <c r="W8" i="14"/>
  <c r="V8" i="14"/>
  <c r="G24" i="14"/>
  <c r="F14" i="14"/>
  <c r="H14" i="14" s="1"/>
  <c r="W221" i="19"/>
  <c r="A223" i="19"/>
  <c r="V7" i="14"/>
  <c r="U7" i="14" s="1"/>
  <c r="W7" i="14" s="1"/>
  <c r="V6" i="14"/>
  <c r="W6" i="14"/>
  <c r="I143" i="9"/>
  <c r="I141" i="9"/>
  <c r="F16" i="14" l="1"/>
  <c r="H16" i="14" s="1"/>
  <c r="F12" i="14"/>
  <c r="W222" i="19"/>
  <c r="A224" i="19"/>
  <c r="J134" i="9"/>
  <c r="I134" i="9"/>
  <c r="F24" i="14" l="1"/>
  <c r="H12" i="14"/>
  <c r="W223" i="19"/>
  <c r="A225" i="19"/>
  <c r="G134" i="9"/>
  <c r="W224" i="19" l="1"/>
  <c r="A226" i="19"/>
  <c r="A227" i="19" s="1"/>
  <c r="A228" i="19" s="1"/>
  <c r="I132" i="9"/>
  <c r="W227" i="19" l="1"/>
  <c r="A229" i="19"/>
  <c r="A230" i="19" s="1"/>
  <c r="A231" i="19" s="1"/>
  <c r="A232" i="19" s="1"/>
  <c r="A233" i="19" s="1"/>
  <c r="G132" i="9"/>
  <c r="I130" i="9"/>
  <c r="F120" i="9"/>
  <c r="W232" i="19" l="1"/>
  <c r="A234" i="19"/>
  <c r="J130" i="9"/>
  <c r="J132" i="9"/>
  <c r="J110" i="9"/>
  <c r="J108" i="9"/>
  <c r="G108" i="9"/>
  <c r="I105" i="9"/>
  <c r="G105" i="9"/>
  <c r="G104" i="9"/>
  <c r="J104" i="9" s="1"/>
  <c r="J135" i="9" l="1"/>
  <c r="W233" i="19"/>
  <c r="A235" i="19"/>
  <c r="J105" i="9"/>
  <c r="I89" i="9"/>
  <c r="I86" i="9"/>
  <c r="F86" i="9"/>
  <c r="H75" i="9"/>
  <c r="I74" i="9"/>
  <c r="G74" i="9"/>
  <c r="F71" i="9"/>
  <c r="H64" i="9"/>
  <c r="I63" i="9"/>
  <c r="G63" i="9"/>
  <c r="I60" i="9"/>
  <c r="F60" i="9"/>
  <c r="I59" i="9"/>
  <c r="F59" i="9"/>
  <c r="H47" i="9"/>
  <c r="I46" i="9"/>
  <c r="G46" i="9"/>
  <c r="J71" i="9" l="1"/>
  <c r="J63" i="9"/>
  <c r="J59" i="9"/>
  <c r="J46" i="9"/>
  <c r="W234" i="19"/>
  <c r="A236" i="19"/>
  <c r="J60" i="9"/>
  <c r="J74" i="9"/>
  <c r="J86" i="9"/>
  <c r="F43" i="9"/>
  <c r="J43" i="9" s="1"/>
  <c r="H36" i="9"/>
  <c r="W235" i="19" l="1"/>
  <c r="A237" i="19"/>
  <c r="A238" i="19" s="1"/>
  <c r="A239" i="19" s="1"/>
  <c r="A240" i="19" s="1"/>
  <c r="I35" i="9"/>
  <c r="G35" i="9"/>
  <c r="I32" i="9"/>
  <c r="F32" i="9"/>
  <c r="I31" i="9"/>
  <c r="F31" i="9"/>
  <c r="W239" i="19" l="1"/>
  <c r="A241" i="19"/>
  <c r="J31" i="9"/>
  <c r="J32" i="9"/>
  <c r="J35" i="9"/>
  <c r="I12" i="9"/>
  <c r="G12" i="9"/>
  <c r="I9" i="9"/>
  <c r="W240" i="19" l="1"/>
  <c r="A242" i="19"/>
  <c r="A243" i="19" s="1"/>
  <c r="J12" i="9"/>
  <c r="F9" i="9"/>
  <c r="J9" i="9" s="1"/>
  <c r="W242" i="19" l="1"/>
  <c r="A244" i="19"/>
  <c r="W243" i="19" l="1"/>
  <c r="A245" i="19"/>
  <c r="A246" i="19" s="1"/>
  <c r="A247" i="19" s="1"/>
  <c r="A248" i="19" s="1"/>
  <c r="W247" i="19" l="1"/>
  <c r="A249" i="19"/>
  <c r="W248" i="19" l="1"/>
  <c r="A250" i="19"/>
  <c r="A251" i="19" s="1"/>
  <c r="W250" i="19" l="1"/>
  <c r="A252" i="19"/>
  <c r="W251" i="19" l="1"/>
  <c r="A253" i="19"/>
  <c r="E40" i="8"/>
  <c r="W252" i="19" l="1"/>
  <c r="A254" i="19"/>
  <c r="F34" i="8"/>
  <c r="W253" i="19" l="1"/>
  <c r="A255" i="19"/>
  <c r="A256" i="19" s="1"/>
  <c r="A257" i="19" s="1"/>
  <c r="N24" i="8"/>
  <c r="N25" i="8" s="1"/>
  <c r="N14" i="8"/>
  <c r="P14" i="8" s="1"/>
  <c r="G14" i="8"/>
  <c r="C40" i="27"/>
  <c r="C35" i="27"/>
  <c r="C34" i="27"/>
  <c r="C33" i="27"/>
  <c r="C32" i="27"/>
  <c r="C31" i="27"/>
  <c r="C30" i="27"/>
  <c r="C29" i="27"/>
  <c r="C28" i="27"/>
  <c r="C27" i="27"/>
  <c r="C26" i="27"/>
  <c r="C25" i="27"/>
  <c r="I24" i="27"/>
  <c r="C24" i="27"/>
  <c r="I23" i="27"/>
  <c r="C23" i="27"/>
  <c r="C22" i="27"/>
  <c r="C21" i="27"/>
  <c r="C20" i="27"/>
  <c r="C19" i="27"/>
  <c r="C18" i="27"/>
  <c r="B231" i="20" s="1"/>
  <c r="C17" i="27"/>
  <c r="I16" i="27"/>
  <c r="C16" i="27"/>
  <c r="I15" i="27"/>
  <c r="C15" i="27"/>
  <c r="I14" i="27"/>
  <c r="C14" i="27"/>
  <c r="I13" i="27"/>
  <c r="C13" i="27"/>
  <c r="C12" i="27"/>
  <c r="C11" i="27"/>
  <c r="C10" i="27"/>
  <c r="C9" i="27"/>
  <c r="C8" i="27"/>
  <c r="C7" i="27"/>
  <c r="N13" i="8" l="1"/>
  <c r="P13" i="8" s="1"/>
  <c r="B187" i="20"/>
  <c r="B185" i="20"/>
  <c r="B167" i="20"/>
  <c r="B165" i="20"/>
  <c r="B147" i="20"/>
  <c r="B145" i="20"/>
  <c r="B125" i="20"/>
  <c r="B105" i="20"/>
  <c r="B85" i="20"/>
  <c r="B65" i="20"/>
  <c r="B45" i="20"/>
  <c r="B227" i="20"/>
  <c r="B207" i="20"/>
  <c r="B186" i="20"/>
  <c r="B166" i="20"/>
  <c r="B146" i="20"/>
  <c r="B144" i="20"/>
  <c r="B126" i="20"/>
  <c r="B124" i="20"/>
  <c r="B106" i="20"/>
  <c r="B104" i="20"/>
  <c r="B86" i="20"/>
  <c r="B84" i="20"/>
  <c r="B66" i="20"/>
  <c r="B64" i="20"/>
  <c r="B228" i="20"/>
  <c r="B226" i="20"/>
  <c r="B208" i="20"/>
  <c r="B206" i="20"/>
  <c r="B44" i="20"/>
  <c r="B27" i="20"/>
  <c r="B25" i="20"/>
  <c r="B7" i="20"/>
  <c r="B5" i="20"/>
  <c r="B46" i="20"/>
  <c r="B26" i="20"/>
  <c r="B6" i="20"/>
  <c r="B137" i="20"/>
  <c r="B117" i="20"/>
  <c r="B97" i="20"/>
  <c r="B77" i="20"/>
  <c r="B57" i="20"/>
  <c r="B178" i="20"/>
  <c r="B158" i="20"/>
  <c r="B37" i="20"/>
  <c r="B18" i="20"/>
  <c r="B199" i="20"/>
  <c r="B236" i="20"/>
  <c r="B193" i="20"/>
  <c r="B173" i="20"/>
  <c r="B153" i="20"/>
  <c r="B133" i="20"/>
  <c r="B113" i="20"/>
  <c r="B93" i="20"/>
  <c r="B73" i="20"/>
  <c r="B53" i="20"/>
  <c r="B215" i="20"/>
  <c r="B235" i="20"/>
  <c r="B194" i="20"/>
  <c r="B174" i="20"/>
  <c r="B168" i="20"/>
  <c r="B154" i="20"/>
  <c r="B132" i="20"/>
  <c r="B112" i="20"/>
  <c r="B92" i="20"/>
  <c r="B72" i="20"/>
  <c r="B52" i="20"/>
  <c r="B214" i="20"/>
  <c r="B33" i="20"/>
  <c r="B13" i="20"/>
  <c r="B32" i="20"/>
  <c r="B14" i="20"/>
  <c r="O21" i="18"/>
  <c r="Y21" i="18" s="1"/>
  <c r="AQ21" i="18" s="1"/>
  <c r="O109" i="18"/>
  <c r="Y109" i="18" s="1"/>
  <c r="AQ109" i="18" s="1"/>
  <c r="O43" i="18"/>
  <c r="Y43" i="18" s="1"/>
  <c r="AQ43" i="18" s="1"/>
  <c r="O87" i="18"/>
  <c r="Y87" i="18" s="1"/>
  <c r="AQ87" i="18" s="1"/>
  <c r="O32" i="18"/>
  <c r="Y32" i="18" s="1"/>
  <c r="AQ32" i="18" s="1"/>
  <c r="O98" i="18"/>
  <c r="Y98" i="18" s="1"/>
  <c r="AQ98" i="18" s="1"/>
  <c r="O120" i="18"/>
  <c r="Y120" i="18" s="1"/>
  <c r="AQ120" i="18" s="1"/>
  <c r="O65" i="18"/>
  <c r="Y65" i="18" s="1"/>
  <c r="AQ65" i="18" s="1"/>
  <c r="O54" i="18"/>
  <c r="Y54" i="18" s="1"/>
  <c r="AQ54" i="18" s="1"/>
  <c r="O76" i="18"/>
  <c r="Y76" i="18" s="1"/>
  <c r="AQ76" i="18" s="1"/>
  <c r="O131" i="18"/>
  <c r="Y131" i="18" s="1"/>
  <c r="AQ131" i="18" s="1"/>
  <c r="O10" i="18"/>
  <c r="Y10" i="18" s="1"/>
  <c r="AQ10" i="18" s="1"/>
  <c r="B179" i="20"/>
  <c r="B159" i="20"/>
  <c r="B139" i="20"/>
  <c r="B119" i="20"/>
  <c r="B99" i="20"/>
  <c r="B79" i="20"/>
  <c r="B59" i="20"/>
  <c r="B242" i="20"/>
  <c r="B221" i="20"/>
  <c r="B201" i="20"/>
  <c r="B180" i="20"/>
  <c r="B160" i="20"/>
  <c r="B138" i="20"/>
  <c r="B118" i="20"/>
  <c r="B98" i="20"/>
  <c r="B78" i="20"/>
  <c r="B58" i="20"/>
  <c r="B241" i="20"/>
  <c r="B220" i="20"/>
  <c r="B200" i="20"/>
  <c r="B39" i="20"/>
  <c r="B19" i="20"/>
  <c r="B38" i="20"/>
  <c r="B20" i="20"/>
  <c r="B143" i="20"/>
  <c r="B123" i="20"/>
  <c r="B103" i="20"/>
  <c r="B83" i="20"/>
  <c r="B63" i="20"/>
  <c r="B43" i="20"/>
  <c r="B225" i="20"/>
  <c r="B205" i="20"/>
  <c r="B184" i="20"/>
  <c r="B164" i="20"/>
  <c r="B24" i="20"/>
  <c r="B246" i="20"/>
  <c r="O118" i="18"/>
  <c r="Y118" i="18" s="1"/>
  <c r="AQ118" i="18" s="1"/>
  <c r="O41" i="18"/>
  <c r="Y41" i="18" s="1"/>
  <c r="AQ41" i="18" s="1"/>
  <c r="O74" i="18"/>
  <c r="Y74" i="18" s="1"/>
  <c r="AQ74" i="18" s="1"/>
  <c r="O19" i="18"/>
  <c r="Y19" i="18" s="1"/>
  <c r="AQ19" i="18" s="1"/>
  <c r="O30" i="18"/>
  <c r="Y30" i="18" s="1"/>
  <c r="AQ30" i="18" s="1"/>
  <c r="O96" i="18"/>
  <c r="Y96" i="18" s="1"/>
  <c r="AQ96" i="18" s="1"/>
  <c r="O63" i="18"/>
  <c r="Y63" i="18" s="1"/>
  <c r="AQ63" i="18" s="1"/>
  <c r="O52" i="18"/>
  <c r="Y52" i="18" s="1"/>
  <c r="AQ52" i="18" s="1"/>
  <c r="O129" i="18"/>
  <c r="Y129" i="18" s="1"/>
  <c r="AQ129" i="18" s="1"/>
  <c r="O107" i="18"/>
  <c r="Y107" i="18" s="1"/>
  <c r="AQ107" i="18" s="1"/>
  <c r="O85" i="18"/>
  <c r="Y85" i="18" s="1"/>
  <c r="AQ85" i="18" s="1"/>
  <c r="O8" i="18"/>
  <c r="Z13" i="15"/>
  <c r="Z16" i="15" s="1"/>
  <c r="Z17" i="15" s="1"/>
  <c r="AC13" i="15"/>
  <c r="AC16" i="15" s="1"/>
  <c r="AC17" i="15" s="1"/>
  <c r="Y13" i="15"/>
  <c r="Y16" i="15" s="1"/>
  <c r="Y17" i="15" s="1"/>
  <c r="W13" i="15"/>
  <c r="W16" i="15" s="1"/>
  <c r="AB13" i="15"/>
  <c r="AB16" i="15" s="1"/>
  <c r="AB17" i="15" s="1"/>
  <c r="X13" i="15"/>
  <c r="X16" i="15" s="1"/>
  <c r="X17" i="15" s="1"/>
  <c r="AA13" i="15"/>
  <c r="AA16" i="15" s="1"/>
  <c r="I47" i="9"/>
  <c r="I36" i="9"/>
  <c r="B245" i="20"/>
  <c r="B183" i="20"/>
  <c r="B163" i="20"/>
  <c r="B141" i="20"/>
  <c r="B121" i="20"/>
  <c r="B101" i="20"/>
  <c r="B81" i="20"/>
  <c r="B61" i="20"/>
  <c r="B41" i="20"/>
  <c r="B223" i="20"/>
  <c r="B203" i="20"/>
  <c r="B244" i="20"/>
  <c r="B182" i="20"/>
  <c r="B162" i="20"/>
  <c r="B142" i="20"/>
  <c r="B122" i="20"/>
  <c r="B102" i="20"/>
  <c r="B82" i="20"/>
  <c r="B62" i="20"/>
  <c r="B224" i="20"/>
  <c r="B204" i="20"/>
  <c r="B42" i="20"/>
  <c r="B23" i="20"/>
  <c r="B22" i="20"/>
  <c r="B234" i="20"/>
  <c r="B232" i="20"/>
  <c r="B191" i="20"/>
  <c r="B171" i="20"/>
  <c r="B151" i="20"/>
  <c r="B131" i="20"/>
  <c r="B129" i="20"/>
  <c r="B111" i="20"/>
  <c r="B109" i="20"/>
  <c r="B91" i="20"/>
  <c r="B89" i="20"/>
  <c r="B71" i="20"/>
  <c r="B69" i="20"/>
  <c r="B51" i="20"/>
  <c r="B49" i="20"/>
  <c r="B213" i="20"/>
  <c r="B211" i="20"/>
  <c r="B233" i="20"/>
  <c r="B192" i="20"/>
  <c r="B190" i="20"/>
  <c r="B172" i="20"/>
  <c r="B170" i="20"/>
  <c r="B152" i="20"/>
  <c r="B150" i="20"/>
  <c r="B130" i="20"/>
  <c r="B110" i="20"/>
  <c r="B90" i="20"/>
  <c r="B70" i="20"/>
  <c r="B50" i="20"/>
  <c r="B212" i="20"/>
  <c r="B31" i="20"/>
  <c r="B29" i="20"/>
  <c r="B11" i="20"/>
  <c r="B30" i="20"/>
  <c r="B12" i="20"/>
  <c r="B10" i="20"/>
  <c r="B181" i="20"/>
  <c r="B161" i="20"/>
  <c r="B140" i="20"/>
  <c r="B120" i="20"/>
  <c r="B100" i="20"/>
  <c r="B80" i="20"/>
  <c r="B60" i="20"/>
  <c r="B222" i="20"/>
  <c r="B202" i="20"/>
  <c r="B21" i="20"/>
  <c r="B40" i="20"/>
  <c r="B243" i="20"/>
  <c r="B189" i="20"/>
  <c r="B169" i="20"/>
  <c r="B149" i="20"/>
  <c r="B127" i="20"/>
  <c r="B107" i="20"/>
  <c r="B87" i="20"/>
  <c r="B67" i="20"/>
  <c r="B47" i="20"/>
  <c r="B229" i="20"/>
  <c r="B209" i="20"/>
  <c r="B188" i="20"/>
  <c r="B148" i="20"/>
  <c r="B128" i="20"/>
  <c r="B108" i="20"/>
  <c r="B88" i="20"/>
  <c r="B68" i="20"/>
  <c r="B48" i="20"/>
  <c r="B230" i="20"/>
  <c r="B210" i="20"/>
  <c r="B9" i="20"/>
  <c r="B28" i="20"/>
  <c r="B8" i="20"/>
  <c r="O108" i="18"/>
  <c r="Y108" i="18" s="1"/>
  <c r="AQ108" i="18" s="1"/>
  <c r="O119" i="18"/>
  <c r="Y119" i="18" s="1"/>
  <c r="AQ119" i="18" s="1"/>
  <c r="O75" i="18"/>
  <c r="Y75" i="18" s="1"/>
  <c r="AQ75" i="18" s="1"/>
  <c r="O31" i="18"/>
  <c r="Y31" i="18" s="1"/>
  <c r="AQ31" i="18" s="1"/>
  <c r="O86" i="18"/>
  <c r="Y86" i="18" s="1"/>
  <c r="AQ86" i="18" s="1"/>
  <c r="O97" i="18"/>
  <c r="Y97" i="18" s="1"/>
  <c r="AQ97" i="18" s="1"/>
  <c r="O20" i="18"/>
  <c r="Y20" i="18" s="1"/>
  <c r="AQ20" i="18" s="1"/>
  <c r="O64" i="18"/>
  <c r="Y64" i="18" s="1"/>
  <c r="AQ64" i="18" s="1"/>
  <c r="O53" i="18"/>
  <c r="Y53" i="18" s="1"/>
  <c r="AQ53" i="18" s="1"/>
  <c r="O42" i="18"/>
  <c r="Y42" i="18" s="1"/>
  <c r="AQ42" i="18" s="1"/>
  <c r="O130" i="18"/>
  <c r="Y130" i="18" s="1"/>
  <c r="AQ130" i="18" s="1"/>
  <c r="O9" i="18"/>
  <c r="Y9" i="18" s="1"/>
  <c r="AQ9" i="18" s="1"/>
  <c r="O100" i="18"/>
  <c r="Y100" i="18" s="1"/>
  <c r="AQ100" i="18" s="1"/>
  <c r="O133" i="18"/>
  <c r="Y133" i="18" s="1"/>
  <c r="AQ133" i="18" s="1"/>
  <c r="O122" i="18"/>
  <c r="Y122" i="18" s="1"/>
  <c r="AQ122" i="18" s="1"/>
  <c r="O45" i="18"/>
  <c r="Y45" i="18" s="1"/>
  <c r="AQ45" i="18" s="1"/>
  <c r="O23" i="18"/>
  <c r="Y23" i="18" s="1"/>
  <c r="AQ23" i="18" s="1"/>
  <c r="O111" i="18"/>
  <c r="Y111" i="18" s="1"/>
  <c r="AQ111" i="18" s="1"/>
  <c r="O89" i="18"/>
  <c r="Y89" i="18" s="1"/>
  <c r="AQ89" i="18" s="1"/>
  <c r="O56" i="18"/>
  <c r="Y56" i="18" s="1"/>
  <c r="AQ56" i="18" s="1"/>
  <c r="O34" i="18"/>
  <c r="Y34" i="18" s="1"/>
  <c r="AQ34" i="18" s="1"/>
  <c r="O67" i="18"/>
  <c r="Y67" i="18" s="1"/>
  <c r="AQ67" i="18" s="1"/>
  <c r="O78" i="18"/>
  <c r="Y78" i="18" s="1"/>
  <c r="AQ78" i="18" s="1"/>
  <c r="O12" i="18"/>
  <c r="Y12" i="18" s="1"/>
  <c r="AQ12" i="18" s="1"/>
  <c r="I64" i="9"/>
  <c r="J64" i="9" s="1"/>
  <c r="I75" i="9"/>
  <c r="B197" i="20"/>
  <c r="B177" i="20"/>
  <c r="B175" i="20"/>
  <c r="B157" i="20"/>
  <c r="B155" i="20"/>
  <c r="B135" i="20"/>
  <c r="B115" i="20"/>
  <c r="B95" i="20"/>
  <c r="B75" i="20"/>
  <c r="B55" i="20"/>
  <c r="B240" i="20"/>
  <c r="B238" i="20"/>
  <c r="B219" i="20"/>
  <c r="B217" i="20"/>
  <c r="B198" i="20"/>
  <c r="B196" i="20"/>
  <c r="B176" i="20"/>
  <c r="B156" i="20"/>
  <c r="B136" i="20"/>
  <c r="B134" i="20"/>
  <c r="B116" i="20"/>
  <c r="B114" i="20"/>
  <c r="B96" i="20"/>
  <c r="B94" i="20"/>
  <c r="B76" i="20"/>
  <c r="B74" i="20"/>
  <c r="B56" i="20"/>
  <c r="B54" i="20"/>
  <c r="B239" i="20"/>
  <c r="B218" i="20"/>
  <c r="B35" i="20"/>
  <c r="B17" i="20"/>
  <c r="B15" i="20"/>
  <c r="B36" i="20"/>
  <c r="B34" i="20"/>
  <c r="B16" i="20"/>
  <c r="B195" i="20"/>
  <c r="B216" i="20"/>
  <c r="B237" i="20"/>
  <c r="P24" i="8"/>
  <c r="W256" i="19"/>
  <c r="A258" i="19"/>
  <c r="A259" i="19" s="1"/>
  <c r="A260" i="19" s="1"/>
  <c r="A261" i="19" s="1"/>
  <c r="A262" i="19" s="1"/>
  <c r="C2" i="27"/>
  <c r="AW89" i="18" l="1"/>
  <c r="AW75" i="18"/>
  <c r="AW85" i="18"/>
  <c r="AW12" i="18"/>
  <c r="AW56" i="18"/>
  <c r="AW45" i="18"/>
  <c r="AW9" i="18"/>
  <c r="AW64" i="18"/>
  <c r="AW31" i="18"/>
  <c r="Y8" i="18"/>
  <c r="AE14" i="17" s="1"/>
  <c r="AV7" i="17"/>
  <c r="BA12" i="17"/>
  <c r="AZ12" i="17"/>
  <c r="AZ14" i="17"/>
  <c r="AZ9" i="17"/>
  <c r="AV15" i="17"/>
  <c r="AV8" i="17"/>
  <c r="AV6" i="17"/>
  <c r="AZ6" i="17"/>
  <c r="AV12" i="17"/>
  <c r="AZ11" i="17"/>
  <c r="BA7" i="17"/>
  <c r="BA8" i="17"/>
  <c r="AZ13" i="17"/>
  <c r="AV11" i="17"/>
  <c r="AZ15" i="17"/>
  <c r="AM6" i="17"/>
  <c r="AQ14" i="17"/>
  <c r="AZ10" i="17"/>
  <c r="BA16" i="17"/>
  <c r="AV14" i="17"/>
  <c r="BA9" i="17"/>
  <c r="BA10" i="17"/>
  <c r="AV13" i="17"/>
  <c r="AV16" i="17"/>
  <c r="BA15" i="17"/>
  <c r="AV9" i="17"/>
  <c r="BA13" i="17"/>
  <c r="AZ8" i="17"/>
  <c r="AZ16" i="17"/>
  <c r="AZ7" i="17"/>
  <c r="AV10" i="17"/>
  <c r="BA14" i="17"/>
  <c r="BA6" i="17"/>
  <c r="BA11" i="17"/>
  <c r="AE10" i="17"/>
  <c r="AU15" i="17"/>
  <c r="AT7" i="17"/>
  <c r="AG13" i="17"/>
  <c r="AM8" i="17"/>
  <c r="AT6" i="17"/>
  <c r="AG15" i="17"/>
  <c r="AS7" i="17"/>
  <c r="AJ8" i="17"/>
  <c r="AQ12" i="17"/>
  <c r="AD15" i="17"/>
  <c r="AP11" i="17"/>
  <c r="AT11" i="17"/>
  <c r="AN10" i="17"/>
  <c r="AJ6" i="17"/>
  <c r="AD8" i="17"/>
  <c r="AQ11" i="17"/>
  <c r="AT16" i="17"/>
  <c r="AR6" i="17"/>
  <c r="AT9" i="17"/>
  <c r="AR9" i="17"/>
  <c r="AB13" i="17"/>
  <c r="AF12" i="17"/>
  <c r="AG11" i="17"/>
  <c r="AS15" i="17"/>
  <c r="AS16" i="17"/>
  <c r="AS10" i="17"/>
  <c r="AM10" i="17"/>
  <c r="AR7" i="17"/>
  <c r="AS14" i="17"/>
  <c r="AS8" i="17"/>
  <c r="AL16" i="17"/>
  <c r="AT8" i="17"/>
  <c r="AR14" i="17"/>
  <c r="AL6" i="17"/>
  <c r="AS11" i="17"/>
  <c r="AR12" i="17"/>
  <c r="AK6" i="17"/>
  <c r="AU10" i="17"/>
  <c r="AM13" i="17"/>
  <c r="AQ10" i="17"/>
  <c r="AP6" i="17"/>
  <c r="AJ12" i="17"/>
  <c r="AC15" i="17"/>
  <c r="AQ7" i="17"/>
  <c r="AU16" i="17"/>
  <c r="AR13" i="17"/>
  <c r="AF15" i="17"/>
  <c r="AO16" i="17"/>
  <c r="AR11" i="17"/>
  <c r="AD14" i="17"/>
  <c r="AK12" i="17"/>
  <c r="AT13" i="17"/>
  <c r="AF9" i="17"/>
  <c r="AQ13" i="17"/>
  <c r="AS12" i="17"/>
  <c r="F20" i="8" s="1"/>
  <c r="AS13" i="17"/>
  <c r="AQ6" i="17"/>
  <c r="AS6" i="17"/>
  <c r="AT15" i="17"/>
  <c r="AT10" i="17"/>
  <c r="AO6" i="17"/>
  <c r="AP14" i="17"/>
  <c r="AD9" i="17"/>
  <c r="AG10" i="17"/>
  <c r="AF13" i="17"/>
  <c r="AT12" i="17"/>
  <c r="AQ16" i="17"/>
  <c r="AR8" i="17"/>
  <c r="AP16" i="17"/>
  <c r="AQ9" i="17"/>
  <c r="AC12" i="17"/>
  <c r="AR16" i="17"/>
  <c r="AE15" i="17"/>
  <c r="AG8" i="17"/>
  <c r="AT14" i="17"/>
  <c r="AR10" i="17"/>
  <c r="AS9" i="17"/>
  <c r="AR15" i="17"/>
  <c r="AQ15" i="17"/>
  <c r="Z8" i="17"/>
  <c r="AJ10" i="17"/>
  <c r="AO10" i="17"/>
  <c r="AA7" i="17"/>
  <c r="AA6" i="17"/>
  <c r="Z10" i="17"/>
  <c r="AA16" i="17"/>
  <c r="AW15" i="17"/>
  <c r="AA11" i="17"/>
  <c r="Z6" i="17"/>
  <c r="Z9" i="17"/>
  <c r="AA13" i="17"/>
  <c r="AW16" i="17"/>
  <c r="AB14" i="17"/>
  <c r="AA10" i="17"/>
  <c r="Z16" i="17"/>
  <c r="AB9" i="17"/>
  <c r="AO7" i="17"/>
  <c r="AW52" i="18"/>
  <c r="AW19" i="18"/>
  <c r="AW10" i="18"/>
  <c r="AW65" i="18"/>
  <c r="AW87" i="18"/>
  <c r="AW122" i="18"/>
  <c r="AW131" i="18"/>
  <c r="AW130" i="18"/>
  <c r="AW74" i="18"/>
  <c r="AW43" i="18"/>
  <c r="AW67" i="18"/>
  <c r="AW111" i="18"/>
  <c r="AW133" i="18"/>
  <c r="AW42" i="18"/>
  <c r="AW97" i="18"/>
  <c r="W17" i="15"/>
  <c r="AW107" i="18"/>
  <c r="AW96" i="18"/>
  <c r="AW76" i="18"/>
  <c r="AW98" i="18"/>
  <c r="AW109" i="18"/>
  <c r="AW78" i="18"/>
  <c r="AW20" i="18"/>
  <c r="AW63" i="18"/>
  <c r="AW120" i="18"/>
  <c r="AW34" i="18"/>
  <c r="AW100" i="18"/>
  <c r="AW86" i="18"/>
  <c r="AW108" i="18"/>
  <c r="AA17" i="15"/>
  <c r="AW129" i="18"/>
  <c r="AW30" i="18"/>
  <c r="AW118" i="18"/>
  <c r="AW54" i="18"/>
  <c r="AW32" i="18"/>
  <c r="AW21" i="18"/>
  <c r="W261" i="19"/>
  <c r="A263" i="19"/>
  <c r="AJ14" i="17" l="1"/>
  <c r="AE7" i="17"/>
  <c r="AN16" i="17"/>
  <c r="AP13" i="17"/>
  <c r="AE13" i="17"/>
  <c r="AF14" i="17"/>
  <c r="AO9" i="17"/>
  <c r="AK8" i="17"/>
  <c r="AJ9" i="17"/>
  <c r="Z12" i="17"/>
  <c r="AH15" i="17"/>
  <c r="AK10" i="17"/>
  <c r="AI12" i="17"/>
  <c r="AC14" i="17"/>
  <c r="AM14" i="17"/>
  <c r="AG7" i="17"/>
  <c r="AD16" i="17"/>
  <c r="AE9" i="17"/>
  <c r="AL13" i="17"/>
  <c r="AL10" i="17"/>
  <c r="AC10" i="17"/>
  <c r="Z7" i="17"/>
  <c r="AC9" i="17"/>
  <c r="AF6" i="17"/>
  <c r="AF16" i="17"/>
  <c r="AG14" i="17"/>
  <c r="AC16" i="17"/>
  <c r="AN9" i="17"/>
  <c r="AG9" i="17"/>
  <c r="AJ16" i="17"/>
  <c r="AN6" i="17"/>
  <c r="AF10" i="17"/>
  <c r="AD10" i="17"/>
  <c r="AA9" i="17"/>
  <c r="AI15" i="17"/>
  <c r="AH14" i="17"/>
  <c r="AO13" i="17"/>
  <c r="AG6" i="17"/>
  <c r="AI13" i="17"/>
  <c r="AA12" i="17"/>
  <c r="AB10" i="17"/>
  <c r="AB11" i="17"/>
  <c r="Z15" i="17"/>
  <c r="AB12" i="17"/>
  <c r="AL12" i="17"/>
  <c r="AI7" i="17"/>
  <c r="AO12" i="17"/>
  <c r="AK13" i="17"/>
  <c r="AG16" i="17"/>
  <c r="AK16" i="17"/>
  <c r="AK15" i="17"/>
  <c r="AN15" i="17"/>
  <c r="AN13" i="17"/>
  <c r="AI6" i="17"/>
  <c r="AD12" i="17"/>
  <c r="AM7" i="17"/>
  <c r="AH13" i="17"/>
  <c r="AB15" i="17"/>
  <c r="AJ15" i="17"/>
  <c r="AC13" i="17"/>
  <c r="AC7" i="17"/>
  <c r="AJ7" i="17"/>
  <c r="AL11" i="17"/>
  <c r="AM9" i="17"/>
  <c r="AB8" i="17"/>
  <c r="AC8" i="17"/>
  <c r="AN14" i="17"/>
  <c r="AF11" i="17"/>
  <c r="AM15" i="17"/>
  <c r="Z13" i="17"/>
  <c r="AH16" i="17"/>
  <c r="AO8" i="17"/>
  <c r="AD11" i="17"/>
  <c r="AL8" i="17"/>
  <c r="AL14" i="17"/>
  <c r="AK9" i="17"/>
  <c r="AL7" i="17"/>
  <c r="AH12" i="17"/>
  <c r="AO11" i="17"/>
  <c r="AK14" i="17"/>
  <c r="AK7" i="17"/>
  <c r="AN11" i="17"/>
  <c r="AN7" i="17"/>
  <c r="AJ11" i="17"/>
  <c r="AN12" i="17"/>
  <c r="AA15" i="17"/>
  <c r="AA8" i="17"/>
  <c r="AB6" i="17"/>
  <c r="Z11" i="17"/>
  <c r="AA14" i="17"/>
  <c r="Z14" i="17"/>
  <c r="AN8" i="17"/>
  <c r="AI8" i="17"/>
  <c r="AP8" i="17"/>
  <c r="AG12" i="17"/>
  <c r="AP10" i="17"/>
  <c r="AM11" i="17"/>
  <c r="AK11" i="17"/>
  <c r="AM12" i="17"/>
  <c r="AI14" i="17"/>
  <c r="AF8" i="17"/>
  <c r="AI10" i="17"/>
  <c r="AO15" i="17"/>
  <c r="AB16" i="17"/>
  <c r="AL15" i="17"/>
  <c r="AD13" i="17"/>
  <c r="AP15" i="17"/>
  <c r="AE8" i="17"/>
  <c r="AP12" i="17"/>
  <c r="AH7" i="17"/>
  <c r="AH6" i="17"/>
  <c r="AE11" i="17"/>
  <c r="AI16" i="17"/>
  <c r="AD7" i="17"/>
  <c r="AF7" i="17"/>
  <c r="AB7" i="17"/>
  <c r="AC6" i="17"/>
  <c r="AE12" i="17"/>
  <c r="AE6" i="17"/>
  <c r="AH11" i="17"/>
  <c r="AI9" i="17"/>
  <c r="AO14" i="17"/>
  <c r="AJ13" i="17"/>
  <c r="AP7" i="17"/>
  <c r="AH8" i="17"/>
  <c r="AP9" i="17"/>
  <c r="AI11" i="17"/>
  <c r="AE16" i="17"/>
  <c r="AD6" i="17"/>
  <c r="AC11" i="17"/>
  <c r="AL9" i="17"/>
  <c r="AH10" i="17"/>
  <c r="AH9" i="17"/>
  <c r="AM16" i="17"/>
  <c r="F13" i="8"/>
  <c r="F14" i="8" s="1"/>
  <c r="AY21" i="18"/>
  <c r="AY54" i="18"/>
  <c r="AS15" i="50"/>
  <c r="AY30" i="18"/>
  <c r="AQ13" i="50"/>
  <c r="AY63" i="18"/>
  <c r="AT13" i="50"/>
  <c r="AY98" i="18"/>
  <c r="AY97" i="18"/>
  <c r="AN19" i="50"/>
  <c r="AY67" i="18"/>
  <c r="AT19" i="50"/>
  <c r="AY74" i="18"/>
  <c r="AU13" i="50"/>
  <c r="AY10" i="18"/>
  <c r="AO15" i="50"/>
  <c r="AN15" i="50" s="1"/>
  <c r="AM15" i="50" s="1"/>
  <c r="AL15" i="50" s="1"/>
  <c r="AY52" i="18"/>
  <c r="AS13" i="50"/>
  <c r="AW10" i="17"/>
  <c r="AY64" i="18"/>
  <c r="AT14" i="50"/>
  <c r="AY45" i="18"/>
  <c r="AR19" i="50"/>
  <c r="AY12" i="18"/>
  <c r="AO19" i="50"/>
  <c r="AY75" i="18"/>
  <c r="AU14" i="50"/>
  <c r="AY118" i="18"/>
  <c r="AM13" i="50"/>
  <c r="AY111" i="18"/>
  <c r="AL19" i="50"/>
  <c r="AY43" i="18"/>
  <c r="AR15" i="50"/>
  <c r="AY19" i="18"/>
  <c r="AP13" i="50"/>
  <c r="AN13" i="50"/>
  <c r="AY86" i="18"/>
  <c r="AV14" i="50"/>
  <c r="AY34" i="18"/>
  <c r="AQ19" i="50"/>
  <c r="AY78" i="18"/>
  <c r="AU19" i="50"/>
  <c r="AY96" i="18"/>
  <c r="AW13" i="50"/>
  <c r="AY65" i="18"/>
  <c r="AT15" i="50"/>
  <c r="AY108" i="18"/>
  <c r="AY100" i="18"/>
  <c r="AW19" i="50"/>
  <c r="AY120" i="18"/>
  <c r="AY20" i="18"/>
  <c r="AY109" i="18"/>
  <c r="AY76" i="18"/>
  <c r="AU15" i="50"/>
  <c r="AY107" i="18"/>
  <c r="AL13" i="50"/>
  <c r="AY87" i="18"/>
  <c r="AV15" i="50"/>
  <c r="F24" i="8"/>
  <c r="AQ8" i="18"/>
  <c r="Y8" i="17"/>
  <c r="AY32" i="18"/>
  <c r="AQ15" i="50"/>
  <c r="AP15" i="50" s="1"/>
  <c r="AY42" i="18"/>
  <c r="AR14" i="50"/>
  <c r="AY122" i="18"/>
  <c r="AM19" i="50"/>
  <c r="AY31" i="18"/>
  <c r="AQ14" i="50"/>
  <c r="AP14" i="50" s="1"/>
  <c r="AY56" i="18"/>
  <c r="AS19" i="50"/>
  <c r="AY9" i="18"/>
  <c r="AO14" i="50"/>
  <c r="AN14" i="50" s="1"/>
  <c r="AY85" i="18"/>
  <c r="AV13" i="50"/>
  <c r="AY89" i="18"/>
  <c r="AV19" i="50"/>
  <c r="W262" i="19"/>
  <c r="A264" i="19"/>
  <c r="J92" i="9" l="1"/>
  <c r="J67" i="9"/>
  <c r="AQ8" i="17"/>
  <c r="AW8" i="18"/>
  <c r="W16" i="17"/>
  <c r="W8" i="17"/>
  <c r="X11" i="17"/>
  <c r="V14" i="17"/>
  <c r="X14" i="17"/>
  <c r="Y12" i="17"/>
  <c r="V6" i="17"/>
  <c r="W6" i="17"/>
  <c r="W15" i="17"/>
  <c r="X7" i="17"/>
  <c r="V16" i="17"/>
  <c r="V15" i="17"/>
  <c r="X10" i="17"/>
  <c r="V11" i="17"/>
  <c r="Y14" i="17"/>
  <c r="W11" i="17"/>
  <c r="V9" i="17"/>
  <c r="X15" i="17"/>
  <c r="Y11" i="17"/>
  <c r="X8" i="17"/>
  <c r="W13" i="17"/>
  <c r="V10" i="17"/>
  <c r="W10" i="17"/>
  <c r="W14" i="17"/>
  <c r="X6" i="17"/>
  <c r="V13" i="17"/>
  <c r="W9" i="17"/>
  <c r="Y6" i="17"/>
  <c r="V12" i="17"/>
  <c r="W12" i="17"/>
  <c r="Y9" i="17"/>
  <c r="X16" i="17"/>
  <c r="Y7" i="17"/>
  <c r="Y10" i="17"/>
  <c r="W7" i="17"/>
  <c r="V8" i="17"/>
  <c r="X13" i="17"/>
  <c r="X12" i="17"/>
  <c r="Y15" i="17"/>
  <c r="V7" i="17"/>
  <c r="X9" i="17"/>
  <c r="Y13" i="17"/>
  <c r="Y16" i="17"/>
  <c r="I19" i="50"/>
  <c r="W263" i="19"/>
  <c r="A265" i="19"/>
  <c r="AY8" i="18" l="1"/>
  <c r="AO13" i="50"/>
  <c r="W264" i="19"/>
  <c r="A266" i="19"/>
  <c r="A267" i="19" s="1"/>
  <c r="A268" i="19" s="1"/>
  <c r="A269" i="19" s="1"/>
  <c r="W268" i="19" l="1"/>
  <c r="A270" i="19"/>
  <c r="W269" i="19" l="1"/>
  <c r="A271" i="19"/>
  <c r="A272" i="19" s="1"/>
  <c r="I260" i="64"/>
  <c r="J257" i="64"/>
  <c r="I257" i="64"/>
  <c r="I254" i="64"/>
  <c r="G254" i="64"/>
  <c r="I253" i="64"/>
  <c r="G253" i="64"/>
  <c r="I252" i="64"/>
  <c r="G252" i="64"/>
  <c r="I250" i="64"/>
  <c r="J250" i="64" s="1"/>
  <c r="I248" i="64"/>
  <c r="L248" i="64" s="1"/>
  <c r="J253" i="64" l="1"/>
  <c r="J252" i="64"/>
  <c r="J254" i="64"/>
  <c r="J248" i="64"/>
  <c r="W271" i="19"/>
  <c r="A273" i="19"/>
  <c r="M248" i="64"/>
  <c r="M250" i="64"/>
  <c r="G257" i="64"/>
  <c r="G260" i="64" s="1"/>
  <c r="J260" i="64" s="1"/>
  <c r="I236" i="64"/>
  <c r="J258" i="64" l="1"/>
  <c r="W272" i="19"/>
  <c r="A274" i="19"/>
  <c r="A275" i="19" s="1"/>
  <c r="A276" i="19" s="1"/>
  <c r="A277" i="19" s="1"/>
  <c r="J233" i="64"/>
  <c r="G233" i="64" s="1"/>
  <c r="I230" i="64"/>
  <c r="G230" i="64"/>
  <c r="I228" i="64"/>
  <c r="I226" i="64"/>
  <c r="L226" i="64" s="1"/>
  <c r="J230" i="64" l="1"/>
  <c r="J262" i="64"/>
  <c r="J285" i="64"/>
  <c r="J226" i="64"/>
  <c r="G236" i="64"/>
  <c r="M233" i="64"/>
  <c r="W276" i="19"/>
  <c r="A278" i="19"/>
  <c r="I218" i="64"/>
  <c r="J215" i="64"/>
  <c r="G215" i="64" s="1"/>
  <c r="J236" i="64" l="1"/>
  <c r="W277" i="19"/>
  <c r="A279" i="19"/>
  <c r="A280" i="19" s="1"/>
  <c r="G213" i="64"/>
  <c r="J213" i="64" s="1"/>
  <c r="I211" i="64"/>
  <c r="J211" i="64" s="1"/>
  <c r="L199" i="64"/>
  <c r="I188" i="64"/>
  <c r="I186" i="64"/>
  <c r="G186" i="64"/>
  <c r="L185" i="64"/>
  <c r="J186" i="64" l="1"/>
  <c r="W279" i="19"/>
  <c r="A281" i="19"/>
  <c r="G218" i="64"/>
  <c r="I185" i="64"/>
  <c r="F185" i="64"/>
  <c r="J182" i="64"/>
  <c r="G182" i="64"/>
  <c r="I181" i="64"/>
  <c r="J170" i="64"/>
  <c r="G170" i="64" s="1"/>
  <c r="G188" i="64" s="1"/>
  <c r="I167" i="64"/>
  <c r="G167" i="64"/>
  <c r="L166" i="64"/>
  <c r="G166" i="64"/>
  <c r="J166" i="64" s="1"/>
  <c r="I153" i="64"/>
  <c r="L153" i="64" s="1"/>
  <c r="J153" i="64" s="1"/>
  <c r="I152" i="64"/>
  <c r="L150" i="64"/>
  <c r="G150" i="64"/>
  <c r="F149" i="64"/>
  <c r="J146" i="64"/>
  <c r="G146" i="64"/>
  <c r="L167" i="64" l="1"/>
  <c r="M167" i="64" s="1"/>
  <c r="J167" i="64" s="1"/>
  <c r="L186" i="64"/>
  <c r="M186" i="64" s="1"/>
  <c r="M182" i="64"/>
  <c r="M185" i="64"/>
  <c r="M146" i="64"/>
  <c r="J218" i="64"/>
  <c r="M166" i="64"/>
  <c r="J185" i="64"/>
  <c r="W280" i="19"/>
  <c r="A282" i="19"/>
  <c r="J136" i="64"/>
  <c r="I134" i="64"/>
  <c r="N134" i="64" s="1"/>
  <c r="I132" i="64"/>
  <c r="L132" i="64" s="1"/>
  <c r="N132" i="64" s="1"/>
  <c r="I121" i="64"/>
  <c r="I145" i="64" l="1"/>
  <c r="I150" i="64"/>
  <c r="J150" i="64" s="1"/>
  <c r="F132" i="64"/>
  <c r="I149" i="64"/>
  <c r="W281" i="19"/>
  <c r="A283" i="19"/>
  <c r="I120" i="64"/>
  <c r="L118" i="64"/>
  <c r="I118" i="64"/>
  <c r="F118" i="64"/>
  <c r="H117" i="64"/>
  <c r="L116" i="64"/>
  <c r="G116" i="64"/>
  <c r="F115" i="64"/>
  <c r="L111" i="64"/>
  <c r="I102" i="64"/>
  <c r="H102" i="64" s="1"/>
  <c r="L101" i="64"/>
  <c r="I101" i="64"/>
  <c r="G101" i="64"/>
  <c r="F98" i="64"/>
  <c r="M98" i="64" s="1"/>
  <c r="J93" i="64"/>
  <c r="L91" i="64"/>
  <c r="L117" i="64" s="1"/>
  <c r="I91" i="64"/>
  <c r="I117" i="64" s="1"/>
  <c r="H91" i="64"/>
  <c r="I90" i="64"/>
  <c r="G90" i="64"/>
  <c r="I87" i="64"/>
  <c r="I115" i="64" s="1"/>
  <c r="F87" i="64"/>
  <c r="L86" i="64"/>
  <c r="I86" i="64"/>
  <c r="F86" i="64"/>
  <c r="I74" i="64"/>
  <c r="I73" i="64"/>
  <c r="I116" i="64" l="1"/>
  <c r="Q90" i="64"/>
  <c r="J87" i="64"/>
  <c r="G105" i="64"/>
  <c r="J118" i="64"/>
  <c r="J98" i="64"/>
  <c r="M91" i="64"/>
  <c r="M90" i="64"/>
  <c r="J91" i="64"/>
  <c r="M101" i="64"/>
  <c r="M116" i="64"/>
  <c r="M86" i="64"/>
  <c r="W282" i="19"/>
  <c r="A284" i="19"/>
  <c r="A285" i="19" s="1"/>
  <c r="A286" i="19" s="1"/>
  <c r="H105" i="64"/>
  <c r="J115" i="64"/>
  <c r="J86" i="64"/>
  <c r="J101" i="64"/>
  <c r="J102" i="64"/>
  <c r="M132" i="64"/>
  <c r="J132" i="64"/>
  <c r="J90" i="64"/>
  <c r="J116" i="64"/>
  <c r="M117" i="64"/>
  <c r="I111" i="64"/>
  <c r="J117" i="64"/>
  <c r="H70" i="64"/>
  <c r="L69" i="64"/>
  <c r="G69" i="64"/>
  <c r="F68" i="64"/>
  <c r="L64" i="64"/>
  <c r="I55" i="64"/>
  <c r="J55" i="64" s="1"/>
  <c r="H55" i="64"/>
  <c r="L54" i="64"/>
  <c r="I54" i="64"/>
  <c r="G54" i="64"/>
  <c r="J54" i="64" l="1"/>
  <c r="J105" i="64"/>
  <c r="M54" i="64"/>
  <c r="W285" i="19"/>
  <c r="A287" i="19"/>
  <c r="A288" i="19" s="1"/>
  <c r="A289" i="19" s="1"/>
  <c r="A290" i="19" s="1"/>
  <c r="A291" i="19" s="1"/>
  <c r="M69" i="64"/>
  <c r="F51" i="64"/>
  <c r="M51" i="64" s="1"/>
  <c r="L44" i="64"/>
  <c r="L70" i="64" s="1"/>
  <c r="I44" i="64"/>
  <c r="I70" i="64" s="1"/>
  <c r="J70" i="64" s="1"/>
  <c r="H44" i="64"/>
  <c r="H58" i="64" s="1"/>
  <c r="I43" i="64"/>
  <c r="N43" i="64" s="1"/>
  <c r="J51" i="64" l="1"/>
  <c r="I64" i="64"/>
  <c r="I69" i="64"/>
  <c r="J69" i="64" s="1"/>
  <c r="J44" i="64"/>
  <c r="W290" i="19"/>
  <c r="A292" i="19"/>
  <c r="M44" i="64"/>
  <c r="M150" i="64"/>
  <c r="G43" i="64"/>
  <c r="L40" i="64"/>
  <c r="I40" i="64"/>
  <c r="I68" i="64" s="1"/>
  <c r="J68" i="64" s="1"/>
  <c r="F40" i="64"/>
  <c r="I39" i="64"/>
  <c r="N39" i="64" s="1"/>
  <c r="F39" i="64"/>
  <c r="I27" i="64"/>
  <c r="L24" i="64"/>
  <c r="G24" i="64"/>
  <c r="I12" i="64"/>
  <c r="G12" i="64"/>
  <c r="G18" i="64" s="1"/>
  <c r="J39" i="64" l="1"/>
  <c r="I24" i="64"/>
  <c r="J24" i="64" s="1"/>
  <c r="N12" i="64"/>
  <c r="M12" i="64"/>
  <c r="M40" i="64"/>
  <c r="L211" i="64"/>
  <c r="M211" i="64" s="1"/>
  <c r="L87" i="64"/>
  <c r="L68" i="64"/>
  <c r="M68" i="64" s="1"/>
  <c r="W291" i="19"/>
  <c r="A293" i="19"/>
  <c r="M39" i="64"/>
  <c r="G58" i="64"/>
  <c r="J43" i="64"/>
  <c r="M43" i="64"/>
  <c r="J40" i="64"/>
  <c r="J12" i="64"/>
  <c r="I9" i="64"/>
  <c r="N9" i="64" s="1"/>
  <c r="F9" i="64"/>
  <c r="J9" i="64" l="1"/>
  <c r="L115" i="64"/>
  <c r="M115" i="64" s="1"/>
  <c r="M87" i="64"/>
  <c r="M93" i="64" s="1"/>
  <c r="W292" i="19"/>
  <c r="A294" i="19"/>
  <c r="M9" i="64"/>
  <c r="O32" i="65"/>
  <c r="E30" i="65"/>
  <c r="W293" i="19" l="1"/>
  <c r="A295" i="19"/>
  <c r="A296" i="19" s="1"/>
  <c r="A297" i="19" s="1"/>
  <c r="A298" i="19" s="1"/>
  <c r="B30" i="65"/>
  <c r="F30" i="65" s="1"/>
  <c r="W297" i="19" l="1"/>
  <c r="A299" i="19"/>
  <c r="W298" i="19" l="1"/>
  <c r="A300" i="19"/>
  <c r="A301" i="19" s="1"/>
  <c r="B26" i="65"/>
  <c r="F26" i="65" s="1"/>
  <c r="W300" i="19" l="1"/>
  <c r="A302" i="19"/>
  <c r="W301" i="19" l="1"/>
  <c r="A303" i="19"/>
  <c r="A304" i="19" s="1"/>
  <c r="A305" i="19" s="1"/>
  <c r="A306" i="19" s="1"/>
  <c r="W305" i="19" l="1"/>
  <c r="A307" i="19"/>
  <c r="G24" i="65"/>
  <c r="E20" i="65"/>
  <c r="D20" i="65"/>
  <c r="W306" i="19" l="1"/>
  <c r="A308" i="19"/>
  <c r="A309" i="19" s="1"/>
  <c r="D18" i="65"/>
  <c r="E16" i="65"/>
  <c r="E14" i="65"/>
  <c r="W308" i="19" l="1"/>
  <c r="A310" i="19"/>
  <c r="W309" i="19" l="1"/>
  <c r="A311" i="19"/>
  <c r="F39" i="70"/>
  <c r="G39" i="70" s="1"/>
  <c r="E39" i="70"/>
  <c r="J36" i="70"/>
  <c r="I36" i="70"/>
  <c r="K35" i="70"/>
  <c r="J35" i="70"/>
  <c r="I35" i="70"/>
  <c r="F32" i="70"/>
  <c r="E32" i="70"/>
  <c r="J31" i="70"/>
  <c r="G31" i="70"/>
  <c r="F31" i="70"/>
  <c r="E31" i="70"/>
  <c r="D31" i="70"/>
  <c r="F29" i="70"/>
  <c r="M29" i="70" s="1"/>
  <c r="E29" i="70"/>
  <c r="F28" i="70"/>
  <c r="M28" i="70" s="1"/>
  <c r="E28" i="70"/>
  <c r="K27" i="70"/>
  <c r="H27" i="70"/>
  <c r="G27" i="70"/>
  <c r="D27" i="70"/>
  <c r="J23" i="70"/>
  <c r="J44" i="70" s="1"/>
  <c r="G23" i="70"/>
  <c r="G44" i="70" s="1"/>
  <c r="F23" i="70"/>
  <c r="F44" i="70" s="1"/>
  <c r="E23" i="70"/>
  <c r="E44" i="70" s="1"/>
  <c r="F18" i="70"/>
  <c r="E18" i="70"/>
  <c r="L15" i="70"/>
  <c r="K15" i="70"/>
  <c r="J15" i="70"/>
  <c r="I15" i="70"/>
  <c r="L14" i="70"/>
  <c r="K14" i="70"/>
  <c r="J14" i="70"/>
  <c r="I14" i="70"/>
  <c r="M13" i="70"/>
  <c r="L13" i="70"/>
  <c r="K13" i="70"/>
  <c r="I13" i="70"/>
  <c r="H13" i="70"/>
  <c r="F11" i="70"/>
  <c r="E11" i="70"/>
  <c r="M10" i="70"/>
  <c r="L10" i="70"/>
  <c r="K10" i="70"/>
  <c r="J10" i="70"/>
  <c r="I10" i="70"/>
  <c r="H10" i="70"/>
  <c r="G10" i="70"/>
  <c r="F10" i="70"/>
  <c r="E10" i="70"/>
  <c r="D10" i="70"/>
  <c r="M8" i="70"/>
  <c r="F8" i="70"/>
  <c r="E8" i="70"/>
  <c r="M7" i="70"/>
  <c r="F7" i="70"/>
  <c r="E7" i="70"/>
  <c r="L6" i="70"/>
  <c r="K6" i="70"/>
  <c r="H6" i="70"/>
  <c r="G6" i="70"/>
  <c r="D6" i="70"/>
  <c r="F48" i="70" l="1"/>
  <c r="F47" i="70"/>
  <c r="G47" i="70"/>
  <c r="E47" i="70"/>
  <c r="E41" i="70"/>
  <c r="E49" i="70"/>
  <c r="G40" i="70"/>
  <c r="F40" i="70" s="1"/>
  <c r="G48" i="70"/>
  <c r="W310" i="19"/>
  <c r="A312" i="19"/>
  <c r="E40" i="70"/>
  <c r="E48" i="70"/>
  <c r="F41" i="70"/>
  <c r="F49" i="70"/>
  <c r="F20" i="70"/>
  <c r="E20" i="70" s="1"/>
  <c r="G19" i="70" s="1"/>
  <c r="F19" i="70" s="1"/>
  <c r="E19" i="70" s="1"/>
  <c r="G18" i="70" s="1"/>
  <c r="F25" i="8"/>
  <c r="G18" i="8"/>
  <c r="G38" i="8" s="1"/>
  <c r="F22" i="8"/>
  <c r="M153" i="64"/>
  <c r="C12" i="65"/>
  <c r="J47" i="9"/>
  <c r="J75" i="9"/>
  <c r="J79" i="9" s="1"/>
  <c r="K22" i="8" s="1"/>
  <c r="W311" i="19" l="1"/>
  <c r="A313" i="19"/>
  <c r="A314" i="19" s="1"/>
  <c r="A315" i="19" s="1"/>
  <c r="G41" i="8"/>
  <c r="M70" i="64" l="1"/>
  <c r="W314" i="19"/>
  <c r="A316" i="19"/>
  <c r="A317" i="19" s="1"/>
  <c r="A318" i="19" s="1"/>
  <c r="A319" i="19" s="1"/>
  <c r="A320" i="19" s="1"/>
  <c r="W319" i="19" l="1"/>
  <c r="A321" i="19"/>
  <c r="W320" i="19" l="1"/>
  <c r="A322" i="19"/>
  <c r="W321" i="19" l="1"/>
  <c r="A323" i="19"/>
  <c r="W322" i="19" l="1"/>
  <c r="A324" i="19"/>
  <c r="A325" i="19" s="1"/>
  <c r="A326" i="19" s="1"/>
  <c r="A327" i="19" s="1"/>
  <c r="W326" i="19" l="1"/>
  <c r="A328" i="19"/>
  <c r="W327" i="19" l="1"/>
  <c r="A329" i="19"/>
  <c r="A330" i="19" s="1"/>
  <c r="W329" i="19" l="1"/>
  <c r="A331" i="19"/>
  <c r="W330" i="19" l="1"/>
  <c r="A332" i="19"/>
  <c r="A333" i="19" s="1"/>
  <c r="A334" i="19" s="1"/>
  <c r="A335" i="19" s="1"/>
  <c r="W334" i="19" l="1"/>
  <c r="A336" i="19"/>
  <c r="W335" i="19" l="1"/>
  <c r="A337" i="19"/>
  <c r="A338" i="19" s="1"/>
  <c r="W337" i="19" l="1"/>
  <c r="A339" i="19"/>
  <c r="W338" i="19" l="1"/>
  <c r="A340" i="19"/>
  <c r="W339" i="19" l="1"/>
  <c r="A341" i="19"/>
  <c r="W340" i="19" l="1"/>
  <c r="A342" i="19"/>
  <c r="A343" i="19" s="1"/>
  <c r="A344" i="19" s="1"/>
  <c r="W343" i="19" l="1"/>
  <c r="A345" i="19"/>
  <c r="A346" i="19" s="1"/>
  <c r="A347" i="19" s="1"/>
  <c r="A348" i="19" s="1"/>
  <c r="A349" i="19" s="1"/>
  <c r="W348" i="19" l="1"/>
  <c r="A350" i="19"/>
  <c r="W349" i="19" l="1"/>
  <c r="A351" i="19"/>
  <c r="W350" i="19" l="1"/>
  <c r="A352" i="19"/>
  <c r="W351" i="19" l="1"/>
  <c r="A353" i="19"/>
  <c r="H363" i="58"/>
  <c r="AL20" i="50" s="1"/>
  <c r="I363" i="58"/>
  <c r="AM20" i="50" s="1"/>
  <c r="J363" i="58"/>
  <c r="AN20" i="50" s="1"/>
  <c r="K363" i="58"/>
  <c r="AO20" i="50" s="1"/>
  <c r="AU23" i="18"/>
  <c r="AW23" i="18" s="1"/>
  <c r="AP19" i="50" s="1"/>
  <c r="L363" i="58"/>
  <c r="AP20" i="50" s="1"/>
  <c r="M363" i="58"/>
  <c r="AQ20" i="50" s="1"/>
  <c r="AM12" i="52" s="1"/>
  <c r="N363" i="58"/>
  <c r="AR20" i="50" s="1"/>
  <c r="O363" i="58"/>
  <c r="AS20" i="50" s="1"/>
  <c r="P363" i="58"/>
  <c r="AT20" i="50" s="1"/>
  <c r="Q360" i="58"/>
  <c r="Q361" i="58" s="1"/>
  <c r="R360" i="58"/>
  <c r="R361" i="58" s="1"/>
  <c r="R363" i="58" s="1"/>
  <c r="AV20" i="50" s="1"/>
  <c r="S360" i="58"/>
  <c r="S361" i="58" s="1"/>
  <c r="S363" i="58" s="1"/>
  <c r="AW20" i="50" s="1"/>
  <c r="H175" i="58"/>
  <c r="AL53" i="50" s="1"/>
  <c r="AH13" i="52" s="1"/>
  <c r="I175" i="58"/>
  <c r="AM53" i="50" s="1"/>
  <c r="AI13" i="52" s="1"/>
  <c r="J175" i="58"/>
  <c r="AN53" i="50" s="1"/>
  <c r="AJ13" i="52" s="1"/>
  <c r="K175" i="58"/>
  <c r="AO53" i="50" s="1"/>
  <c r="L172" i="58"/>
  <c r="L173" i="58" s="1"/>
  <c r="M172" i="58"/>
  <c r="M173" i="58" s="1"/>
  <c r="M175" i="58" s="1"/>
  <c r="N172" i="58"/>
  <c r="N173" i="58" s="1"/>
  <c r="N175" i="58" s="1"/>
  <c r="AR53" i="50" s="1"/>
  <c r="AN13" i="52" s="1"/>
  <c r="O172" i="58"/>
  <c r="O173" i="58" s="1"/>
  <c r="O175" i="58" s="1"/>
  <c r="AS53" i="50" s="1"/>
  <c r="AO13" i="52" s="1"/>
  <c r="P172" i="58"/>
  <c r="P173" i="58" s="1"/>
  <c r="P175" i="58" s="1"/>
  <c r="Q171" i="58"/>
  <c r="Q172" i="58"/>
  <c r="R171" i="58"/>
  <c r="R172" i="58"/>
  <c r="S171" i="58"/>
  <c r="S172" i="58"/>
  <c r="G17" i="12"/>
  <c r="H17" i="12" s="1"/>
  <c r="X17" i="12"/>
  <c r="X19" i="12" s="1"/>
  <c r="D21" i="8"/>
  <c r="V12" i="52"/>
  <c r="V14" i="52" s="1"/>
  <c r="AA20" i="50"/>
  <c r="W12" i="52" s="1"/>
  <c r="W14" i="52" s="1"/>
  <c r="AB20" i="50"/>
  <c r="X12" i="52" s="1"/>
  <c r="X14" i="52" s="1"/>
  <c r="AC20" i="50"/>
  <c r="Y12" i="52" s="1"/>
  <c r="Y14" i="52" s="1"/>
  <c r="AD20" i="50"/>
  <c r="Z12" i="52" s="1"/>
  <c r="Z14" i="52" s="1"/>
  <c r="AE20" i="50"/>
  <c r="AE22" i="50" s="1"/>
  <c r="AF20" i="50"/>
  <c r="AB12" i="52" s="1"/>
  <c r="AB14" i="52" s="1"/>
  <c r="AG20" i="50"/>
  <c r="AC12" i="52" s="1"/>
  <c r="AC14" i="52" s="1"/>
  <c r="AH20" i="50"/>
  <c r="AD12" i="52" s="1"/>
  <c r="AD14" i="52" s="1"/>
  <c r="AI20" i="50"/>
  <c r="AE12" i="52" s="1"/>
  <c r="AE14" i="52" s="1"/>
  <c r="AJ20" i="50"/>
  <c r="AF12" i="52" s="1"/>
  <c r="AF14" i="52" s="1"/>
  <c r="AK20" i="50"/>
  <c r="AG12" i="52" s="1"/>
  <c r="AG14" i="52" s="1"/>
  <c r="AD22" i="50"/>
  <c r="AH21" i="50"/>
  <c r="S66" i="12" s="1"/>
  <c r="AI21" i="50"/>
  <c r="AJ21" i="50"/>
  <c r="AK21" i="50"/>
  <c r="AG21" i="52" s="1"/>
  <c r="AG22" i="52" s="1"/>
  <c r="AL14" i="50"/>
  <c r="H334" i="58"/>
  <c r="H336" i="58" s="1"/>
  <c r="H338" i="58" s="1"/>
  <c r="AL16" i="50" s="1"/>
  <c r="H242" i="58"/>
  <c r="H263" i="58" s="1"/>
  <c r="H266" i="58" s="1"/>
  <c r="AL21" i="50" s="1"/>
  <c r="AH21" i="52" s="1"/>
  <c r="AH22" i="52" s="1"/>
  <c r="H281" i="58"/>
  <c r="H283" i="58" s="1"/>
  <c r="AL28" i="50" s="1"/>
  <c r="AL30" i="50" s="1"/>
  <c r="AU119" i="18"/>
  <c r="AW119" i="18" s="1"/>
  <c r="I333" i="58"/>
  <c r="I334" i="58" s="1"/>
  <c r="I336" i="58" s="1"/>
  <c r="I338" i="58" s="1"/>
  <c r="AM16" i="50" s="1"/>
  <c r="I242" i="58"/>
  <c r="I263" i="58" s="1"/>
  <c r="I266" i="58" s="1"/>
  <c r="AM21" i="50" s="1"/>
  <c r="AI21" i="52" s="1"/>
  <c r="AI22" i="52" s="1"/>
  <c r="I281" i="58"/>
  <c r="I283" i="58" s="1"/>
  <c r="AM28" i="50" s="1"/>
  <c r="AU134" i="18"/>
  <c r="AW134" i="18" s="1"/>
  <c r="AN7" i="50" s="1"/>
  <c r="J333" i="58"/>
  <c r="J334" i="58" s="1"/>
  <c r="J336" i="58" s="1"/>
  <c r="J338" i="58" s="1"/>
  <c r="AN16" i="50" s="1"/>
  <c r="AN17" i="50" s="1"/>
  <c r="J242" i="58"/>
  <c r="J263" i="58" s="1"/>
  <c r="J264" i="58"/>
  <c r="J281" i="58"/>
  <c r="J283" i="58" s="1"/>
  <c r="AN28" i="50" s="1"/>
  <c r="K333" i="58"/>
  <c r="K334" i="58" s="1"/>
  <c r="K336" i="58" s="1"/>
  <c r="K337" i="58"/>
  <c r="BC5" i="50"/>
  <c r="K242" i="58"/>
  <c r="K263" i="58" s="1"/>
  <c r="K229" i="58"/>
  <c r="K264" i="58" s="1"/>
  <c r="K281" i="58"/>
  <c r="K283" i="58" s="1"/>
  <c r="AU25" i="18"/>
  <c r="AW25" i="18" s="1"/>
  <c r="AP8" i="50" s="1"/>
  <c r="L333" i="58"/>
  <c r="L334" i="58" s="1"/>
  <c r="L336" i="58" s="1"/>
  <c r="L337" i="58"/>
  <c r="BD5" i="50"/>
  <c r="L242" i="58"/>
  <c r="L263" i="58" s="1"/>
  <c r="L229" i="58"/>
  <c r="L264" i="58" s="1"/>
  <c r="AU18" i="18"/>
  <c r="AW18" i="18" s="1"/>
  <c r="AP25" i="50" s="1"/>
  <c r="AL17" i="52" s="1"/>
  <c r="L281" i="58"/>
  <c r="L283" i="58" s="1"/>
  <c r="AP28" i="50" s="1"/>
  <c r="AP30" i="50" s="1"/>
  <c r="M333" i="58"/>
  <c r="M334" i="58" s="1"/>
  <c r="M336" i="58" s="1"/>
  <c r="M337" i="58"/>
  <c r="M375" i="58" s="1"/>
  <c r="AQ32" i="50"/>
  <c r="BE5" i="50" s="1"/>
  <c r="M242" i="58"/>
  <c r="M263" i="58" s="1"/>
  <c r="M229" i="58"/>
  <c r="M264" i="58" s="1"/>
  <c r="M281" i="58"/>
  <c r="M283" i="58" s="1"/>
  <c r="AU41" i="18"/>
  <c r="AW41" i="18" s="1"/>
  <c r="AR13" i="50" s="1"/>
  <c r="N333" i="58"/>
  <c r="N334" i="58" s="1"/>
  <c r="N337" i="58"/>
  <c r="AR32" i="50"/>
  <c r="BF5" i="50" s="1"/>
  <c r="N242" i="58"/>
  <c r="N263" i="58" s="1"/>
  <c r="N229" i="58"/>
  <c r="N264" i="58" s="1"/>
  <c r="AU39" i="18"/>
  <c r="AW39" i="18" s="1"/>
  <c r="N281" i="58"/>
  <c r="N283" i="58" s="1"/>
  <c r="AR28" i="50" s="1"/>
  <c r="AU53" i="18"/>
  <c r="AW53" i="18" s="1"/>
  <c r="AS14" i="50" s="1"/>
  <c r="O333" i="58"/>
  <c r="O334" i="58" s="1"/>
  <c r="O336" i="58" s="1"/>
  <c r="O337" i="58"/>
  <c r="AS32" i="50"/>
  <c r="BG5" i="50" s="1"/>
  <c r="O242" i="58"/>
  <c r="O263" i="58" s="1"/>
  <c r="O229" i="58"/>
  <c r="O264" i="58" s="1"/>
  <c r="AS24" i="50"/>
  <c r="AS26" i="50" s="1"/>
  <c r="O281" i="58"/>
  <c r="O283" i="58" s="1"/>
  <c r="AS28" i="50" s="1"/>
  <c r="P333" i="58"/>
  <c r="P334" i="58" s="1"/>
  <c r="P336" i="58" s="1"/>
  <c r="P337" i="58"/>
  <c r="P375" i="58" s="1"/>
  <c r="AT32" i="50"/>
  <c r="BH5" i="50" s="1"/>
  <c r="P242" i="58"/>
  <c r="P263" i="58" s="1"/>
  <c r="P229" i="58"/>
  <c r="P264" i="58" s="1"/>
  <c r="AT24" i="50"/>
  <c r="AT26" i="50" s="1"/>
  <c r="P281" i="58"/>
  <c r="P283" i="58" s="1"/>
  <c r="Q333" i="58"/>
  <c r="Q334" i="58" s="1"/>
  <c r="Q336" i="58" s="1"/>
  <c r="Q337" i="58"/>
  <c r="Q375" i="58" s="1"/>
  <c r="AU32" i="50"/>
  <c r="BI5" i="50" s="1"/>
  <c r="Q242" i="58"/>
  <c r="Q263" i="58" s="1"/>
  <c r="Q229" i="58"/>
  <c r="Q264" i="58" s="1"/>
  <c r="AU24" i="50"/>
  <c r="AU26" i="50" s="1"/>
  <c r="Q281" i="58"/>
  <c r="Q283" i="58" s="1"/>
  <c r="AU28" i="50" s="1"/>
  <c r="R333" i="58"/>
  <c r="R334" i="58" s="1"/>
  <c r="R336" i="58" s="1"/>
  <c r="R337" i="58"/>
  <c r="R375" i="58" s="1"/>
  <c r="AV32" i="50"/>
  <c r="BJ5" i="50" s="1"/>
  <c r="R242" i="58"/>
  <c r="R263" i="58" s="1"/>
  <c r="R229" i="58"/>
  <c r="R264" i="58" s="1"/>
  <c r="AV24" i="50"/>
  <c r="AV26" i="50" s="1"/>
  <c r="R281" i="58"/>
  <c r="R283" i="58" s="1"/>
  <c r="AW8" i="50"/>
  <c r="AW9" i="50"/>
  <c r="AW10" i="50"/>
  <c r="AW14" i="50"/>
  <c r="AW15" i="50"/>
  <c r="S333" i="58"/>
  <c r="S334" i="58" s="1"/>
  <c r="S336" i="58" s="1"/>
  <c r="S337" i="58"/>
  <c r="S375" i="58" s="1"/>
  <c r="AW32" i="50"/>
  <c r="BK5" i="50" s="1"/>
  <c r="S242" i="58"/>
  <c r="S263" i="58" s="1"/>
  <c r="S229" i="58"/>
  <c r="S264" i="58" s="1"/>
  <c r="S265" i="58"/>
  <c r="X29" i="12" s="1"/>
  <c r="X32" i="12" s="1"/>
  <c r="AU94" i="18"/>
  <c r="AW94" i="18" s="1"/>
  <c r="AW24" i="50" s="1"/>
  <c r="S281" i="58"/>
  <c r="S283" i="58" s="1"/>
  <c r="AW28" i="50" s="1"/>
  <c r="J36" i="9"/>
  <c r="H148" i="58"/>
  <c r="H150" i="58" s="1"/>
  <c r="I148" i="58"/>
  <c r="I150" i="58" s="1"/>
  <c r="J144" i="58"/>
  <c r="J145" i="58"/>
  <c r="K144" i="58"/>
  <c r="K183" i="58" s="1"/>
  <c r="K145" i="58"/>
  <c r="L144" i="58"/>
  <c r="L145" i="58"/>
  <c r="M144" i="58"/>
  <c r="M145" i="58"/>
  <c r="N144" i="58"/>
  <c r="N145" i="58"/>
  <c r="O144" i="58"/>
  <c r="O183" i="58" s="1"/>
  <c r="O145" i="58"/>
  <c r="P144" i="58"/>
  <c r="P145" i="58"/>
  <c r="Q144" i="58"/>
  <c r="Q183" i="58" s="1"/>
  <c r="Q145" i="58"/>
  <c r="R144" i="58"/>
  <c r="R145" i="58"/>
  <c r="S144" i="58"/>
  <c r="S145" i="58"/>
  <c r="S184" i="58" s="1"/>
  <c r="E14" i="12"/>
  <c r="F14" i="12"/>
  <c r="F16" i="12" s="1"/>
  <c r="G14" i="12"/>
  <c r="I14" i="12"/>
  <c r="J14" i="12"/>
  <c r="K14" i="12"/>
  <c r="K16" i="12" s="1"/>
  <c r="L14" i="12"/>
  <c r="L16" i="12" s="1"/>
  <c r="Q14" i="12"/>
  <c r="R14" i="12" s="1"/>
  <c r="R16" i="12" s="1"/>
  <c r="S14" i="12"/>
  <c r="T14" i="12"/>
  <c r="T16" i="12" s="1"/>
  <c r="U14" i="12"/>
  <c r="U16" i="12" s="1"/>
  <c r="V14" i="12"/>
  <c r="V16" i="12" s="1"/>
  <c r="X14" i="12"/>
  <c r="X16" i="12" s="1"/>
  <c r="D17" i="8"/>
  <c r="F17" i="8"/>
  <c r="AU22" i="18"/>
  <c r="AW22" i="18" s="1"/>
  <c r="AU44" i="18"/>
  <c r="AW44" i="18" s="1"/>
  <c r="AU77" i="18"/>
  <c r="AW77" i="18" s="1"/>
  <c r="AU88" i="18"/>
  <c r="AW88" i="18" s="1"/>
  <c r="AU99" i="18"/>
  <c r="AW99" i="18" s="1"/>
  <c r="AU110" i="18"/>
  <c r="AW110" i="18" s="1"/>
  <c r="AU121" i="18"/>
  <c r="AW121" i="18" s="1"/>
  <c r="G22" i="12"/>
  <c r="H22" i="12" s="1"/>
  <c r="H24" i="12" s="1"/>
  <c r="L22" i="12"/>
  <c r="M22" i="12" s="1"/>
  <c r="Q22" i="12"/>
  <c r="R22" i="12" s="1"/>
  <c r="R24" i="12" s="1"/>
  <c r="V20" i="12"/>
  <c r="W20" i="12" s="1"/>
  <c r="W22" i="12"/>
  <c r="X20" i="12"/>
  <c r="X22" i="12"/>
  <c r="Q18" i="6"/>
  <c r="Q19" i="6"/>
  <c r="S19" i="6" s="1"/>
  <c r="J149" i="64"/>
  <c r="E18" i="65" s="1"/>
  <c r="E28" i="65" s="1"/>
  <c r="E34" i="65" s="1"/>
  <c r="E12" i="12"/>
  <c r="E13" i="12" s="1"/>
  <c r="F12" i="12"/>
  <c r="F13" i="12" s="1"/>
  <c r="G12" i="12"/>
  <c r="G13" i="12" s="1"/>
  <c r="I12" i="12"/>
  <c r="I13" i="12" s="1"/>
  <c r="J12" i="12"/>
  <c r="J13" i="12" s="1"/>
  <c r="K12" i="12"/>
  <c r="K13" i="12" s="1"/>
  <c r="L12" i="12"/>
  <c r="L13" i="12" s="1"/>
  <c r="N12" i="12"/>
  <c r="N13" i="12" s="1"/>
  <c r="O12" i="12"/>
  <c r="O13" i="12" s="1"/>
  <c r="P12" i="12"/>
  <c r="Q12" i="12"/>
  <c r="Q13" i="12" s="1"/>
  <c r="S12" i="12"/>
  <c r="S13" i="12" s="1"/>
  <c r="T12" i="12"/>
  <c r="T13" i="12" s="1"/>
  <c r="U12" i="12"/>
  <c r="V12" i="12"/>
  <c r="V13" i="12" s="1"/>
  <c r="X12" i="12"/>
  <c r="X13" i="12" s="1"/>
  <c r="I10" i="14"/>
  <c r="J10" i="14" s="1"/>
  <c r="K10" i="14" s="1"/>
  <c r="G25" i="64" s="1"/>
  <c r="G27" i="64" s="1"/>
  <c r="M24" i="64"/>
  <c r="L27" i="64"/>
  <c r="L73" i="64"/>
  <c r="L74" i="64"/>
  <c r="M118" i="64"/>
  <c r="L120" i="64"/>
  <c r="L121" i="64"/>
  <c r="L149" i="64"/>
  <c r="M149" i="64" s="1"/>
  <c r="L152" i="64"/>
  <c r="I30" i="58"/>
  <c r="O59" i="50" s="1"/>
  <c r="K24" i="52" s="1"/>
  <c r="J30" i="58"/>
  <c r="K30" i="58"/>
  <c r="L30" i="58"/>
  <c r="R59" i="50" s="1"/>
  <c r="M30" i="58"/>
  <c r="S59" i="50" s="1"/>
  <c r="N30" i="58"/>
  <c r="T59" i="50" s="1"/>
  <c r="P24" i="52" s="1"/>
  <c r="P26" i="52" s="1"/>
  <c r="P27" i="52" s="1"/>
  <c r="O30" i="58"/>
  <c r="P30" i="58"/>
  <c r="V59" i="50" s="1"/>
  <c r="Q30" i="58"/>
  <c r="W59" i="50" s="1"/>
  <c r="S24" i="52" s="1"/>
  <c r="S26" i="52" s="1"/>
  <c r="S27" i="52" s="1"/>
  <c r="R30" i="58"/>
  <c r="X59" i="50" s="1"/>
  <c r="T24" i="52" s="1"/>
  <c r="T26" i="52" s="1"/>
  <c r="T27" i="52" s="1"/>
  <c r="S30" i="58"/>
  <c r="M170" i="64"/>
  <c r="J172" i="64"/>
  <c r="H23" i="58"/>
  <c r="AL58" i="50" s="1"/>
  <c r="H39" i="58"/>
  <c r="H41" i="58" s="1"/>
  <c r="AL59" i="50" s="1"/>
  <c r="AH24" i="52" s="1"/>
  <c r="AH25" i="52"/>
  <c r="I23" i="58"/>
  <c r="AM58" i="50" s="1"/>
  <c r="AI23" i="52" s="1"/>
  <c r="I39" i="58"/>
  <c r="I41" i="58" s="1"/>
  <c r="AI25" i="52"/>
  <c r="J23" i="58"/>
  <c r="AN58" i="50" s="1"/>
  <c r="J39" i="58"/>
  <c r="J41" i="58" s="1"/>
  <c r="AN59" i="50" s="1"/>
  <c r="AJ24" i="52" s="1"/>
  <c r="AJ25" i="52"/>
  <c r="K23" i="58"/>
  <c r="AO58" i="50" s="1"/>
  <c r="AK23" i="52" s="1"/>
  <c r="K39" i="58"/>
  <c r="K41" i="58" s="1"/>
  <c r="AO59" i="50" s="1"/>
  <c r="AK24" i="52" s="1"/>
  <c r="AK25" i="52"/>
  <c r="L23" i="58"/>
  <c r="AP58" i="50" s="1"/>
  <c r="L39" i="58"/>
  <c r="L41" i="58" s="1"/>
  <c r="AP59" i="50" s="1"/>
  <c r="AL24" i="52" s="1"/>
  <c r="AL25" i="52"/>
  <c r="M23" i="58"/>
  <c r="AQ58" i="50" s="1"/>
  <c r="AM23" i="52" s="1"/>
  <c r="M39" i="58"/>
  <c r="M41" i="58" s="1"/>
  <c r="AM25" i="52"/>
  <c r="N23" i="58"/>
  <c r="AR58" i="50" s="1"/>
  <c r="N39" i="58"/>
  <c r="N41" i="58" s="1"/>
  <c r="AR59" i="50" s="1"/>
  <c r="AN24" i="52" s="1"/>
  <c r="AN25" i="52"/>
  <c r="O23" i="58"/>
  <c r="AS58" i="50" s="1"/>
  <c r="AO23" i="52" s="1"/>
  <c r="O39" i="58"/>
  <c r="O41" i="58" s="1"/>
  <c r="AS59" i="50" s="1"/>
  <c r="AO24" i="52" s="1"/>
  <c r="AO25" i="52"/>
  <c r="P23" i="58"/>
  <c r="AT58" i="50" s="1"/>
  <c r="P39" i="58"/>
  <c r="P41" i="58" s="1"/>
  <c r="AT59" i="50" s="1"/>
  <c r="AP24" i="52" s="1"/>
  <c r="AP25" i="52"/>
  <c r="Q23" i="58"/>
  <c r="AU58" i="50" s="1"/>
  <c r="AQ23" i="52" s="1"/>
  <c r="Q39" i="58"/>
  <c r="Q41" i="58" s="1"/>
  <c r="AQ25" i="52"/>
  <c r="R23" i="58"/>
  <c r="AV58" i="50" s="1"/>
  <c r="AR23" i="52" s="1"/>
  <c r="R39" i="58"/>
  <c r="R41" i="58" s="1"/>
  <c r="AV59" i="50" s="1"/>
  <c r="AR24" i="52" s="1"/>
  <c r="AR25" i="52"/>
  <c r="S21" i="58"/>
  <c r="S23" i="58" s="1"/>
  <c r="AW58" i="50" s="1"/>
  <c r="S39" i="58"/>
  <c r="S41" i="58" s="1"/>
  <c r="AW59" i="50" s="1"/>
  <c r="AS24" i="52" s="1"/>
  <c r="AS25" i="52"/>
  <c r="E29" i="12"/>
  <c r="E32" i="12" s="1"/>
  <c r="H29" i="12"/>
  <c r="H32" i="12" s="1"/>
  <c r="I29" i="12"/>
  <c r="I32" i="12" s="1"/>
  <c r="J29" i="12"/>
  <c r="J32" i="12" s="1"/>
  <c r="M29" i="12"/>
  <c r="M32" i="12" s="1"/>
  <c r="N29" i="12"/>
  <c r="N32" i="12" s="1"/>
  <c r="O29" i="12"/>
  <c r="O32" i="12" s="1"/>
  <c r="R29" i="12"/>
  <c r="R32" i="12" s="1"/>
  <c r="S29" i="12"/>
  <c r="S32" i="12" s="1"/>
  <c r="T29" i="12"/>
  <c r="W29" i="12"/>
  <c r="W32" i="12" s="1"/>
  <c r="D28" i="8"/>
  <c r="Z23" i="52"/>
  <c r="Z24" i="52"/>
  <c r="AA23" i="52"/>
  <c r="AA24" i="52"/>
  <c r="AB23" i="52"/>
  <c r="AB24" i="52"/>
  <c r="AC23" i="52"/>
  <c r="AC24" i="52"/>
  <c r="AD23" i="52"/>
  <c r="AD24" i="52"/>
  <c r="AE23" i="52"/>
  <c r="AE24" i="52"/>
  <c r="AF23" i="52"/>
  <c r="AF24" i="52"/>
  <c r="AG23" i="52"/>
  <c r="AG24" i="52"/>
  <c r="L188" i="64"/>
  <c r="M188" i="64" s="1"/>
  <c r="J188" i="64"/>
  <c r="G20" i="65" s="1"/>
  <c r="F199" i="64"/>
  <c r="M213" i="64"/>
  <c r="L218" i="64"/>
  <c r="M218" i="64" s="1"/>
  <c r="J216" i="64"/>
  <c r="M226" i="64"/>
  <c r="AB43" i="50"/>
  <c r="X32" i="52" s="1"/>
  <c r="AC43" i="50"/>
  <c r="AC44" i="50" s="1"/>
  <c r="AC50" i="50" s="1"/>
  <c r="AD43" i="50"/>
  <c r="Z32" i="52" s="1"/>
  <c r="AE43" i="50"/>
  <c r="AF43" i="50"/>
  <c r="AB32" i="52" s="1"/>
  <c r="AG43" i="50"/>
  <c r="AC32" i="52" s="1"/>
  <c r="AH43" i="50"/>
  <c r="AD32" i="52" s="1"/>
  <c r="AI43" i="50"/>
  <c r="AJ43" i="50"/>
  <c r="AF32" i="52" s="1"/>
  <c r="AK43" i="50"/>
  <c r="AG32" i="52" s="1"/>
  <c r="L228" i="64"/>
  <c r="I31" i="70" s="1"/>
  <c r="L230" i="64"/>
  <c r="M230" i="64" s="1"/>
  <c r="L236" i="64"/>
  <c r="M236" i="64" s="1"/>
  <c r="L252" i="64"/>
  <c r="M252" i="64" s="1"/>
  <c r="L253" i="64"/>
  <c r="M253" i="64" s="1"/>
  <c r="L254" i="64"/>
  <c r="M254" i="64" s="1"/>
  <c r="M257" i="64"/>
  <c r="L260" i="64"/>
  <c r="M260" i="64" s="1"/>
  <c r="G25" i="65"/>
  <c r="G26" i="65"/>
  <c r="H26" i="65" s="1"/>
  <c r="F32" i="65"/>
  <c r="H32" i="65" s="1"/>
  <c r="J32" i="65" s="1"/>
  <c r="C30" i="8"/>
  <c r="E30" i="8" s="1"/>
  <c r="H30" i="8" s="1"/>
  <c r="J30" i="8" s="1"/>
  <c r="H87" i="58"/>
  <c r="H89" i="58" s="1"/>
  <c r="H91" i="58" s="1"/>
  <c r="H95" i="58" s="1"/>
  <c r="H90" i="58"/>
  <c r="I87" i="58"/>
  <c r="I89" i="58" s="1"/>
  <c r="I90" i="58"/>
  <c r="J87" i="58"/>
  <c r="J89" i="58" s="1"/>
  <c r="J90" i="58"/>
  <c r="K87" i="58"/>
  <c r="K89" i="58" s="1"/>
  <c r="K90" i="58"/>
  <c r="L87" i="58"/>
  <c r="L89" i="58" s="1"/>
  <c r="L91" i="58" s="1"/>
  <c r="L95" i="58" s="1"/>
  <c r="L90" i="58"/>
  <c r="M87" i="58"/>
  <c r="M89" i="58" s="1"/>
  <c r="M90" i="58"/>
  <c r="N87" i="58"/>
  <c r="N89" i="58" s="1"/>
  <c r="N91" i="58" s="1"/>
  <c r="N95" i="58" s="1"/>
  <c r="N90" i="58"/>
  <c r="O87" i="58"/>
  <c r="O89" i="58" s="1"/>
  <c r="O90" i="58"/>
  <c r="P87" i="58"/>
  <c r="P89" i="58" s="1"/>
  <c r="P90" i="58"/>
  <c r="Q87" i="58"/>
  <c r="Q89" i="58" s="1"/>
  <c r="Q90" i="58"/>
  <c r="R87" i="58"/>
  <c r="R89" i="58" s="1"/>
  <c r="R90" i="58"/>
  <c r="S87" i="58"/>
  <c r="S89" i="58" s="1"/>
  <c r="S90" i="58"/>
  <c r="H113" i="58"/>
  <c r="H115" i="58" s="1"/>
  <c r="H116" i="58"/>
  <c r="D14" i="68" s="1"/>
  <c r="I113" i="58"/>
  <c r="I115" i="58" s="1"/>
  <c r="I116" i="58"/>
  <c r="J113" i="58"/>
  <c r="J115" i="58" s="1"/>
  <c r="J116" i="58"/>
  <c r="F14" i="68" s="1"/>
  <c r="K113" i="58"/>
  <c r="G16" i="68" s="1"/>
  <c r="K116" i="58"/>
  <c r="L113" i="58"/>
  <c r="L115" i="58" s="1"/>
  <c r="L116" i="58"/>
  <c r="H14" i="68" s="1"/>
  <c r="M113" i="58"/>
  <c r="M115" i="58" s="1"/>
  <c r="M116" i="58"/>
  <c r="N113" i="58"/>
  <c r="N115" i="58" s="1"/>
  <c r="N116" i="58"/>
  <c r="J14" i="68" s="1"/>
  <c r="O113" i="58"/>
  <c r="O115" i="58" s="1"/>
  <c r="O117" i="58" s="1"/>
  <c r="O121" i="58" s="1"/>
  <c r="O116" i="58"/>
  <c r="P113" i="58"/>
  <c r="L16" i="68" s="1"/>
  <c r="P116" i="58"/>
  <c r="Q113" i="58"/>
  <c r="Q115" i="58" s="1"/>
  <c r="Q117" i="58" s="1"/>
  <c r="Q121" i="58" s="1"/>
  <c r="Q116" i="58"/>
  <c r="R113" i="58"/>
  <c r="R115" i="58" s="1"/>
  <c r="R116" i="58"/>
  <c r="N14" i="68" s="1"/>
  <c r="S113" i="58"/>
  <c r="S115" i="58" s="1"/>
  <c r="S116" i="58"/>
  <c r="AH30" i="52"/>
  <c r="AI30" i="52"/>
  <c r="AJ30" i="52"/>
  <c r="AK30" i="52"/>
  <c r="AL30" i="52"/>
  <c r="AQ41" i="50"/>
  <c r="AM30" i="52" s="1"/>
  <c r="AR41" i="50"/>
  <c r="AN30" i="52" s="1"/>
  <c r="AS41" i="50"/>
  <c r="AO30" i="52" s="1"/>
  <c r="AT41" i="50"/>
  <c r="AP30" i="52" s="1"/>
  <c r="AU41" i="50"/>
  <c r="AQ30" i="52" s="1"/>
  <c r="AV41" i="50"/>
  <c r="AR30" i="52" s="1"/>
  <c r="AW41" i="50"/>
  <c r="AS30" i="52" s="1"/>
  <c r="Q433" i="58"/>
  <c r="AU42" i="50" s="1"/>
  <c r="M42" i="50" s="1"/>
  <c r="R433" i="58"/>
  <c r="AV42" i="50" s="1"/>
  <c r="S433" i="58"/>
  <c r="AW42" i="50" s="1"/>
  <c r="H406" i="58"/>
  <c r="H408" i="58"/>
  <c r="H409" i="58"/>
  <c r="I406" i="58"/>
  <c r="I408" i="58" s="1"/>
  <c r="I409" i="58"/>
  <c r="J406" i="58"/>
  <c r="J409" i="58"/>
  <c r="K406" i="58"/>
  <c r="K408" i="58" s="1"/>
  <c r="K409" i="58"/>
  <c r="L406" i="58"/>
  <c r="L408" i="58" s="1"/>
  <c r="L409" i="58"/>
  <c r="M406" i="58"/>
  <c r="M408" i="58" s="1"/>
  <c r="M409" i="58"/>
  <c r="N406" i="58"/>
  <c r="N408" i="58" s="1"/>
  <c r="N409" i="58"/>
  <c r="O406" i="58"/>
  <c r="O408" i="58" s="1"/>
  <c r="O409" i="58"/>
  <c r="P406" i="58"/>
  <c r="P408" i="58" s="1"/>
  <c r="P409" i="58"/>
  <c r="Q406" i="58"/>
  <c r="Q408" i="58" s="1"/>
  <c r="Q409" i="58"/>
  <c r="R406" i="58"/>
  <c r="R408" i="58" s="1"/>
  <c r="R409" i="58"/>
  <c r="S406" i="58"/>
  <c r="S408" i="58" s="1"/>
  <c r="S409" i="58"/>
  <c r="E33" i="12"/>
  <c r="H33" i="12"/>
  <c r="I33" i="12"/>
  <c r="J33" i="12"/>
  <c r="M33" i="12"/>
  <c r="N33" i="12"/>
  <c r="O33" i="12"/>
  <c r="R33" i="12"/>
  <c r="S33" i="12"/>
  <c r="T33" i="12"/>
  <c r="W33" i="12"/>
  <c r="X33" i="12"/>
  <c r="H25" i="12"/>
  <c r="H27" i="12" s="1"/>
  <c r="I25" i="12"/>
  <c r="I27" i="12" s="1"/>
  <c r="M25" i="12"/>
  <c r="M27" i="12" s="1"/>
  <c r="N25" i="12"/>
  <c r="N27" i="12" s="1"/>
  <c r="O25" i="12"/>
  <c r="R25" i="12"/>
  <c r="R27" i="12" s="1"/>
  <c r="S25" i="12"/>
  <c r="S27" i="12" s="1"/>
  <c r="T25" i="12"/>
  <c r="T27" i="12" s="1"/>
  <c r="W25" i="12"/>
  <c r="W27" i="12" s="1"/>
  <c r="X25" i="12"/>
  <c r="X27" i="12" s="1"/>
  <c r="D33" i="8"/>
  <c r="K32" i="8"/>
  <c r="J141" i="9"/>
  <c r="J120" i="9"/>
  <c r="K30" i="8" s="1"/>
  <c r="J165" i="9"/>
  <c r="J168" i="9"/>
  <c r="G168" i="9" s="1"/>
  <c r="J179" i="9"/>
  <c r="J182" i="9"/>
  <c r="G182" i="9" s="1"/>
  <c r="AC28" i="50"/>
  <c r="AC37" i="50" s="1"/>
  <c r="AC38" i="50" s="1"/>
  <c r="AD28" i="50"/>
  <c r="AD30" i="50" s="1"/>
  <c r="AE28" i="50"/>
  <c r="AF28" i="50"/>
  <c r="AB41" i="52" s="1"/>
  <c r="AG28" i="50"/>
  <c r="AC41" i="52" s="1"/>
  <c r="AH28" i="50"/>
  <c r="AH30" i="50" s="1"/>
  <c r="AI28" i="50"/>
  <c r="AB28" i="50"/>
  <c r="AB30" i="50" s="1"/>
  <c r="AA28" i="50"/>
  <c r="AA30" i="50" s="1"/>
  <c r="N21" i="8"/>
  <c r="P21" i="8" s="1"/>
  <c r="H31" i="70"/>
  <c r="M31" i="70" s="1"/>
  <c r="L145" i="64"/>
  <c r="L181" i="64"/>
  <c r="K36" i="70"/>
  <c r="N16" i="8"/>
  <c r="P16" i="8" s="1"/>
  <c r="N17" i="8"/>
  <c r="P17" i="8" s="1"/>
  <c r="V22" i="52"/>
  <c r="V27" i="52" s="1"/>
  <c r="W22" i="52"/>
  <c r="W27" i="52" s="1"/>
  <c r="X22" i="52"/>
  <c r="X27" i="52" s="1"/>
  <c r="Y22" i="52"/>
  <c r="Y27" i="52" s="1"/>
  <c r="Z22" i="52"/>
  <c r="AA22" i="52"/>
  <c r="AB22" i="52"/>
  <c r="AC22" i="52"/>
  <c r="AE21" i="52"/>
  <c r="AE22" i="52" s="1"/>
  <c r="V30" i="52"/>
  <c r="W30" i="52"/>
  <c r="X30" i="52"/>
  <c r="Y30" i="52"/>
  <c r="Z30" i="52"/>
  <c r="AA30" i="52"/>
  <c r="AB30" i="52"/>
  <c r="AC30" i="52"/>
  <c r="AD30" i="52"/>
  <c r="AE30" i="52"/>
  <c r="AF30" i="52"/>
  <c r="AG30" i="52"/>
  <c r="V32" i="52"/>
  <c r="W32" i="52"/>
  <c r="AA32" i="52"/>
  <c r="AE32" i="52"/>
  <c r="Z42" i="52"/>
  <c r="Z45" i="52" s="1"/>
  <c r="AA42" i="52"/>
  <c r="AA45" i="52" s="1"/>
  <c r="AB42" i="52"/>
  <c r="AC42" i="52"/>
  <c r="AC45" i="52" s="1"/>
  <c r="AD42" i="52"/>
  <c r="AD45" i="52" s="1"/>
  <c r="AE42" i="52"/>
  <c r="AE45" i="52" s="1"/>
  <c r="AF42" i="52"/>
  <c r="AF45" i="52" s="1"/>
  <c r="AG42" i="52"/>
  <c r="AG45" i="52" s="1"/>
  <c r="P25" i="8"/>
  <c r="Z28" i="50"/>
  <c r="V41" i="52" s="1"/>
  <c r="AJ28" i="50"/>
  <c r="AF41" i="52" s="1"/>
  <c r="AK28" i="50"/>
  <c r="AG41" i="52" s="1"/>
  <c r="O33" i="8"/>
  <c r="O34" i="8" s="1"/>
  <c r="M31" i="15"/>
  <c r="K33" i="15"/>
  <c r="M33" i="15" s="1"/>
  <c r="H24" i="14"/>
  <c r="H10" i="14"/>
  <c r="K19" i="15"/>
  <c r="M19" i="15" s="1"/>
  <c r="M22" i="15" s="1"/>
  <c r="G16" i="15"/>
  <c r="I16" i="15" s="1"/>
  <c r="G12" i="15"/>
  <c r="I12" i="15" s="1"/>
  <c r="G13" i="15"/>
  <c r="I13" i="15" s="1"/>
  <c r="G11" i="15"/>
  <c r="I11" i="15" s="1"/>
  <c r="G30" i="15"/>
  <c r="I30" i="15" s="1"/>
  <c r="G31" i="15"/>
  <c r="I31" i="15" s="1"/>
  <c r="G17" i="15"/>
  <c r="I17" i="15" s="1"/>
  <c r="AE17" i="15"/>
  <c r="AF17" i="15" s="1"/>
  <c r="T27" i="15"/>
  <c r="T29" i="15" s="1"/>
  <c r="U27" i="15"/>
  <c r="V27" i="15"/>
  <c r="V29" i="15" s="1"/>
  <c r="W27" i="15"/>
  <c r="W29" i="15" s="1"/>
  <c r="X27" i="15"/>
  <c r="X29" i="15" s="1"/>
  <c r="Y27" i="15"/>
  <c r="Z27" i="15"/>
  <c r="Z29" i="15" s="1"/>
  <c r="AA27" i="15"/>
  <c r="AA29" i="15" s="1"/>
  <c r="AB27" i="15"/>
  <c r="AB29" i="15" s="1"/>
  <c r="AC27" i="15"/>
  <c r="AD27" i="15"/>
  <c r="AD29" i="15" s="1"/>
  <c r="AE27" i="15"/>
  <c r="AC29" i="15"/>
  <c r="Y29" i="15"/>
  <c r="U29" i="15"/>
  <c r="G29" i="15"/>
  <c r="I29" i="15" s="1"/>
  <c r="G33" i="15"/>
  <c r="I33" i="15" s="1"/>
  <c r="S18" i="6"/>
  <c r="T38" i="15"/>
  <c r="N20" i="6"/>
  <c r="Q24" i="12"/>
  <c r="W19" i="12"/>
  <c r="S62" i="6"/>
  <c r="Q62" i="6"/>
  <c r="N59" i="50"/>
  <c r="N61" i="50" s="1"/>
  <c r="E16" i="12"/>
  <c r="O27" i="12"/>
  <c r="J16" i="12"/>
  <c r="I16" i="12"/>
  <c r="S16" i="12"/>
  <c r="P59" i="50"/>
  <c r="L24" i="52" s="1"/>
  <c r="L26" i="52" s="1"/>
  <c r="L27" i="52" s="1"/>
  <c r="L49" i="52" s="1"/>
  <c r="M14" i="52"/>
  <c r="Q59" i="50"/>
  <c r="M24" i="52" s="1"/>
  <c r="M26" i="52" s="1"/>
  <c r="M27" i="52" s="1"/>
  <c r="V19" i="12"/>
  <c r="N12" i="52"/>
  <c r="N14" i="52" s="1"/>
  <c r="T32" i="12"/>
  <c r="O12" i="52"/>
  <c r="O14" i="52" s="1"/>
  <c r="P12" i="52"/>
  <c r="P14" i="52" s="1"/>
  <c r="Q12" i="52"/>
  <c r="Q14" i="52" s="1"/>
  <c r="U59" i="50"/>
  <c r="Q24" i="52" s="1"/>
  <c r="Q26" i="52" s="1"/>
  <c r="Q27" i="52" s="1"/>
  <c r="R12" i="52"/>
  <c r="R14" i="52" s="1"/>
  <c r="S12" i="52"/>
  <c r="S14" i="52" s="1"/>
  <c r="T12" i="52"/>
  <c r="T14" i="52" s="1"/>
  <c r="U12" i="52"/>
  <c r="U14" i="52" s="1"/>
  <c r="Y59" i="50"/>
  <c r="U24" i="52" s="1"/>
  <c r="U26" i="52" s="1"/>
  <c r="U27" i="52" s="1"/>
  <c r="E7" i="62"/>
  <c r="E8" i="62" s="1"/>
  <c r="V33" i="52"/>
  <c r="X55" i="12"/>
  <c r="X56" i="12" s="1"/>
  <c r="W56" i="12"/>
  <c r="E66" i="12"/>
  <c r="H66" i="12"/>
  <c r="I66" i="12"/>
  <c r="J66" i="12"/>
  <c r="M66" i="12"/>
  <c r="N66" i="12"/>
  <c r="O66" i="12"/>
  <c r="R66" i="12"/>
  <c r="T66" i="12"/>
  <c r="G43" i="12"/>
  <c r="F43" i="12"/>
  <c r="F46" i="12" s="1"/>
  <c r="B12" i="62"/>
  <c r="B15" i="62" s="1"/>
  <c r="B19" i="62" s="1"/>
  <c r="AW77" i="50"/>
  <c r="AV77" i="50"/>
  <c r="AU77" i="50"/>
  <c r="AT77" i="50"/>
  <c r="AS77" i="50"/>
  <c r="AR77" i="50"/>
  <c r="AQ77" i="50"/>
  <c r="AP77" i="50"/>
  <c r="AO77" i="50"/>
  <c r="AN77" i="50"/>
  <c r="AM77" i="50"/>
  <c r="AL77" i="50"/>
  <c r="AK77" i="50"/>
  <c r="AJ77" i="50"/>
  <c r="AI44" i="50"/>
  <c r="AI48" i="50" s="1"/>
  <c r="AI77" i="50"/>
  <c r="AH44" i="50"/>
  <c r="AH50" i="50" s="1"/>
  <c r="AH77" i="50"/>
  <c r="AG77" i="50"/>
  <c r="AF77" i="50"/>
  <c r="AE44" i="50"/>
  <c r="AE48" i="50" s="1"/>
  <c r="AE77" i="50"/>
  <c r="AD44" i="50"/>
  <c r="AD50" i="50" s="1"/>
  <c r="AD77" i="50"/>
  <c r="AB77" i="50"/>
  <c r="AA77" i="50"/>
  <c r="Z77" i="50"/>
  <c r="D77" i="50"/>
  <c r="E77" i="50"/>
  <c r="H22" i="62"/>
  <c r="C8" i="62"/>
  <c r="C10" i="62" s="1"/>
  <c r="C12" i="62" s="1"/>
  <c r="C29" i="62"/>
  <c r="G36" i="62"/>
  <c r="B33" i="52"/>
  <c r="D16" i="68"/>
  <c r="E14" i="68"/>
  <c r="F16" i="68"/>
  <c r="G14" i="68"/>
  <c r="H16" i="68"/>
  <c r="I14" i="68"/>
  <c r="I16" i="68"/>
  <c r="J16" i="68"/>
  <c r="K14" i="68"/>
  <c r="K16" i="68"/>
  <c r="K18" i="68" s="1"/>
  <c r="L14" i="68"/>
  <c r="M14" i="68"/>
  <c r="M18" i="68" s="1"/>
  <c r="M16" i="68"/>
  <c r="N16" i="68"/>
  <c r="O14" i="68"/>
  <c r="O18" i="68" s="1"/>
  <c r="O16" i="68"/>
  <c r="D25" i="68"/>
  <c r="E25" i="68"/>
  <c r="F25" i="68"/>
  <c r="G25" i="68"/>
  <c r="H25" i="68"/>
  <c r="I25" i="68"/>
  <c r="J25" i="68"/>
  <c r="K25" i="68"/>
  <c r="L25" i="68"/>
  <c r="M25" i="68"/>
  <c r="N25" i="68"/>
  <c r="O25" i="68"/>
  <c r="AE30" i="50"/>
  <c r="K22" i="52"/>
  <c r="L22" i="52"/>
  <c r="M22" i="52"/>
  <c r="N22" i="52"/>
  <c r="O22" i="52"/>
  <c r="P22" i="52"/>
  <c r="Q22" i="52"/>
  <c r="R22" i="52"/>
  <c r="S22" i="52"/>
  <c r="T22" i="52"/>
  <c r="U22" i="52"/>
  <c r="C48" i="50"/>
  <c r="C44" i="50"/>
  <c r="H61" i="50"/>
  <c r="L61" i="50"/>
  <c r="H66" i="50"/>
  <c r="AC74" i="50"/>
  <c r="AD74" i="50"/>
  <c r="AE74" i="50"/>
  <c r="AF74" i="50"/>
  <c r="AG74" i="50"/>
  <c r="AH74" i="50"/>
  <c r="AI74" i="50"/>
  <c r="AJ74" i="50"/>
  <c r="AK74" i="50"/>
  <c r="AB74" i="50"/>
  <c r="AA74" i="50"/>
  <c r="Z74" i="50"/>
  <c r="I185" i="58"/>
  <c r="I188" i="58" s="1"/>
  <c r="J183" i="58"/>
  <c r="J184" i="58"/>
  <c r="L183" i="58"/>
  <c r="N183" i="58"/>
  <c r="N184" i="58"/>
  <c r="P183" i="58"/>
  <c r="AU9" i="17"/>
  <c r="U7" i="17"/>
  <c r="U15" i="17"/>
  <c r="AU8" i="17"/>
  <c r="AU13" i="17"/>
  <c r="H62" i="58"/>
  <c r="H64" i="58" s="1"/>
  <c r="K62" i="58"/>
  <c r="K64" i="58" s="1"/>
  <c r="K68" i="58" s="1"/>
  <c r="K70" i="58" s="1"/>
  <c r="L62" i="58"/>
  <c r="L64" i="58" s="1"/>
  <c r="L68" i="58" s="1"/>
  <c r="L70" i="58" s="1"/>
  <c r="O62" i="58"/>
  <c r="O64" i="58" s="1"/>
  <c r="O68" i="58" s="1"/>
  <c r="O70" i="58" s="1"/>
  <c r="P62" i="58"/>
  <c r="P64" i="58" s="1"/>
  <c r="P68" i="58" s="1"/>
  <c r="P70" i="58" s="1"/>
  <c r="S62" i="58"/>
  <c r="J198" i="58"/>
  <c r="K198" i="58"/>
  <c r="L198" i="58"/>
  <c r="M198" i="58"/>
  <c r="N198" i="58"/>
  <c r="O198" i="58"/>
  <c r="P198" i="58"/>
  <c r="Q198" i="58"/>
  <c r="R198" i="58"/>
  <c r="S198" i="58"/>
  <c r="A138" i="18"/>
  <c r="A139" i="18"/>
  <c r="A140" i="18" s="1"/>
  <c r="A141" i="18" s="1"/>
  <c r="A142" i="18" s="1"/>
  <c r="A143" i="18" s="1"/>
  <c r="A144" i="18" s="1"/>
  <c r="A145" i="18" s="1"/>
  <c r="A146" i="18" s="1"/>
  <c r="K27" i="58"/>
  <c r="N27" i="58"/>
  <c r="O27" i="58"/>
  <c r="R27" i="58"/>
  <c r="S27" i="58"/>
  <c r="H45" i="58"/>
  <c r="L45" i="58"/>
  <c r="P45" i="58"/>
  <c r="S45" i="58"/>
  <c r="T116" i="58"/>
  <c r="H58" i="58"/>
  <c r="I58" i="58"/>
  <c r="J58" i="58"/>
  <c r="K58" i="58"/>
  <c r="L58" i="58"/>
  <c r="M58" i="58"/>
  <c r="N58" i="58"/>
  <c r="O58" i="58"/>
  <c r="P58" i="58"/>
  <c r="Q58" i="58"/>
  <c r="R58" i="58"/>
  <c r="S58" i="58"/>
  <c r="K231" i="58"/>
  <c r="K235" i="58" s="1"/>
  <c r="N231" i="58"/>
  <c r="N235" i="58" s="1"/>
  <c r="R231" i="58"/>
  <c r="R235" i="58" s="1"/>
  <c r="S231" i="58"/>
  <c r="S235" i="58" s="1"/>
  <c r="H179" i="58"/>
  <c r="I179" i="58"/>
  <c r="J179" i="58"/>
  <c r="N179" i="58"/>
  <c r="H194" i="58"/>
  <c r="N313" i="58"/>
  <c r="N315" i="58" s="1"/>
  <c r="O313" i="58"/>
  <c r="O315" i="58" s="1"/>
  <c r="P313" i="58"/>
  <c r="P315" i="58" s="1"/>
  <c r="Q313" i="58"/>
  <c r="Q315" i="58" s="1"/>
  <c r="R313" i="58"/>
  <c r="R315" i="58" s="1"/>
  <c r="S313" i="58"/>
  <c r="S315" i="58" s="1"/>
  <c r="M259" i="58"/>
  <c r="N259" i="58"/>
  <c r="O259" i="58"/>
  <c r="P259" i="58"/>
  <c r="Q259" i="58"/>
  <c r="R259" i="58"/>
  <c r="S259" i="58"/>
  <c r="J375" i="58"/>
  <c r="K375" i="58"/>
  <c r="L375" i="58"/>
  <c r="N375" i="58"/>
  <c r="O375" i="58"/>
  <c r="I367" i="58"/>
  <c r="J367" i="58"/>
  <c r="K367" i="58"/>
  <c r="M367" i="58"/>
  <c r="N367" i="58"/>
  <c r="R367" i="58"/>
  <c r="I306" i="58"/>
  <c r="I308" i="58" s="1"/>
  <c r="R372" i="58"/>
  <c r="R373" i="58" s="1"/>
  <c r="H244" i="58"/>
  <c r="H248" i="58" s="1"/>
  <c r="J244" i="58"/>
  <c r="J248" i="58" s="1"/>
  <c r="M244" i="58"/>
  <c r="M248" i="58" s="1"/>
  <c r="R244" i="58"/>
  <c r="R248" i="58" s="1"/>
  <c r="S244" i="58"/>
  <c r="S248" i="58" s="1"/>
  <c r="L287" i="58"/>
  <c r="Q287" i="58"/>
  <c r="I372" i="58"/>
  <c r="I373" i="58" s="1"/>
  <c r="K372" i="58"/>
  <c r="K373" i="58" s="1"/>
  <c r="H373" i="58"/>
  <c r="H376" i="58" s="1"/>
  <c r="H378" i="58" s="1"/>
  <c r="I270" i="58"/>
  <c r="M384" i="58"/>
  <c r="N384" i="58"/>
  <c r="O384" i="58"/>
  <c r="P384" i="58"/>
  <c r="Q384" i="58"/>
  <c r="R384" i="58"/>
  <c r="S384" i="58"/>
  <c r="I303" i="58"/>
  <c r="J303" i="58"/>
  <c r="K303" i="58"/>
  <c r="L303" i="58"/>
  <c r="M303" i="58"/>
  <c r="N303" i="58"/>
  <c r="O303" i="58"/>
  <c r="P303" i="58"/>
  <c r="Q303" i="58"/>
  <c r="R303" i="58"/>
  <c r="S303" i="58"/>
  <c r="J343" i="58"/>
  <c r="M387" i="58"/>
  <c r="N387" i="58"/>
  <c r="O387" i="58"/>
  <c r="P387" i="58"/>
  <c r="Q387" i="58"/>
  <c r="R387" i="58"/>
  <c r="S387" i="58"/>
  <c r="N454" i="58"/>
  <c r="O454" i="58"/>
  <c r="P454" i="58"/>
  <c r="Q454" i="58"/>
  <c r="R454" i="58"/>
  <c r="S454" i="58"/>
  <c r="F313" i="19"/>
  <c r="H313" i="19" s="1"/>
  <c r="M313" i="19" s="1"/>
  <c r="A138" i="29"/>
  <c r="A139" i="29" s="1"/>
  <c r="A140" i="29" s="1"/>
  <c r="A141" i="29" s="1"/>
  <c r="A142" i="29" s="1"/>
  <c r="A143" i="29" s="1"/>
  <c r="A144" i="29" s="1"/>
  <c r="A145" i="29" s="1"/>
  <c r="A146" i="29" s="1"/>
  <c r="E137" i="29"/>
  <c r="D137" i="29"/>
  <c r="M32" i="50" l="1"/>
  <c r="M117" i="58"/>
  <c r="M121" i="58" s="1"/>
  <c r="I117" i="58"/>
  <c r="I121" i="58" s="1"/>
  <c r="J183" i="9"/>
  <c r="R410" i="58"/>
  <c r="R414" i="58" s="1"/>
  <c r="N410" i="58"/>
  <c r="N414" i="58" s="1"/>
  <c r="L410" i="58"/>
  <c r="L414" i="58" s="1"/>
  <c r="T406" i="58"/>
  <c r="R91" i="58"/>
  <c r="R95" i="58" s="1"/>
  <c r="P91" i="58"/>
  <c r="P95" i="58" s="1"/>
  <c r="T409" i="58"/>
  <c r="S20" i="6"/>
  <c r="D17" i="6" s="1"/>
  <c r="F17" i="6" s="1"/>
  <c r="AU7" i="17"/>
  <c r="AU6" i="17"/>
  <c r="AG33" i="52"/>
  <c r="J64" i="6"/>
  <c r="K64" i="6" s="1"/>
  <c r="Z33" i="52"/>
  <c r="J45" i="58"/>
  <c r="J62" i="58"/>
  <c r="J64" i="58" s="1"/>
  <c r="J68" i="58" s="1"/>
  <c r="J70" i="58" s="1"/>
  <c r="T360" i="58"/>
  <c r="H343" i="58"/>
  <c r="I343" i="58"/>
  <c r="H27" i="58"/>
  <c r="S437" i="58"/>
  <c r="O244" i="58"/>
  <c r="O248" i="58" s="1"/>
  <c r="J372" i="58"/>
  <c r="J373" i="58" s="1"/>
  <c r="J376" i="58" s="1"/>
  <c r="J378" i="58" s="1"/>
  <c r="J382" i="58" s="1"/>
  <c r="L367" i="58"/>
  <c r="P27" i="58"/>
  <c r="M62" i="58"/>
  <c r="M64" i="58" s="1"/>
  <c r="M68" i="58" s="1"/>
  <c r="M70" i="58" s="1"/>
  <c r="M74" i="58" s="1"/>
  <c r="I62" i="58"/>
  <c r="I64" i="58" s="1"/>
  <c r="I68" i="58" s="1"/>
  <c r="I70" i="58" s="1"/>
  <c r="I74" i="58" s="1"/>
  <c r="P372" i="58"/>
  <c r="P373" i="58" s="1"/>
  <c r="P376" i="58" s="1"/>
  <c r="P378" i="58" s="1"/>
  <c r="P382" i="58" s="1"/>
  <c r="N244" i="58"/>
  <c r="N248" i="58" s="1"/>
  <c r="L27" i="58"/>
  <c r="Q62" i="58"/>
  <c r="Q64" i="58" s="1"/>
  <c r="Q68" i="58" s="1"/>
  <c r="Q70" i="58" s="1"/>
  <c r="Q74" i="58" s="1"/>
  <c r="P184" i="58"/>
  <c r="L338" i="58"/>
  <c r="AP16" i="50" s="1"/>
  <c r="AP17" i="50" s="1"/>
  <c r="K266" i="58"/>
  <c r="AO21" i="50" s="1"/>
  <c r="AO22" i="50" s="1"/>
  <c r="AJ22" i="50"/>
  <c r="AE50" i="50"/>
  <c r="AK30" i="50"/>
  <c r="AK44" i="50"/>
  <c r="AK50" i="50" s="1"/>
  <c r="AJ30" i="50"/>
  <c r="Q61" i="50"/>
  <c r="W41" i="52"/>
  <c r="J63" i="6"/>
  <c r="M146" i="58"/>
  <c r="M148" i="58" s="1"/>
  <c r="M150" i="58" s="1"/>
  <c r="M155" i="58" s="1"/>
  <c r="R183" i="58"/>
  <c r="X61" i="50"/>
  <c r="S183" i="58"/>
  <c r="S185" i="58" s="1"/>
  <c r="S188" i="58" s="1"/>
  <c r="S190" i="58" s="1"/>
  <c r="S194" i="58" s="1"/>
  <c r="L21" i="50"/>
  <c r="N287" i="58"/>
  <c r="L231" i="58"/>
  <c r="L235" i="58" s="1"/>
  <c r="AI50" i="50"/>
  <c r="C24" i="52"/>
  <c r="T242" i="58"/>
  <c r="P244" i="58"/>
  <c r="P248" i="58" s="1"/>
  <c r="K244" i="58"/>
  <c r="K248" i="58" s="1"/>
  <c r="L372" i="58"/>
  <c r="L373" i="58" s="1"/>
  <c r="L376" i="58" s="1"/>
  <c r="L378" i="58" s="1"/>
  <c r="L382" i="58" s="1"/>
  <c r="M27" i="58"/>
  <c r="R62" i="58"/>
  <c r="R64" i="58" s="1"/>
  <c r="R68" i="58" s="1"/>
  <c r="R70" i="58" s="1"/>
  <c r="R74" i="58" s="1"/>
  <c r="R437" i="58"/>
  <c r="O287" i="58"/>
  <c r="R45" i="58"/>
  <c r="I27" i="58"/>
  <c r="AD21" i="52"/>
  <c r="AD22" i="52" s="1"/>
  <c r="AA37" i="50"/>
  <c r="AA38" i="50" s="1"/>
  <c r="O184" i="58"/>
  <c r="O185" i="58" s="1"/>
  <c r="O188" i="58" s="1"/>
  <c r="O190" i="58" s="1"/>
  <c r="O194" i="58" s="1"/>
  <c r="AI22" i="50"/>
  <c r="AI36" i="50" s="1"/>
  <c r="AI78" i="50" s="1"/>
  <c r="AI79" i="50" s="1"/>
  <c r="R184" i="58"/>
  <c r="H20" i="50"/>
  <c r="J123" i="9"/>
  <c r="AI37" i="50"/>
  <c r="AI38" i="50" s="1"/>
  <c r="AE37" i="50"/>
  <c r="AE38" i="50" s="1"/>
  <c r="T265" i="58"/>
  <c r="N62" i="58"/>
  <c r="N64" i="58" s="1"/>
  <c r="N68" i="58" s="1"/>
  <c r="N70" i="58" s="1"/>
  <c r="N74" i="58" s="1"/>
  <c r="T281" i="58"/>
  <c r="J287" i="58"/>
  <c r="R376" i="58"/>
  <c r="R378" i="58" s="1"/>
  <c r="R382" i="58" s="1"/>
  <c r="Q231" i="58"/>
  <c r="Q235" i="58" s="1"/>
  <c r="Q27" i="58"/>
  <c r="M183" i="58"/>
  <c r="H28" i="50"/>
  <c r="AF30" i="50"/>
  <c r="J146" i="58"/>
  <c r="J148" i="58" s="1"/>
  <c r="J150" i="58" s="1"/>
  <c r="AN52" i="50" s="1"/>
  <c r="AN56" i="50" s="1"/>
  <c r="O24" i="52"/>
  <c r="O26" i="52" s="1"/>
  <c r="O27" i="52" s="1"/>
  <c r="O49" i="52" s="1"/>
  <c r="S61" i="50"/>
  <c r="H270" i="58"/>
  <c r="O372" i="58"/>
  <c r="O373" i="58" s="1"/>
  <c r="O376" i="58" s="1"/>
  <c r="O378" i="58" s="1"/>
  <c r="O382" i="58" s="1"/>
  <c r="I244" i="58"/>
  <c r="I248" i="58" s="1"/>
  <c r="P367" i="58"/>
  <c r="T172" i="58"/>
  <c r="N45" i="58"/>
  <c r="M184" i="58"/>
  <c r="K184" i="58"/>
  <c r="AF44" i="50"/>
  <c r="AF48" i="50" s="1"/>
  <c r="AJ44" i="50"/>
  <c r="AJ48" i="50" s="1"/>
  <c r="AE33" i="52"/>
  <c r="AA33" i="52"/>
  <c r="W33" i="52"/>
  <c r="W49" i="52" s="1"/>
  <c r="AD36" i="50"/>
  <c r="AG26" i="52"/>
  <c r="AG27" i="52" s="1"/>
  <c r="AE26" i="52"/>
  <c r="AA26" i="52"/>
  <c r="AA27" i="52" s="1"/>
  <c r="AB22" i="50"/>
  <c r="AB36" i="50" s="1"/>
  <c r="R173" i="58"/>
  <c r="R175" i="58" s="1"/>
  <c r="R179" i="58" s="1"/>
  <c r="I20" i="50"/>
  <c r="AV61" i="50"/>
  <c r="Y61" i="50"/>
  <c r="AI30" i="50"/>
  <c r="AB44" i="50"/>
  <c r="AB48" i="50" s="1"/>
  <c r="M49" i="52"/>
  <c r="AE41" i="52"/>
  <c r="AL41" i="52"/>
  <c r="R146" i="58"/>
  <c r="R148" i="58" s="1"/>
  <c r="R150" i="58" s="1"/>
  <c r="P266" i="58"/>
  <c r="P306" i="58" s="1"/>
  <c r="P308" i="58" s="1"/>
  <c r="AA22" i="50"/>
  <c r="AA36" i="50" s="1"/>
  <c r="AA78" i="50" s="1"/>
  <c r="AA79" i="50" s="1"/>
  <c r="L184" i="58"/>
  <c r="L185" i="58" s="1"/>
  <c r="L188" i="58" s="1"/>
  <c r="L190" i="58" s="1"/>
  <c r="L194" i="58" s="1"/>
  <c r="H74" i="50"/>
  <c r="L20" i="50"/>
  <c r="W66" i="12"/>
  <c r="AF21" i="52"/>
  <c r="AF22" i="52" s="1"/>
  <c r="AF37" i="50"/>
  <c r="AF38" i="50" s="1"/>
  <c r="C23" i="52"/>
  <c r="Q146" i="58"/>
  <c r="Q148" i="58" s="1"/>
  <c r="Q150" i="58" s="1"/>
  <c r="Q155" i="58" s="1"/>
  <c r="AF22" i="50"/>
  <c r="AF36" i="50" s="1"/>
  <c r="I32" i="50"/>
  <c r="E32" i="50"/>
  <c r="AX32" i="50"/>
  <c r="V24" i="12"/>
  <c r="G19" i="12"/>
  <c r="W12" i="12"/>
  <c r="W13" i="12" s="1"/>
  <c r="R12" i="12"/>
  <c r="R13" i="12" s="1"/>
  <c r="K34" i="70"/>
  <c r="T303" i="58"/>
  <c r="AU59" i="50"/>
  <c r="Q45" i="58"/>
  <c r="AT28" i="50"/>
  <c r="P287" i="58"/>
  <c r="T333" i="58"/>
  <c r="Q437" i="58"/>
  <c r="T229" i="58"/>
  <c r="S287" i="58"/>
  <c r="H287" i="58"/>
  <c r="L244" i="58"/>
  <c r="L248" i="58" s="1"/>
  <c r="Q372" i="58"/>
  <c r="Q373" i="58" s="1"/>
  <c r="Q376" i="58" s="1"/>
  <c r="Q378" i="58" s="1"/>
  <c r="Q382" i="58" s="1"/>
  <c r="S367" i="58"/>
  <c r="T259" i="58"/>
  <c r="T145" i="58"/>
  <c r="K179" i="58"/>
  <c r="O231" i="58"/>
  <c r="O235" i="58" s="1"/>
  <c r="T90" i="58"/>
  <c r="O45" i="58"/>
  <c r="T23" i="58"/>
  <c r="J27" i="58"/>
  <c r="AU11" i="17"/>
  <c r="U16" i="17"/>
  <c r="U9" i="17"/>
  <c r="U6" i="17"/>
  <c r="AU12" i="17"/>
  <c r="AO61" i="50"/>
  <c r="H43" i="50"/>
  <c r="L43" i="50"/>
  <c r="D20" i="50"/>
  <c r="E16" i="68"/>
  <c r="AK37" i="50"/>
  <c r="AK38" i="50" s="1"/>
  <c r="AG44" i="50"/>
  <c r="AG50" i="50" s="1"/>
  <c r="K31" i="70"/>
  <c r="AG37" i="50"/>
  <c r="AG38" i="50" s="1"/>
  <c r="J408" i="58"/>
  <c r="J410" i="58" s="1"/>
  <c r="J414" i="58" s="1"/>
  <c r="AN43" i="50" s="1"/>
  <c r="AN44" i="50" s="1"/>
  <c r="AN48" i="50" s="1"/>
  <c r="AN50" i="50" s="1"/>
  <c r="AD26" i="52"/>
  <c r="J37" i="12"/>
  <c r="J43" i="12" s="1"/>
  <c r="J46" i="12" s="1"/>
  <c r="E18" i="68"/>
  <c r="U11" i="17"/>
  <c r="U14" i="17"/>
  <c r="U12" i="17"/>
  <c r="Q184" i="58"/>
  <c r="Q185" i="58" s="1"/>
  <c r="Q188" i="58" s="1"/>
  <c r="Q190" i="58" s="1"/>
  <c r="Q194" i="58" s="1"/>
  <c r="Z37" i="50"/>
  <c r="Z38" i="50" s="1"/>
  <c r="H21" i="50"/>
  <c r="P61" i="50"/>
  <c r="G46" i="12"/>
  <c r="X66" i="12"/>
  <c r="P338" i="58"/>
  <c r="O266" i="58"/>
  <c r="J266" i="58"/>
  <c r="AJ36" i="50"/>
  <c r="T39" i="58"/>
  <c r="H306" i="58"/>
  <c r="H308" i="58" s="1"/>
  <c r="H367" i="58"/>
  <c r="M372" i="58"/>
  <c r="M373" i="58" s="1"/>
  <c r="M376" i="58" s="1"/>
  <c r="M378" i="58" s="1"/>
  <c r="M382" i="58" s="1"/>
  <c r="O179" i="58"/>
  <c r="M231" i="58"/>
  <c r="M235" i="58" s="1"/>
  <c r="T171" i="58"/>
  <c r="T113" i="58"/>
  <c r="AU14" i="17"/>
  <c r="T21" i="58"/>
  <c r="T433" i="58"/>
  <c r="S372" i="58"/>
  <c r="S373" i="58" s="1"/>
  <c r="S376" i="58" s="1"/>
  <c r="S378" i="58" s="1"/>
  <c r="S382" i="58" s="1"/>
  <c r="I287" i="58"/>
  <c r="Q244" i="58"/>
  <c r="Q248" i="58" s="1"/>
  <c r="O367" i="58"/>
  <c r="N372" i="58"/>
  <c r="N373" i="58" s="1"/>
  <c r="N376" i="58" s="1"/>
  <c r="N378" i="58" s="1"/>
  <c r="N382" i="58" s="1"/>
  <c r="T144" i="58"/>
  <c r="P231" i="58"/>
  <c r="P235" i="58" s="1"/>
  <c r="T87" i="58"/>
  <c r="K45" i="58"/>
  <c r="U8" i="17"/>
  <c r="U13" i="17"/>
  <c r="U10" i="17"/>
  <c r="AS61" i="50"/>
  <c r="M41" i="50"/>
  <c r="L28" i="50"/>
  <c r="D21" i="50"/>
  <c r="O61" i="50"/>
  <c r="AG30" i="50"/>
  <c r="AC30" i="50"/>
  <c r="AJ37" i="50"/>
  <c r="AJ38" i="50" s="1"/>
  <c r="Q16" i="12"/>
  <c r="L24" i="12"/>
  <c r="AB45" i="52"/>
  <c r="H7" i="62" s="1"/>
  <c r="H8" i="62" s="1"/>
  <c r="H9" i="62" s="1"/>
  <c r="F7" i="62"/>
  <c r="F8" i="62" s="1"/>
  <c r="F9" i="62" s="1"/>
  <c r="F15" i="62" s="1"/>
  <c r="F32" i="62" s="1"/>
  <c r="AH41" i="52"/>
  <c r="T337" i="58"/>
  <c r="F16" i="8" s="1"/>
  <c r="F18" i="8" s="1"/>
  <c r="Q173" i="58"/>
  <c r="Q175" i="58" s="1"/>
  <c r="H12" i="12"/>
  <c r="H13" i="12" s="1"/>
  <c r="H14" i="12"/>
  <c r="H16" i="12" s="1"/>
  <c r="U13" i="12"/>
  <c r="X24" i="12"/>
  <c r="X37" i="12" s="1"/>
  <c r="I41" i="50"/>
  <c r="E41" i="50"/>
  <c r="AX41" i="50"/>
  <c r="I34" i="70"/>
  <c r="AV43" i="50"/>
  <c r="AR32" i="52" s="1"/>
  <c r="R418" i="58"/>
  <c r="R457" i="58"/>
  <c r="R459" i="58" s="1"/>
  <c r="I42" i="50"/>
  <c r="AX42" i="50"/>
  <c r="E42" i="50"/>
  <c r="AV66" i="50"/>
  <c r="AR42" i="52" s="1"/>
  <c r="R99" i="58"/>
  <c r="AL23" i="52"/>
  <c r="AL26" i="52" s="1"/>
  <c r="AP61" i="50"/>
  <c r="AM59" i="50"/>
  <c r="I45" i="58"/>
  <c r="AQ53" i="50"/>
  <c r="M179" i="58"/>
  <c r="Q363" i="58"/>
  <c r="T361" i="58"/>
  <c r="AM67" i="50"/>
  <c r="AI44" i="52" s="1"/>
  <c r="I125" i="58"/>
  <c r="AS23" i="52"/>
  <c r="AS26" i="52" s="1"/>
  <c r="AW61" i="50"/>
  <c r="AN23" i="52"/>
  <c r="AN26" i="52" s="1"/>
  <c r="AR61" i="50"/>
  <c r="M24" i="12"/>
  <c r="Y22" i="12"/>
  <c r="N336" i="58"/>
  <c r="T334" i="58"/>
  <c r="AS67" i="50"/>
  <c r="AO44" i="52" s="1"/>
  <c r="O125" i="58"/>
  <c r="AQ28" i="50"/>
  <c r="AQ30" i="50" s="1"/>
  <c r="M287" i="58"/>
  <c r="T375" i="58"/>
  <c r="T313" i="58"/>
  <c r="K185" i="58"/>
  <c r="K188" i="58" s="1"/>
  <c r="K190" i="58" s="1"/>
  <c r="K194" i="58" s="1"/>
  <c r="AB75" i="50"/>
  <c r="N18" i="68"/>
  <c r="P49" i="52"/>
  <c r="F30" i="52"/>
  <c r="H410" i="58"/>
  <c r="H414" i="58" s="1"/>
  <c r="S117" i="58"/>
  <c r="S121" i="58" s="1"/>
  <c r="L18" i="68"/>
  <c r="J18" i="68"/>
  <c r="G18" i="68"/>
  <c r="Q91" i="58"/>
  <c r="Q95" i="58" s="1"/>
  <c r="Q99" i="58" s="1"/>
  <c r="AF26" i="52"/>
  <c r="W14" i="12"/>
  <c r="W16" i="12" s="1"/>
  <c r="S146" i="58"/>
  <c r="S148" i="58" s="1"/>
  <c r="S150" i="58" s="1"/>
  <c r="R266" i="58"/>
  <c r="R306" i="58" s="1"/>
  <c r="R308" i="58" s="1"/>
  <c r="Q338" i="58"/>
  <c r="T263" i="58"/>
  <c r="O37" i="12"/>
  <c r="AD33" i="52"/>
  <c r="D25" i="52"/>
  <c r="BL5" i="50"/>
  <c r="T454" i="58"/>
  <c r="T387" i="58"/>
  <c r="T384" i="58"/>
  <c r="J185" i="58"/>
  <c r="J188" i="58" s="1"/>
  <c r="J190" i="58" s="1"/>
  <c r="J194" i="58" s="1"/>
  <c r="X41" i="52"/>
  <c r="AB37" i="50"/>
  <c r="AB38" i="50" s="1"/>
  <c r="AE27" i="52"/>
  <c r="M12" i="12"/>
  <c r="M13" i="12" s="1"/>
  <c r="AE36" i="50"/>
  <c r="AE78" i="50" s="1"/>
  <c r="AE79" i="50" s="1"/>
  <c r="L74" i="50"/>
  <c r="T61" i="50"/>
  <c r="H18" i="68"/>
  <c r="F18" i="68"/>
  <c r="Y41" i="52"/>
  <c r="P410" i="58"/>
  <c r="P414" i="58" s="1"/>
  <c r="AT43" i="50" s="1"/>
  <c r="M91" i="58"/>
  <c r="M95" i="58" s="1"/>
  <c r="M128" i="58" s="1"/>
  <c r="K91" i="58"/>
  <c r="K95" i="58" s="1"/>
  <c r="AF33" i="52"/>
  <c r="X33" i="52"/>
  <c r="X49" i="52" s="1"/>
  <c r="S63" i="58"/>
  <c r="T63" i="58" s="1"/>
  <c r="P146" i="58"/>
  <c r="P148" i="58" s="1"/>
  <c r="P150" i="58" s="1"/>
  <c r="K146" i="58"/>
  <c r="K148" i="58" s="1"/>
  <c r="K150" i="58" s="1"/>
  <c r="S173" i="58"/>
  <c r="S175" i="58" s="1"/>
  <c r="H68" i="58"/>
  <c r="H70" i="58" s="1"/>
  <c r="AR43" i="50"/>
  <c r="AN32" i="52" s="1"/>
  <c r="AN33" i="52" s="1"/>
  <c r="N418" i="58"/>
  <c r="N457" i="58"/>
  <c r="N459" i="58" s="1"/>
  <c r="AU67" i="50"/>
  <c r="AQ44" i="52" s="1"/>
  <c r="Q125" i="58"/>
  <c r="AB33" i="52"/>
  <c r="J65" i="6"/>
  <c r="K65" i="6" s="1"/>
  <c r="AP23" i="52"/>
  <c r="AP26" i="52" s="1"/>
  <c r="M58" i="50"/>
  <c r="AT61" i="50"/>
  <c r="AJ23" i="52"/>
  <c r="AN61" i="50"/>
  <c r="W24" i="12"/>
  <c r="Y20" i="12"/>
  <c r="AM52" i="50"/>
  <c r="AM56" i="50" s="1"/>
  <c r="I155" i="58"/>
  <c r="AV28" i="50"/>
  <c r="I28" i="50" s="1"/>
  <c r="R287" i="58"/>
  <c r="AO28" i="50"/>
  <c r="AO30" i="50" s="1"/>
  <c r="K287" i="58"/>
  <c r="T283" i="58"/>
  <c r="O199" i="64"/>
  <c r="N120" i="9"/>
  <c r="O120" i="9" s="1"/>
  <c r="AH23" i="52"/>
  <c r="AH26" i="52" s="1"/>
  <c r="E58" i="50"/>
  <c r="AL61" i="50"/>
  <c r="I58" i="50"/>
  <c r="AX58" i="50"/>
  <c r="Y17" i="12"/>
  <c r="D20" i="8" s="1"/>
  <c r="D22" i="8" s="1"/>
  <c r="H19" i="12"/>
  <c r="Y19" i="12" s="1"/>
  <c r="AT53" i="50"/>
  <c r="P179" i="58"/>
  <c r="AK12" i="52"/>
  <c r="R37" i="12"/>
  <c r="K63" i="6"/>
  <c r="T37" i="12"/>
  <c r="N37" i="12"/>
  <c r="I376" i="58"/>
  <c r="I378" i="58" s="1"/>
  <c r="I382" i="58" s="1"/>
  <c r="AQ67" i="50"/>
  <c r="AM44" i="52" s="1"/>
  <c r="M125" i="58"/>
  <c r="AR66" i="50"/>
  <c r="AN42" i="52" s="1"/>
  <c r="N99" i="58"/>
  <c r="AP66" i="50"/>
  <c r="AL42" i="52" s="1"/>
  <c r="L99" i="58"/>
  <c r="J91" i="58"/>
  <c r="J95" i="58" s="1"/>
  <c r="T89" i="58"/>
  <c r="AL66" i="50"/>
  <c r="AH42" i="52" s="1"/>
  <c r="H99" i="58"/>
  <c r="AK13" i="52"/>
  <c r="N266" i="58"/>
  <c r="AP43" i="50"/>
  <c r="AP44" i="50" s="1"/>
  <c r="AP48" i="50" s="1"/>
  <c r="AP50" i="50" s="1"/>
  <c r="L418" i="58"/>
  <c r="L457" i="58"/>
  <c r="L459" i="58" s="1"/>
  <c r="AT66" i="50"/>
  <c r="P99" i="58"/>
  <c r="AQ59" i="50"/>
  <c r="M45" i="58"/>
  <c r="T41" i="58"/>
  <c r="V61" i="50"/>
  <c r="R24" i="52"/>
  <c r="R26" i="52" s="1"/>
  <c r="R27" i="52" s="1"/>
  <c r="R49" i="52" s="1"/>
  <c r="N24" i="52"/>
  <c r="N26" i="52" s="1"/>
  <c r="N27" i="52" s="1"/>
  <c r="N49" i="52" s="1"/>
  <c r="R61" i="50"/>
  <c r="K59" i="50"/>
  <c r="C59" i="50"/>
  <c r="AL52" i="50"/>
  <c r="H155" i="58"/>
  <c r="J15" i="6"/>
  <c r="K15" i="6" s="1"/>
  <c r="D7" i="62"/>
  <c r="L175" i="58"/>
  <c r="K376" i="58"/>
  <c r="K378" i="58" s="1"/>
  <c r="K382" i="58" s="1"/>
  <c r="Q49" i="52"/>
  <c r="T264" i="58"/>
  <c r="F27" i="8" s="1"/>
  <c r="P185" i="58"/>
  <c r="P188" i="58" s="1"/>
  <c r="P190" i="58" s="1"/>
  <c r="P194" i="58" s="1"/>
  <c r="AK75" i="50"/>
  <c r="G59" i="50"/>
  <c r="D28" i="50"/>
  <c r="AB50" i="50"/>
  <c r="Z30" i="50"/>
  <c r="H30" i="50" s="1"/>
  <c r="P25" i="68"/>
  <c r="D18" i="68"/>
  <c r="H26" i="62"/>
  <c r="H28" i="62" s="1"/>
  <c r="H29" i="62" s="1"/>
  <c r="C9" i="62"/>
  <c r="C15" i="62" s="1"/>
  <c r="Z36" i="50"/>
  <c r="AC48" i="50"/>
  <c r="AD48" i="50"/>
  <c r="AH48" i="50"/>
  <c r="Y55" i="12"/>
  <c r="AC33" i="52"/>
  <c r="U49" i="52"/>
  <c r="S49" i="52"/>
  <c r="G16" i="12"/>
  <c r="J24" i="52"/>
  <c r="J26" i="52" s="1"/>
  <c r="J27" i="52" s="1"/>
  <c r="P13" i="12"/>
  <c r="G24" i="12"/>
  <c r="C42" i="52"/>
  <c r="I63" i="6" s="1"/>
  <c r="AE29" i="15"/>
  <c r="AA41" i="52"/>
  <c r="S410" i="58"/>
  <c r="S414" i="58" s="1"/>
  <c r="K410" i="58"/>
  <c r="K414" i="58" s="1"/>
  <c r="P115" i="58"/>
  <c r="P117" i="58" s="1"/>
  <c r="P121" i="58" s="1"/>
  <c r="P128" i="58" s="1"/>
  <c r="K115" i="58"/>
  <c r="K117" i="58" s="1"/>
  <c r="K121" i="58" s="1"/>
  <c r="J117" i="58"/>
  <c r="J121" i="58" s="1"/>
  <c r="AC26" i="52"/>
  <c r="AC27" i="52" s="1"/>
  <c r="AC49" i="52" s="1"/>
  <c r="T30" i="58"/>
  <c r="F102" i="9" s="1"/>
  <c r="J102" i="9" s="1"/>
  <c r="J113" i="9" s="1"/>
  <c r="M14" i="12"/>
  <c r="M16" i="12" s="1"/>
  <c r="N146" i="58"/>
  <c r="N148" i="58" s="1"/>
  <c r="N150" i="58" s="1"/>
  <c r="L146" i="58"/>
  <c r="L266" i="58"/>
  <c r="K338" i="58"/>
  <c r="AG22" i="50"/>
  <c r="AG36" i="50" s="1"/>
  <c r="AC22" i="50"/>
  <c r="AA12" i="52"/>
  <c r="AA14" i="52" s="1"/>
  <c r="T58" i="58"/>
  <c r="B22" i="52"/>
  <c r="B12" i="52"/>
  <c r="B14" i="52" s="1"/>
  <c r="S37" i="12"/>
  <c r="T49" i="52"/>
  <c r="Y32" i="12"/>
  <c r="I37" i="12"/>
  <c r="I43" i="12" s="1"/>
  <c r="F14" i="52"/>
  <c r="AF27" i="15"/>
  <c r="AF29" i="15" s="1"/>
  <c r="T41" i="15"/>
  <c r="N18" i="8"/>
  <c r="P18" i="8" s="1"/>
  <c r="L30" i="8"/>
  <c r="AK26" i="52"/>
  <c r="S266" i="58"/>
  <c r="N185" i="58"/>
  <c r="N188" i="58" s="1"/>
  <c r="N190" i="58" s="1"/>
  <c r="N194" i="58" s="1"/>
  <c r="W61" i="50"/>
  <c r="U61" i="50"/>
  <c r="I18" i="68"/>
  <c r="E37" i="12"/>
  <c r="M36" i="15"/>
  <c r="O410" i="58"/>
  <c r="O414" i="58" s="1"/>
  <c r="R117" i="58"/>
  <c r="R121" i="58" s="1"/>
  <c r="N117" i="58"/>
  <c r="N121" i="58" s="1"/>
  <c r="I91" i="58"/>
  <c r="I95" i="58" s="1"/>
  <c r="AB26" i="52"/>
  <c r="Z26" i="52"/>
  <c r="Z27" i="52" s="1"/>
  <c r="Q20" i="6"/>
  <c r="B17" i="6" s="1"/>
  <c r="G145" i="64" s="1"/>
  <c r="J145" i="64" s="1"/>
  <c r="C18" i="65" s="1"/>
  <c r="O146" i="58"/>
  <c r="O148" i="58" s="1"/>
  <c r="O150" i="58" s="1"/>
  <c r="S338" i="58"/>
  <c r="R338" i="58"/>
  <c r="O338" i="58"/>
  <c r="M338" i="58"/>
  <c r="AK22" i="50"/>
  <c r="AH22" i="50"/>
  <c r="AH36" i="50" s="1"/>
  <c r="M258" i="64"/>
  <c r="M262" i="64" s="1"/>
  <c r="M264" i="64" s="1"/>
  <c r="I26" i="65" s="1"/>
  <c r="P74" i="58"/>
  <c r="L74" i="58"/>
  <c r="J74" i="58"/>
  <c r="O74" i="58"/>
  <c r="K74" i="58"/>
  <c r="H382" i="58"/>
  <c r="K26" i="52"/>
  <c r="K27" i="52" s="1"/>
  <c r="K49" i="52" s="1"/>
  <c r="T198" i="58"/>
  <c r="E9" i="62"/>
  <c r="E10" i="62"/>
  <c r="E12" i="62" s="1"/>
  <c r="I190" i="58"/>
  <c r="I36" i="15"/>
  <c r="I22" i="15"/>
  <c r="O22" i="15" s="1"/>
  <c r="Z41" i="52"/>
  <c r="AD37" i="50"/>
  <c r="AQ31" i="52"/>
  <c r="B24" i="65"/>
  <c r="F24" i="65" s="1"/>
  <c r="H24" i="65" s="1"/>
  <c r="J220" i="64"/>
  <c r="AR24" i="50"/>
  <c r="M24" i="50" s="1"/>
  <c r="AY39" i="18"/>
  <c r="AK21" i="52"/>
  <c r="AN30" i="50"/>
  <c r="AJ41" i="52"/>
  <c r="AN12" i="52"/>
  <c r="AN14" i="52" s="1"/>
  <c r="AJ12" i="52"/>
  <c r="AJ14" i="52" s="1"/>
  <c r="D74" i="50"/>
  <c r="B32" i="62"/>
  <c r="Y27" i="12"/>
  <c r="C30" i="52"/>
  <c r="M410" i="58"/>
  <c r="M414" i="58" s="1"/>
  <c r="D30" i="52"/>
  <c r="C32" i="8" s="1"/>
  <c r="H117" i="58"/>
  <c r="S91" i="58"/>
  <c r="S95" i="58" s="1"/>
  <c r="AR26" i="52"/>
  <c r="AD41" i="52"/>
  <c r="AH37" i="50"/>
  <c r="AH38" i="50" s="1"/>
  <c r="AR31" i="52"/>
  <c r="AO41" i="52"/>
  <c r="AS30" i="50"/>
  <c r="AR30" i="50"/>
  <c r="AN41" i="52"/>
  <c r="AR12" i="52"/>
  <c r="AO12" i="52"/>
  <c r="AO14" i="52" s="1"/>
  <c r="I410" i="58"/>
  <c r="O91" i="58"/>
  <c r="AO26" i="52"/>
  <c r="H34" i="70"/>
  <c r="M34" i="70" s="1"/>
  <c r="M215" i="64"/>
  <c r="M216" i="64" s="1"/>
  <c r="M220" i="64" s="1"/>
  <c r="J27" i="64"/>
  <c r="G12" i="65" s="1"/>
  <c r="M27" i="64"/>
  <c r="G29" i="64"/>
  <c r="F10" i="66" s="1"/>
  <c r="AW30" i="50"/>
  <c r="AS41" i="52"/>
  <c r="AU30" i="50"/>
  <c r="AQ41" i="52"/>
  <c r="AS12" i="52"/>
  <c r="AP12" i="52"/>
  <c r="AH12" i="52"/>
  <c r="AH14" i="52" s="1"/>
  <c r="AL22" i="50"/>
  <c r="Y25" i="12"/>
  <c r="D32" i="8" s="1"/>
  <c r="D34" i="8" s="1"/>
  <c r="Y29" i="12"/>
  <c r="D27" i="8" s="1"/>
  <c r="D29" i="8" s="1"/>
  <c r="AS31" i="52"/>
  <c r="Y32" i="52"/>
  <c r="D43" i="50"/>
  <c r="J199" i="64"/>
  <c r="M199" i="64"/>
  <c r="M202" i="64" s="1"/>
  <c r="AM30" i="50"/>
  <c r="AI41" i="52"/>
  <c r="AI12" i="52"/>
  <c r="AI14" i="52" s="1"/>
  <c r="AM22" i="50"/>
  <c r="B18" i="62"/>
  <c r="V49" i="52"/>
  <c r="J169" i="9"/>
  <c r="Y33" i="12"/>
  <c r="D36" i="8" s="1"/>
  <c r="Q410" i="58"/>
  <c r="Q414" i="58" s="1"/>
  <c r="L117" i="58"/>
  <c r="L121" i="58" s="1"/>
  <c r="AJ26" i="52"/>
  <c r="Q266" i="58"/>
  <c r="M266" i="58"/>
  <c r="AL17" i="50"/>
  <c r="AZ8" i="50" s="1"/>
  <c r="AL12" i="52"/>
  <c r="AW13" i="17"/>
  <c r="AY41" i="18"/>
  <c r="AY23" i="18"/>
  <c r="AY53" i="18"/>
  <c r="AW7" i="17"/>
  <c r="AW12" i="17"/>
  <c r="AW14" i="17"/>
  <c r="AO16" i="52"/>
  <c r="AO18" i="52" s="1"/>
  <c r="AY25" i="18"/>
  <c r="AW8" i="17"/>
  <c r="AW11" i="50"/>
  <c r="AW11" i="17"/>
  <c r="AW6" i="17"/>
  <c r="AL37" i="50"/>
  <c r="AL38" i="50" s="1"/>
  <c r="AQ16" i="52"/>
  <c r="AQ18" i="52" s="1"/>
  <c r="AY18" i="18"/>
  <c r="AW9" i="17"/>
  <c r="AS16" i="52"/>
  <c r="AS18" i="52" s="1"/>
  <c r="I24" i="50"/>
  <c r="AW26" i="50"/>
  <c r="D17" i="52"/>
  <c r="AL18" i="52"/>
  <c r="AN11" i="50"/>
  <c r="M25" i="50"/>
  <c r="M19" i="50"/>
  <c r="AR16" i="52"/>
  <c r="AR18" i="52" s="1"/>
  <c r="AP16" i="52"/>
  <c r="AP18" i="52" s="1"/>
  <c r="AY94" i="18"/>
  <c r="AP26" i="50"/>
  <c r="AP11" i="50"/>
  <c r="AM14" i="50"/>
  <c r="E25" i="50"/>
  <c r="E19" i="50"/>
  <c r="AY119" i="18"/>
  <c r="AU52" i="50" l="1"/>
  <c r="Y66" i="12"/>
  <c r="AG49" i="52"/>
  <c r="J186" i="9"/>
  <c r="R128" i="58"/>
  <c r="AF50" i="50"/>
  <c r="J128" i="58"/>
  <c r="AF78" i="50"/>
  <c r="AF79" i="50" s="1"/>
  <c r="K270" i="58"/>
  <c r="L343" i="58"/>
  <c r="T248" i="58"/>
  <c r="T183" i="58"/>
  <c r="R185" i="58"/>
  <c r="R188" i="58" s="1"/>
  <c r="R190" i="58" s="1"/>
  <c r="R194" i="58" s="1"/>
  <c r="AK48" i="50"/>
  <c r="H48" i="50" s="1"/>
  <c r="Z49" i="52"/>
  <c r="I128" i="58"/>
  <c r="K306" i="58"/>
  <c r="K308" i="58" s="1"/>
  <c r="N128" i="58"/>
  <c r="N200" i="58" s="1"/>
  <c r="N206" i="58" s="1"/>
  <c r="N210" i="58" s="1"/>
  <c r="AJ50" i="50"/>
  <c r="H50" i="50" s="1"/>
  <c r="H44" i="50"/>
  <c r="AJ78" i="50"/>
  <c r="AJ79" i="50" s="1"/>
  <c r="AD78" i="50"/>
  <c r="AD79" i="50" s="1"/>
  <c r="T437" i="58"/>
  <c r="AF27" i="52"/>
  <c r="AF49" i="52" s="1"/>
  <c r="C22" i="52"/>
  <c r="N27" i="8" s="1"/>
  <c r="AJ9" i="52"/>
  <c r="AQ52" i="50"/>
  <c r="AM9" i="52" s="1"/>
  <c r="AE49" i="52"/>
  <c r="M185" i="58"/>
  <c r="M188" i="58" s="1"/>
  <c r="M190" i="58" s="1"/>
  <c r="M194" i="58" s="1"/>
  <c r="G61" i="50"/>
  <c r="J155" i="58"/>
  <c r="AT21" i="50"/>
  <c r="AP21" i="52" s="1"/>
  <c r="AP22" i="52" s="1"/>
  <c r="AP27" i="52" s="1"/>
  <c r="AD27" i="52"/>
  <c r="AD49" i="52" s="1"/>
  <c r="C21" i="52"/>
  <c r="AG48" i="50"/>
  <c r="L48" i="50" s="1"/>
  <c r="J418" i="58"/>
  <c r="J457" i="58"/>
  <c r="J459" i="58" s="1"/>
  <c r="T27" i="58"/>
  <c r="K128" i="58"/>
  <c r="K200" i="58" s="1"/>
  <c r="K206" i="58" s="1"/>
  <c r="K210" i="58" s="1"/>
  <c r="T244" i="58"/>
  <c r="T372" i="58"/>
  <c r="D22" i="50"/>
  <c r="AV53" i="50"/>
  <c r="AR13" i="52" s="1"/>
  <c r="AR14" i="52" s="1"/>
  <c r="L30" i="50"/>
  <c r="AB78" i="50"/>
  <c r="AB79" i="50" s="1"/>
  <c r="AK41" i="52"/>
  <c r="J24" i="6"/>
  <c r="K24" i="6" s="1"/>
  <c r="AI9" i="52"/>
  <c r="F164" i="64"/>
  <c r="J164" i="64" s="1"/>
  <c r="J175" i="64" s="1"/>
  <c r="T62" i="58"/>
  <c r="P18" i="68"/>
  <c r="P28" i="68" s="1"/>
  <c r="T45" i="58"/>
  <c r="AR33" i="52"/>
  <c r="B26" i="52"/>
  <c r="T408" i="58"/>
  <c r="AM41" i="52"/>
  <c r="T373" i="58"/>
  <c r="P270" i="58"/>
  <c r="T231" i="58"/>
  <c r="AV52" i="50"/>
  <c r="AR9" i="52" s="1"/>
  <c r="R155" i="58"/>
  <c r="AL32" i="52"/>
  <c r="AL33" i="52" s="1"/>
  <c r="AV44" i="50"/>
  <c r="AV48" i="50" s="1"/>
  <c r="AV50" i="50" s="1"/>
  <c r="J22" i="6"/>
  <c r="D30" i="50"/>
  <c r="AU66" i="50"/>
  <c r="AQ42" i="52" s="1"/>
  <c r="AQ45" i="52" s="1"/>
  <c r="P457" i="58"/>
  <c r="P459" i="58" s="1"/>
  <c r="F26" i="52"/>
  <c r="F49" i="52" s="1"/>
  <c r="T235" i="58"/>
  <c r="AA49" i="52"/>
  <c r="AR44" i="50"/>
  <c r="AR48" i="50" s="1"/>
  <c r="AR50" i="50" s="1"/>
  <c r="Y13" i="12"/>
  <c r="D13" i="8" s="1"/>
  <c r="Y12" i="12"/>
  <c r="H37" i="12"/>
  <c r="H43" i="12" s="1"/>
  <c r="H46" i="12" s="1"/>
  <c r="Y14" i="12"/>
  <c r="D16" i="8" s="1"/>
  <c r="D18" i="8" s="1"/>
  <c r="W37" i="12"/>
  <c r="W43" i="12" s="1"/>
  <c r="W46" i="12" s="1"/>
  <c r="Y24" i="12"/>
  <c r="D24" i="8" s="1"/>
  <c r="D25" i="8" s="1"/>
  <c r="T287" i="58"/>
  <c r="AJ32" i="52"/>
  <c r="AJ33" i="52" s="1"/>
  <c r="C45" i="52"/>
  <c r="N36" i="8" s="1"/>
  <c r="AV30" i="50"/>
  <c r="I30" i="50" s="1"/>
  <c r="C41" i="52"/>
  <c r="T376" i="58"/>
  <c r="P200" i="58"/>
  <c r="P206" i="58" s="1"/>
  <c r="P210" i="58" s="1"/>
  <c r="T173" i="58"/>
  <c r="AS21" i="50"/>
  <c r="O306" i="58"/>
  <c r="O308" i="58" s="1"/>
  <c r="O270" i="58"/>
  <c r="AU53" i="50"/>
  <c r="AU56" i="50" s="1"/>
  <c r="Q179" i="58"/>
  <c r="AT16" i="50"/>
  <c r="AT17" i="50" s="1"/>
  <c r="P343" i="58"/>
  <c r="AT30" i="50"/>
  <c r="M30" i="50" s="1"/>
  <c r="AP41" i="52"/>
  <c r="AT37" i="50"/>
  <c r="AT38" i="50" s="1"/>
  <c r="M222" i="64"/>
  <c r="M223" i="64" s="1"/>
  <c r="AQ9" i="52"/>
  <c r="C26" i="52"/>
  <c r="I22" i="6" s="1"/>
  <c r="T184" i="58"/>
  <c r="AQ24" i="52"/>
  <c r="AQ26" i="52" s="1"/>
  <c r="AU61" i="50"/>
  <c r="F18" i="62"/>
  <c r="O43" i="12"/>
  <c r="O46" i="12" s="1"/>
  <c r="K61" i="50"/>
  <c r="D44" i="50"/>
  <c r="D23" i="52"/>
  <c r="L44" i="50"/>
  <c r="AR41" i="52"/>
  <c r="O36" i="15"/>
  <c r="O41" i="15" s="1"/>
  <c r="B24" i="52"/>
  <c r="B51" i="52" s="1"/>
  <c r="M200" i="58"/>
  <c r="M206" i="58" s="1"/>
  <c r="M210" i="58" s="1"/>
  <c r="Q128" i="58"/>
  <c r="Q200" i="58" s="1"/>
  <c r="Q206" i="58" s="1"/>
  <c r="Q210" i="58" s="1"/>
  <c r="AH78" i="50"/>
  <c r="AH79" i="50" s="1"/>
  <c r="C12" i="52"/>
  <c r="L50" i="50"/>
  <c r="AK14" i="52"/>
  <c r="P418" i="58"/>
  <c r="AN21" i="50"/>
  <c r="J306" i="58"/>
  <c r="J308" i="58" s="1"/>
  <c r="J270" i="58"/>
  <c r="X43" i="12"/>
  <c r="X46" i="12" s="1"/>
  <c r="M145" i="64"/>
  <c r="M37" i="12"/>
  <c r="M43" i="12" s="1"/>
  <c r="M46" i="12" s="1"/>
  <c r="AP32" i="52"/>
  <c r="AP33" i="52" s="1"/>
  <c r="AT44" i="50"/>
  <c r="AT48" i="50" s="1"/>
  <c r="AT50" i="50" s="1"/>
  <c r="AW53" i="50"/>
  <c r="AS13" i="52" s="1"/>
  <c r="AS14" i="52" s="1"/>
  <c r="S179" i="58"/>
  <c r="F28" i="8"/>
  <c r="AQ66" i="50"/>
  <c r="M99" i="58"/>
  <c r="AW67" i="50"/>
  <c r="AS44" i="52" s="1"/>
  <c r="S125" i="58"/>
  <c r="AM13" i="52"/>
  <c r="AM14" i="52" s="1"/>
  <c r="AQ56" i="50"/>
  <c r="T382" i="58"/>
  <c r="AT52" i="50"/>
  <c r="AP9" i="52" s="1"/>
  <c r="P155" i="58"/>
  <c r="AO66" i="50"/>
  <c r="AK42" i="52" s="1"/>
  <c r="K99" i="58"/>
  <c r="AW52" i="50"/>
  <c r="S155" i="58"/>
  <c r="N338" i="58"/>
  <c r="T338" i="58" s="1"/>
  <c r="T336" i="58"/>
  <c r="T378" i="58"/>
  <c r="U384" i="58" s="1"/>
  <c r="H37" i="50"/>
  <c r="AO52" i="50"/>
  <c r="K155" i="58"/>
  <c r="AV21" i="50"/>
  <c r="R270" i="58"/>
  <c r="AU20" i="50"/>
  <c r="Q367" i="58"/>
  <c r="T367" i="58" s="1"/>
  <c r="T363" i="58"/>
  <c r="AI24" i="52"/>
  <c r="AI26" i="52" s="1"/>
  <c r="AI27" i="52" s="1"/>
  <c r="AM61" i="50"/>
  <c r="I61" i="50" s="1"/>
  <c r="I59" i="50"/>
  <c r="S64" i="58"/>
  <c r="AU16" i="50"/>
  <c r="AU17" i="50" s="1"/>
  <c r="Q343" i="58"/>
  <c r="AL43" i="50"/>
  <c r="H418" i="58"/>
  <c r="H457" i="58"/>
  <c r="H459" i="58" s="1"/>
  <c r="C18" i="62"/>
  <c r="C19" i="62" s="1"/>
  <c r="C32" i="62"/>
  <c r="C35" i="62" s="1"/>
  <c r="C36" i="62" s="1"/>
  <c r="AS16" i="50"/>
  <c r="O343" i="58"/>
  <c r="AR67" i="50"/>
  <c r="N125" i="58"/>
  <c r="AW21" i="50"/>
  <c r="S270" i="58"/>
  <c r="S306" i="58"/>
  <c r="S308" i="58" s="1"/>
  <c r="AP21" i="50"/>
  <c r="AP37" i="50" s="1"/>
  <c r="AP38" i="50" s="1"/>
  <c r="L270" i="58"/>
  <c r="L306" i="58"/>
  <c r="L308" i="58" s="1"/>
  <c r="AO67" i="50"/>
  <c r="K125" i="58"/>
  <c r="Z78" i="50"/>
  <c r="Z79" i="50" s="1"/>
  <c r="AH9" i="52"/>
  <c r="AL56" i="50"/>
  <c r="N43" i="12"/>
  <c r="R43" i="12"/>
  <c r="AQ16" i="50"/>
  <c r="AQ17" i="50" s="1"/>
  <c r="BE10" i="50" s="1"/>
  <c r="M343" i="58"/>
  <c r="AS52" i="50"/>
  <c r="O155" i="58"/>
  <c r="AM66" i="50"/>
  <c r="I99" i="58"/>
  <c r="E43" i="12"/>
  <c r="AO16" i="50"/>
  <c r="K343" i="58"/>
  <c r="AN67" i="50"/>
  <c r="AJ44" i="52" s="1"/>
  <c r="J125" i="58"/>
  <c r="AW43" i="50"/>
  <c r="S457" i="58"/>
  <c r="S459" i="58" s="1"/>
  <c r="S418" i="58"/>
  <c r="L63" i="6"/>
  <c r="N63" i="6" s="1"/>
  <c r="Q63" i="6" s="1"/>
  <c r="S63" i="6" s="1"/>
  <c r="AP53" i="50"/>
  <c r="L179" i="58"/>
  <c r="T175" i="58"/>
  <c r="AP42" i="52"/>
  <c r="AP13" i="52"/>
  <c r="AP14" i="52" s="1"/>
  <c r="C61" i="50"/>
  <c r="AK36" i="50"/>
  <c r="H22" i="50"/>
  <c r="AW16" i="50"/>
  <c r="AW17" i="50" s="1"/>
  <c r="BK9" i="50" s="1"/>
  <c r="S343" i="58"/>
  <c r="G7" i="62"/>
  <c r="G8" i="62" s="1"/>
  <c r="G9" i="62" s="1"/>
  <c r="AB27" i="52"/>
  <c r="AB49" i="52" s="1"/>
  <c r="AS43" i="50"/>
  <c r="O457" i="58"/>
  <c r="O459" i="58" s="1"/>
  <c r="O418" i="58"/>
  <c r="AR52" i="50"/>
  <c r="N155" i="58"/>
  <c r="AO43" i="50"/>
  <c r="K457" i="58"/>
  <c r="K459" i="58" s="1"/>
  <c r="K418" i="58"/>
  <c r="D8" i="62"/>
  <c r="J99" i="58"/>
  <c r="AN66" i="50"/>
  <c r="T43" i="12"/>
  <c r="Y16" i="12"/>
  <c r="AV16" i="50"/>
  <c r="R343" i="58"/>
  <c r="AV67" i="50"/>
  <c r="R125" i="58"/>
  <c r="S43" i="12"/>
  <c r="AC36" i="50"/>
  <c r="L22" i="50"/>
  <c r="L148" i="58"/>
  <c r="T146" i="58"/>
  <c r="AT67" i="50"/>
  <c r="P125" i="58"/>
  <c r="AM24" i="52"/>
  <c r="M59" i="50"/>
  <c r="E59" i="50"/>
  <c r="AQ61" i="50"/>
  <c r="AX59" i="50"/>
  <c r="AR21" i="50"/>
  <c r="N270" i="58"/>
  <c r="N306" i="58"/>
  <c r="N308" i="58" s="1"/>
  <c r="E28" i="50"/>
  <c r="M28" i="50"/>
  <c r="T115" i="58"/>
  <c r="M265" i="64"/>
  <c r="AZ9" i="50"/>
  <c r="AZ10" i="50"/>
  <c r="AL36" i="50"/>
  <c r="AZ7" i="50"/>
  <c r="E24" i="50"/>
  <c r="AR26" i="50"/>
  <c r="AZ13" i="50"/>
  <c r="AN16" i="52"/>
  <c r="D16" i="52" s="1"/>
  <c r="AL31" i="50"/>
  <c r="AZ14" i="50" s="1"/>
  <c r="AQ21" i="50"/>
  <c r="M270" i="58"/>
  <c r="T266" i="58"/>
  <c r="M306" i="58"/>
  <c r="AP67" i="50"/>
  <c r="L125" i="58"/>
  <c r="K36" i="8"/>
  <c r="O27" i="8"/>
  <c r="P27" i="8" s="1"/>
  <c r="H121" i="58"/>
  <c r="H128" i="58" s="1"/>
  <c r="T117" i="58"/>
  <c r="N32" i="8"/>
  <c r="I64" i="6"/>
  <c r="F6" i="62"/>
  <c r="AK22" i="52"/>
  <c r="D31" i="52"/>
  <c r="H74" i="58"/>
  <c r="E15" i="62"/>
  <c r="Y33" i="52"/>
  <c r="C32" i="52"/>
  <c r="I414" i="58"/>
  <c r="T410" i="58"/>
  <c r="H38" i="50"/>
  <c r="AW66" i="50"/>
  <c r="S99" i="58"/>
  <c r="J200" i="58"/>
  <c r="J206" i="58" s="1"/>
  <c r="J210" i="58" s="1"/>
  <c r="G228" i="64"/>
  <c r="G143" i="9"/>
  <c r="J143" i="9" s="1"/>
  <c r="J151" i="9" s="1"/>
  <c r="O95" i="58"/>
  <c r="T91" i="58"/>
  <c r="M164" i="64"/>
  <c r="AQ43" i="50"/>
  <c r="M418" i="58"/>
  <c r="M457" i="58"/>
  <c r="M459" i="58" s="1"/>
  <c r="B36" i="62"/>
  <c r="B35" i="62"/>
  <c r="I46" i="12"/>
  <c r="I194" i="58"/>
  <c r="I200" i="58"/>
  <c r="I206" i="58" s="1"/>
  <c r="I210" i="58" s="1"/>
  <c r="L128" i="58"/>
  <c r="L200" i="58" s="1"/>
  <c r="L206" i="58" s="1"/>
  <c r="L210" i="58" s="1"/>
  <c r="AH27" i="52"/>
  <c r="AU21" i="50"/>
  <c r="Q270" i="58"/>
  <c r="Q306" i="58"/>
  <c r="Q308" i="58" s="1"/>
  <c r="AU43" i="50"/>
  <c r="Q418" i="58"/>
  <c r="Q457" i="58"/>
  <c r="Q459" i="58" s="1"/>
  <c r="P199" i="64"/>
  <c r="J202" i="64"/>
  <c r="B22" i="65" s="1"/>
  <c r="F22" i="65" s="1"/>
  <c r="H22" i="65" s="1"/>
  <c r="K29" i="8"/>
  <c r="E32" i="8"/>
  <c r="H32" i="8" s="1"/>
  <c r="AD38" i="50"/>
  <c r="L38" i="50" s="1"/>
  <c r="L37" i="50"/>
  <c r="F35" i="62"/>
  <c r="B27" i="52"/>
  <c r="B50" i="52" s="1"/>
  <c r="J49" i="52"/>
  <c r="B49" i="52" s="1"/>
  <c r="M26" i="65"/>
  <c r="J26" i="65"/>
  <c r="BB10" i="50"/>
  <c r="BB13" i="50"/>
  <c r="BB9" i="50"/>
  <c r="BB8" i="50"/>
  <c r="I26" i="50"/>
  <c r="BD9" i="50"/>
  <c r="BD13" i="50"/>
  <c r="BD7" i="50"/>
  <c r="BD10" i="50"/>
  <c r="BD8" i="50"/>
  <c r="BB7" i="50"/>
  <c r="AM17" i="50"/>
  <c r="AM37" i="50"/>
  <c r="I24" i="65" l="1"/>
  <c r="Y37" i="12"/>
  <c r="D50" i="50"/>
  <c r="H6" i="62"/>
  <c r="H10" i="62" s="1"/>
  <c r="H12" i="62" s="1"/>
  <c r="H15" i="62" s="1"/>
  <c r="AK78" i="50"/>
  <c r="AK79" i="50" s="1"/>
  <c r="T194" i="58"/>
  <c r="AU68" i="50"/>
  <c r="T188" i="58"/>
  <c r="T185" i="58"/>
  <c r="T190" i="58"/>
  <c r="R200" i="58"/>
  <c r="R206" i="58" s="1"/>
  <c r="R210" i="58" s="1"/>
  <c r="D37" i="50"/>
  <c r="AT22" i="50"/>
  <c r="AT31" i="50" s="1"/>
  <c r="BH14" i="50" s="1"/>
  <c r="K22" i="6"/>
  <c r="D48" i="50"/>
  <c r="O36" i="8"/>
  <c r="P36" i="8" s="1"/>
  <c r="AG78" i="50"/>
  <c r="AG79" i="50" s="1"/>
  <c r="AV56" i="50"/>
  <c r="AW37" i="50"/>
  <c r="AW38" i="50" s="1"/>
  <c r="I52" i="50"/>
  <c r="G6" i="62"/>
  <c r="G10" i="62" s="1"/>
  <c r="G12" i="62" s="1"/>
  <c r="G15" i="62" s="1"/>
  <c r="G18" i="62" s="1"/>
  <c r="E30" i="50"/>
  <c r="D41" i="52"/>
  <c r="AT56" i="50"/>
  <c r="N28" i="8"/>
  <c r="P28" i="8" s="1"/>
  <c r="I53" i="50"/>
  <c r="T179" i="58"/>
  <c r="AQ13" i="52"/>
  <c r="AU72" i="50"/>
  <c r="AU74" i="50" s="1"/>
  <c r="AO21" i="52"/>
  <c r="AO22" i="52" s="1"/>
  <c r="AO27" i="52" s="1"/>
  <c r="AS22" i="50"/>
  <c r="AJ21" i="52"/>
  <c r="AJ22" i="52" s="1"/>
  <c r="AJ27" i="52" s="1"/>
  <c r="AN37" i="50"/>
  <c r="AN38" i="50" s="1"/>
  <c r="AN22" i="50"/>
  <c r="N20" i="8"/>
  <c r="C14" i="52"/>
  <c r="BH7" i="50"/>
  <c r="BH13" i="50"/>
  <c r="BH9" i="50"/>
  <c r="BH8" i="50"/>
  <c r="BH10" i="50"/>
  <c r="BI8" i="50"/>
  <c r="BI7" i="50"/>
  <c r="BI10" i="50"/>
  <c r="BI13" i="50"/>
  <c r="BI9" i="50"/>
  <c r="M20" i="50"/>
  <c r="E20" i="50"/>
  <c r="AQ12" i="52"/>
  <c r="AK9" i="52"/>
  <c r="AO56" i="50"/>
  <c r="F29" i="8"/>
  <c r="F38" i="8" s="1"/>
  <c r="AW56" i="50"/>
  <c r="AS9" i="52"/>
  <c r="AH32" i="52"/>
  <c r="AH33" i="52" s="1"/>
  <c r="AL44" i="50"/>
  <c r="AL48" i="50" s="1"/>
  <c r="AR21" i="52"/>
  <c r="AR22" i="52" s="1"/>
  <c r="AR27" i="52" s="1"/>
  <c r="AV22" i="50"/>
  <c r="AQ68" i="50"/>
  <c r="AM42" i="52"/>
  <c r="AM45" i="52" s="1"/>
  <c r="AQ72" i="50"/>
  <c r="AQ74" i="50" s="1"/>
  <c r="S68" i="58"/>
  <c r="T64" i="58"/>
  <c r="AR16" i="50"/>
  <c r="AR17" i="50" s="1"/>
  <c r="N343" i="58"/>
  <c r="T343" i="58" s="1"/>
  <c r="I7" i="62"/>
  <c r="BK13" i="50"/>
  <c r="BK8" i="50"/>
  <c r="BK7" i="50"/>
  <c r="BK10" i="50"/>
  <c r="BE8" i="50"/>
  <c r="BE7" i="50"/>
  <c r="BE9" i="50"/>
  <c r="BE13" i="50"/>
  <c r="AP44" i="52"/>
  <c r="AP45" i="52" s="1"/>
  <c r="AT72" i="50"/>
  <c r="AC78" i="50"/>
  <c r="AC79" i="50" s="1"/>
  <c r="L36" i="50"/>
  <c r="AV68" i="50"/>
  <c r="AR44" i="52"/>
  <c r="AR45" i="52" s="1"/>
  <c r="AV72" i="50"/>
  <c r="AV74" i="50" s="1"/>
  <c r="AO44" i="50"/>
  <c r="AO48" i="50" s="1"/>
  <c r="AO50" i="50" s="1"/>
  <c r="AK32" i="52"/>
  <c r="AK33" i="52" s="1"/>
  <c r="AS32" i="52"/>
  <c r="AS33" i="52" s="1"/>
  <c r="AW44" i="50"/>
  <c r="AW48" i="50" s="1"/>
  <c r="AW50" i="50" s="1"/>
  <c r="N46" i="12"/>
  <c r="AS21" i="52"/>
  <c r="AS22" i="52" s="1"/>
  <c r="AS27" i="52" s="1"/>
  <c r="I21" i="50"/>
  <c r="AW22" i="50"/>
  <c r="AS37" i="50"/>
  <c r="AS38" i="50" s="1"/>
  <c r="AS17" i="50"/>
  <c r="E61" i="50"/>
  <c r="M61" i="50"/>
  <c r="AL13" i="52"/>
  <c r="M53" i="50"/>
  <c r="AX53" i="50"/>
  <c r="E53" i="50"/>
  <c r="AS56" i="50"/>
  <c r="AO9" i="52"/>
  <c r="C27" i="52"/>
  <c r="AT68" i="50"/>
  <c r="D36" i="50"/>
  <c r="L24" i="65"/>
  <c r="D24" i="52"/>
  <c r="AM26" i="52"/>
  <c r="D26" i="52" s="1"/>
  <c r="C28" i="8" s="1"/>
  <c r="E28" i="8" s="1"/>
  <c r="H28" i="8" s="1"/>
  <c r="J28" i="8" s="1"/>
  <c r="L150" i="58"/>
  <c r="T148" i="58"/>
  <c r="S46" i="12"/>
  <c r="AV17" i="50"/>
  <c r="AV37" i="50"/>
  <c r="AV38" i="50" s="1"/>
  <c r="AJ42" i="52"/>
  <c r="AJ45" i="52" s="1"/>
  <c r="AN68" i="50"/>
  <c r="AN72" i="50"/>
  <c r="AN74" i="50" s="1"/>
  <c r="AR56" i="50"/>
  <c r="AN9" i="52"/>
  <c r="AR72" i="50"/>
  <c r="AR74" i="50" s="1"/>
  <c r="E46" i="12"/>
  <c r="R46" i="12"/>
  <c r="AK44" i="52"/>
  <c r="AK45" i="52" s="1"/>
  <c r="AO68" i="50"/>
  <c r="AO72" i="50"/>
  <c r="AO74" i="50" s="1"/>
  <c r="AN44" i="52"/>
  <c r="AN45" i="52" s="1"/>
  <c r="AR68" i="50"/>
  <c r="AX61" i="50"/>
  <c r="H36" i="50"/>
  <c r="AN21" i="52"/>
  <c r="AN22" i="52" s="1"/>
  <c r="AN27" i="52" s="1"/>
  <c r="AR22" i="50"/>
  <c r="T46" i="12"/>
  <c r="D9" i="62"/>
  <c r="I9" i="62" s="1"/>
  <c r="I8" i="62"/>
  <c r="AO32" i="52"/>
  <c r="AO33" i="52" s="1"/>
  <c r="AS44" i="50"/>
  <c r="AS48" i="50" s="1"/>
  <c r="AS50" i="50" s="1"/>
  <c r="AO17" i="50"/>
  <c r="AO37" i="50"/>
  <c r="AO38" i="50" s="1"/>
  <c r="AI42" i="52"/>
  <c r="AI45" i="52" s="1"/>
  <c r="AM68" i="50"/>
  <c r="AM72" i="50"/>
  <c r="AM74" i="50" s="1"/>
  <c r="AL21" i="52"/>
  <c r="AL22" i="52" s="1"/>
  <c r="AL27" i="52" s="1"/>
  <c r="AP22" i="50"/>
  <c r="J24" i="65"/>
  <c r="M24" i="65"/>
  <c r="AZ16" i="50"/>
  <c r="M26" i="50"/>
  <c r="E26" i="50"/>
  <c r="AN18" i="52"/>
  <c r="D18" i="52" s="1"/>
  <c r="C24" i="8" s="1"/>
  <c r="C25" i="8" s="1"/>
  <c r="E25" i="8" s="1"/>
  <c r="H25" i="8" s="1"/>
  <c r="J25" i="8" s="1"/>
  <c r="AZ11" i="50"/>
  <c r="AH5" i="52" s="1"/>
  <c r="AZ15" i="50"/>
  <c r="L22" i="6"/>
  <c r="N22" i="6" s="1"/>
  <c r="Q22" i="6" s="1"/>
  <c r="AQ32" i="52"/>
  <c r="AQ33" i="52" s="1"/>
  <c r="AU44" i="50"/>
  <c r="AU48" i="50" s="1"/>
  <c r="AU50" i="50" s="1"/>
  <c r="AQ44" i="50"/>
  <c r="AM32" i="52"/>
  <c r="AM33" i="52" s="1"/>
  <c r="M43" i="50"/>
  <c r="D14" i="8"/>
  <c r="D38" i="8" s="1"/>
  <c r="AS42" i="52"/>
  <c r="AS45" i="52" s="1"/>
  <c r="I66" i="50"/>
  <c r="AW68" i="50"/>
  <c r="AW72" i="50"/>
  <c r="AW74" i="50" s="1"/>
  <c r="Y49" i="52"/>
  <c r="C49" i="52" s="1"/>
  <c r="C33" i="52"/>
  <c r="H200" i="58"/>
  <c r="AL50" i="50"/>
  <c r="AK27" i="52"/>
  <c r="P32" i="8"/>
  <c r="D38" i="50"/>
  <c r="AQ21" i="52"/>
  <c r="AQ22" i="52" s="1"/>
  <c r="AQ27" i="52" s="1"/>
  <c r="AU22" i="50"/>
  <c r="AU37" i="50"/>
  <c r="AU38" i="50" s="1"/>
  <c r="M172" i="64"/>
  <c r="AA46" i="12"/>
  <c r="Y43" i="12"/>
  <c r="N33" i="8"/>
  <c r="P33" i="8" s="1"/>
  <c r="I65" i="6"/>
  <c r="L65" i="6" s="1"/>
  <c r="N65" i="6" s="1"/>
  <c r="Q65" i="6" s="1"/>
  <c r="S65" i="6" s="1"/>
  <c r="E18" i="62"/>
  <c r="E19" i="62" s="1"/>
  <c r="L64" i="6"/>
  <c r="N64" i="6" s="1"/>
  <c r="Q64" i="6" s="1"/>
  <c r="S64" i="6" s="1"/>
  <c r="T306" i="58"/>
  <c r="U307" i="58" s="1"/>
  <c r="U309" i="58" s="1"/>
  <c r="M308" i="58"/>
  <c r="T308" i="58" s="1"/>
  <c r="J32" i="8"/>
  <c r="AS66" i="50"/>
  <c r="O99" i="58"/>
  <c r="T99" i="58" s="1"/>
  <c r="T95" i="58"/>
  <c r="O128" i="58"/>
  <c r="O200" i="58" s="1"/>
  <c r="O206" i="58" s="1"/>
  <c r="O210" i="58" s="1"/>
  <c r="J228" i="64"/>
  <c r="J234" i="64" s="1"/>
  <c r="M228" i="64"/>
  <c r="M234" i="64" s="1"/>
  <c r="M238" i="64" s="1"/>
  <c r="AM43" i="50"/>
  <c r="I418" i="58"/>
  <c r="T418" i="58" s="1"/>
  <c r="I457" i="58"/>
  <c r="T414" i="58"/>
  <c r="AL67" i="50"/>
  <c r="H125" i="58"/>
  <c r="T125" i="58" s="1"/>
  <c r="T121" i="58"/>
  <c r="H18" i="62"/>
  <c r="H32" i="62"/>
  <c r="AL44" i="52"/>
  <c r="AL45" i="52" s="1"/>
  <c r="AP68" i="50"/>
  <c r="M67" i="50"/>
  <c r="AQ22" i="50"/>
  <c r="AM21" i="52"/>
  <c r="E21" i="50"/>
  <c r="M21" i="50"/>
  <c r="AQ37" i="50"/>
  <c r="K33" i="8"/>
  <c r="O29" i="8"/>
  <c r="M204" i="64"/>
  <c r="T270" i="58"/>
  <c r="BB11" i="50"/>
  <c r="AJ5" i="52" s="1"/>
  <c r="AJ6" i="52" s="1"/>
  <c r="BA8" i="50"/>
  <c r="AM31" i="50"/>
  <c r="BA7" i="50"/>
  <c r="BA10" i="50"/>
  <c r="AM36" i="50"/>
  <c r="BA13" i="50"/>
  <c r="BA9" i="50"/>
  <c r="AM38" i="50"/>
  <c r="BD11" i="50"/>
  <c r="AT36" i="50" l="1"/>
  <c r="AT78" i="50" s="1"/>
  <c r="AT79" i="50" s="1"/>
  <c r="I56" i="50"/>
  <c r="O38" i="8"/>
  <c r="O41" i="8" s="1"/>
  <c r="N29" i="8"/>
  <c r="P29" i="8" s="1"/>
  <c r="D78" i="50"/>
  <c r="D79" i="50" s="1"/>
  <c r="R24" i="6"/>
  <c r="BH16" i="50"/>
  <c r="BH15" i="50"/>
  <c r="BH11" i="50"/>
  <c r="AP5" i="52" s="1"/>
  <c r="AP6" i="52" s="1"/>
  <c r="I15" i="6"/>
  <c r="D6" i="62"/>
  <c r="N22" i="8"/>
  <c r="P22" i="8" s="1"/>
  <c r="P20" i="8"/>
  <c r="AN31" i="50"/>
  <c r="AN36" i="50"/>
  <c r="AN78" i="50" s="1"/>
  <c r="AN79" i="50" s="1"/>
  <c r="AR36" i="50"/>
  <c r="AR78" i="50" s="1"/>
  <c r="AR79" i="50" s="1"/>
  <c r="BI11" i="50"/>
  <c r="AQ5" i="52" s="1"/>
  <c r="AQ6" i="52" s="1"/>
  <c r="M175" i="64"/>
  <c r="BK11" i="50"/>
  <c r="AS5" i="52" s="1"/>
  <c r="AS6" i="52" s="1"/>
  <c r="BF13" i="50"/>
  <c r="BF9" i="50"/>
  <c r="BF10" i="50"/>
  <c r="BF7" i="50"/>
  <c r="BF8" i="50"/>
  <c r="AR37" i="50"/>
  <c r="AR38" i="50" s="1"/>
  <c r="S70" i="58"/>
  <c r="T68" i="58"/>
  <c r="F41" i="8"/>
  <c r="AQ14" i="52"/>
  <c r="D12" i="52"/>
  <c r="C20" i="8" s="1"/>
  <c r="E20" i="8" s="1"/>
  <c r="AR31" i="50"/>
  <c r="BF15" i="50" s="1"/>
  <c r="I37" i="50"/>
  <c r="BE11" i="50"/>
  <c r="AM5" i="52" s="1"/>
  <c r="AM6" i="52" s="1"/>
  <c r="D13" i="52"/>
  <c r="AL14" i="52"/>
  <c r="AP31" i="50"/>
  <c r="AP36" i="50"/>
  <c r="BG9" i="50"/>
  <c r="BG7" i="50"/>
  <c r="BG13" i="50"/>
  <c r="AS36" i="50"/>
  <c r="BG8" i="50"/>
  <c r="BG10" i="50"/>
  <c r="AS31" i="50"/>
  <c r="AT74" i="50"/>
  <c r="BC7" i="50"/>
  <c r="AO31" i="50"/>
  <c r="BC13" i="50"/>
  <c r="BC9" i="50"/>
  <c r="AO36" i="50"/>
  <c r="AO78" i="50" s="1"/>
  <c r="AO79" i="50" s="1"/>
  <c r="BC10" i="50"/>
  <c r="BC8" i="50"/>
  <c r="BJ10" i="50"/>
  <c r="I10" i="50" s="1"/>
  <c r="BJ8" i="50"/>
  <c r="I8" i="50" s="1"/>
  <c r="BJ13" i="50"/>
  <c r="I13" i="50" s="1"/>
  <c r="BJ7" i="50"/>
  <c r="I7" i="50" s="1"/>
  <c r="BJ9" i="50"/>
  <c r="I9" i="50" s="1"/>
  <c r="AV31" i="50"/>
  <c r="AV36" i="50"/>
  <c r="AV78" i="50" s="1"/>
  <c r="AV79" i="50" s="1"/>
  <c r="AP52" i="50"/>
  <c r="L155" i="58"/>
  <c r="T155" i="58" s="1"/>
  <c r="T150" i="58"/>
  <c r="I22" i="50"/>
  <c r="AW36" i="50"/>
  <c r="AW78" i="50" s="1"/>
  <c r="AW79" i="50" s="1"/>
  <c r="AW31" i="50"/>
  <c r="AZ17" i="50"/>
  <c r="AZ31" i="50" s="1"/>
  <c r="AZ32" i="50" s="1"/>
  <c r="E24" i="8"/>
  <c r="AM22" i="52"/>
  <c r="D21" i="52"/>
  <c r="AU31" i="50"/>
  <c r="AU36" i="50"/>
  <c r="AU78" i="50" s="1"/>
  <c r="AU79" i="50" s="1"/>
  <c r="AQ48" i="50"/>
  <c r="M44" i="50"/>
  <c r="B19" i="6"/>
  <c r="G181" i="64" s="1"/>
  <c r="S22" i="6"/>
  <c r="D19" i="6" s="1"/>
  <c r="F19" i="6" s="1"/>
  <c r="I22" i="65"/>
  <c r="M205" i="64"/>
  <c r="I459" i="58"/>
  <c r="T459" i="58" s="1"/>
  <c r="T457" i="58"/>
  <c r="B25" i="65"/>
  <c r="F25" i="65" s="1"/>
  <c r="H25" i="65" s="1"/>
  <c r="J238" i="64"/>
  <c r="M240" i="64" s="1"/>
  <c r="AO42" i="52"/>
  <c r="AS68" i="50"/>
  <c r="AX66" i="50"/>
  <c r="E66" i="50"/>
  <c r="M66" i="50"/>
  <c r="M68" i="50" s="1"/>
  <c r="AS72" i="50"/>
  <c r="C51" i="52"/>
  <c r="C50" i="52"/>
  <c r="K34" i="8"/>
  <c r="H35" i="62"/>
  <c r="Y46" i="12"/>
  <c r="D41" i="8"/>
  <c r="I24" i="6"/>
  <c r="L24" i="6" s="1"/>
  <c r="N24" i="6" s="1"/>
  <c r="Q24" i="6" s="1"/>
  <c r="N34" i="8"/>
  <c r="AQ38" i="50"/>
  <c r="AQ36" i="50"/>
  <c r="AQ31" i="50"/>
  <c r="E22" i="50"/>
  <c r="M22" i="50"/>
  <c r="AL68" i="50"/>
  <c r="AH44" i="52"/>
  <c r="AL72" i="50"/>
  <c r="I67" i="50"/>
  <c r="AX67" i="50"/>
  <c r="E67" i="50"/>
  <c r="AM44" i="50"/>
  <c r="AI32" i="52"/>
  <c r="I43" i="50"/>
  <c r="AX43" i="50"/>
  <c r="E43" i="50"/>
  <c r="O216" i="64"/>
  <c r="P216" i="64" s="1"/>
  <c r="N135" i="9"/>
  <c r="O135" i="9" s="1"/>
  <c r="L32" i="8"/>
  <c r="H206" i="58"/>
  <c r="H210" i="58" s="1"/>
  <c r="BA16" i="50"/>
  <c r="BA15" i="50"/>
  <c r="BA14" i="50"/>
  <c r="N95" i="9"/>
  <c r="O139" i="64"/>
  <c r="BA11" i="50"/>
  <c r="I38" i="50"/>
  <c r="AL5" i="52"/>
  <c r="AL6" i="52" s="1"/>
  <c r="AH6" i="52"/>
  <c r="BH17" i="50" l="1"/>
  <c r="BH31" i="50" s="1"/>
  <c r="BH32" i="50" s="1"/>
  <c r="I6" i="62"/>
  <c r="I10" i="62" s="1"/>
  <c r="D10" i="62"/>
  <c r="D12" i="62" s="1"/>
  <c r="L15" i="6"/>
  <c r="N15" i="6" s="1"/>
  <c r="Q15" i="6" s="1"/>
  <c r="BB14" i="50"/>
  <c r="BB16" i="50"/>
  <c r="BB15" i="50"/>
  <c r="M37" i="50"/>
  <c r="M38" i="50"/>
  <c r="M8" i="50"/>
  <c r="S74" i="58"/>
  <c r="T74" i="58" s="1"/>
  <c r="T70" i="58"/>
  <c r="S128" i="58"/>
  <c r="BF11" i="50"/>
  <c r="AN5" i="52" s="1"/>
  <c r="AN6" i="52" s="1"/>
  <c r="BF14" i="50"/>
  <c r="BF16" i="50"/>
  <c r="E10" i="50"/>
  <c r="E7" i="50"/>
  <c r="E36" i="50"/>
  <c r="M13" i="50"/>
  <c r="E9" i="50"/>
  <c r="I36" i="50"/>
  <c r="M9" i="50"/>
  <c r="E13" i="50"/>
  <c r="E8" i="50"/>
  <c r="M10" i="50"/>
  <c r="BJ14" i="50"/>
  <c r="BJ15" i="50"/>
  <c r="BJ16" i="50"/>
  <c r="M7" i="50"/>
  <c r="BC11" i="50"/>
  <c r="C21" i="8"/>
  <c r="D14" i="52"/>
  <c r="BC16" i="50"/>
  <c r="BC14" i="50"/>
  <c r="BC15" i="50"/>
  <c r="BG11" i="50"/>
  <c r="AO5" i="52" s="1"/>
  <c r="AO6" i="52" s="1"/>
  <c r="AL9" i="52"/>
  <c r="D9" i="52" s="1"/>
  <c r="C17" i="8" s="1"/>
  <c r="E17" i="8" s="1"/>
  <c r="M52" i="50"/>
  <c r="AP56" i="50"/>
  <c r="E52" i="50"/>
  <c r="AX52" i="50"/>
  <c r="AP72" i="50"/>
  <c r="AP78" i="50" s="1"/>
  <c r="AP79" i="50" s="1"/>
  <c r="BG14" i="50"/>
  <c r="BG15" i="50"/>
  <c r="BG16" i="50"/>
  <c r="BD15" i="50"/>
  <c r="BD16" i="50"/>
  <c r="BD14" i="50"/>
  <c r="BJ11" i="50"/>
  <c r="BK15" i="50"/>
  <c r="BK16" i="50"/>
  <c r="BK14" i="50"/>
  <c r="AH8" i="52"/>
  <c r="AH10" i="52" s="1"/>
  <c r="AX31" i="50"/>
  <c r="AX33" i="50" s="1"/>
  <c r="AX36" i="50"/>
  <c r="E38" i="50"/>
  <c r="AX38" i="50"/>
  <c r="D44" i="52"/>
  <c r="AH45" i="52"/>
  <c r="BE16" i="50"/>
  <c r="BE15" i="50"/>
  <c r="BE14" i="50"/>
  <c r="S24" i="6"/>
  <c r="D21" i="6" s="1"/>
  <c r="F21" i="6" s="1"/>
  <c r="B21" i="6"/>
  <c r="I56" i="14"/>
  <c r="J181" i="64"/>
  <c r="C20" i="65" s="1"/>
  <c r="M181" i="64"/>
  <c r="G190" i="64"/>
  <c r="F18" i="66" s="1"/>
  <c r="AM27" i="52"/>
  <c r="D27" i="52" s="1"/>
  <c r="D22" i="52"/>
  <c r="C27" i="8" s="1"/>
  <c r="E68" i="50"/>
  <c r="AM48" i="50"/>
  <c r="E44" i="50"/>
  <c r="I44" i="50"/>
  <c r="AX44" i="50"/>
  <c r="I72" i="50"/>
  <c r="AL74" i="50"/>
  <c r="AL78" i="50"/>
  <c r="AL79" i="50" s="1"/>
  <c r="P34" i="8"/>
  <c r="P38" i="8" s="1"/>
  <c r="N38" i="8"/>
  <c r="D42" i="52"/>
  <c r="AO45" i="52"/>
  <c r="AI33" i="52"/>
  <c r="D33" i="52" s="1"/>
  <c r="D32" i="52"/>
  <c r="C33" i="8" s="1"/>
  <c r="I25" i="65"/>
  <c r="M241" i="64"/>
  <c r="AS74" i="50"/>
  <c r="AS78" i="50"/>
  <c r="AS79" i="50" s="1"/>
  <c r="J22" i="65"/>
  <c r="C20" i="66" s="1"/>
  <c r="M22" i="65"/>
  <c r="B20" i="66"/>
  <c r="AQ50" i="50"/>
  <c r="M50" i="50" s="1"/>
  <c r="M48" i="50"/>
  <c r="BI14" i="50"/>
  <c r="BI15" i="50"/>
  <c r="BI16" i="50"/>
  <c r="I68" i="50"/>
  <c r="AX68" i="50"/>
  <c r="AQ78" i="50"/>
  <c r="AQ79" i="50" s="1"/>
  <c r="M36" i="50"/>
  <c r="AI5" i="52"/>
  <c r="BA17" i="50"/>
  <c r="BA31" i="50" s="1"/>
  <c r="AP8" i="52" l="1"/>
  <c r="AP10" i="52" s="1"/>
  <c r="AP49" i="52" s="1"/>
  <c r="E72" i="50"/>
  <c r="C36" i="8"/>
  <c r="E36" i="8" s="1"/>
  <c r="H36" i="8" s="1"/>
  <c r="J36" i="8" s="1"/>
  <c r="O285" i="64" s="1"/>
  <c r="P285" i="64" s="1"/>
  <c r="AH49" i="52"/>
  <c r="B15" i="6"/>
  <c r="S15" i="6"/>
  <c r="I12" i="62"/>
  <c r="I15" i="62" s="1"/>
  <c r="D15" i="62"/>
  <c r="BB17" i="50"/>
  <c r="B22" i="66"/>
  <c r="K26" i="65"/>
  <c r="C22" i="66" s="1"/>
  <c r="S200" i="58"/>
  <c r="T128" i="58"/>
  <c r="I15" i="50"/>
  <c r="BF17" i="50"/>
  <c r="AN8" i="52" s="1"/>
  <c r="AN10" i="52" s="1"/>
  <c r="AN49" i="52" s="1"/>
  <c r="I16" i="50"/>
  <c r="I14" i="50"/>
  <c r="BL11" i="50"/>
  <c r="J15" i="9" s="1"/>
  <c r="J18" i="9" s="1"/>
  <c r="E11" i="50"/>
  <c r="BC17" i="50"/>
  <c r="BJ17" i="50"/>
  <c r="AR8" i="52" s="1"/>
  <c r="AR10" i="52" s="1"/>
  <c r="I11" i="50"/>
  <c r="AR5" i="52"/>
  <c r="AR6" i="52" s="1"/>
  <c r="AK5" i="52"/>
  <c r="AK6" i="52" s="1"/>
  <c r="M11" i="50"/>
  <c r="M72" i="50"/>
  <c r="AP74" i="50"/>
  <c r="E74" i="50" s="1"/>
  <c r="E21" i="8"/>
  <c r="C22" i="8"/>
  <c r="E22" i="8" s="1"/>
  <c r="H22" i="8" s="1"/>
  <c r="J22" i="8" s="1"/>
  <c r="M56" i="50"/>
  <c r="AX56" i="50"/>
  <c r="E56" i="50"/>
  <c r="BG17" i="50"/>
  <c r="BK17" i="50"/>
  <c r="BD17" i="50"/>
  <c r="E14" i="50"/>
  <c r="E15" i="50"/>
  <c r="E16" i="50"/>
  <c r="BI17" i="50"/>
  <c r="BI31" i="50" s="1"/>
  <c r="BI32" i="50" s="1"/>
  <c r="N41" i="8"/>
  <c r="C29" i="8"/>
  <c r="E29" i="8" s="1"/>
  <c r="H29" i="8" s="1"/>
  <c r="J29" i="8" s="1"/>
  <c r="E27" i="8"/>
  <c r="H27" i="8" s="1"/>
  <c r="J27" i="8" s="1"/>
  <c r="BE17" i="50"/>
  <c r="M14" i="50"/>
  <c r="E33" i="8"/>
  <c r="H33" i="8" s="1"/>
  <c r="C34" i="8"/>
  <c r="E34" i="8" s="1"/>
  <c r="I74" i="50"/>
  <c r="D45" i="52"/>
  <c r="J25" i="65"/>
  <c r="M25" i="65"/>
  <c r="M16" i="50"/>
  <c r="P41" i="8"/>
  <c r="AM50" i="50"/>
  <c r="I48" i="50"/>
  <c r="AX48" i="50"/>
  <c r="E48" i="50"/>
  <c r="E78" i="50" s="1"/>
  <c r="AM78" i="50"/>
  <c r="AM79" i="50" s="1"/>
  <c r="M15" i="50"/>
  <c r="BA32" i="50"/>
  <c r="AI8" i="52"/>
  <c r="AI6" i="52"/>
  <c r="N186" i="9" l="1"/>
  <c r="O186" i="9" s="1"/>
  <c r="L36" i="8"/>
  <c r="AX74" i="50"/>
  <c r="M74" i="50"/>
  <c r="S27" i="6"/>
  <c r="D15" i="6"/>
  <c r="F15" i="6" s="1"/>
  <c r="AJ8" i="52"/>
  <c r="AJ10" i="52" s="1"/>
  <c r="AJ49" i="52" s="1"/>
  <c r="BB31" i="50"/>
  <c r="BB32" i="50" s="1"/>
  <c r="I14" i="14"/>
  <c r="J14" i="14" s="1"/>
  <c r="K14" i="14" s="1"/>
  <c r="G112" i="64" s="1"/>
  <c r="G111" i="64"/>
  <c r="D18" i="62"/>
  <c r="D16" i="62"/>
  <c r="H16" i="62"/>
  <c r="F16" i="62"/>
  <c r="B16" i="62"/>
  <c r="G16" i="62"/>
  <c r="C16" i="62"/>
  <c r="E16" i="62"/>
  <c r="J15" i="64"/>
  <c r="M15" i="64" s="1"/>
  <c r="M18" i="64" s="1"/>
  <c r="S206" i="58"/>
  <c r="S210" i="58" s="1"/>
  <c r="T210" i="58" s="1"/>
  <c r="T200" i="58"/>
  <c r="BF31" i="50"/>
  <c r="BF32" i="50" s="1"/>
  <c r="D5" i="52"/>
  <c r="C13" i="8" s="1"/>
  <c r="E17" i="50"/>
  <c r="E37" i="50" s="1"/>
  <c r="I17" i="50"/>
  <c r="AR49" i="52"/>
  <c r="L14" i="14"/>
  <c r="BJ31" i="50"/>
  <c r="BJ32" i="50" s="1"/>
  <c r="BC31" i="50"/>
  <c r="BC32" i="50" s="1"/>
  <c r="AK8" i="52"/>
  <c r="AK10" i="52" s="1"/>
  <c r="AK49" i="52" s="1"/>
  <c r="AL8" i="52"/>
  <c r="AL10" i="52" s="1"/>
  <c r="AL49" i="52" s="1"/>
  <c r="BD31" i="50"/>
  <c r="BD32" i="50" s="1"/>
  <c r="AO8" i="52"/>
  <c r="AO10" i="52" s="1"/>
  <c r="AO49" i="52" s="1"/>
  <c r="BG31" i="50"/>
  <c r="BG32" i="50" s="1"/>
  <c r="L22" i="8"/>
  <c r="I107" i="64" s="1"/>
  <c r="N79" i="9"/>
  <c r="O79" i="9" s="1"/>
  <c r="O105" i="64"/>
  <c r="P105" i="64" s="1"/>
  <c r="AS8" i="52"/>
  <c r="AS10" i="52" s="1"/>
  <c r="AS49" i="52" s="1"/>
  <c r="BK31" i="50"/>
  <c r="BK32" i="50" s="1"/>
  <c r="AQ8" i="52"/>
  <c r="AQ10" i="52" s="1"/>
  <c r="AQ49" i="52" s="1"/>
  <c r="BL17" i="50"/>
  <c r="J38" i="9" s="1"/>
  <c r="J51" i="9" s="1"/>
  <c r="E79" i="50"/>
  <c r="E80" i="50" s="1"/>
  <c r="J33" i="8"/>
  <c r="H34" i="8"/>
  <c r="J34" i="8" s="1"/>
  <c r="L34" i="8" s="1"/>
  <c r="I50" i="50"/>
  <c r="AX50" i="50"/>
  <c r="E50" i="50"/>
  <c r="BE31" i="50"/>
  <c r="AM8" i="52"/>
  <c r="AM10" i="52" s="1"/>
  <c r="AM49" i="52" s="1"/>
  <c r="M17" i="50"/>
  <c r="O175" i="64"/>
  <c r="P175" i="64" s="1"/>
  <c r="N113" i="9"/>
  <c r="O113" i="9" s="1"/>
  <c r="L29" i="8"/>
  <c r="I177" i="64" s="1"/>
  <c r="K14" i="8"/>
  <c r="AI10" i="52"/>
  <c r="AI49" i="52" s="1"/>
  <c r="M14" i="14" l="1"/>
  <c r="N14" i="14" s="1"/>
  <c r="J112" i="64" s="1"/>
  <c r="M112" i="64" s="1"/>
  <c r="I16" i="62"/>
  <c r="J111" i="64"/>
  <c r="C16" i="65" s="1"/>
  <c r="M111" i="64"/>
  <c r="D19" i="62"/>
  <c r="I19" i="62" s="1"/>
  <c r="I18" i="62"/>
  <c r="J18" i="64"/>
  <c r="T206" i="58"/>
  <c r="D6" i="52"/>
  <c r="E6" i="52" s="1"/>
  <c r="J109" i="64"/>
  <c r="B16" i="65" s="1"/>
  <c r="L107" i="64"/>
  <c r="J46" i="64"/>
  <c r="M46" i="64" s="1"/>
  <c r="BE32" i="50"/>
  <c r="BL31" i="50"/>
  <c r="N151" i="9"/>
  <c r="O151" i="9" s="1"/>
  <c r="O234" i="64"/>
  <c r="P234" i="64" s="1"/>
  <c r="L33" i="8"/>
  <c r="G123" i="64"/>
  <c r="F14" i="66" s="1"/>
  <c r="G120" i="64"/>
  <c r="G121" i="64"/>
  <c r="L177" i="64"/>
  <c r="M179" i="64" s="1"/>
  <c r="M190" i="64" s="1"/>
  <c r="I18" i="66" s="1"/>
  <c r="J179" i="64"/>
  <c r="D8" i="52"/>
  <c r="D10" i="52" s="1"/>
  <c r="D49" i="52"/>
  <c r="AS50" i="52"/>
  <c r="AT51" i="52" s="1"/>
  <c r="C14" i="8"/>
  <c r="E13" i="8"/>
  <c r="K18" i="8"/>
  <c r="D16" i="65" l="1"/>
  <c r="F16" i="65" s="1"/>
  <c r="O16" i="65" s="1"/>
  <c r="N125" i="64" s="1"/>
  <c r="D50" i="52"/>
  <c r="J58" i="64"/>
  <c r="J190" i="64"/>
  <c r="H18" i="66" s="1"/>
  <c r="J18" i="66" s="1"/>
  <c r="B20" i="65"/>
  <c r="F20" i="65" s="1"/>
  <c r="H20" i="65" s="1"/>
  <c r="J120" i="64"/>
  <c r="M120" i="64"/>
  <c r="M121" i="64"/>
  <c r="J121" i="64"/>
  <c r="C16" i="8"/>
  <c r="E16" i="8" s="1"/>
  <c r="D51" i="52"/>
  <c r="E14" i="8"/>
  <c r="M192" i="64" l="1"/>
  <c r="I20" i="65" s="1"/>
  <c r="L20" i="65" s="1"/>
  <c r="D52" i="52"/>
  <c r="K18" i="66"/>
  <c r="E18" i="66" s="1"/>
  <c r="D18" i="66"/>
  <c r="C18" i="8"/>
  <c r="E18" i="8" s="1"/>
  <c r="H18" i="8" s="1"/>
  <c r="M193" i="64"/>
  <c r="G16" i="65"/>
  <c r="J123" i="64"/>
  <c r="H14" i="66" s="1"/>
  <c r="H14" i="8"/>
  <c r="E38" i="8" l="1"/>
  <c r="J18" i="8"/>
  <c r="N51" i="9" s="1"/>
  <c r="O51" i="9" s="1"/>
  <c r="C38" i="8"/>
  <c r="C41" i="8" s="1"/>
  <c r="M20" i="65"/>
  <c r="B18" i="66"/>
  <c r="J20" i="65"/>
  <c r="C18" i="66" s="1"/>
  <c r="H16" i="65"/>
  <c r="P16" i="65" s="1"/>
  <c r="J14" i="8"/>
  <c r="L10" i="14"/>
  <c r="H38" i="8"/>
  <c r="L18" i="8" l="1"/>
  <c r="I60" i="64" s="1"/>
  <c r="L60" i="64" s="1"/>
  <c r="E41" i="8"/>
  <c r="H41" i="8" s="1"/>
  <c r="J41" i="8" s="1"/>
  <c r="I55" i="14"/>
  <c r="I57" i="14" s="1"/>
  <c r="I60" i="14" s="1"/>
  <c r="G26" i="14" s="1"/>
  <c r="O58" i="64"/>
  <c r="P58" i="64" s="1"/>
  <c r="N18" i="9"/>
  <c r="O18" i="64"/>
  <c r="P18" i="64" s="1"/>
  <c r="L14" i="8"/>
  <c r="I20" i="64" s="1"/>
  <c r="M10" i="14"/>
  <c r="N10" i="14" s="1"/>
  <c r="J38" i="8"/>
  <c r="O18" i="9" l="1"/>
  <c r="J62" i="64"/>
  <c r="B14" i="65" s="1"/>
  <c r="J25" i="64"/>
  <c r="L20" i="64"/>
  <c r="M22" i="64" s="1"/>
  <c r="J22" i="64"/>
  <c r="D12" i="65" l="1"/>
  <c r="M25" i="64"/>
  <c r="M29" i="64" s="1"/>
  <c r="B12" i="65"/>
  <c r="J29" i="64"/>
  <c r="H10" i="66" s="1"/>
  <c r="F12" i="65" l="1"/>
  <c r="I10" i="66"/>
  <c r="J10" i="66" s="1"/>
  <c r="M31" i="64"/>
  <c r="O12" i="65" l="1"/>
  <c r="H12" i="65"/>
  <c r="D10" i="66"/>
  <c r="E10" i="66" s="1"/>
  <c r="K10" i="66"/>
  <c r="M32" i="64"/>
  <c r="I12" i="65"/>
  <c r="L12" i="65" l="1"/>
  <c r="N31" i="64"/>
  <c r="N32" i="64" s="1"/>
  <c r="P12" i="65"/>
  <c r="J12" i="65"/>
  <c r="C10" i="66" s="1"/>
  <c r="B10" i="66"/>
  <c r="M12" i="65"/>
  <c r="P73" i="63" l="1"/>
  <c r="O73" i="63"/>
  <c r="L55" i="64"/>
  <c r="M55" i="64" s="1"/>
  <c r="M58" i="64" s="1"/>
  <c r="M62" i="64" s="1"/>
  <c r="BD135" i="18" l="1"/>
  <c r="BD128" i="18"/>
  <c r="BD131" i="18"/>
  <c r="BD136" i="18"/>
  <c r="BD132" i="18"/>
  <c r="BD134" i="18"/>
  <c r="BD129" i="18"/>
  <c r="BD133" i="18"/>
  <c r="BD130" i="18"/>
  <c r="BD137" i="18"/>
  <c r="BD127" i="18"/>
  <c r="AX130" i="18" l="1"/>
  <c r="BD9" i="17"/>
  <c r="AX133" i="18"/>
  <c r="BD12" i="17"/>
  <c r="AX136" i="18"/>
  <c r="BD15" i="17"/>
  <c r="AX127" i="18"/>
  <c r="BD6" i="17"/>
  <c r="AX129" i="18"/>
  <c r="BD8" i="17"/>
  <c r="AX131" i="18"/>
  <c r="BD10" i="17"/>
  <c r="AX137" i="18"/>
  <c r="BD16" i="17"/>
  <c r="AX134" i="18"/>
  <c r="BD13" i="17"/>
  <c r="AX128" i="18"/>
  <c r="BD7" i="17"/>
  <c r="AX132" i="18"/>
  <c r="BD11" i="17"/>
  <c r="AX135" i="18"/>
  <c r="BD14" i="17"/>
  <c r="BC16" i="17" l="1"/>
  <c r="AY131" i="18"/>
  <c r="AX10" i="17"/>
  <c r="AY10" i="17" s="1"/>
  <c r="BC15" i="17"/>
  <c r="AY133" i="18"/>
  <c r="AX12" i="17"/>
  <c r="AY12" i="17" s="1"/>
  <c r="BC13" i="17"/>
  <c r="AY137" i="18"/>
  <c r="AX16" i="17"/>
  <c r="AY16" i="17" s="1"/>
  <c r="AY136" i="18"/>
  <c r="AX15" i="17"/>
  <c r="AY15" i="17" s="1"/>
  <c r="AY135" i="18"/>
  <c r="AX14" i="17"/>
  <c r="AY14" i="17" s="1"/>
  <c r="AX13" i="17"/>
  <c r="AY13" i="17" s="1"/>
  <c r="AY134" i="18"/>
  <c r="BC8" i="17"/>
  <c r="AY127" i="18"/>
  <c r="AX6" i="17"/>
  <c r="AY6" i="17" s="1"/>
  <c r="AY132" i="18"/>
  <c r="AX11" i="17"/>
  <c r="AY11" i="17" s="1"/>
  <c r="BC14" i="17"/>
  <c r="AY128" i="18"/>
  <c r="AX7" i="17"/>
  <c r="AY7" i="17" s="1"/>
  <c r="AY129" i="18"/>
  <c r="AX8" i="17"/>
  <c r="AY8" i="17" s="1"/>
  <c r="BC12" i="17"/>
  <c r="AY130" i="18"/>
  <c r="AX9" i="17"/>
  <c r="AY9" i="17" s="1"/>
  <c r="G7" i="17" l="1"/>
  <c r="K9" i="17"/>
  <c r="G13" i="17"/>
  <c r="H14" i="17"/>
  <c r="I15" i="17"/>
  <c r="J12" i="17"/>
  <c r="H8" i="17"/>
  <c r="J16" i="17"/>
  <c r="K11" i="17"/>
  <c r="J7" i="17"/>
  <c r="I14" i="17"/>
  <c r="I6" i="17"/>
  <c r="G9" i="17"/>
  <c r="H15" i="17"/>
  <c r="F14" i="17"/>
  <c r="I11" i="17"/>
  <c r="J11" i="17"/>
  <c r="I8" i="17"/>
  <c r="I13" i="17"/>
  <c r="G16" i="17"/>
  <c r="F13" i="17"/>
  <c r="J9" i="17"/>
  <c r="J8" i="17"/>
  <c r="H9" i="17"/>
  <c r="H12" i="17"/>
  <c r="H10" i="17"/>
  <c r="J13" i="17"/>
  <c r="I7" i="17"/>
  <c r="K10" i="17"/>
  <c r="K13" i="17"/>
  <c r="H7" i="17"/>
  <c r="H6" i="17"/>
  <c r="G8" i="17"/>
  <c r="H16" i="17"/>
  <c r="G15" i="17"/>
  <c r="G6" i="17"/>
  <c r="I10" i="17"/>
  <c r="F6" i="17"/>
  <c r="F12" i="17"/>
  <c r="G10" i="17"/>
  <c r="J15" i="17"/>
  <c r="J6" i="17"/>
  <c r="J10" i="17"/>
  <c r="F7" i="17"/>
  <c r="K16" i="17"/>
  <c r="F9" i="17"/>
  <c r="F10" i="17"/>
  <c r="G11" i="17"/>
  <c r="K14" i="17"/>
  <c r="K6" i="17"/>
  <c r="I9" i="17"/>
  <c r="H13" i="17"/>
  <c r="G14" i="17"/>
  <c r="K15" i="17"/>
  <c r="F8" i="17"/>
  <c r="I12" i="17"/>
  <c r="K12" i="17"/>
  <c r="J14" i="17"/>
  <c r="K7" i="17"/>
  <c r="G12" i="17"/>
  <c r="K8" i="17"/>
  <c r="F15" i="17"/>
  <c r="F11" i="17"/>
  <c r="F16" i="17"/>
  <c r="I16" i="17"/>
  <c r="H11" i="17"/>
  <c r="L102" i="64"/>
  <c r="M102" i="64" s="1"/>
  <c r="M105" i="64" s="1"/>
  <c r="M109" i="64" s="1"/>
  <c r="M123" i="64" s="1"/>
  <c r="G89" i="9" l="1"/>
  <c r="J89" i="9" s="1"/>
  <c r="J95" i="9" s="1"/>
  <c r="G134" i="64"/>
  <c r="I14" i="66"/>
  <c r="J14" i="66" s="1"/>
  <c r="M125" i="64"/>
  <c r="J134" i="64" l="1"/>
  <c r="J139" i="64" s="1"/>
  <c r="G139" i="64"/>
  <c r="G152" i="64" s="1"/>
  <c r="M134" i="64"/>
  <c r="K25" i="8"/>
  <c r="O95" i="9"/>
  <c r="N126" i="64"/>
  <c r="K14" i="66"/>
  <c r="E14" i="66" s="1"/>
  <c r="D14" i="66"/>
  <c r="I16" i="65"/>
  <c r="L16" i="65" s="1"/>
  <c r="M126" i="64"/>
  <c r="M136" i="64" l="1"/>
  <c r="M139" i="64" s="1"/>
  <c r="L25" i="8"/>
  <c r="I141" i="64" s="1"/>
  <c r="L141" i="64" s="1"/>
  <c r="K38" i="8"/>
  <c r="F16" i="66"/>
  <c r="J152" i="64"/>
  <c r="G18" i="65" s="1"/>
  <c r="M152" i="64"/>
  <c r="P139" i="64"/>
  <c r="M16" i="65"/>
  <c r="B14" i="66"/>
  <c r="J16" i="65"/>
  <c r="C14" i="66" s="1"/>
  <c r="M143" i="64" l="1"/>
  <c r="M155" i="64" s="1"/>
  <c r="I16" i="66" s="1"/>
  <c r="J143" i="64"/>
  <c r="J155" i="64" s="1"/>
  <c r="H16" i="66" s="1"/>
  <c r="K41" i="8"/>
  <c r="L38" i="8"/>
  <c r="B18" i="65" l="1"/>
  <c r="F18" i="65" s="1"/>
  <c r="M157" i="64"/>
  <c r="J16" i="66"/>
  <c r="B28" i="65" l="1"/>
  <c r="B34" i="65" s="1"/>
  <c r="D16" i="66"/>
  <c r="K16" i="66"/>
  <c r="E16" i="66" s="1"/>
  <c r="M158" i="64"/>
  <c r="I18" i="65"/>
  <c r="O18" i="65"/>
  <c r="H18" i="65"/>
  <c r="L18" i="65" l="1"/>
  <c r="B16" i="66"/>
  <c r="J18" i="65"/>
  <c r="C16" i="66" s="1"/>
  <c r="M18" i="65"/>
  <c r="P18" i="65"/>
  <c r="N157" i="64"/>
  <c r="N158" i="64" s="1"/>
  <c r="Z33" i="6" l="1"/>
  <c r="Z35" i="6"/>
  <c r="B13" i="6"/>
  <c r="G64" i="64"/>
  <c r="M64" i="64" s="1"/>
  <c r="I12" i="14"/>
  <c r="J12" i="14" s="1"/>
  <c r="K12" i="14" s="1"/>
  <c r="AB35" i="6"/>
  <c r="D13" i="6"/>
  <c r="L12" i="14"/>
  <c r="M12" i="14" s="1"/>
  <c r="W212" i="58"/>
  <c r="E13" i="6"/>
  <c r="F13" i="6"/>
  <c r="F23" i="6"/>
  <c r="D28" i="62"/>
  <c r="D29" i="62" s="1"/>
  <c r="E28" i="62"/>
  <c r="E29" i="62" s="1"/>
  <c r="E32" i="62" s="1"/>
  <c r="E35" i="62" s="1"/>
  <c r="E36" i="62" s="1"/>
  <c r="Z33" i="15"/>
  <c r="G23" i="62" s="1"/>
  <c r="AA33" i="15"/>
  <c r="U33" i="15"/>
  <c r="V33" i="15"/>
  <c r="W33" i="15"/>
  <c r="X33" i="15"/>
  <c r="Y33" i="15"/>
  <c r="AB33" i="15"/>
  <c r="AB37" i="15" s="1"/>
  <c r="AB38" i="15" s="1"/>
  <c r="AB41" i="15" s="1"/>
  <c r="AC33" i="15"/>
  <c r="AD33" i="15"/>
  <c r="AE33" i="15"/>
  <c r="AE37" i="15" s="1"/>
  <c r="AE38" i="15" s="1"/>
  <c r="AE41" i="15" s="1"/>
  <c r="AF33" i="15"/>
  <c r="G22" i="62" s="1"/>
  <c r="U37" i="15"/>
  <c r="U38" i="15" s="1"/>
  <c r="V37" i="15"/>
  <c r="V38" i="15" s="1"/>
  <c r="V41" i="15" s="1"/>
  <c r="W37" i="15"/>
  <c r="W38" i="15"/>
  <c r="W41" i="15" s="1"/>
  <c r="X37" i="15"/>
  <c r="X38" i="15"/>
  <c r="X41" i="15"/>
  <c r="Y37" i="15"/>
  <c r="Y38" i="15" s="1"/>
  <c r="Y41" i="15" s="1"/>
  <c r="Z37" i="15"/>
  <c r="Z38" i="15" s="1"/>
  <c r="Z41" i="15" s="1"/>
  <c r="AA37" i="15"/>
  <c r="AA38" i="15"/>
  <c r="AA41" i="15" s="1"/>
  <c r="AC37" i="15"/>
  <c r="AC38" i="15" s="1"/>
  <c r="AC41" i="15" s="1"/>
  <c r="AD37" i="15"/>
  <c r="AD38" i="15" s="1"/>
  <c r="AD41" i="15" s="1"/>
  <c r="D2" i="27"/>
  <c r="E2" i="27"/>
  <c r="F2" i="27"/>
  <c r="G2" i="27"/>
  <c r="H2" i="27"/>
  <c r="I2" i="27"/>
  <c r="J2" i="27"/>
  <c r="K2" i="27"/>
  <c r="L2" i="27"/>
  <c r="D40" i="27"/>
  <c r="E40" i="27"/>
  <c r="F40" i="27"/>
  <c r="G40" i="27"/>
  <c r="H40" i="27"/>
  <c r="I40" i="27"/>
  <c r="J40" i="27"/>
  <c r="K40" i="27"/>
  <c r="L40" i="27"/>
  <c r="M40" i="27"/>
  <c r="N40" i="27"/>
  <c r="I24" i="14"/>
  <c r="B23" i="6"/>
  <c r="D23" i="6"/>
  <c r="E23" i="6"/>
  <c r="AB37" i="6"/>
  <c r="AB39" i="6"/>
  <c r="AN5" i="50"/>
  <c r="AO5" i="50" s="1"/>
  <c r="AP5" i="50" s="1"/>
  <c r="AQ5" i="50" s="1"/>
  <c r="AR5" i="50" s="1"/>
  <c r="AS5" i="50" s="1"/>
  <c r="AT5" i="50" s="1"/>
  <c r="AU5" i="50" s="1"/>
  <c r="AV5" i="50" s="1"/>
  <c r="AW5" i="50" s="1"/>
  <c r="P3" i="50"/>
  <c r="Q3" i="50" s="1"/>
  <c r="R3" i="50" s="1"/>
  <c r="S3" i="50" s="1"/>
  <c r="T3" i="50" s="1"/>
  <c r="U3" i="50" s="1"/>
  <c r="V3" i="50" s="1"/>
  <c r="W3" i="50" s="1"/>
  <c r="X3" i="50" s="1"/>
  <c r="Y3" i="50" s="1"/>
  <c r="C3" i="17"/>
  <c r="D3" i="17" s="1"/>
  <c r="E3" i="17" s="1"/>
  <c r="F3" i="17" s="1"/>
  <c r="G3" i="17" s="1"/>
  <c r="H3" i="17" s="1"/>
  <c r="I3" i="17" s="1"/>
  <c r="J3" i="17" s="1"/>
  <c r="K3" i="17" s="1"/>
  <c r="L3" i="17" s="1"/>
  <c r="M3" i="17" s="1"/>
  <c r="N3" i="17" s="1"/>
  <c r="O3" i="17" s="1"/>
  <c r="P3" i="17" s="1"/>
  <c r="Q3" i="17" s="1"/>
  <c r="R3" i="17" s="1"/>
  <c r="S3" i="17" s="1"/>
  <c r="T3" i="17" s="1"/>
  <c r="U3" i="17" s="1"/>
  <c r="V3" i="17" s="1"/>
  <c r="W3" i="17" s="1"/>
  <c r="X3" i="17" s="1"/>
  <c r="Y3" i="17" s="1"/>
  <c r="Z3" i="17" s="1"/>
  <c r="AA3" i="17" s="1"/>
  <c r="AB3" i="17" s="1"/>
  <c r="AC3" i="17" s="1"/>
  <c r="AD3" i="17" s="1"/>
  <c r="AE3" i="17" s="1"/>
  <c r="AF3" i="17" s="1"/>
  <c r="AG3" i="17" s="1"/>
  <c r="AH3" i="17" s="1"/>
  <c r="AI3" i="17" s="1"/>
  <c r="AJ3" i="17" s="1"/>
  <c r="AK3" i="17" s="1"/>
  <c r="AL3" i="17" s="1"/>
  <c r="AM3" i="17" s="1"/>
  <c r="AN3" i="17" s="1"/>
  <c r="AO3" i="17" s="1"/>
  <c r="AP3" i="17" s="1"/>
  <c r="AQ3" i="17" s="1"/>
  <c r="AR3" i="17" s="1"/>
  <c r="AS3" i="17" s="1"/>
  <c r="AT3" i="17" s="1"/>
  <c r="AU3" i="17" s="1"/>
  <c r="AV3" i="17" s="1"/>
  <c r="AW3" i="17" s="1"/>
  <c r="AX3" i="17" s="1"/>
  <c r="AY3" i="17" s="1"/>
  <c r="AZ3" i="17" s="1"/>
  <c r="BA3" i="17" s="1"/>
  <c r="BB3" i="17" s="1"/>
  <c r="BC3" i="17" s="1"/>
  <c r="BD3" i="17" s="1"/>
  <c r="BE3" i="17" s="1"/>
  <c r="BF3" i="17" s="1"/>
  <c r="C3" i="18"/>
  <c r="D3" i="18"/>
  <c r="E3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AO3" i="18"/>
  <c r="AP3" i="18"/>
  <c r="AQ3" i="18"/>
  <c r="AR3" i="18"/>
  <c r="AS3" i="18"/>
  <c r="AT3" i="18"/>
  <c r="AU3" i="18"/>
  <c r="AV3" i="18"/>
  <c r="AW3" i="18"/>
  <c r="AX3" i="18"/>
  <c r="AY3" i="18"/>
  <c r="AZ3" i="18"/>
  <c r="BA3" i="18"/>
  <c r="BB3" i="18"/>
  <c r="BC3" i="18"/>
  <c r="BD3" i="18"/>
  <c r="BE3" i="18"/>
  <c r="BF3" i="18"/>
  <c r="Y212" i="58"/>
  <c r="Y214" i="58"/>
  <c r="Y216" i="58" s="1"/>
  <c r="C3" i="29"/>
  <c r="D3" i="29"/>
  <c r="E3" i="29"/>
  <c r="F3" i="29"/>
  <c r="G3" i="29"/>
  <c r="H3" i="29"/>
  <c r="I3" i="29"/>
  <c r="J3" i="29"/>
  <c r="K3" i="29"/>
  <c r="L3" i="29"/>
  <c r="M3" i="29"/>
  <c r="N3" i="29"/>
  <c r="O3" i="29"/>
  <c r="P3" i="29"/>
  <c r="U41" i="15" l="1"/>
  <c r="AF41" i="15" s="1"/>
  <c r="AF38" i="15"/>
  <c r="G24" i="62"/>
  <c r="G26" i="62" s="1"/>
  <c r="G28" i="62" s="1"/>
  <c r="I28" i="62" s="1"/>
  <c r="I23" i="62"/>
  <c r="I22" i="62"/>
  <c r="D32" i="62"/>
  <c r="D35" i="62" s="1"/>
  <c r="D36" i="62" s="1"/>
  <c r="I36" i="62"/>
  <c r="K24" i="14"/>
  <c r="G65" i="64"/>
  <c r="N12" i="14"/>
  <c r="J65" i="64" s="1"/>
  <c r="J64" i="64"/>
  <c r="C14" i="65" s="1"/>
  <c r="C28" i="65" s="1"/>
  <c r="C34" i="65" s="1"/>
  <c r="L24" i="14"/>
  <c r="G25" i="62" l="1"/>
  <c r="I24" i="62"/>
  <c r="I26" i="62" s="1"/>
  <c r="G29" i="62"/>
  <c r="I25" i="62"/>
  <c r="N24" i="14"/>
  <c r="N26" i="14" s="1"/>
  <c r="N28" i="14" s="1"/>
  <c r="G74" i="64"/>
  <c r="G73" i="64"/>
  <c r="G76" i="64"/>
  <c r="F12" i="66" s="1"/>
  <c r="M65" i="64"/>
  <c r="D14" i="65"/>
  <c r="G32" i="62" l="1"/>
  <c r="I29" i="62"/>
  <c r="I32" i="62" s="1"/>
  <c r="J73" i="64"/>
  <c r="M73" i="64"/>
  <c r="M74" i="64"/>
  <c r="J74" i="64"/>
  <c r="F14" i="65"/>
  <c r="D28" i="65"/>
  <c r="D34" i="65" s="1"/>
  <c r="M76" i="64" l="1"/>
  <c r="I12" i="66" s="1"/>
  <c r="F33" i="62"/>
  <c r="E33" i="62"/>
  <c r="H33" i="62"/>
  <c r="C33" i="62"/>
  <c r="D33" i="62"/>
  <c r="B33" i="62"/>
  <c r="G35" i="62"/>
  <c r="I35" i="62" s="1"/>
  <c r="G33" i="62"/>
  <c r="C42" i="62"/>
  <c r="I43" i="62"/>
  <c r="G14" i="65"/>
  <c r="G28" i="65" s="1"/>
  <c r="G34" i="65" s="1"/>
  <c r="J76" i="64"/>
  <c r="H12" i="66" s="1"/>
  <c r="F28" i="65"/>
  <c r="F34" i="65" s="1"/>
  <c r="O37" i="65" s="1"/>
  <c r="O14" i="65"/>
  <c r="I33" i="62" l="1"/>
  <c r="H14" i="65"/>
  <c r="H28" i="65" s="1"/>
  <c r="H34" i="65" s="1"/>
  <c r="M78" i="64"/>
  <c r="J12" i="66"/>
  <c r="O28" i="65"/>
  <c r="N78" i="64"/>
  <c r="P14" i="65" l="1"/>
  <c r="N79" i="64"/>
  <c r="K12" i="66"/>
  <c r="E12" i="66" s="1"/>
  <c r="D12" i="66"/>
  <c r="M79" i="64"/>
  <c r="I14" i="65"/>
  <c r="O34" i="65"/>
  <c r="O39" i="65" s="1"/>
  <c r="J14" i="65" l="1"/>
  <c r="C12" i="66" s="1"/>
  <c r="L14" i="65"/>
  <c r="M14" i="65"/>
  <c r="I28" i="65"/>
  <c r="B12" i="66"/>
  <c r="J28" i="65" l="1"/>
  <c r="C24" i="66" s="1"/>
  <c r="I34" i="65"/>
  <c r="J34" i="65" s="1"/>
  <c r="B24" i="66"/>
  <c r="L28" i="65"/>
</calcChain>
</file>

<file path=xl/sharedStrings.xml><?xml version="1.0" encoding="utf-8"?>
<sst xmlns="http://schemas.openxmlformats.org/spreadsheetml/2006/main" count="10877" uniqueCount="1181">
  <si>
    <t>LG&amp;E Gas Sales by Rates - May 2011</t>
  </si>
  <si>
    <t>Retail Sales</t>
  </si>
  <si>
    <t># Contracts</t>
  </si>
  <si>
    <t xml:space="preserve"> CCF</t>
  </si>
  <si>
    <t>Revenue Amount</t>
  </si>
  <si>
    <t xml:space="preserve"> Customer   Charge</t>
  </si>
  <si>
    <t>Distribution Charge</t>
  </si>
  <si>
    <t xml:space="preserve"> DSM</t>
  </si>
  <si>
    <t xml:space="preserve"> GSC</t>
  </si>
  <si>
    <t xml:space="preserve"> WNA</t>
  </si>
  <si>
    <t>VDT</t>
  </si>
  <si>
    <t xml:space="preserve"> HEA</t>
  </si>
  <si>
    <t xml:space="preserve"> Gas  Demand</t>
  </si>
  <si>
    <t xml:space="preserve"> Franchise   Fees</t>
  </si>
  <si>
    <t>CC</t>
  </si>
  <si>
    <t>Group Company Code</t>
  </si>
  <si>
    <t>Contract Group ADID</t>
  </si>
  <si>
    <t>Rate Category</t>
  </si>
  <si>
    <t>Tariff</t>
  </si>
  <si>
    <t>CCF</t>
  </si>
  <si>
    <t>$</t>
  </si>
  <si>
    <t>LG&amp;E</t>
  </si>
  <si>
    <t>Large Commercial Customers</t>
  </si>
  <si>
    <t>LGCMG865</t>
  </si>
  <si>
    <t>As-Available Gas Service, Commercial</t>
  </si>
  <si>
    <t>LGCMG865 - AAGS Industrial</t>
  </si>
  <si>
    <t>Public Authorities Customers</t>
  </si>
  <si>
    <t>LGCMG865 - AAGS Commercial</t>
  </si>
  <si>
    <t>Industrial Customers</t>
  </si>
  <si>
    <t>LGING866</t>
  </si>
  <si>
    <t>As-Available Gas Service, Industrial</t>
  </si>
  <si>
    <t>LGING866 - AAGS Industrial</t>
  </si>
  <si>
    <t>LGING866 - AAGS Commercial</t>
  </si>
  <si>
    <t>AAGS Total</t>
  </si>
  <si>
    <t>LGUMG860</t>
  </si>
  <si>
    <t>Commercial Gas Light</t>
  </si>
  <si>
    <t>LGUMG860 - CGS</t>
  </si>
  <si>
    <t>LGCMG851</t>
  </si>
  <si>
    <t>Firm Commercial Gas Service</t>
  </si>
  <si>
    <t>LGCMG851 - CGS</t>
  </si>
  <si>
    <t>Residential Customers</t>
  </si>
  <si>
    <t>LGUMG861</t>
  </si>
  <si>
    <t>Insight Gas Generators</t>
  </si>
  <si>
    <t>LGUMG861 - CGS</t>
  </si>
  <si>
    <t>CGS Total</t>
  </si>
  <si>
    <t>LGING855</t>
  </si>
  <si>
    <t>Firm Industrial Gas Service</t>
  </si>
  <si>
    <t>LGING855 - IGS</t>
  </si>
  <si>
    <t>IGS Total</t>
  </si>
  <si>
    <t>LGUMG830</t>
  </si>
  <si>
    <t>Residential Gas Light</t>
  </si>
  <si>
    <t>LGUMG830 - RGS</t>
  </si>
  <si>
    <t>LGRSG811</t>
  </si>
  <si>
    <t>Residential Gas Service</t>
  </si>
  <si>
    <t>LGRSG811 - RGS</t>
  </si>
  <si>
    <t>LGRSG811S1</t>
  </si>
  <si>
    <t>RGS Special Contract - Bullit Farm</t>
  </si>
  <si>
    <t>LGRSG811S1 - RGS</t>
  </si>
  <si>
    <t>RGS Total</t>
  </si>
  <si>
    <t>LGRSG840</t>
  </si>
  <si>
    <t>Volunteer Fire Department Gas</t>
  </si>
  <si>
    <t>LGRSG840 - VFD</t>
  </si>
  <si>
    <t>VFD Total</t>
  </si>
  <si>
    <t>LGCMG881</t>
  </si>
  <si>
    <t>Gas Transport Service, TS (CGS)</t>
  </si>
  <si>
    <t>TS Commercial</t>
  </si>
  <si>
    <t>LGING882</t>
  </si>
  <si>
    <t>Gas Transport Service, TS (IGS)</t>
  </si>
  <si>
    <t>TS Industrial</t>
  </si>
  <si>
    <t>TS Total</t>
  </si>
  <si>
    <t>Adjustments:</t>
  </si>
  <si>
    <t>(C)</t>
  </si>
  <si>
    <t>Fort Knox</t>
  </si>
  <si>
    <t>4022 - 4210 CCS Classification Errors</t>
  </si>
  <si>
    <t>(B)</t>
  </si>
  <si>
    <t>BI Adjustments</t>
  </si>
  <si>
    <t>(A)</t>
  </si>
  <si>
    <t>Total Retail Sales</t>
  </si>
  <si>
    <t>Total Retail Sales per G/L</t>
  </si>
  <si>
    <t>Unidentified Variance</t>
  </si>
  <si>
    <t>Intra-Company Sales</t>
  </si>
  <si>
    <t>Inter-Segment Revenue</t>
  </si>
  <si>
    <t>LGING996</t>
  </si>
  <si>
    <t>Gas Special Contracts - LG&amp;E</t>
  </si>
  <si>
    <t>Mill Creek &amp; Cane Run</t>
  </si>
  <si>
    <t>Mill Creek &amp; Cane Run Total Sales</t>
  </si>
  <si>
    <t>MC &amp; CR Gas Demand</t>
  </si>
  <si>
    <t>Paddy's Run Transport</t>
  </si>
  <si>
    <t>Total Intra-Company</t>
  </si>
  <si>
    <t>Total Inter-Segment</t>
  </si>
  <si>
    <t>Total Inter-Segment per G/L</t>
  </si>
  <si>
    <t xml:space="preserve"> Gas Transport - Cash Out Sales</t>
  </si>
  <si>
    <t>Gas Cashout Sales</t>
  </si>
  <si>
    <t>Gas Cashout</t>
  </si>
  <si>
    <t>LGING896FD</t>
  </si>
  <si>
    <t>Ford Gas Transport</t>
  </si>
  <si>
    <t>FT</t>
  </si>
  <si>
    <t>LGCMG895</t>
  </si>
  <si>
    <t>Gas Transport Service, FT Commercial</t>
  </si>
  <si>
    <t>LGING896</t>
  </si>
  <si>
    <t>Gas Transport Service, FT Industrial</t>
  </si>
  <si>
    <t>FT Total</t>
  </si>
  <si>
    <t>LGING896PM</t>
  </si>
  <si>
    <t>Gas Transport Service, PS-FT Industrial</t>
  </si>
  <si>
    <t>PS-FT</t>
  </si>
  <si>
    <t>PS-FT Total</t>
  </si>
  <si>
    <t>LGCMG991</t>
  </si>
  <si>
    <t>Fort Knox - Special Contract</t>
  </si>
  <si>
    <t>Fort Knox Total</t>
  </si>
  <si>
    <t>LGING992</t>
  </si>
  <si>
    <t>E.I. DuPont - Special Contract</t>
  </si>
  <si>
    <t>E.I. DuPont</t>
  </si>
  <si>
    <t>E.I. DuPont Total</t>
  </si>
  <si>
    <t>LGING997</t>
  </si>
  <si>
    <t>Gas Transport Service, Paddy's Run</t>
  </si>
  <si>
    <t>Paddy's Run</t>
  </si>
  <si>
    <t>Paddy's Run Total</t>
  </si>
  <si>
    <t xml:space="preserve">Total Gas Transport </t>
  </si>
  <si>
    <t>Total Gas Transport</t>
  </si>
  <si>
    <t>Credits and rebills relating to prior periods.</t>
  </si>
  <si>
    <t>CCS posting errors.</t>
  </si>
  <si>
    <t xml:space="preserve">CCS posting errors that were specifically identified.  </t>
  </si>
  <si>
    <t>E.ON U.S.</t>
  </si>
  <si>
    <t>LG&amp;E Gas Sales by Rates - April 2011</t>
  </si>
  <si>
    <t>Unknown Party Adjustment</t>
  </si>
  <si>
    <t>(D)</t>
  </si>
  <si>
    <t>Division</t>
  </si>
  <si>
    <t>Bill Class</t>
  </si>
  <si>
    <t>Description</t>
  </si>
  <si>
    <t>Language</t>
  </si>
  <si>
    <t>LGNR</t>
  </si>
  <si>
    <t>ES</t>
  </si>
  <si>
    <t>EN</t>
  </si>
  <si>
    <t>LG&amp;E Commercial Gas Rate CGS</t>
  </si>
  <si>
    <t>LG&amp;E Commercial Gas Rate AAGS</t>
  </si>
  <si>
    <t>LGCMG875</t>
  </si>
  <si>
    <t>Distributed Generation Gas Service</t>
  </si>
  <si>
    <t>LG&amp;E Commercial Gas Rate DGGS</t>
  </si>
  <si>
    <t>Gas Transport - TS Commercial (CGS)</t>
  </si>
  <si>
    <t>LGCMG881PM</t>
  </si>
  <si>
    <t>Gas Transport - PS-TS Pool Manager (CGS)</t>
  </si>
  <si>
    <t>Gas Transport Service, PS-TS (CGS)</t>
  </si>
  <si>
    <t>LGCMG891</t>
  </si>
  <si>
    <t>Gas Transport - TS Commercial (AAGS)</t>
  </si>
  <si>
    <t>Gas Transport Service, TS  (AAGS Comm)</t>
  </si>
  <si>
    <t>LGCMG891PM</t>
  </si>
  <si>
    <t>Gas Trans,  PS-TS Pool Manager AAGS Comm</t>
  </si>
  <si>
    <t>Gas Transport Service, PS-TS (AAGS Comm)</t>
  </si>
  <si>
    <t>Gas Transport - FT Commercial</t>
  </si>
  <si>
    <t>LGCMG895PM</t>
  </si>
  <si>
    <t>Gas Transport - PS-FT Pool Mgr (Comm)</t>
  </si>
  <si>
    <t>Gas Transport Service, PS-FT Commercial</t>
  </si>
  <si>
    <t>Fort Knox Special Contract</t>
  </si>
  <si>
    <t>LGCMG995</t>
  </si>
  <si>
    <t>Off System Gas Sales</t>
  </si>
  <si>
    <t>LGCUG994</t>
  </si>
  <si>
    <t>Company Use - Gas</t>
  </si>
  <si>
    <t>LGE Company Use - Gas</t>
  </si>
  <si>
    <t>LG&amp;E Industrial Gas Rate</t>
  </si>
  <si>
    <t>LG&amp;E Industrial Gas Rate AAGS</t>
  </si>
  <si>
    <t>Gas Transport - TS Industrial (IGS)</t>
  </si>
  <si>
    <t>LGING882PM</t>
  </si>
  <si>
    <t>Gas Transport - PS-TS Pool Manager (IGS)</t>
  </si>
  <si>
    <t>Gas Transport Service, PS-TS (IGS)</t>
  </si>
  <si>
    <t>LGING892</t>
  </si>
  <si>
    <t>Gas Transport - TS Industrial (AAGS)</t>
  </si>
  <si>
    <t>Gas Transport Service, TS (AAGS Ind)</t>
  </si>
  <si>
    <t>LGING892PM</t>
  </si>
  <si>
    <t>Gas Trans,  PS-TS Pool Manager AAGS Ind</t>
  </si>
  <si>
    <t>Gas Transport Service,  PS-TS (AAGS Ind)</t>
  </si>
  <si>
    <t>Gas Transport - FT Industrial</t>
  </si>
  <si>
    <t>LGING896FM</t>
  </si>
  <si>
    <t>Ford Gas Transport - Pool Manager</t>
  </si>
  <si>
    <t>Gas Transport - PS-FT Pool Manager (Ind)</t>
  </si>
  <si>
    <t>E.I. DuPont Special Contract</t>
  </si>
  <si>
    <t>LGING995</t>
  </si>
  <si>
    <t>LGRS</t>
  </si>
  <si>
    <t>LG&amp;E Residential Gas Rate</t>
  </si>
  <si>
    <t>LGUM</t>
  </si>
  <si>
    <t>Old Rate Code</t>
  </si>
  <si>
    <t>CGS</t>
  </si>
  <si>
    <t>AAGS-C</t>
  </si>
  <si>
    <t>DGGS-C</t>
  </si>
  <si>
    <t>CGS-TS</t>
  </si>
  <si>
    <t>CGS-TS-PM</t>
  </si>
  <si>
    <t>AAGS-C-TS</t>
  </si>
  <si>
    <t>AAGS-C-TS-PM</t>
  </si>
  <si>
    <t>FT-C</t>
  </si>
  <si>
    <t>FT-C-PM</t>
  </si>
  <si>
    <t>SPC-FTKX</t>
  </si>
  <si>
    <t>IGS</t>
  </si>
  <si>
    <t>AAGS-I</t>
  </si>
  <si>
    <t>IGS-TS</t>
  </si>
  <si>
    <t>IGS-TS-PM</t>
  </si>
  <si>
    <t>AAGS-I-TS</t>
  </si>
  <si>
    <t>AAGS-I-TS-PM</t>
  </si>
  <si>
    <t>FT-I</t>
  </si>
  <si>
    <t>SPC-FORD</t>
  </si>
  <si>
    <t>SPC-FORD-PM</t>
  </si>
  <si>
    <t>FT-I-PM</t>
  </si>
  <si>
    <t>SPC-EIDuP</t>
  </si>
  <si>
    <t>OSS-I</t>
  </si>
  <si>
    <t>OSS-C</t>
  </si>
  <si>
    <t>SPC-LGE</t>
  </si>
  <si>
    <t>SPC-PADDY</t>
  </si>
  <si>
    <t>RGS</t>
  </si>
  <si>
    <t>Company</t>
  </si>
  <si>
    <t>851</t>
  </si>
  <si>
    <t>865</t>
  </si>
  <si>
    <t>875</t>
  </si>
  <si>
    <t>881</t>
  </si>
  <si>
    <t>891</t>
  </si>
  <si>
    <t>895</t>
  </si>
  <si>
    <t>991</t>
  </si>
  <si>
    <t>995</t>
  </si>
  <si>
    <t>994</t>
  </si>
  <si>
    <t>855</t>
  </si>
  <si>
    <t>866</t>
  </si>
  <si>
    <t>882</t>
  </si>
  <si>
    <t>892</t>
  </si>
  <si>
    <t>896</t>
  </si>
  <si>
    <t>992</t>
  </si>
  <si>
    <t>811</t>
  </si>
  <si>
    <t>840</t>
  </si>
  <si>
    <t>830</t>
  </si>
  <si>
    <t>860</t>
  </si>
  <si>
    <t>861</t>
  </si>
  <si>
    <t>CCF On Peak</t>
  </si>
  <si>
    <t>CCF Off Peak</t>
  </si>
  <si>
    <t>Low Capacity Basic  Service Charges</t>
  </si>
  <si>
    <t>High Capacity Basic  Service Charges</t>
  </si>
  <si>
    <t>Base Energy</t>
  </si>
  <si>
    <t>Gas Transport Purchases</t>
  </si>
  <si>
    <t>Administrative  Charges Revenue</t>
  </si>
  <si>
    <t>Utilization Charge  for Daily Imbalance</t>
  </si>
  <si>
    <t>Taxes</t>
  </si>
  <si>
    <t>Wholesale</t>
  </si>
  <si>
    <t>Receivable Amount</t>
  </si>
  <si>
    <t>Other</t>
  </si>
  <si>
    <t>Revenue Period</t>
  </si>
  <si>
    <t>APR 2011</t>
  </si>
  <si>
    <t>MAY 2011</t>
  </si>
  <si>
    <t/>
  </si>
  <si>
    <t>MCF</t>
  </si>
  <si>
    <t>Revenue</t>
  </si>
  <si>
    <t>Month</t>
  </si>
  <si>
    <t>JUN 2011</t>
  </si>
  <si>
    <t>Gas Trans Large Comm Cust</t>
  </si>
  <si>
    <t>Intra-company</t>
  </si>
  <si>
    <t>JUL 2011</t>
  </si>
  <si>
    <t>AUG 2011</t>
  </si>
  <si>
    <t>LG&amp;E Gas Sales by Rates - June 2011</t>
  </si>
  <si>
    <t>LG&amp;E Gas Sales by Rates - July 2011</t>
  </si>
  <si>
    <t xml:space="preserve"> GSC / Cashout</t>
  </si>
  <si>
    <t>Paddy's Run Gas Demand</t>
  </si>
  <si>
    <t>Paddy's Run Sales</t>
  </si>
  <si>
    <t>LG&amp;E Gas Sales by Rates - August 2011</t>
  </si>
  <si>
    <t>Variance (Test)</t>
  </si>
  <si>
    <t>LG&amp;E Gas Sales by Rates - September 2011</t>
  </si>
  <si>
    <t>PK</t>
  </si>
  <si>
    <t>Rate Class</t>
  </si>
  <si>
    <t>Rate Code</t>
  </si>
  <si>
    <t>CustChg</t>
  </si>
  <si>
    <t>Distribution</t>
  </si>
  <si>
    <t>SEP 2011</t>
  </si>
  <si>
    <t>Admin Chg</t>
  </si>
  <si>
    <t>UCDI Storage</t>
  </si>
  <si>
    <t>Demand Chg</t>
  </si>
  <si>
    <t>PSC Gas No. 8, Effective August 6, 2010</t>
  </si>
  <si>
    <t># of Contracts</t>
  </si>
  <si>
    <t>ACTUAL CHARGES</t>
  </si>
  <si>
    <t>CustChrg</t>
  </si>
  <si>
    <t xml:space="preserve">ACTUALS </t>
  </si>
  <si>
    <t>CCF OnPeak</t>
  </si>
  <si>
    <t>CCF OffPeak</t>
  </si>
  <si>
    <t>CustChrg &gt;5000cf/hr</t>
  </si>
  <si>
    <t>CustRevenue</t>
  </si>
  <si>
    <t>ACTUALS</t>
  </si>
  <si>
    <t>Dist OnPeak CCF</t>
  </si>
  <si>
    <t>Dist OffPeak CCF</t>
  </si>
  <si>
    <t>CustRev &gt;5000cf/hr</t>
  </si>
  <si>
    <t>SumCalc Revenue</t>
  </si>
  <si>
    <t>BilledRevenue</t>
  </si>
  <si>
    <t>CorrFactor</t>
  </si>
  <si>
    <t>DSM Rev</t>
  </si>
  <si>
    <t>HEA</t>
  </si>
  <si>
    <t>CustChg Revenue</t>
  </si>
  <si>
    <t>ADJUSTMENTS</t>
  </si>
  <si>
    <t>CustRev</t>
  </si>
  <si>
    <t>Distribution Revenue</t>
  </si>
  <si>
    <t>GSC Rev</t>
  </si>
  <si>
    <t>WNA Rev</t>
  </si>
  <si>
    <t>GSC</t>
  </si>
  <si>
    <t xml:space="preserve">                     MONTHLY GAS ADJUSTMENTS</t>
  </si>
  <si>
    <t>DSM</t>
  </si>
  <si>
    <t>RATES</t>
  </si>
  <si>
    <t>100 Cu. Ft.)</t>
  </si>
  <si>
    <t>Gas Supply</t>
  </si>
  <si>
    <t>Residential</t>
  </si>
  <si>
    <t>Commercial</t>
  </si>
  <si>
    <t>Value</t>
  </si>
  <si>
    <t>Clause</t>
  </si>
  <si>
    <t>Rate</t>
  </si>
  <si>
    <t xml:space="preserve">CGS, </t>
  </si>
  <si>
    <t xml:space="preserve">Delivery </t>
  </si>
  <si>
    <t>AAGS,</t>
  </si>
  <si>
    <t>Surcredit</t>
  </si>
  <si>
    <t>Cubic Feet)</t>
  </si>
  <si>
    <t>&amp; VFD</t>
  </si>
  <si>
    <t>TS and FT</t>
  </si>
  <si>
    <t>(% X Total Bill)</t>
  </si>
  <si>
    <t># of Contracts-Low Capacity</t>
  </si>
  <si>
    <t># of Contracts-High Capacity</t>
  </si>
  <si>
    <t># of Cust - Low Cap.</t>
  </si>
  <si>
    <t># of Cust - High Cap.</t>
  </si>
  <si>
    <t>CustRev &lt;5000cf/hr</t>
  </si>
  <si>
    <t>Gas Transport Sales (CustChg-Distrib)</t>
  </si>
  <si>
    <t>Gas Transport (GSC-DSM)</t>
  </si>
  <si>
    <t>LG&amp;E Gas Sales by Rates - March 2011</t>
  </si>
  <si>
    <t>Adjustment for unknown parties.</t>
  </si>
  <si>
    <t>( $ Per 100</t>
  </si>
  <si>
    <t>( $ Per</t>
  </si>
  <si>
    <t>OCT 2011</t>
  </si>
  <si>
    <t>NOV 2011</t>
  </si>
  <si>
    <t>DEC 2011</t>
  </si>
  <si>
    <t>LG&amp;E Gas Sales by Rates - October 2011</t>
  </si>
  <si>
    <t>LG&amp;E Gas Sales by Rates - November 2011</t>
  </si>
  <si>
    <t>Total CCF</t>
  </si>
  <si>
    <t>DIFFERENCE</t>
  </si>
  <si>
    <t>Adjustments</t>
  </si>
  <si>
    <t>SBR-GSC Rev</t>
  </si>
  <si>
    <t>Current Mo Rev</t>
  </si>
  <si>
    <t>Prior Mo/Adj Rev</t>
  </si>
  <si>
    <t>Total Revenue</t>
  </si>
  <si>
    <t>Total</t>
  </si>
  <si>
    <t>12 mos. ended</t>
  </si>
  <si>
    <t>Gas Supply Expense</t>
  </si>
  <si>
    <t>Purchased Gas</t>
  </si>
  <si>
    <t>Gas to Storage</t>
  </si>
  <si>
    <t>Gas from Storage</t>
  </si>
  <si>
    <t>Other Supply Expenses</t>
  </si>
  <si>
    <t>Other Electric Credits</t>
  </si>
  <si>
    <t xml:space="preserve"> Total Gas Supply Expenses</t>
  </si>
  <si>
    <t>Purchased Gas - Wholesale Sales</t>
  </si>
  <si>
    <t>Wholesale Sales Margin</t>
  </si>
  <si>
    <t>Acquisition and Transportation Incentive</t>
  </si>
  <si>
    <t>Performanced-Based Ratemaking Recovery</t>
  </si>
  <si>
    <t>Other Gas Credits</t>
  </si>
  <si>
    <t>Refunds</t>
  </si>
  <si>
    <t>Gas Supply Actual Adjustment</t>
  </si>
  <si>
    <t>Gas Cost Balance Adjustment</t>
  </si>
  <si>
    <t>Net Gas Supply Expense</t>
  </si>
  <si>
    <t>Year Ended Current Month</t>
  </si>
  <si>
    <t>Gas Supply Cost Component</t>
  </si>
  <si>
    <t>Pipeline Supplier Demand Component</t>
  </si>
  <si>
    <t>UCDI Daily Demand Charge</t>
  </si>
  <si>
    <t>Gas Supply Revenue</t>
  </si>
  <si>
    <t>Total Rate RGS</t>
  </si>
  <si>
    <t xml:space="preserve">Firm Commercial Rate CGS </t>
  </si>
  <si>
    <t>TS Transportation Rider to Rate CGS</t>
  </si>
  <si>
    <t>Total Rate CGS</t>
  </si>
  <si>
    <t xml:space="preserve">Firm Industrial Rate IGS </t>
  </si>
  <si>
    <t>TS Transportation Rider to Rate IGS</t>
  </si>
  <si>
    <t>Total Rate IGS</t>
  </si>
  <si>
    <t>Rate AAGS-Commercial</t>
  </si>
  <si>
    <t>TS Transportation Rider to Rate AAGS-Commercial</t>
  </si>
  <si>
    <t xml:space="preserve">Rate AAGS-Industrial </t>
  </si>
  <si>
    <t>TS Transportation Rider to Rate AAGS-Industrial</t>
  </si>
  <si>
    <t>Total Rate AAGS</t>
  </si>
  <si>
    <t>Special Contract-LG&amp;E Mill Creek/Cane Run</t>
  </si>
  <si>
    <t>Special Contract-LG&amp;E Paddy's Run  Cashouts</t>
  </si>
  <si>
    <t>Total LG&amp;E Special Contract</t>
  </si>
  <si>
    <t>Rate FT - UCDI Daily Demand Charges</t>
  </si>
  <si>
    <t>Rate FT OFO Charges</t>
  </si>
  <si>
    <t>Total Rate FT</t>
  </si>
  <si>
    <t>Special Contracts</t>
  </si>
  <si>
    <t>Off-System Sales</t>
  </si>
  <si>
    <t>Total Gas Supply Revenue</t>
  </si>
  <si>
    <t>PVA Total</t>
  </si>
  <si>
    <t xml:space="preserve">Residential Rate RGS        </t>
  </si>
  <si>
    <t>TS Transportation Rider to Rate IGS/Pub Serv</t>
  </si>
  <si>
    <t>Rate FT Commercial - Transportation</t>
  </si>
  <si>
    <t>Rate FT Industrial - Transportation</t>
  </si>
  <si>
    <t>Sales</t>
  </si>
  <si>
    <t>Transportation</t>
  </si>
  <si>
    <t>Total Sales and Transportation</t>
  </si>
  <si>
    <t>Difference</t>
  </si>
  <si>
    <t>CCF-Current Rate</t>
  </si>
  <si>
    <t>CCF Previous Rate</t>
  </si>
  <si>
    <t>Feb. Billings at</t>
  </si>
  <si>
    <t>Feb Billings at</t>
  </si>
  <si>
    <t>May Billings at</t>
  </si>
  <si>
    <t>Aug. Billings at</t>
  </si>
  <si>
    <t>Nov Billings at</t>
  </si>
  <si>
    <t>12 Mos. Ended</t>
  </si>
  <si>
    <t>GSC Billings</t>
  </si>
  <si>
    <t>Previous Rate</t>
  </si>
  <si>
    <t>Current Rate</t>
  </si>
  <si>
    <t>($ per Mcf)</t>
  </si>
  <si>
    <t>Prorated</t>
  </si>
  <si>
    <t>Rate AAGS-Commercial-TS Transportation Rider</t>
  </si>
  <si>
    <t>Rate AAGS-Industrial-TS Transportation Rider</t>
  </si>
  <si>
    <t>Demand</t>
  </si>
  <si>
    <t>Demand Revenue</t>
  </si>
  <si>
    <t>TOTAL TRANSPORTATION REVENUES</t>
  </si>
  <si>
    <t>LOUISVILLE GAS AND ELECTRIC COMPANY</t>
  </si>
  <si>
    <t>TOTAL</t>
  </si>
  <si>
    <t>Customers</t>
  </si>
  <si>
    <t>Mcf</t>
  </si>
  <si>
    <t>Admin. Chg.</t>
  </si>
  <si>
    <t>Distribution Component</t>
  </si>
  <si>
    <t>DSM Charge</t>
  </si>
  <si>
    <t>Billings</t>
  </si>
  <si>
    <t>Admin. Chgs.</t>
  </si>
  <si>
    <t>Distrib. Chgs.</t>
  </si>
  <si>
    <t>Sub-total</t>
  </si>
  <si>
    <t>DSM Chgs.</t>
  </si>
  <si>
    <t>Calculated Revenue</t>
  </si>
  <si>
    <t>UCDI - Daily Demand Charge</t>
  </si>
  <si>
    <t>UCDI - Daily Storage Charge</t>
  </si>
  <si>
    <t>OFO Charges (includes Pools)</t>
  </si>
  <si>
    <t>OFO Charges</t>
  </si>
  <si>
    <t>Rate FT / Com. &amp; Ind. Combined</t>
  </si>
  <si>
    <t>Distrib. Chgs</t>
  </si>
  <si>
    <t>Sub-Total</t>
  </si>
  <si>
    <t>UCDI - Daily Demand Charge (includes Pools)</t>
  </si>
  <si>
    <t>UCDI - Daily Storage Charge (includes Pools)</t>
  </si>
  <si>
    <t>Plus: Administrative Charges</t>
  </si>
  <si>
    <t>Calculated Revenue (incl. Admin. Chg.)</t>
  </si>
  <si>
    <t>Billing Demand</t>
  </si>
  <si>
    <t>Demand Charge</t>
  </si>
  <si>
    <t>Demand Chgs.</t>
  </si>
  <si>
    <t>Total Calculated Revenue</t>
  </si>
  <si>
    <t>Total Calculated</t>
  </si>
  <si>
    <t>DSM Factor</t>
  </si>
  <si>
    <t>Data Tab (GSC/DSM)</t>
  </si>
  <si>
    <t>DSM Calc</t>
  </si>
  <si>
    <t>GSC Calc</t>
  </si>
  <si>
    <t>VOLUMES</t>
  </si>
  <si>
    <t>REVENUES</t>
  </si>
  <si>
    <t>IGS-TS-Cashout</t>
  </si>
  <si>
    <t>CGS-TS-Cashout</t>
  </si>
  <si>
    <t>12-month</t>
  </si>
  <si>
    <t>FT-C-Cashout</t>
  </si>
  <si>
    <t>FT-C-PM-Cashout</t>
  </si>
  <si>
    <t>FT-I-Cashout</t>
  </si>
  <si>
    <t>FT-I-PM-Cashout</t>
  </si>
  <si>
    <t>WNA</t>
  </si>
  <si>
    <t>Basic Service Chg</t>
  </si>
  <si>
    <t>Gas Demand</t>
  </si>
  <si>
    <t>Distribution Chg</t>
  </si>
  <si>
    <t>Adjustment</t>
  </si>
  <si>
    <t>Source:  LG&amp;E Financial Report, page 41 -- MCF Sendout and Supply Cost</t>
  </si>
  <si>
    <t>Avg. Number</t>
  </si>
  <si>
    <t>of Customers</t>
  </si>
  <si>
    <t>Number of</t>
  </si>
  <si>
    <t>Year-End</t>
  </si>
  <si>
    <t>Average</t>
  </si>
  <si>
    <t>13 Months</t>
  </si>
  <si>
    <t>Over/(Under)</t>
  </si>
  <si>
    <t>Weather</t>
  </si>
  <si>
    <t>Mcf per</t>
  </si>
  <si>
    <t>Net Revenue</t>
  </si>
  <si>
    <t>Ended</t>
  </si>
  <si>
    <t>Served at</t>
  </si>
  <si>
    <t>Normalized</t>
  </si>
  <si>
    <t>Customer</t>
  </si>
  <si>
    <t>Adjusted for</t>
  </si>
  <si>
    <t>(Col.  2 - 1)</t>
  </si>
  <si>
    <t xml:space="preserve">Mcf    </t>
  </si>
  <si>
    <t>(Col. 4 / 1)</t>
  </si>
  <si>
    <t>(Col. 3 x 5)</t>
  </si>
  <si>
    <t>Temperatures</t>
  </si>
  <si>
    <t>per Mcf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</si>
  <si>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</si>
  <si>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</si>
  <si>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</si>
  <si>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</si>
  <si>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</si>
  <si>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</si>
  <si>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</si>
  <si>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</si>
  <si>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</si>
  <si>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Residential Rate RGS</t>
  </si>
  <si>
    <t>Commercial Rate CGS</t>
  </si>
  <si>
    <t>Industrial Rate IGS</t>
  </si>
  <si>
    <t>Rate AAGS</t>
  </si>
  <si>
    <t>Rate FT</t>
  </si>
  <si>
    <t>Intra-Company</t>
  </si>
  <si>
    <t>Expenses at an Operating Ratio of -</t>
  </si>
  <si>
    <t>(see page 2)</t>
  </si>
  <si>
    <t>ADJUSTMENT TO NET OPERATING INCOME BEFORE TAXES</t>
  </si>
  <si>
    <t>CALCULATION OF GAS OPERATING RATIO</t>
  </si>
  <si>
    <t>TOTAL GAS OPERATING EXPENSES</t>
  </si>
  <si>
    <t xml:space="preserve">LESS GAS SUPPLY EXPENSES </t>
  </si>
  <si>
    <t>LESS WAGES AND SALARIES</t>
  </si>
  <si>
    <t>LESS PENSIONS AND BENEFITS</t>
  </si>
  <si>
    <t>LESS REGULATORY COMMISSION EXPENSE</t>
  </si>
  <si>
    <t xml:space="preserve">     NET EXPENSES</t>
  </si>
  <si>
    <t>TOTAL GAS OPERATIONS REVENUES (AS BILLED)</t>
  </si>
  <si>
    <t>LESS GSC REVENUE</t>
  </si>
  <si>
    <t xml:space="preserve">     NET REVENUE</t>
  </si>
  <si>
    <t>OPERATING RATIO</t>
  </si>
  <si>
    <t>LG&amp;E Gas Sales by Rates - December 2011</t>
  </si>
  <si>
    <t>SUMMARY</t>
  </si>
  <si>
    <t>CUSTOMERS NOT BILLED UNDER WEATHER NORMALIZATION ADJUSTMENT CLAUSE</t>
  </si>
  <si>
    <t>CUSTOMERS BILLED UNDER WEATHER NORMALIZATION ADJUSTMENT CLAUSE</t>
  </si>
  <si>
    <t>SUMMARY OF ACTUAL MONTHLY BILLINGS UNDER THE WEATHER NORMALIZATION ADJUSTMENT CLAUSE</t>
  </si>
  <si>
    <t>Normal over</t>
  </si>
  <si>
    <t>Actual</t>
  </si>
  <si>
    <t>Normal</t>
  </si>
  <si>
    <t>(under)Actual</t>
  </si>
  <si>
    <t>Normal over/(under) Actual</t>
  </si>
  <si>
    <t xml:space="preserve">  </t>
  </si>
  <si>
    <t>Less:</t>
  </si>
  <si>
    <t>Billing Cycle Heating Degree Days</t>
  </si>
  <si>
    <t>Calendar Month Degree Days</t>
  </si>
  <si>
    <t>Months</t>
  </si>
  <si>
    <t>12 Months</t>
  </si>
  <si>
    <t>Billed under</t>
  </si>
  <si>
    <t xml:space="preserve">Net  </t>
  </si>
  <si>
    <t xml:space="preserve">Billing Cycle Degree Days </t>
  </si>
  <si>
    <t>Annual</t>
  </si>
  <si>
    <t>Normalization</t>
  </si>
  <si>
    <t xml:space="preserve">(1)     </t>
  </si>
  <si>
    <t xml:space="preserve">(2)     </t>
  </si>
  <si>
    <t xml:space="preserve">(3)     </t>
  </si>
  <si>
    <t xml:space="preserve">(4)     </t>
  </si>
  <si>
    <t xml:space="preserve">(5)     </t>
  </si>
  <si>
    <t xml:space="preserve">(6)     </t>
  </si>
  <si>
    <t xml:space="preserve">(7)     </t>
  </si>
  <si>
    <t xml:space="preserve">(8)     </t>
  </si>
  <si>
    <t xml:space="preserve">(9)     </t>
  </si>
  <si>
    <t xml:space="preserve">(10)    </t>
  </si>
  <si>
    <t xml:space="preserve">(11)    </t>
  </si>
  <si>
    <t>BILLINGS:</t>
  </si>
  <si>
    <t xml:space="preserve">MCF    </t>
  </si>
  <si>
    <t>to Revenue</t>
  </si>
  <si>
    <t>Non-Temp</t>
  </si>
  <si>
    <t>Temp</t>
  </si>
  <si>
    <t>Net</t>
  </si>
  <si>
    <t xml:space="preserve">Sales &amp; </t>
  </si>
  <si>
    <t>Sensitive</t>
  </si>
  <si>
    <t>Departure</t>
  </si>
  <si>
    <t xml:space="preserve">Net </t>
  </si>
  <si>
    <t>MCF Sales</t>
  </si>
  <si>
    <t>Trans.</t>
  </si>
  <si>
    <t>Sales &amp;</t>
  </si>
  <si>
    <t>Degree</t>
  </si>
  <si>
    <t>From</t>
  </si>
  <si>
    <t>Per Mcf</t>
  </si>
  <si>
    <t>Degree Days over Normal  for 12 months as compared to WNA Period -</t>
  </si>
  <si>
    <t>&amp; Trans,</t>
  </si>
  <si>
    <t>(Jul - Aug)</t>
  </si>
  <si>
    <t>Full Year</t>
  </si>
  <si>
    <t>Days</t>
  </si>
  <si>
    <t>Day</t>
  </si>
  <si>
    <t>Sold</t>
  </si>
  <si>
    <t>col 2 x 6</t>
  </si>
  <si>
    <t xml:space="preserve">col 1 - col 3 </t>
  </si>
  <si>
    <t>col 4 / col 5</t>
  </si>
  <si>
    <t>col 7 - col 5</t>
  </si>
  <si>
    <t>col 6 x col 8</t>
  </si>
  <si>
    <t>col 9 x col 10</t>
  </si>
  <si>
    <t xml:space="preserve">     Total Billings</t>
  </si>
  <si>
    <t>Unit</t>
  </si>
  <si>
    <t>APPLICABLE MCF:</t>
  </si>
  <si>
    <t>As Available Gas Service (AAGS)</t>
  </si>
  <si>
    <t xml:space="preserve">Mcf  </t>
  </si>
  <si>
    <t>Price</t>
  </si>
  <si>
    <t>Industrial</t>
  </si>
  <si>
    <t>Actual Billing Adustments (Mcf and Revenue) under WNA - 6 mos.  (see page 4)</t>
  </si>
  <si>
    <t xml:space="preserve">      Total Rate AAGS</t>
  </si>
  <si>
    <t>Degree Day Deficiency  for 12 months as compared to WNA Period -</t>
  </si>
  <si>
    <t xml:space="preserve">     Total Mcf</t>
  </si>
  <si>
    <t>Calculated Adjustment (Mcf and Revenue) to Temperature Normalize for 12 months -</t>
  </si>
  <si>
    <t>Net Adjustment for Residential Rate RGS</t>
  </si>
  <si>
    <t>LG&amp;E (MC/CR)</t>
  </si>
  <si>
    <t>LG&amp;E (Paddy's)</t>
  </si>
  <si>
    <t>Total Net Temperature Normalization Adjustment for Customers Not Billed Under the WNA</t>
  </si>
  <si>
    <t>Actual Billing Adustments (Mcf and Revenue) under WNA - 5 mos.  (see page 4)</t>
  </si>
  <si>
    <t>Notes:</t>
  </si>
  <si>
    <t>Non-Temperature Sensitive Sales and Transportation are based on July and August deliveries.</t>
  </si>
  <si>
    <t>FT Cashout Revenues are treated as Gas Supply Revenues.  Therefore, those volumes are not included in this adjustment.</t>
  </si>
  <si>
    <t>Net Adjustment for Residential Rate CGS</t>
  </si>
  <si>
    <t>Total Net Temperature Normalization Adjustment for Customers Billed Under the WNA</t>
  </si>
  <si>
    <t xml:space="preserve">(1)    </t>
  </si>
  <si>
    <t xml:space="preserve">(2)    </t>
  </si>
  <si>
    <t xml:space="preserve">(3)    </t>
  </si>
  <si>
    <t xml:space="preserve">(4)    </t>
  </si>
  <si>
    <t xml:space="preserve">(6)    </t>
  </si>
  <si>
    <t xml:space="preserve">(7)    </t>
  </si>
  <si>
    <t>Booked</t>
  </si>
  <si>
    <t xml:space="preserve">Less:  </t>
  </si>
  <si>
    <t>Calculated</t>
  </si>
  <si>
    <t>excluding</t>
  </si>
  <si>
    <t>Demand-Side</t>
  </si>
  <si>
    <t>Column 2</t>
  </si>
  <si>
    <t>Billed</t>
  </si>
  <si>
    <t>Adjusted to</t>
  </si>
  <si>
    <t>Cost (GSC)</t>
  </si>
  <si>
    <t xml:space="preserve">GSC </t>
  </si>
  <si>
    <t>Mgmt. (DSM)</t>
  </si>
  <si>
    <t>divided by</t>
  </si>
  <si>
    <t>Cashouts and</t>
  </si>
  <si>
    <t xml:space="preserve">at </t>
  </si>
  <si>
    <t>as Billed Basis</t>
  </si>
  <si>
    <t>@ Base Rates</t>
  </si>
  <si>
    <t>Page 1, Col. 7</t>
  </si>
  <si>
    <t>Pages 3 thru 9</t>
  </si>
  <si>
    <t>Column 1</t>
  </si>
  <si>
    <t>Off-system sales</t>
  </si>
  <si>
    <t>Base Rates</t>
  </si>
  <si>
    <t>GAS SALES AND TRANSPORTATION</t>
  </si>
  <si>
    <t xml:space="preserve">Residential Gas Service Rate RGS </t>
  </si>
  <si>
    <t xml:space="preserve">     Total Residential Gas Service Rate RGS </t>
  </si>
  <si>
    <t xml:space="preserve">Firm Commercial Gas Service Rate CGS </t>
  </si>
  <si>
    <t>Gas Transportation Service/Standby Rider to Rate CGS</t>
  </si>
  <si>
    <t xml:space="preserve">     Total Firm Commercial Gas Service Rate CGS</t>
  </si>
  <si>
    <t xml:space="preserve">Firm Industrial Gas Service Rate IGS </t>
  </si>
  <si>
    <t>Gas Transportation Service/Standby Rider to Rate IGS</t>
  </si>
  <si>
    <t xml:space="preserve">     Total Firm Industrial Gas Service Rate IGS</t>
  </si>
  <si>
    <t>As Available Gas Service</t>
  </si>
  <si>
    <t xml:space="preserve">     Total Rate AAGS</t>
  </si>
  <si>
    <t>FT - Cashouts</t>
  </si>
  <si>
    <t>Firm Transportation Service Rate FT</t>
  </si>
  <si>
    <t xml:space="preserve">     Total Rate FT</t>
  </si>
  <si>
    <t xml:space="preserve">     Pooling Service Rate PS-FT</t>
  </si>
  <si>
    <t xml:space="preserve">Intra-Company Special Contract - Sales Customers </t>
  </si>
  <si>
    <t xml:space="preserve">Intra-Company Special Contract - FT Customer </t>
  </si>
  <si>
    <t xml:space="preserve">     Total Intra-Company</t>
  </si>
  <si>
    <t xml:space="preserve">      Special Contracts</t>
  </si>
  <si>
    <t>Total Ultimate Consumers</t>
  </si>
  <si>
    <t>Grand Total</t>
  </si>
  <si>
    <t>13-month</t>
  </si>
  <si>
    <t>As of</t>
  </si>
  <si>
    <t>OUT OF PRINT RANGE - CALCULATIONS</t>
  </si>
  <si>
    <t>DSM Over/Under Adjustment</t>
  </si>
  <si>
    <t>Nov. 2011</t>
  </si>
  <si>
    <t>Dec. 2011</t>
  </si>
  <si>
    <t>Apr. 2011</t>
  </si>
  <si>
    <t>WNA Revenue</t>
  </si>
  <si>
    <t>Billing Adjustments</t>
  </si>
  <si>
    <t>difference Total to PVA</t>
  </si>
  <si>
    <t>Rate FT - UCDI Daily Storage Charges</t>
  </si>
  <si>
    <t xml:space="preserve">Total Gas Supply Revenue-Adjusted </t>
  </si>
  <si>
    <t>Present</t>
  </si>
  <si>
    <t>@ Present</t>
  </si>
  <si>
    <t>Rates</t>
  </si>
  <si>
    <t>RATE RGS:</t>
  </si>
  <si>
    <t>Residential Gas Service Rate RGS</t>
  </si>
  <si>
    <t>Customer Charges</t>
  </si>
  <si>
    <t>Distribution Cost Component</t>
  </si>
  <si>
    <t xml:space="preserve">         Total Rate RGS</t>
  </si>
  <si>
    <t>RATE CGS:</t>
  </si>
  <si>
    <t>Firm Commercial Gas Service Rate CGS</t>
  </si>
  <si>
    <t>Customer Charges (meters &lt; 5000 cfh)</t>
  </si>
  <si>
    <t>Customer Charges (meters 5000 cfh or &gt;)</t>
  </si>
  <si>
    <t>On Peak Mcf</t>
  </si>
  <si>
    <t>Off Peak Mcf</t>
  </si>
  <si>
    <t>Administrative Charges</t>
  </si>
  <si>
    <t xml:space="preserve">         Total Rate CGS</t>
  </si>
  <si>
    <t>RATE IGS:</t>
  </si>
  <si>
    <t>Firm Industrial Gas Service Rate IGS</t>
  </si>
  <si>
    <t xml:space="preserve">         Total Rate IGS</t>
  </si>
  <si>
    <t xml:space="preserve">         Total Rate AAGS</t>
  </si>
  <si>
    <t>RATE FT:</t>
  </si>
  <si>
    <t>Firm Transportation Service (Non-Standby) Rate FT</t>
  </si>
  <si>
    <t>Utilization Charge for Daily Imbalances:</t>
  </si>
  <si>
    <t xml:space="preserve">         Total Rate FT</t>
  </si>
  <si>
    <t>RATE PS-FT:</t>
  </si>
  <si>
    <t>Pooling Service Rate PS - FT</t>
  </si>
  <si>
    <t xml:space="preserve">         Total Rate PS-FT</t>
  </si>
  <si>
    <t>Special Contract</t>
  </si>
  <si>
    <t xml:space="preserve">         Total Special Contracts</t>
  </si>
  <si>
    <t>AAGS</t>
  </si>
  <si>
    <t>Distribution Cost Component (MCF)</t>
  </si>
  <si>
    <t>Sales by Rates</t>
  </si>
  <si>
    <t>TSC-Cashout</t>
  </si>
  <si>
    <t>TSI-Cashout</t>
  </si>
  <si>
    <t>FT-Cashout</t>
  </si>
  <si>
    <t>Customer-Mos.</t>
  </si>
  <si>
    <t xml:space="preserve">Mcf      </t>
  </si>
  <si>
    <t>SALES</t>
  </si>
  <si>
    <t>Total Residential</t>
  </si>
  <si>
    <t>AAGS - Commercial</t>
  </si>
  <si>
    <t>Total Commercial</t>
  </si>
  <si>
    <t>AAGS - Industrial</t>
  </si>
  <si>
    <t>Total Industrial</t>
  </si>
  <si>
    <t>Billing Adjustments (see below for detail)</t>
  </si>
  <si>
    <t>TOTAL Retail (PVA)</t>
  </si>
  <si>
    <t xml:space="preserve">INTRA-COMPANY </t>
  </si>
  <si>
    <t>Intra-Company - Mill Creek/Cane Run</t>
  </si>
  <si>
    <t>Special Contract - Paddy's Run (Cashouts)</t>
  </si>
  <si>
    <t>Special Contract - Paddy's Run (Rate FT)</t>
  </si>
  <si>
    <t>Total Intra-Company (unadjusted)</t>
  </si>
  <si>
    <t>TOTAL - Intra-Company -adjusted</t>
  </si>
  <si>
    <t>TOTAL - Intra-Company (PVA)</t>
  </si>
  <si>
    <t>TRANSPORTATION</t>
  </si>
  <si>
    <t>Rate TS / CGS</t>
  </si>
  <si>
    <t>Rate TS / IGS</t>
  </si>
  <si>
    <t>Total Rate TS - Transportation</t>
  </si>
  <si>
    <t>Rate FT Commercial</t>
  </si>
  <si>
    <t>Rate FT Industrial</t>
  </si>
  <si>
    <t>Rate FT Public Authority</t>
  </si>
  <si>
    <t>Total Rate FT - Transportation</t>
  </si>
  <si>
    <t>Reserved Balancing Service - RBS</t>
  </si>
  <si>
    <t>Pooling Service Rate PS</t>
  </si>
  <si>
    <t>Total Rate FT - Special Contracts</t>
  </si>
  <si>
    <t>TOTAL Transportation</t>
  </si>
  <si>
    <t>TOTAL Transportation (PVA)</t>
  </si>
  <si>
    <t>Total AAGS</t>
  </si>
  <si>
    <t>Gas Transport Service, TS (CGS) - Cashouts</t>
  </si>
  <si>
    <t>Gas Transport Service, TS (IGS) - Cashouts</t>
  </si>
  <si>
    <t>CGS Mcf / 1st 100</t>
  </si>
  <si>
    <t>Off-Peak Mcf - (&gt; 100)</t>
  </si>
  <si>
    <t>Total Mcf</t>
  </si>
  <si>
    <t>Distrib. Component - (1st 100 Mcf)</t>
  </si>
  <si>
    <t>Distrib. Component - (&gt;100 Mcf)</t>
  </si>
  <si>
    <t>Distrib. Chgs. - (CGS Mcf / 1st 100)</t>
  </si>
  <si>
    <t>Distrib. Chgs. - (Off-Peak Mcf &gt;100)</t>
  </si>
  <si>
    <t>Rate TS / CGS, IGS Combined</t>
  </si>
  <si>
    <t>Billing Adjustments (see SBR)</t>
  </si>
  <si>
    <t>REVENUE</t>
  </si>
  <si>
    <t xml:space="preserve">Mcf   </t>
  </si>
  <si>
    <t>Ultimate Consumers</t>
  </si>
  <si>
    <t xml:space="preserve">  Total Residential Gas Service Rate RGS </t>
  </si>
  <si>
    <t>Transportation Service/Standby Rider to Rate CGS</t>
  </si>
  <si>
    <t xml:space="preserve">  Total Firm Commercial Gas Service Rate CGS</t>
  </si>
  <si>
    <t>Transportation Service/Standby Rider to Rate IGS</t>
  </si>
  <si>
    <t xml:space="preserve">  Total Firm Industrial Gas Service Rate IGS</t>
  </si>
  <si>
    <t xml:space="preserve">As Available Gas Service - Commercial  </t>
  </si>
  <si>
    <t>As Available Gas Service - Industrial</t>
  </si>
  <si>
    <t xml:space="preserve">  Total Rate AAGS</t>
  </si>
  <si>
    <t>Rate FT Cashouts - Commercial</t>
  </si>
  <si>
    <t>Rate FT Cashouts - Industrial (Incl Rate PS-FT Cashouts)</t>
  </si>
  <si>
    <t>Rate FT Cashouts - Industrial</t>
  </si>
  <si>
    <t xml:space="preserve">  Rate FT Cashouts</t>
  </si>
  <si>
    <t xml:space="preserve">  Rate FT Cashouts </t>
  </si>
  <si>
    <t>Firm Transportation Service Rate FT - Commercial</t>
  </si>
  <si>
    <t>Firm Transportation Service Rate FT - Industrial</t>
  </si>
  <si>
    <t>Firm Transportation Service Rate FT - Public Authority</t>
  </si>
  <si>
    <t xml:space="preserve">  Firm Transportation Service Rate FT</t>
  </si>
  <si>
    <t xml:space="preserve">  Total Rate FT</t>
  </si>
  <si>
    <t>LG&amp;E Mill Creek/Cane Run Special Contract - Sales</t>
  </si>
  <si>
    <t>LG&amp;E Paddy's Run Special Contract Transportation</t>
  </si>
  <si>
    <t xml:space="preserve">     Total IntraCompany Sales &amp; Rate FT</t>
  </si>
  <si>
    <t xml:space="preserve">     Reserve Balancing Service Rate RBS</t>
  </si>
  <si>
    <t xml:space="preserve">  Reserve Balancing Service Rate RBS</t>
  </si>
  <si>
    <t xml:space="preserve">  Pooling Service Rate PS-FT</t>
  </si>
  <si>
    <t xml:space="preserve">     Special Contracts</t>
  </si>
  <si>
    <t xml:space="preserve">  Special Contracts</t>
  </si>
  <si>
    <t xml:space="preserve">     Off-System Sales</t>
  </si>
  <si>
    <t xml:space="preserve">  Off-System Sales</t>
  </si>
  <si>
    <t xml:space="preserve">     Total Sales and Transportation Service</t>
  </si>
  <si>
    <t xml:space="preserve">  Total Sales and Transportation Service</t>
  </si>
  <si>
    <t>Nov-Dec 2011</t>
  </si>
  <si>
    <t>FT-Industrial - cashouts (incl FT-Com cashout)</t>
  </si>
  <si>
    <t xml:space="preserve">BI Adjustment - FT Industrial </t>
  </si>
  <si>
    <t>RVA</t>
  </si>
  <si>
    <t>Billing Adjustments (see FT tab for detail)</t>
  </si>
  <si>
    <t>As Available Gas Service Rate AAGS</t>
  </si>
  <si>
    <t>Off-Peak</t>
  </si>
  <si>
    <t>Total-CCSDetail</t>
  </si>
  <si>
    <t>CCSDetail - WNA Months</t>
  </si>
  <si>
    <t>WNA Months - as filed</t>
  </si>
  <si>
    <t>Reconst</t>
  </si>
  <si>
    <t xml:space="preserve">Billings </t>
  </si>
  <si>
    <t>Summary</t>
  </si>
  <si>
    <t>INTRA-COMPANY SPECIAL CONTRACTS</t>
  </si>
  <si>
    <t>Intra-Company Special Contract - Sales Customers</t>
  </si>
  <si>
    <t>Intra-Company Special Contract - Rate FT Customer</t>
  </si>
  <si>
    <t>FT Cashouts</t>
  </si>
  <si>
    <t>Customers for the 12-Month Period</t>
  </si>
  <si>
    <t>Daily Storage Charge</t>
  </si>
  <si>
    <t>Underground Gas Storage Losses</t>
  </si>
  <si>
    <t>UCDI-Storage</t>
  </si>
  <si>
    <t xml:space="preserve">Key Column for </t>
  </si>
  <si>
    <t>Lookups</t>
  </si>
  <si>
    <t>Customer Count</t>
  </si>
  <si>
    <t>Report Month</t>
  </si>
  <si>
    <t>Billed Month-Rate FT Only</t>
  </si>
  <si>
    <t>Transport CCF</t>
  </si>
  <si>
    <t>Sales CCF</t>
  </si>
  <si>
    <t>Customer Chrg</t>
  </si>
  <si>
    <t>Admin Chrg</t>
  </si>
  <si>
    <t>UCDI</t>
  </si>
  <si>
    <t>Dist. Chrg</t>
  </si>
  <si>
    <t>BTUAD</t>
  </si>
  <si>
    <t>FT Commercial</t>
  </si>
  <si>
    <t>FT Industrial</t>
  </si>
  <si>
    <t>PS-FT Industrial</t>
  </si>
  <si>
    <t>Public Authority FT Industrial</t>
  </si>
  <si>
    <t>Public Authority FT Commercial</t>
  </si>
  <si>
    <t>Special Contracts Industrial</t>
  </si>
  <si>
    <t>Special Contracts Public Authority</t>
  </si>
  <si>
    <t>Intercompany</t>
  </si>
  <si>
    <t>JAN 2012</t>
  </si>
  <si>
    <t>FEB 2012</t>
  </si>
  <si>
    <t>LG&amp;E Gas Sales by Rates - January 2012</t>
  </si>
  <si>
    <t>LG&amp;E Gas Sales by Rates - February 2012</t>
  </si>
  <si>
    <t>Reclassify the UCDI Storage Charges for December 2011 and January 2012</t>
  </si>
  <si>
    <t>For Rate FT Lookups</t>
  </si>
  <si>
    <t xml:space="preserve">E.I. DuPont </t>
  </si>
  <si>
    <t>Pipeline Supplier Component</t>
  </si>
  <si>
    <t>(Cashouts / Retail)</t>
  </si>
  <si>
    <t>Do not use - not part of base rates</t>
  </si>
  <si>
    <t>CustRevenue / CustRev &lt;5000cf/hr</t>
  </si>
  <si>
    <t>from TS Tab</t>
  </si>
  <si>
    <t>Bruise Report Description</t>
  </si>
  <si>
    <t>12-MO TOTAL</t>
  </si>
  <si>
    <t>Key Lookup</t>
  </si>
  <si>
    <t>GDISTR</t>
  </si>
  <si>
    <t>LG&amp;E and KU Energy LLC</t>
  </si>
  <si>
    <t>MAR 2012</t>
  </si>
  <si>
    <t>Sub-Transaction</t>
  </si>
  <si>
    <t>Gas Transport</t>
  </si>
  <si>
    <t>Gas Transport Sales</t>
  </si>
  <si>
    <t>Billing Period</t>
  </si>
  <si>
    <t>StatisticGrp Amount</t>
  </si>
  <si>
    <t>Admin Charge Gas Transport D</t>
  </si>
  <si>
    <t>GTPADM</t>
  </si>
  <si>
    <t>Cashout - Sales D</t>
  </si>
  <si>
    <t>GCASHO</t>
  </si>
  <si>
    <t>DSM Debit</t>
  </si>
  <si>
    <t>Gas Distribution Charge D</t>
  </si>
  <si>
    <t>Gas Transport DSM d</t>
  </si>
  <si>
    <t>MMBTU Purchases C</t>
  </si>
  <si>
    <t>GMMBTU</t>
  </si>
  <si>
    <t>OFO, UCDI - Gas transport D</t>
  </si>
  <si>
    <t>GUCDI</t>
  </si>
  <si>
    <t>Result</t>
  </si>
  <si>
    <t>Customer Charge (LGE / KU)</t>
  </si>
  <si>
    <t>GCSTCH</t>
  </si>
  <si>
    <t>GTPDEM</t>
  </si>
  <si>
    <t>GPLSDC</t>
  </si>
  <si>
    <t>MMBTU Purchases D</t>
  </si>
  <si>
    <t>Overall Result</t>
  </si>
  <si>
    <t>Admin Chg - Pools</t>
  </si>
  <si>
    <t>CustChg/AdminChg</t>
  </si>
  <si>
    <t>Rate FT / Commercial wPublic Authorities</t>
  </si>
  <si>
    <t>Revenue Reporting</t>
  </si>
  <si>
    <t>Rate FT / Industrial wPublic Authorities</t>
  </si>
  <si>
    <t xml:space="preserve">  Daily Demand Charge (UCDI)</t>
  </si>
  <si>
    <t xml:space="preserve">  Daily Storage Charge (UCDI)</t>
  </si>
  <si>
    <t>Billed Month</t>
  </si>
  <si>
    <t>Revenue Month</t>
  </si>
  <si>
    <t>Rate PS-FT Industrial (Pools)</t>
  </si>
  <si>
    <t>UCDI-Demand &amp; Storage</t>
  </si>
  <si>
    <t>(cashout item)</t>
  </si>
  <si>
    <t>Rate FT Special Contract - Paddy's Run (LG&amp;E)</t>
  </si>
  <si>
    <t>Total Calculated Rate FT Revenues</t>
  </si>
  <si>
    <t>Pipeline</t>
  </si>
  <si>
    <t>Suppliers</t>
  </si>
  <si>
    <t>Component</t>
  </si>
  <si>
    <t>GSC Chgs</t>
  </si>
  <si>
    <t>Total Calculated Rate FT CASHOUT Revenues</t>
  </si>
  <si>
    <t>Rate FT / Commercial wPublic Authorities CASHOUTS</t>
  </si>
  <si>
    <t>Rate FT / Industrial wPublic Authorities CASHOUTS</t>
  </si>
  <si>
    <t>Rate PS-FT Industrial (Pools) CASHOUTS</t>
  </si>
  <si>
    <t>Rate FT / Com. &amp; Ind. Combined CASHOUTS</t>
  </si>
  <si>
    <t>Rate TS / CGS CASHOUTS</t>
  </si>
  <si>
    <t>GSC Chg</t>
  </si>
  <si>
    <t>Rate TS / IGS CASHOUTS</t>
  </si>
  <si>
    <t>Rate TS / CGS, IGS Combined CASHOUTS</t>
  </si>
  <si>
    <t>INTRA-COMPANY</t>
  </si>
  <si>
    <t>TOTAL TRANSPORTATION VOLUMES (MCF)</t>
  </si>
  <si>
    <t>Sales by Rates Revenues</t>
  </si>
  <si>
    <t>Paddy's Run Cashouts</t>
  </si>
  <si>
    <t>Total Calculated Rate FT CASHOUT Volumes</t>
  </si>
  <si>
    <t>Sales by Rates Volumes</t>
  </si>
  <si>
    <t>CASHOUTS - added to RETAIL SALES (IGS)</t>
  </si>
  <si>
    <t>Total Calculated Rate TS CASHOUT Volumes</t>
  </si>
  <si>
    <t xml:space="preserve">INTRA-COMPANY - CASHOUTS </t>
  </si>
  <si>
    <t>REVENUE VOLUME ANALYSIS (MCF)</t>
  </si>
  <si>
    <t>REVENUE VOLUME ANALYSIS (Revenues)</t>
  </si>
  <si>
    <t xml:space="preserve"> Base  Energy</t>
  </si>
  <si>
    <t>LG&amp;E Special Contract - Mill Creek &amp; Cane Run</t>
  </si>
  <si>
    <t>GDEMAN</t>
  </si>
  <si>
    <t>Sales by Rates Revenue</t>
  </si>
  <si>
    <t>Gas Demand Chg</t>
  </si>
  <si>
    <t>TOTAL INTRACOMPANY REVENUES</t>
  </si>
  <si>
    <t>REVENUE VOLUME ANALYSIS - INTRACOMPANY</t>
  </si>
  <si>
    <t>Rate FT Special Contract - Paddy's Run CASHOUTS</t>
  </si>
  <si>
    <t>12 Months Ended March 31, 2012</t>
  </si>
  <si>
    <t>5 Winter Months Jan12 thru Mar12, Nov-Dec11</t>
  </si>
  <si>
    <t>7 Summer Months Apr11 thru Oct11</t>
  </si>
  <si>
    <t>Rate TS / AAGS Commercial</t>
  </si>
  <si>
    <t>Rate TS / AAGS Industrial</t>
  </si>
  <si>
    <t xml:space="preserve">  Total Retail -Adjusted</t>
  </si>
  <si>
    <t>Jan -Mar 2012,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</si>
  <si>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</si>
  <si>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</si>
  <si>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</si>
  <si>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</si>
  <si>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</si>
  <si>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</si>
  <si>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</si>
  <si>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</si>
  <si>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</si>
  <si>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</si>
  <si>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</si>
  <si>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</si>
  <si>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</si>
  <si>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</si>
  <si>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</si>
  <si>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</si>
  <si>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</si>
  <si>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</si>
  <si>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</si>
  <si>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</si>
  <si>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</si>
  <si>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</si>
  <si>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</si>
  <si>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</si>
  <si>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</si>
  <si>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</si>
  <si>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</si>
  <si>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</si>
  <si>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</si>
  <si>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</si>
  <si>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</si>
  <si>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</si>
  <si>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</si>
  <si>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</si>
  <si>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</si>
  <si>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</si>
  <si>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LG&amp;E Paddy's Run Special Contract Cashouts</t>
  </si>
  <si>
    <t>Special</t>
  </si>
  <si>
    <t>Rate RGS</t>
  </si>
  <si>
    <t>Rate CGS</t>
  </si>
  <si>
    <t>Rate IGS</t>
  </si>
  <si>
    <t>IntraCompany</t>
  </si>
  <si>
    <t>Rate FT (1)</t>
  </si>
  <si>
    <t>Contracts</t>
  </si>
  <si>
    <t>Total Mcf Sales and Transportation</t>
  </si>
  <si>
    <t>Non-Temp. Sensitive Sales &amp; Transportation - Jul. &amp; Aug.</t>
  </si>
  <si>
    <t>Annualized Non-Temperature Sensitive Sales &amp; Transport.</t>
  </si>
  <si>
    <t>Non-Temperature Sensitive Sales &amp; Transportation per Day</t>
  </si>
  <si>
    <t>Temperature Sensitive Sales &amp; Transportation</t>
  </si>
  <si>
    <t>Degree Days</t>
  </si>
  <si>
    <t>Temperature Sensitive Sales &amp; Transportation per Degree Day</t>
  </si>
  <si>
    <t>Calculated Daily Customer Deliveries (Demands) @ -12 Degrees</t>
  </si>
  <si>
    <t xml:space="preserve">    Total Demands</t>
  </si>
  <si>
    <t>Percentage of Total</t>
  </si>
  <si>
    <t xml:space="preserve">    Demands - High Pressure Distribution System</t>
  </si>
  <si>
    <t xml:space="preserve">    Demands - Low and Medium Pressure Distribution System</t>
  </si>
  <si>
    <t>Adjustment for Rate Switching:</t>
  </si>
  <si>
    <t>Calculated Daily Customer Deliveries (Demands) @ -12 Degrees (As Adjusted)</t>
  </si>
  <si>
    <t>3/31/2012</t>
  </si>
  <si>
    <t>Jan. 2012</t>
  </si>
  <si>
    <t>Feb. 2012</t>
  </si>
  <si>
    <t>Mar. 2012</t>
  </si>
  <si>
    <t>INTRA-COMPANY - SPECIAL CONTRACT RETAIL</t>
  </si>
  <si>
    <t>12 mos. Ended March 31, 2012</t>
  </si>
  <si>
    <t>WNA Months - Apr11, Nov-Dec11, Jan-Mar12</t>
  </si>
  <si>
    <t>LG&amp;E Gas Sales by Rates - March 2012</t>
  </si>
  <si>
    <t>Cashout</t>
  </si>
  <si>
    <t>LGING865 - AAGS Commercial</t>
  </si>
  <si>
    <t>LGCMG875 - CGS</t>
  </si>
  <si>
    <t>Cashout Sales:</t>
  </si>
  <si>
    <t>Other Adjustments:</t>
  </si>
  <si>
    <t xml:space="preserve">FT cashout sales.  </t>
  </si>
  <si>
    <t>TS only</t>
  </si>
  <si>
    <t xml:space="preserve">Special Contract-LG&amp;E Paddy's Run </t>
  </si>
  <si>
    <t>TOTAL - PVA</t>
  </si>
  <si>
    <t>TOTAL - Billing Determinants</t>
  </si>
  <si>
    <t>Inc Cashout &amp; UCDI</t>
  </si>
  <si>
    <t>UCDI  w/oPR</t>
  </si>
  <si>
    <t>UCDI w/oPR</t>
  </si>
  <si>
    <t>CASHOUTS only</t>
  </si>
  <si>
    <t>UCDI PR only</t>
  </si>
  <si>
    <t>Paddy's Run  - UCDI Daily Storage Charges</t>
  </si>
  <si>
    <t>Actual Base Rate Billings</t>
  </si>
  <si>
    <t>Calculated Base Rate Billings</t>
  </si>
  <si>
    <t>Billing</t>
  </si>
  <si>
    <t>Base Rate</t>
  </si>
  <si>
    <t>Determinants</t>
  </si>
  <si>
    <t>RATE SWITCHING</t>
  </si>
  <si>
    <t>Customer A:</t>
  </si>
  <si>
    <t>Total Base Rate Billings -</t>
  </si>
  <si>
    <t>TOTAL - RATE SWITCH ADJUSTMENT</t>
  </si>
  <si>
    <t>CUSTOMER A:</t>
  </si>
  <si>
    <t>Customer transferred to Rate FT effective November 1, 2012</t>
  </si>
  <si>
    <t>Actual Billings - Rate CGS</t>
  </si>
  <si>
    <t>Actual Billings - Rate AAGS</t>
  </si>
  <si>
    <t>Basic Service Charge</t>
  </si>
  <si>
    <t>Distribution Rate</t>
  </si>
  <si>
    <t>Subtotal</t>
  </si>
  <si>
    <t>Calculated Billings - Rate FT</t>
  </si>
  <si>
    <t>Administrative Charge</t>
  </si>
  <si>
    <t>MCF (1st 100)</t>
  </si>
  <si>
    <t>Calculated Daily Customer Deliveries (Demands) @ -12 Degrees (77 Degree Days)</t>
  </si>
  <si>
    <t>Off Peak MCF (&gt;100)</t>
  </si>
  <si>
    <t>Distribution Rate Off-Peak</t>
  </si>
  <si>
    <t>Total MCF</t>
  </si>
  <si>
    <t>Actual Billings - TOTAL</t>
  </si>
  <si>
    <t>12-Month</t>
  </si>
  <si>
    <t>Increase/(Decrease) Net Revenue</t>
  </si>
  <si>
    <t>Total Calculated Billings</t>
  </si>
  <si>
    <t xml:space="preserve">Mcf Billings  - </t>
  </si>
  <si>
    <t xml:space="preserve">Basic Service Charge - </t>
  </si>
  <si>
    <t>Effective November 1, 2012</t>
  </si>
  <si>
    <t>Transferred from Rate CGS &amp; AAGS to Rate FT</t>
  </si>
  <si>
    <t>Transferred from Rate IGS-TS to Rate FT</t>
  </si>
  <si>
    <t>CUSTOMER B:</t>
  </si>
  <si>
    <t>Actual Billings - Rate IGS - TS</t>
  </si>
  <si>
    <t>Cust Chg</t>
  </si>
  <si>
    <t>Actual Billings - Total</t>
  </si>
  <si>
    <t xml:space="preserve">Rate CGS Basic Service Charge - </t>
  </si>
  <si>
    <t xml:space="preserve">Rate CGS Mcf Billings  - </t>
  </si>
  <si>
    <t xml:space="preserve">Rate AAGS Basic Service Charge - </t>
  </si>
  <si>
    <t xml:space="preserve">Rate AAGS Mcf Billings  - </t>
  </si>
  <si>
    <t>per Month</t>
  </si>
  <si>
    <t>Increase</t>
  </si>
  <si>
    <t>(Decreased)</t>
  </si>
  <si>
    <t xml:space="preserve">Rate CGS Mcf Billings-Off Peak (Apr-Oct) - </t>
  </si>
  <si>
    <t>Customer B:.</t>
  </si>
  <si>
    <t xml:space="preserve">Mcf Billings-Off Peak (Apr-Oct) - </t>
  </si>
  <si>
    <t>Billing Adjustments - from monthly Sales by Rates</t>
  </si>
  <si>
    <t>Total Retail - Unadjusted</t>
  </si>
  <si>
    <t>12-mo Total</t>
  </si>
  <si>
    <t>GSC Adjustment - FT Industrial</t>
  </si>
  <si>
    <t>UCDI-D</t>
  </si>
  <si>
    <t>UCDI-S</t>
  </si>
  <si>
    <t>PVA</t>
  </si>
  <si>
    <t>UCDI-S Reclass in Feb12</t>
  </si>
  <si>
    <t>Unreconciled difference</t>
  </si>
  <si>
    <t>GSC Revenues - Transportation</t>
  </si>
  <si>
    <t xml:space="preserve">Rate FT GSC Adj in Mar12 </t>
  </si>
  <si>
    <t>TOTAL TRANSPORTATION REVENUES - Adjusted</t>
  </si>
  <si>
    <t>SPECIAL CONTRACTS - TRANSPORTATION SERVICE</t>
  </si>
  <si>
    <t>Proposed Rates</t>
  </si>
  <si>
    <t xml:space="preserve">Unit </t>
  </si>
  <si>
    <t>Charges</t>
  </si>
  <si>
    <t>Correction Factor</t>
  </si>
  <si>
    <t>Temperature Normalization</t>
  </si>
  <si>
    <t>Adjustment to Reflect Year-End Customers</t>
  </si>
  <si>
    <t>Total Residential Gas Service Rate RGS</t>
  </si>
  <si>
    <t>Proposed Increase in Revenue</t>
  </si>
  <si>
    <t>Proposed rate in most recent GSC filing</t>
  </si>
  <si>
    <t>GSC at Current (May 2012 to July 2012) Charges</t>
  </si>
  <si>
    <t xml:space="preserve">Adjustment for Rate Switching </t>
  </si>
  <si>
    <t xml:space="preserve">GSC at Current - Pipeline Suppliers Demand </t>
  </si>
  <si>
    <t>Total Industrial Gas Service Rate IGS</t>
  </si>
  <si>
    <t>Total Commercial Gas Service Rate CGS</t>
  </si>
  <si>
    <t>On-Peak MCF 12-months</t>
  </si>
  <si>
    <t>Administrative Charge 12-months</t>
  </si>
  <si>
    <t>Basic Service Chg 12-months</t>
  </si>
  <si>
    <t>Basic Service Charge for the 12-Month Period</t>
  </si>
  <si>
    <t>Basic Service Charge (meters &lt; 5000 cfh)</t>
  </si>
  <si>
    <t>Basic Service Charge (meters 5000 cfh or &gt;)</t>
  </si>
  <si>
    <t>Total As Available Gas Service Rate AAGS</t>
  </si>
  <si>
    <t>Off-Peak MCF Apr11-Oct11</t>
  </si>
  <si>
    <t>Total Firm Transportation (Non-Standby) Rate FT</t>
  </si>
  <si>
    <t>UCDI Charge - Daily Demand (current)</t>
  </si>
  <si>
    <t>Ccfd</t>
  </si>
  <si>
    <t>Total Intra-Company Special Contract - Sales Service</t>
  </si>
  <si>
    <t>Intra-Company Special Contract - Sales Service</t>
  </si>
  <si>
    <t xml:space="preserve">Sales </t>
  </si>
  <si>
    <t>Total Intra-Company Special Contract - Rate FT Customer</t>
  </si>
  <si>
    <t xml:space="preserve">  Subtotal</t>
  </si>
  <si>
    <t xml:space="preserve">     Subtotal</t>
  </si>
  <si>
    <t>Louisville Gas and Electric Company</t>
  </si>
  <si>
    <t>Summary of Proposed Rate Increase</t>
  </si>
  <si>
    <t>Residential Gas Service - Rate RGS</t>
  </si>
  <si>
    <t>Commercial Gas Service - Rate CGS</t>
  </si>
  <si>
    <t>Industrial Gas Service - Rate IGS</t>
  </si>
  <si>
    <t>As-Available Gas Service - Rate AAGS</t>
  </si>
  <si>
    <t>Total Firm Transportation Service (Non-Standby) Rate FT</t>
  </si>
  <si>
    <t>Total Rate PS-FT</t>
  </si>
  <si>
    <t>Special Contract - Intra-Company Sales</t>
  </si>
  <si>
    <t>Special Contract - Intra-Company Transportation</t>
  </si>
  <si>
    <t>Total Sales to Ultimate Consumers and Inter-Company</t>
  </si>
  <si>
    <t>Percentage</t>
  </si>
  <si>
    <t>Temperature</t>
  </si>
  <si>
    <t xml:space="preserve">Rate </t>
  </si>
  <si>
    <t>Switching</t>
  </si>
  <si>
    <t>Current</t>
  </si>
  <si>
    <t>in Margins</t>
  </si>
  <si>
    <t>As Adjusted</t>
  </si>
  <si>
    <t>as Adjusted</t>
  </si>
  <si>
    <t>Change</t>
  </si>
  <si>
    <t>(Base Rates)</t>
  </si>
  <si>
    <t>Target</t>
  </si>
  <si>
    <t>Based on Billing Determinants for the 12 Months Ended March 31, 2012</t>
  </si>
  <si>
    <t>% Annual</t>
  </si>
  <si>
    <t>Increase in</t>
  </si>
  <si>
    <t>% Increase</t>
  </si>
  <si>
    <t>Monthly</t>
  </si>
  <si>
    <t>Avg. Bill</t>
  </si>
  <si>
    <t>in Avg. Bill</t>
  </si>
  <si>
    <t>Usage</t>
  </si>
  <si>
    <t>Admin Chgs</t>
  </si>
  <si>
    <t>Distr Chgs</t>
  </si>
  <si>
    <t>Total Billed</t>
  </si>
  <si>
    <t>Distribution Cost Component of Cash Out Sales</t>
  </si>
  <si>
    <t>Customer filed termination notice effective 11/1/2012</t>
  </si>
  <si>
    <t>Special Contract - terminated effective November 2012</t>
  </si>
  <si>
    <t>Special Contract - terminated effective November 1, 2012</t>
  </si>
  <si>
    <t>Customer Chgs</t>
  </si>
  <si>
    <t xml:space="preserve">  Transportation </t>
  </si>
  <si>
    <t xml:space="preserve">  Cash Out Sales</t>
  </si>
  <si>
    <t>12-MO</t>
  </si>
  <si>
    <t>Updated with TYE 3/31/12</t>
  </si>
  <si>
    <t xml:space="preserve">  financial statements</t>
  </si>
  <si>
    <t>Subtotal Sales to Ultimate Consumers and Inter-Company</t>
  </si>
  <si>
    <t>Total Special Contracts</t>
  </si>
  <si>
    <t>Adjustments (MCF)</t>
  </si>
  <si>
    <t>Rate FT Special Contract</t>
  </si>
  <si>
    <t>Miscellaneous Revenue</t>
  </si>
  <si>
    <t>TERMINATION EFFECTIVE NOVEMBER 1, 2012</t>
  </si>
  <si>
    <r>
      <rPr>
        <b/>
        <sz val="12"/>
        <rFont val="Times New Roman"/>
        <family val="1"/>
      </rPr>
      <t>Subtotal Rate RGS</t>
    </r>
    <r>
      <rPr>
        <sz val="12"/>
        <rFont val="Times New Roman"/>
        <family val="1"/>
      </rPr>
      <t xml:space="preserve"> after application of Correction Factor</t>
    </r>
  </si>
  <si>
    <r>
      <rPr>
        <b/>
        <sz val="12"/>
        <rFont val="Times New Roman"/>
        <family val="1"/>
      </rPr>
      <t>Subtotal Rate CGS</t>
    </r>
    <r>
      <rPr>
        <sz val="12"/>
        <rFont val="Times New Roman"/>
        <family val="1"/>
      </rPr>
      <t xml:space="preserve"> after application of Correction Factor</t>
    </r>
  </si>
  <si>
    <r>
      <rPr>
        <b/>
        <sz val="12"/>
        <rFont val="Times New Roman"/>
        <family val="1"/>
      </rPr>
      <t>Subtotal Rate IGS</t>
    </r>
    <r>
      <rPr>
        <sz val="12"/>
        <rFont val="Times New Roman"/>
        <family val="1"/>
      </rPr>
      <t xml:space="preserve"> after application of Correction Factor</t>
    </r>
  </si>
  <si>
    <r>
      <t>RATE AAGS:</t>
    </r>
    <r>
      <rPr>
        <sz val="14"/>
        <rFont val="Times New Roman"/>
        <family val="1"/>
      </rPr>
      <t xml:space="preserve">  </t>
    </r>
  </si>
  <si>
    <r>
      <rPr>
        <b/>
        <sz val="12"/>
        <rFont val="Times New Roman"/>
        <family val="1"/>
      </rPr>
      <t>Subtotal Rate AAGS</t>
    </r>
    <r>
      <rPr>
        <sz val="12"/>
        <rFont val="Times New Roman"/>
        <family val="1"/>
      </rPr>
      <t xml:space="preserve"> after application of Correction Factor</t>
    </r>
  </si>
  <si>
    <r>
      <rPr>
        <b/>
        <sz val="12"/>
        <rFont val="Times New Roman"/>
        <family val="1"/>
      </rPr>
      <t>Subtotal Rate FT</t>
    </r>
    <r>
      <rPr>
        <sz val="12"/>
        <rFont val="Times New Roman"/>
        <family val="1"/>
      </rPr>
      <t xml:space="preserve"> after application of Correction Factor</t>
    </r>
  </si>
  <si>
    <t xml:space="preserve">(8)    </t>
  </si>
  <si>
    <t xml:space="preserve">(9)    </t>
  </si>
  <si>
    <t>(11)</t>
  </si>
  <si>
    <t>(12)</t>
  </si>
  <si>
    <t>(13)</t>
  </si>
  <si>
    <r>
      <t xml:space="preserve">  Rate RGS</t>
    </r>
    <r>
      <rPr>
        <sz val="12"/>
        <rFont val="Times New Roman"/>
        <family val="1"/>
      </rPr>
      <t xml:space="preserve"> </t>
    </r>
  </si>
  <si>
    <r>
      <t>Residential Rate RGS</t>
    </r>
    <r>
      <rPr>
        <sz val="12"/>
        <rFont val="Times New Roman"/>
        <family val="1"/>
      </rPr>
      <t xml:space="preserve"> - see page 3</t>
    </r>
  </si>
  <si>
    <r>
      <t xml:space="preserve">  Rate CGS</t>
    </r>
    <r>
      <rPr>
        <sz val="12"/>
        <rFont val="Times New Roman"/>
        <family val="1"/>
      </rPr>
      <t xml:space="preserve"> </t>
    </r>
  </si>
  <si>
    <r>
      <t>Commercial Rate CGS</t>
    </r>
    <r>
      <rPr>
        <sz val="12"/>
        <rFont val="Times New Roman"/>
        <family val="1"/>
      </rPr>
      <t xml:space="preserve"> - see page 3</t>
    </r>
  </si>
  <si>
    <r>
      <t>Industrial Rate IGS</t>
    </r>
    <r>
      <rPr>
        <sz val="12"/>
        <rFont val="Times New Roman"/>
        <family val="1"/>
      </rPr>
      <t xml:space="preserve"> - see page 2</t>
    </r>
  </si>
  <si>
    <r>
      <t>Rate FT</t>
    </r>
    <r>
      <rPr>
        <sz val="12"/>
        <rFont val="Times New Roman"/>
        <family val="1"/>
      </rPr>
      <t xml:space="preserve"> - see page 2</t>
    </r>
  </si>
  <si>
    <r>
      <t>Special Contracts</t>
    </r>
    <r>
      <rPr>
        <sz val="12"/>
        <rFont val="Times New Roman"/>
        <family val="1"/>
      </rPr>
      <t xml:space="preserve"> - see page 2</t>
    </r>
  </si>
  <si>
    <r>
      <t xml:space="preserve">       </t>
    </r>
    <r>
      <rPr>
        <b/>
        <sz val="12"/>
        <rFont val="Times New Roman"/>
        <family val="1"/>
      </rPr>
      <t>Total</t>
    </r>
  </si>
  <si>
    <r>
      <rPr>
        <b/>
        <sz val="12"/>
        <rFont val="Times New Roman"/>
        <family val="1"/>
      </rPr>
      <t>Note:</t>
    </r>
    <r>
      <rPr>
        <sz val="12"/>
        <rFont val="Times New Roman"/>
        <family val="1"/>
      </rPr>
      <t xml:space="preserve">  WNA Billings are included in "Sales."  However, the applicable volumes used to compute the Billings are not included</t>
    </r>
  </si>
  <si>
    <t>Input from Revenue Requirement</t>
  </si>
  <si>
    <t>Overall Percentage Increase Based on Margins</t>
  </si>
  <si>
    <t>Input overall target Percentage</t>
  </si>
  <si>
    <t xml:space="preserve">  (1)  Rate FT includes LG&amp;E Transportation Special Contract</t>
  </si>
  <si>
    <t>ADJUSTMENT TO REFLECT SPECIAL CONTRACT CANCELLATION</t>
  </si>
  <si>
    <t>Target Increase Input</t>
  </si>
  <si>
    <t>Sales Customers</t>
  </si>
  <si>
    <t>Contract</t>
  </si>
  <si>
    <t>cancelled</t>
  </si>
  <si>
    <t>BSC</t>
  </si>
  <si>
    <t>Distribution (Mcf)</t>
  </si>
  <si>
    <t>BSC (meters &lt; 5000 cfh)</t>
  </si>
  <si>
    <t>BSC (meters 5000 cfh or &gt;)</t>
  </si>
  <si>
    <t xml:space="preserve">Distribution - Off Peak (Mcf) </t>
  </si>
  <si>
    <t>Rider TS</t>
  </si>
  <si>
    <t xml:space="preserve">  Administrative Charge</t>
  </si>
  <si>
    <t>Demand (ccfd)</t>
  </si>
  <si>
    <t>Rate DGGS</t>
  </si>
  <si>
    <t xml:space="preserve">UCDI - Storage </t>
  </si>
  <si>
    <t>Pool Service - Rate FT &amp; Rider TS</t>
  </si>
  <si>
    <t>Proposed</t>
  </si>
  <si>
    <t>Rider TS-2</t>
  </si>
  <si>
    <t>Pool Service - Rate FT, Rider TS, Rider TS-2</t>
  </si>
  <si>
    <t>Monthly Telemetry Charge</t>
  </si>
  <si>
    <t>Louisville Gas and Electric Company - Gas</t>
  </si>
  <si>
    <t>Current and Proposed Rate Summary</t>
  </si>
  <si>
    <t>Avg Mo Bill</t>
  </si>
  <si>
    <t xml:space="preserve">Percent  </t>
  </si>
  <si>
    <t>Monthly Transport Customer Charge</t>
  </si>
  <si>
    <r>
      <t xml:space="preserve">Rate AAGS - </t>
    </r>
    <r>
      <rPr>
        <sz val="12"/>
        <rFont val="Times New Roman"/>
        <family val="1"/>
      </rPr>
      <t>see page 2</t>
    </r>
  </si>
  <si>
    <t xml:space="preserve">  Total Revenue for 12-months ended March 31, 2012</t>
  </si>
  <si>
    <t>Mcfd</t>
  </si>
  <si>
    <t xml:space="preserve">Rate FT Special Contract </t>
  </si>
  <si>
    <t>Rate FT Special Contract -  CASHOUTS</t>
  </si>
  <si>
    <t>Rate FT Special Contract - CASHOUTS</t>
  </si>
  <si>
    <t>Customer A</t>
  </si>
  <si>
    <t>Customer B</t>
  </si>
  <si>
    <t>Special Contracts - Customer A</t>
  </si>
  <si>
    <t>Special Contracts - Customer B</t>
  </si>
  <si>
    <t>Special Contracts - Customer B (Cashouts)</t>
  </si>
  <si>
    <t>Special Contracts - Customer A (Cashouts)</t>
  </si>
  <si>
    <t>Customer B Special Contract Cashouts</t>
  </si>
  <si>
    <t>Customer B Special Contract Transportation</t>
  </si>
  <si>
    <t>Customer A Special Contract Cashouts</t>
  </si>
  <si>
    <t>Customer A Special Contract Transportation</t>
  </si>
  <si>
    <t xml:space="preserve">Firm Commercial Rate CGS   </t>
  </si>
  <si>
    <t xml:space="preserve">Firm Industrial Rate IGS   </t>
  </si>
  <si>
    <t xml:space="preserve">FT Commercial Cashouts   </t>
  </si>
  <si>
    <t xml:space="preserve">FT Industrial Cashouts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</si>
</sst>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0000000000_);_(* \(#,##0.000000000000000\);_(* &quot;-&quot;???????????????_);_(@_)"/>
    <numFmt numFmtId="165" formatCode="_(* #,##0_);_(* \(#,##0\);_(* &quot;-&quot;??_);_(@_)"/>
    <numFmt numFmtId="166" formatCode="_(&quot;$&quot;* #,##0_);_(&quot;$&quot;* \(#,##0\);_(&quot;$&quot;* &quot;-&quot;_)"/>
    <numFmt numFmtId="167" formatCode="#,##0;\-#,##0;#,##0;@"/>
    <numFmt numFmtId="168" formatCode="#,##0.00;\-#,##0.00;#,##0.00;@"/>
    <numFmt numFmtId="169" formatCode="_(&quot;$&quot;* #,##0_);_(&quot;$&quot;* \(#,##0\);_(&quot;$&quot;* &quot;-&quot;??_);_(@_)"/>
    <numFmt numFmtId="170" formatCode="[$-409]mmm\-yy;@"/>
    <numFmt numFmtId="171" formatCode="0.00000"/>
    <numFmt numFmtId="172" formatCode="_(&quot;$&quot;* #,##0.00000_);_(&quot;$&quot;* \(#,##0.00000\);_(&quot;$&quot;* &quot;-&quot;??_);_(@_)"/>
    <numFmt numFmtId="173" formatCode="_(* #,##0.000000_);_(* \(#,##0.000000\);_(* &quot;-&quot;??_);_(@_)"/>
    <numFmt numFmtId="174" formatCode="mmm\-yyyy"/>
    <numFmt numFmtId="175" formatCode="0.000"/>
    <numFmt numFmtId="176" formatCode="0.000%"/>
    <numFmt numFmtId="177" formatCode="0.000000%"/>
    <numFmt numFmtId="178" formatCode="[$-409]mmmm\-yy;@"/>
    <numFmt numFmtId="179" formatCode="[$-409]mmmm\ d\,\ yyyy;@"/>
    <numFmt numFmtId="180" formatCode="_(* #,##0.0_);_(* \(#,##0.0\);_(* &quot;-&quot;??_);_(@_)"/>
    <numFmt numFmtId="181" formatCode="_(* #,##0.0_);_(* \(#,##0.0\);_(* &quot;-&quot;?_);_(@_)"/>
    <numFmt numFmtId="182" formatCode="General_)"/>
    <numFmt numFmtId="183" formatCode="#,##0.0_);\(#,##0.0\)"/>
    <numFmt numFmtId="184" formatCode="&quot;$&quot;#,##0.0000_);[Red]\(&quot;$&quot;#,##0.0000\)"/>
    <numFmt numFmtId="185" formatCode="#,##0.0_);[Red]\(#,##0.0\)"/>
    <numFmt numFmtId="186" formatCode="_(&quot;$&quot;* #,##0.000000_);_(&quot;$&quot;* \(#,##0.000000\);_(&quot;$&quot;* &quot;-&quot;??_);_(@_)"/>
    <numFmt numFmtId="187" formatCode="#,##0.0"/>
    <numFmt numFmtId="188" formatCode="_(&quot;$&quot;* #,##0.0000_);_(&quot;$&quot;* \(#,##0.0000\);_(&quot;$&quot;* &quot;-&quot;??_);_(@_)"/>
    <numFmt numFmtId="189" formatCode="_(* #,##0_);_(&quot;$&quot;* \(#,##0\);_(&quot;$&quot;* &quot;-&quot;??_);_(@_)"/>
    <numFmt numFmtId="190" formatCode="_(* #,##0.0000_);_(&quot;$&quot;* \(#,##0.0000\);_(&quot;$&quot;* &quot;-&quot;??_);_(@_)"/>
    <numFmt numFmtId="191" formatCode="_(* #,##0.0000_);_(* \(#,##0.0000\);_(* &quot;-&quot;??_);_(@_)"/>
    <numFmt numFmtId="192" formatCode="&quot;$&quot;#,##0\ ;\(&quot;$&quot;#,##0\)"/>
    <numFmt numFmtId="193" formatCode="_([$€-2]* #,##0.00_);_([$€-2]* \(#,##0.00\);_([$€-2]* &quot;-&quot;??_)"/>
    <numFmt numFmtId="194" formatCode="0_);\(0\)"/>
    <numFmt numFmtId="195" formatCode="0.0000"/>
    <numFmt numFmtId="196" formatCode="_(* #,##0.00000_);_(* \(#,##0.00000\);_(* &quot;-&quot;??_);_(@_)"/>
    <numFmt numFmtId="197" formatCode="0.0000%"/>
    <numFmt numFmtId="198" formatCode="_(&quot;$&quot;* #,##0.00000_);_(&quot;$&quot;* \(#,##0.00000\);_(&quot;$&quot;* &quot;-&quot;?????_);_(@_)"/>
    <numFmt numFmtId="199" formatCode="_(&quot;$&quot;* #,##0.00_);_(&quot;$&quot;* \(#,##0.00\);_(&quot;$&quot;* &quot;-&quot;_);_(@_)"/>
    <numFmt numFmtId="200" formatCode="_(&quot;$&quot;* #,##0.000_);_(&quot;$&quot;* \(#,##0.000\);_(&quot;$&quot;* &quot;-&quot;_);_(@_)"/>
    <numFmt numFmtId="201" formatCode="0.0%"/>
    <numFmt numFmtId="202" formatCode="###,###,###,###.00"/>
    <numFmt numFmtId="203" formatCode="_(&quot;$&quot;* #,##0.0000000_);_(&quot;$&quot;* \(#,##0.0000000\);_(&quot;$&quot;* &quot;-&quot;_);_(@_)"/>
    <numFmt numFmtId="204" formatCode="#,##0.0;\-#,##0.0;#,##0.0;@"/>
    <numFmt numFmtId="205" formatCode="_(&quot;$&quot;* #,##0.000_);_(&quot;$&quot;* \(#,##0.000\);_(&quot;$&quot;* &quot;-&quot;?????_);_(@_)"/>
    <numFmt numFmtId="206" formatCode="_(* #,##0.0000_);_(* \(#,##0.0000\);_(* &quot;-&quot;????_);_(@_)"/>
    <numFmt numFmtId="207" formatCode="_(&quot;$&quot;* #,##0.00000_);_(&quot;$&quot;* \(#,##0.00000\);_(&quot;$&quot;* &quot;-&quot;_);_(@_)"/>
  </numFmts>
  <fonts count="128" x14ac:knownFonts="1">
    <font>
      <sz val="11"/>
      <color theme="1"/>
      <name val="Calibri"/>
      <family val="2"/>
      <scheme val="minor"/>
    </font>
    <font>
      <b/>
      <sz val="12"/>
      <color indexed="12"/>
      <name val="Arial"/>
      <family val="2"/>
    </font>
    <font>
      <b/>
      <sz val="18"/>
      <name val="Arial"/>
      <family val="2"/>
    </font>
    <font>
      <sz val="10"/>
      <name val="Arial Unicode MS"/>
      <family val="2"/>
    </font>
    <font>
      <b/>
      <sz val="9"/>
      <color indexed="9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Arial"/>
      <family val="2"/>
    </font>
    <font>
      <b/>
      <sz val="8"/>
      <name val="Arial Unicode MS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indexed="9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 Narrow"/>
      <family val="2"/>
    </font>
    <font>
      <b/>
      <sz val="8"/>
      <color rgb="FFFF000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name val="Arial"/>
      <family val="2"/>
    </font>
    <font>
      <b/>
      <sz val="18"/>
      <color theme="4" tint="-0.249977111117893"/>
      <name val="Arial"/>
      <family val="2"/>
    </font>
    <font>
      <b/>
      <sz val="9"/>
      <name val="Arial"/>
      <family val="2"/>
    </font>
    <font>
      <b/>
      <sz val="9"/>
      <color theme="4" tint="-0.249977111117893"/>
      <name val="Arial"/>
      <family val="2"/>
    </font>
    <font>
      <b/>
      <sz val="11"/>
      <color theme="4" tint="-0.249977111117893"/>
      <name val="Arial"/>
      <family val="2"/>
    </font>
    <font>
      <b/>
      <sz val="8"/>
      <color theme="4" tint="-0.249977111117893"/>
      <name val="Arial"/>
      <family val="2"/>
    </font>
    <font>
      <b/>
      <sz val="8"/>
      <color theme="4" tint="-0.249977111117893"/>
      <name val="Arial Unicode MS"/>
      <family val="2"/>
    </font>
    <font>
      <sz val="8"/>
      <color theme="4" tint="-0.249977111117893"/>
      <name val="Arial"/>
      <family val="2"/>
    </font>
    <font>
      <sz val="8"/>
      <color theme="4" tint="-0.2499465926084170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Times New Roman"/>
      <family val="2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color indexed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Arial"/>
      <family val="2"/>
    </font>
    <font>
      <sz val="10"/>
      <name val="Courier"/>
      <family val="3"/>
    </font>
    <font>
      <b/>
      <sz val="14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u/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2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11"/>
      <color indexed="10"/>
      <name val="Calibri"/>
      <family val="2"/>
    </font>
    <font>
      <sz val="11"/>
      <color rgb="FFFF0000"/>
      <name val="Times New Roman"/>
      <family val="2"/>
    </font>
    <font>
      <sz val="8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0"/>
      <color indexed="1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8"/>
      <color indexed="9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8"/>
      <color rgb="FF000000"/>
      <name val="Arial"/>
      <family val="2"/>
    </font>
    <font>
      <b/>
      <sz val="12"/>
      <color rgb="FFB60005"/>
      <name val="Arial"/>
      <family val="2"/>
    </font>
    <font>
      <u/>
      <sz val="10"/>
      <name val="Calibri"/>
      <family val="2"/>
      <scheme val="minor"/>
    </font>
    <font>
      <u/>
      <sz val="10"/>
      <color theme="1"/>
      <name val="Calibri"/>
      <family val="2"/>
      <scheme val="minor"/>
    </font>
    <font>
      <u val="singleAccounting"/>
      <sz val="10"/>
      <name val="Arial Narrow"/>
      <family val="2"/>
    </font>
    <font>
      <b/>
      <u/>
      <sz val="10"/>
      <name val="Arial Narrow"/>
      <family val="2"/>
    </font>
    <font>
      <b/>
      <sz val="11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theme="1"/>
      <name val="Times New Roman"/>
      <family val="1"/>
    </font>
    <font>
      <sz val="9"/>
      <name val="Times New Roman"/>
      <family val="1"/>
    </font>
    <font>
      <b/>
      <u/>
      <sz val="14"/>
      <name val="Times New Roman"/>
      <family val="1"/>
    </font>
    <font>
      <b/>
      <sz val="8"/>
      <name val="Times New Roman"/>
      <family val="1"/>
    </font>
    <font>
      <sz val="14"/>
      <name val="Times New Roman"/>
      <family val="1"/>
    </font>
    <font>
      <sz val="12"/>
      <color indexed="10"/>
      <name val="Times New Roman"/>
      <family val="1"/>
    </font>
    <font>
      <sz val="12"/>
      <color theme="1"/>
      <name val="Times New Roman"/>
      <family val="1"/>
    </font>
    <font>
      <sz val="12"/>
      <color indexed="12"/>
      <name val="Times New Roman"/>
      <family val="1"/>
    </font>
    <font>
      <i/>
      <sz val="12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4"/>
      <name val="Times New Roman"/>
      <family val="1"/>
    </font>
    <font>
      <sz val="16"/>
      <name val="Times New Roman"/>
      <family val="1"/>
    </font>
    <font>
      <b/>
      <sz val="12"/>
      <color indexed="10"/>
      <name val="Times New Roman"/>
      <family val="1"/>
    </font>
    <font>
      <i/>
      <sz val="10"/>
      <name val="Times New Roman"/>
      <family val="1"/>
    </font>
    <font>
      <b/>
      <sz val="12"/>
      <color theme="1"/>
      <name val="Times New Roman"/>
      <family val="1"/>
    </font>
    <font>
      <u val="singleAccounting"/>
      <sz val="12"/>
      <name val="Times New Roman"/>
      <family val="1"/>
    </font>
  </fonts>
  <fills count="8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843"/>
        <bgColor indexed="64"/>
      </patternFill>
    </fill>
  </fills>
  <borders count="68">
    <border>
      <left/>
      <right/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22"/>
      </right>
      <top style="medium">
        <color indexed="64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64"/>
      </top>
      <bottom style="medium">
        <color indexed="22"/>
      </bottom>
      <diagonal/>
    </border>
    <border>
      <left style="medium">
        <color indexed="22"/>
      </left>
      <right style="medium">
        <color indexed="64"/>
      </right>
      <top style="medium">
        <color indexed="64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64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/>
      <top/>
      <bottom/>
      <diagonal/>
    </border>
    <border>
      <left style="medium">
        <color indexed="41"/>
      </left>
      <right style="medium">
        <color indexed="41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41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22"/>
      </right>
      <top style="medium">
        <color indexed="22"/>
      </top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64"/>
      </bottom>
      <diagonal/>
    </border>
    <border>
      <left style="medium">
        <color indexed="22"/>
      </left>
      <right style="medium">
        <color indexed="64"/>
      </right>
      <top style="medium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22"/>
      </top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22"/>
      </right>
      <top/>
      <bottom style="medium">
        <color indexed="22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 style="medium">
        <color indexed="22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22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medium">
        <color indexed="64"/>
      </left>
      <right/>
      <top style="medium">
        <color indexed="22"/>
      </top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 style="medium">
        <color indexed="22"/>
      </left>
      <right style="medium">
        <color indexed="64"/>
      </right>
      <top style="medium">
        <color indexed="2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54">
    <xf numFmtId="0" fontId="0" fillId="0" borderId="0"/>
    <xf numFmtId="43" fontId="13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4" fillId="0" borderId="0"/>
    <xf numFmtId="0" fontId="13" fillId="0" borderId="0"/>
    <xf numFmtId="182" fontId="40" fillId="0" borderId="0"/>
    <xf numFmtId="0" fontId="13" fillId="0" borderId="0"/>
    <xf numFmtId="0" fontId="13" fillId="0" borderId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0" fontId="50" fillId="27" borderId="0" applyNumberFormat="0" applyBorder="0" applyAlignment="0" applyProtection="0"/>
    <xf numFmtId="170" fontId="50" fillId="27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70" fontId="50" fillId="31" borderId="0" applyNumberFormat="0" applyBorder="0" applyAlignment="0" applyProtection="0"/>
    <xf numFmtId="170" fontId="50" fillId="3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170" fontId="50" fillId="35" borderId="0" applyNumberFormat="0" applyBorder="0" applyAlignment="0" applyProtection="0"/>
    <xf numFmtId="170" fontId="50" fillId="35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3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170" fontId="50" fillId="28" borderId="0" applyNumberFormat="0" applyBorder="0" applyAlignment="0" applyProtection="0"/>
    <xf numFmtId="170" fontId="50" fillId="28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170" fontId="50" fillId="32" borderId="0" applyNumberFormat="0" applyBorder="0" applyAlignment="0" applyProtection="0"/>
    <xf numFmtId="170" fontId="50" fillId="32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170" fontId="50" fillId="36" borderId="0" applyNumberFormat="0" applyBorder="0" applyAlignment="0" applyProtection="0"/>
    <xf numFmtId="170" fontId="50" fillId="36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170" fontId="50" fillId="48" borderId="0" applyNumberFormat="0" applyBorder="0" applyAlignment="0" applyProtection="0"/>
    <xf numFmtId="170" fontId="50" fillId="48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170" fontId="52" fillId="29" borderId="0" applyNumberFormat="0" applyBorder="0" applyAlignment="0" applyProtection="0"/>
    <xf numFmtId="170" fontId="52" fillId="29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70" fontId="52" fillId="33" borderId="0" applyNumberFormat="0" applyBorder="0" applyAlignment="0" applyProtection="0"/>
    <xf numFmtId="170" fontId="52" fillId="33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170" fontId="52" fillId="37" borderId="0" applyNumberFormat="0" applyBorder="0" applyAlignment="0" applyProtection="0"/>
    <xf numFmtId="170" fontId="52" fillId="37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170" fontId="52" fillId="41" borderId="0" applyNumberFormat="0" applyBorder="0" applyAlignment="0" applyProtection="0"/>
    <xf numFmtId="170" fontId="52" fillId="4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170" fontId="52" fillId="45" borderId="0" applyNumberFormat="0" applyBorder="0" applyAlignment="0" applyProtection="0"/>
    <xf numFmtId="170" fontId="52" fillId="45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170" fontId="52" fillId="49" borderId="0" applyNumberFormat="0" applyBorder="0" applyAlignment="0" applyProtection="0"/>
    <xf numFmtId="170" fontId="52" fillId="49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170" fontId="52" fillId="26" borderId="0" applyNumberFormat="0" applyBorder="0" applyAlignment="0" applyProtection="0"/>
    <xf numFmtId="170" fontId="52" fillId="26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170" fontId="52" fillId="30" borderId="0" applyNumberFormat="0" applyBorder="0" applyAlignment="0" applyProtection="0"/>
    <xf numFmtId="170" fontId="52" fillId="30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170" fontId="52" fillId="34" borderId="0" applyNumberFormat="0" applyBorder="0" applyAlignment="0" applyProtection="0"/>
    <xf numFmtId="170" fontId="52" fillId="34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170" fontId="52" fillId="38" borderId="0" applyNumberFormat="0" applyBorder="0" applyAlignment="0" applyProtection="0"/>
    <xf numFmtId="170" fontId="52" fillId="38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170" fontId="52" fillId="42" borderId="0" applyNumberFormat="0" applyBorder="0" applyAlignment="0" applyProtection="0"/>
    <xf numFmtId="170" fontId="52" fillId="4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170" fontId="52" fillId="46" borderId="0" applyNumberFormat="0" applyBorder="0" applyAlignment="0" applyProtection="0"/>
    <xf numFmtId="170" fontId="52" fillId="46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170" fontId="54" fillId="20" borderId="0" applyNumberFormat="0" applyBorder="0" applyAlignment="0" applyProtection="0"/>
    <xf numFmtId="170" fontId="54" fillId="20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5" fillId="68" borderId="49" applyNumberFormat="0" applyAlignment="0" applyProtection="0"/>
    <xf numFmtId="0" fontId="55" fillId="68" borderId="49" applyNumberFormat="0" applyAlignment="0" applyProtection="0"/>
    <xf numFmtId="0" fontId="55" fillId="68" borderId="49" applyNumberFormat="0" applyAlignment="0" applyProtection="0"/>
    <xf numFmtId="0" fontId="55" fillId="68" borderId="49" applyNumberFormat="0" applyAlignment="0" applyProtection="0"/>
    <xf numFmtId="0" fontId="55" fillId="68" borderId="49" applyNumberFormat="0" applyAlignment="0" applyProtection="0"/>
    <xf numFmtId="170" fontId="56" fillId="23" borderId="41" applyNumberFormat="0" applyAlignment="0" applyProtection="0"/>
    <xf numFmtId="170" fontId="56" fillId="23" borderId="41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0" fontId="55" fillId="68" borderId="49" applyNumberFormat="0" applyAlignment="0" applyProtection="0"/>
    <xf numFmtId="0" fontId="57" fillId="69" borderId="50" applyNumberFormat="0" applyAlignment="0" applyProtection="0"/>
    <xf numFmtId="0" fontId="57" fillId="69" borderId="50" applyNumberFormat="0" applyAlignment="0" applyProtection="0"/>
    <xf numFmtId="0" fontId="57" fillId="69" borderId="50" applyNumberFormat="0" applyAlignment="0" applyProtection="0"/>
    <xf numFmtId="0" fontId="57" fillId="69" borderId="50" applyNumberFormat="0" applyAlignment="0" applyProtection="0"/>
    <xf numFmtId="0" fontId="57" fillId="69" borderId="50" applyNumberFormat="0" applyAlignment="0" applyProtection="0"/>
    <xf numFmtId="170" fontId="58" fillId="24" borderId="44" applyNumberFormat="0" applyAlignment="0" applyProtection="0"/>
    <xf numFmtId="170" fontId="58" fillId="24" borderId="44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0" fontId="57" fillId="69" borderId="50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7" fillId="0" borderId="0" applyFont="0" applyFill="0" applyBorder="0" applyAlignment="0" applyProtection="0"/>
    <xf numFmtId="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7" fillId="0" borderId="0" applyFont="0" applyFill="0" applyBorder="0" applyAlignment="0" applyProtection="0"/>
    <xf numFmtId="192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8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70" fontId="11" fillId="0" borderId="0" applyProtection="0"/>
    <xf numFmtId="170" fontId="11" fillId="0" borderId="0" applyProtection="0"/>
    <xf numFmtId="0" fontId="11" fillId="0" borderId="0" applyProtection="0"/>
    <xf numFmtId="178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170" fontId="34" fillId="0" borderId="0" applyProtection="0"/>
    <xf numFmtId="170" fontId="34" fillId="0" borderId="0" applyProtection="0"/>
    <xf numFmtId="0" fontId="34" fillId="0" borderId="0" applyProtection="0"/>
    <xf numFmtId="178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70" fontId="41" fillId="0" borderId="0" applyProtection="0"/>
    <xf numFmtId="170" fontId="41" fillId="0" borderId="0" applyProtection="0"/>
    <xf numFmtId="0" fontId="41" fillId="0" borderId="0" applyProtection="0"/>
    <xf numFmtId="178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70" fontId="12" fillId="0" borderId="0" applyProtection="0"/>
    <xf numFmtId="170" fontId="12" fillId="0" borderId="0" applyProtection="0"/>
    <xf numFmtId="0" fontId="12" fillId="0" borderId="0" applyProtection="0"/>
    <xf numFmtId="178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0" fontId="13" fillId="0" borderId="0" applyProtection="0"/>
    <xf numFmtId="170" fontId="13" fillId="0" borderId="0" applyProtection="0"/>
    <xf numFmtId="0" fontId="13" fillId="0" borderId="0" applyProtection="0"/>
    <xf numFmtId="178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70" fontId="11" fillId="0" borderId="0" applyProtection="0"/>
    <xf numFmtId="170" fontId="11" fillId="0" borderId="0" applyProtection="0"/>
    <xf numFmtId="0" fontId="11" fillId="0" borderId="0" applyProtection="0"/>
    <xf numFmtId="178" fontId="61" fillId="0" borderId="0" applyProtection="0"/>
    <xf numFmtId="0" fontId="61" fillId="0" borderId="0" applyProtection="0"/>
    <xf numFmtId="0" fontId="61" fillId="0" borderId="0" applyProtection="0"/>
    <xf numFmtId="0" fontId="61" fillId="0" borderId="0" applyProtection="0"/>
    <xf numFmtId="0" fontId="61" fillId="0" borderId="0" applyProtection="0"/>
    <xf numFmtId="0" fontId="61" fillId="0" borderId="0" applyProtection="0"/>
    <xf numFmtId="0" fontId="61" fillId="0" borderId="0" applyProtection="0"/>
    <xf numFmtId="170" fontId="61" fillId="0" borderId="0" applyProtection="0"/>
    <xf numFmtId="170" fontId="61" fillId="0" borderId="0" applyProtection="0"/>
    <xf numFmtId="0" fontId="61" fillId="0" borderId="0" applyProtection="0"/>
    <xf numFmtId="2" fontId="13" fillId="0" borderId="0" applyFon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170" fontId="63" fillId="19" borderId="0" applyNumberFormat="0" applyBorder="0" applyAlignment="0" applyProtection="0"/>
    <xf numFmtId="170" fontId="63" fillId="19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4" fillId="0" borderId="51" applyNumberFormat="0" applyFill="0" applyAlignment="0" applyProtection="0"/>
    <xf numFmtId="0" fontId="64" fillId="0" borderId="51" applyNumberFormat="0" applyFill="0" applyAlignment="0" applyProtection="0"/>
    <xf numFmtId="0" fontId="64" fillId="0" borderId="51" applyNumberFormat="0" applyFill="0" applyAlignment="0" applyProtection="0"/>
    <xf numFmtId="0" fontId="64" fillId="0" borderId="51" applyNumberFormat="0" applyFill="0" applyAlignment="0" applyProtection="0"/>
    <xf numFmtId="0" fontId="64" fillId="0" borderId="51" applyNumberFormat="0" applyFill="0" applyAlignment="0" applyProtection="0"/>
    <xf numFmtId="170" fontId="65" fillId="0" borderId="38" applyNumberFormat="0" applyFill="0" applyAlignment="0" applyProtection="0"/>
    <xf numFmtId="170" fontId="65" fillId="0" borderId="38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0" fontId="64" fillId="0" borderId="51" applyNumberFormat="0" applyFill="0" applyAlignment="0" applyProtection="0"/>
    <xf numFmtId="0" fontId="66" fillId="0" borderId="52" applyNumberFormat="0" applyFill="0" applyAlignment="0" applyProtection="0"/>
    <xf numFmtId="0" fontId="66" fillId="0" borderId="52" applyNumberFormat="0" applyFill="0" applyAlignment="0" applyProtection="0"/>
    <xf numFmtId="0" fontId="66" fillId="0" borderId="52" applyNumberFormat="0" applyFill="0" applyAlignment="0" applyProtection="0"/>
    <xf numFmtId="0" fontId="66" fillId="0" borderId="52" applyNumberFormat="0" applyFill="0" applyAlignment="0" applyProtection="0"/>
    <xf numFmtId="0" fontId="66" fillId="0" borderId="52" applyNumberFormat="0" applyFill="0" applyAlignment="0" applyProtection="0"/>
    <xf numFmtId="170" fontId="67" fillId="0" borderId="39" applyNumberFormat="0" applyFill="0" applyAlignment="0" applyProtection="0"/>
    <xf numFmtId="170" fontId="67" fillId="0" borderId="39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0" fontId="66" fillId="0" borderId="52" applyNumberFormat="0" applyFill="0" applyAlignment="0" applyProtection="0"/>
    <xf numFmtId="0" fontId="68" fillId="0" borderId="53" applyNumberFormat="0" applyFill="0" applyAlignment="0" applyProtection="0"/>
    <xf numFmtId="0" fontId="68" fillId="0" borderId="53" applyNumberFormat="0" applyFill="0" applyAlignment="0" applyProtection="0"/>
    <xf numFmtId="0" fontId="68" fillId="0" borderId="53" applyNumberFormat="0" applyFill="0" applyAlignment="0" applyProtection="0"/>
    <xf numFmtId="0" fontId="68" fillId="0" borderId="53" applyNumberFormat="0" applyFill="0" applyAlignment="0" applyProtection="0"/>
    <xf numFmtId="0" fontId="68" fillId="0" borderId="53" applyNumberFormat="0" applyFill="0" applyAlignment="0" applyProtection="0"/>
    <xf numFmtId="170" fontId="69" fillId="0" borderId="40" applyNumberFormat="0" applyFill="0" applyAlignment="0" applyProtection="0"/>
    <xf numFmtId="170" fontId="69" fillId="0" borderId="40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0" fontId="68" fillId="0" borderId="53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55" borderId="49" applyNumberFormat="0" applyAlignment="0" applyProtection="0"/>
    <xf numFmtId="0" fontId="70" fillId="55" borderId="49" applyNumberFormat="0" applyAlignment="0" applyProtection="0"/>
    <xf numFmtId="0" fontId="70" fillId="55" borderId="49" applyNumberFormat="0" applyAlignment="0" applyProtection="0"/>
    <xf numFmtId="0" fontId="70" fillId="55" borderId="49" applyNumberFormat="0" applyAlignment="0" applyProtection="0"/>
    <xf numFmtId="0" fontId="70" fillId="55" borderId="49" applyNumberFormat="0" applyAlignment="0" applyProtection="0"/>
    <xf numFmtId="170" fontId="71" fillId="22" borderId="41" applyNumberFormat="0" applyAlignment="0" applyProtection="0"/>
    <xf numFmtId="170" fontId="71" fillId="22" borderId="41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0" fontId="70" fillId="55" borderId="49" applyNumberFormat="0" applyAlignment="0" applyProtection="0"/>
    <xf numFmtId="0" fontId="72" fillId="0" borderId="54" applyNumberFormat="0" applyFill="0" applyAlignment="0" applyProtection="0"/>
    <xf numFmtId="0" fontId="72" fillId="0" borderId="54" applyNumberFormat="0" applyFill="0" applyAlignment="0" applyProtection="0"/>
    <xf numFmtId="0" fontId="72" fillId="0" borderId="54" applyNumberFormat="0" applyFill="0" applyAlignment="0" applyProtection="0"/>
    <xf numFmtId="0" fontId="72" fillId="0" borderId="54" applyNumberFormat="0" applyFill="0" applyAlignment="0" applyProtection="0"/>
    <xf numFmtId="0" fontId="72" fillId="0" borderId="54" applyNumberFormat="0" applyFill="0" applyAlignment="0" applyProtection="0"/>
    <xf numFmtId="170" fontId="73" fillId="0" borderId="43" applyNumberFormat="0" applyFill="0" applyAlignment="0" applyProtection="0"/>
    <xf numFmtId="170" fontId="73" fillId="0" borderId="43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0" fontId="72" fillId="0" borderId="54" applyNumberFormat="0" applyFill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170" fontId="75" fillId="21" borderId="0" applyNumberFormat="0" applyBorder="0" applyAlignment="0" applyProtection="0"/>
    <xf numFmtId="170" fontId="75" fillId="21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0" fontId="74" fillId="70" borderId="0" applyNumberFormat="0" applyBorder="0" applyAlignment="0" applyProtection="0"/>
    <xf numFmtId="178" fontId="13" fillId="0" borderId="0"/>
    <xf numFmtId="178" fontId="13" fillId="0" borderId="0"/>
    <xf numFmtId="17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0" fontId="13" fillId="0" borderId="0"/>
    <xf numFmtId="170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0" fontId="13" fillId="0" borderId="0"/>
    <xf numFmtId="41" fontId="47" fillId="0" borderId="0"/>
    <xf numFmtId="41" fontId="47" fillId="0" borderId="0"/>
    <xf numFmtId="41" fontId="47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0" fontId="50" fillId="0" borderId="0"/>
    <xf numFmtId="170" fontId="50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0" fontId="50" fillId="0" borderId="0"/>
    <xf numFmtId="170" fontId="50" fillId="0" borderId="0"/>
    <xf numFmtId="0" fontId="13" fillId="0" borderId="0"/>
    <xf numFmtId="170" fontId="50" fillId="0" borderId="0"/>
    <xf numFmtId="170" fontId="50" fillId="0" borderId="0"/>
    <xf numFmtId="178" fontId="13" fillId="0" borderId="0"/>
    <xf numFmtId="170" fontId="50" fillId="0" borderId="0"/>
    <xf numFmtId="170" fontId="50" fillId="0" borderId="0"/>
    <xf numFmtId="178" fontId="13" fillId="0" borderId="0"/>
    <xf numFmtId="170" fontId="50" fillId="0" borderId="0"/>
    <xf numFmtId="170" fontId="50" fillId="0" borderId="0"/>
    <xf numFmtId="178" fontId="13" fillId="0" borderId="0"/>
    <xf numFmtId="170" fontId="50" fillId="0" borderId="0"/>
    <xf numFmtId="170" fontId="50" fillId="0" borderId="0"/>
    <xf numFmtId="178" fontId="13" fillId="0" borderId="0"/>
    <xf numFmtId="170" fontId="50" fillId="0" borderId="0"/>
    <xf numFmtId="170" fontId="50" fillId="0" borderId="0"/>
    <xf numFmtId="0" fontId="77" fillId="71" borderId="55" applyNumberFormat="0" applyFont="0" applyAlignment="0" applyProtection="0"/>
    <xf numFmtId="0" fontId="77" fillId="71" borderId="55" applyNumberFormat="0" applyFont="0" applyAlignment="0" applyProtection="0"/>
    <xf numFmtId="0" fontId="77" fillId="71" borderId="55" applyNumberFormat="0" applyFont="0" applyAlignment="0" applyProtection="0"/>
    <xf numFmtId="0" fontId="77" fillId="71" borderId="55" applyNumberFormat="0" applyFont="0" applyAlignment="0" applyProtection="0"/>
    <xf numFmtId="0" fontId="77" fillId="71" borderId="5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0" fontId="77" fillId="71" borderId="55" applyNumberFormat="0" applyFont="0" applyAlignment="0" applyProtection="0"/>
    <xf numFmtId="0" fontId="78" fillId="68" borderId="56" applyNumberFormat="0" applyAlignment="0" applyProtection="0"/>
    <xf numFmtId="0" fontId="78" fillId="68" borderId="56" applyNumberFormat="0" applyAlignment="0" applyProtection="0"/>
    <xf numFmtId="0" fontId="78" fillId="68" borderId="56" applyNumberFormat="0" applyAlignment="0" applyProtection="0"/>
    <xf numFmtId="0" fontId="78" fillId="68" borderId="56" applyNumberFormat="0" applyAlignment="0" applyProtection="0"/>
    <xf numFmtId="0" fontId="78" fillId="68" borderId="56" applyNumberFormat="0" applyAlignment="0" applyProtection="0"/>
    <xf numFmtId="170" fontId="79" fillId="23" borderId="42" applyNumberFormat="0" applyAlignment="0" applyProtection="0"/>
    <xf numFmtId="170" fontId="79" fillId="23" borderId="42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0" fontId="78" fillId="68" borderId="56" applyNumberFormat="0" applyAlignment="0" applyProtection="0"/>
    <xf numFmtId="4" fontId="42" fillId="2" borderId="0">
      <alignment horizontal="right"/>
    </xf>
    <xf numFmtId="178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170" fontId="80" fillId="2" borderId="0">
      <alignment horizontal="center" vertical="center"/>
    </xf>
    <xf numFmtId="170" fontId="80" fillId="2" borderId="0">
      <alignment horizontal="center" vertical="center"/>
    </xf>
    <xf numFmtId="0" fontId="80" fillId="2" borderId="0">
      <alignment horizontal="center" vertical="center"/>
    </xf>
    <xf numFmtId="178" fontId="39" fillId="2" borderId="33"/>
    <xf numFmtId="0" fontId="39" fillId="2" borderId="33"/>
    <xf numFmtId="0" fontId="39" fillId="2" borderId="33"/>
    <xf numFmtId="0" fontId="39" fillId="2" borderId="33"/>
    <xf numFmtId="0" fontId="39" fillId="2" borderId="33"/>
    <xf numFmtId="0" fontId="39" fillId="2" borderId="33"/>
    <xf numFmtId="0" fontId="39" fillId="2" borderId="33"/>
    <xf numFmtId="170" fontId="39" fillId="2" borderId="33"/>
    <xf numFmtId="170" fontId="39" fillId="2" borderId="33"/>
    <xf numFmtId="0" fontId="39" fillId="2" borderId="33"/>
    <xf numFmtId="178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170" fontId="80" fillId="2" borderId="0" applyBorder="0">
      <alignment horizontal="centerContinuous"/>
    </xf>
    <xf numFmtId="170" fontId="80" fillId="2" borderId="0" applyBorder="0">
      <alignment horizontal="centerContinuous"/>
    </xf>
    <xf numFmtId="0" fontId="80" fillId="2" borderId="0" applyBorder="0">
      <alignment horizontal="centerContinuous"/>
    </xf>
    <xf numFmtId="178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170" fontId="81" fillId="2" borderId="0" applyBorder="0">
      <alignment horizontal="centerContinuous"/>
    </xf>
    <xf numFmtId="170" fontId="81" fillId="2" borderId="0" applyBorder="0">
      <alignment horizontal="centerContinuous"/>
    </xf>
    <xf numFmtId="0" fontId="81" fillId="2" borderId="0" applyBorder="0">
      <alignment horizontal="centerContinuous"/>
    </xf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57" applyNumberFormat="0" applyFill="0" applyAlignment="0" applyProtection="0"/>
    <xf numFmtId="0" fontId="83" fillId="0" borderId="57" applyNumberFormat="0" applyFill="0" applyAlignment="0" applyProtection="0"/>
    <xf numFmtId="0" fontId="83" fillId="0" borderId="57" applyNumberFormat="0" applyFill="0" applyAlignment="0" applyProtection="0"/>
    <xf numFmtId="0" fontId="83" fillId="0" borderId="57" applyNumberFormat="0" applyFill="0" applyAlignment="0" applyProtection="0"/>
    <xf numFmtId="0" fontId="83" fillId="0" borderId="57" applyNumberFormat="0" applyFill="0" applyAlignment="0" applyProtection="0"/>
    <xf numFmtId="170" fontId="84" fillId="0" borderId="46" applyNumberFormat="0" applyFill="0" applyAlignment="0" applyProtection="0"/>
    <xf numFmtId="170" fontId="84" fillId="0" borderId="46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0" fontId="83" fillId="0" borderId="57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37" fontId="40" fillId="0" borderId="0"/>
    <xf numFmtId="0" fontId="13" fillId="0" borderId="0"/>
    <xf numFmtId="0" fontId="13" fillId="0" borderId="0"/>
    <xf numFmtId="44" fontId="49" fillId="0" borderId="0" applyFont="0" applyFill="0" applyBorder="0" applyAlignment="0" applyProtection="0"/>
    <xf numFmtId="178" fontId="13" fillId="0" borderId="0"/>
    <xf numFmtId="0" fontId="13" fillId="0" borderId="0"/>
    <xf numFmtId="41" fontId="47" fillId="0" borderId="0"/>
  </cellStyleXfs>
  <cellXfs count="1405">
    <xf numFmtId="0" fontId="0" fillId="0" borderId="0" xfId="0"/>
    <xf numFmtId="49" fontId="2" fillId="2" borderId="0" xfId="0" applyNumberFormat="1" applyFont="1" applyFill="1" applyAlignment="1">
      <alignment wrapText="1"/>
    </xf>
    <xf numFmtId="41" fontId="0" fillId="0" borderId="0" xfId="0" applyNumberFormat="1"/>
    <xf numFmtId="49" fontId="6" fillId="4" borderId="3" xfId="0" applyNumberFormat="1" applyFont="1" applyFill="1" applyBorder="1" applyAlignment="1">
      <alignment vertical="center" wrapText="1"/>
    </xf>
    <xf numFmtId="41" fontId="5" fillId="4" borderId="4" xfId="0" applyNumberFormat="1" applyFont="1" applyFill="1" applyBorder="1" applyAlignment="1">
      <alignment horizontal="center" vertical="center" wrapText="1"/>
    </xf>
    <xf numFmtId="49" fontId="5" fillId="4" borderId="4" xfId="0" applyNumberFormat="1" applyFont="1" applyFill="1" applyBorder="1" applyAlignment="1">
      <alignment horizontal="center" vertical="center" wrapText="1"/>
    </xf>
    <xf numFmtId="49" fontId="5" fillId="4" borderId="5" xfId="0" applyNumberFormat="1" applyFont="1" applyFill="1" applyBorder="1" applyAlignment="1">
      <alignment horizontal="center" vertical="center" wrapText="1"/>
    </xf>
    <xf numFmtId="49" fontId="8" fillId="4" borderId="7" xfId="0" applyNumberFormat="1" applyFont="1" applyFill="1" applyBorder="1" applyAlignment="1">
      <alignment horizontal="center" vertical="center" wrapText="1"/>
    </xf>
    <xf numFmtId="41" fontId="5" fillId="4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49" fontId="9" fillId="4" borderId="7" xfId="0" applyNumberFormat="1" applyFont="1" applyFill="1" applyBorder="1" applyAlignment="1">
      <alignment horizontal="left" vertical="center" wrapText="1"/>
    </xf>
    <xf numFmtId="41" fontId="9" fillId="0" borderId="1" xfId="0" applyNumberFormat="1" applyFont="1" applyFill="1" applyBorder="1" applyAlignment="1">
      <alignment horizontal="right" vertical="center" wrapText="1"/>
    </xf>
    <xf numFmtId="43" fontId="9" fillId="0" borderId="1" xfId="0" applyNumberFormat="1" applyFont="1" applyFill="1" applyBorder="1" applyAlignment="1">
      <alignment horizontal="right" vertical="center" wrapText="1"/>
    </xf>
    <xf numFmtId="43" fontId="9" fillId="0" borderId="8" xfId="0" applyNumberFormat="1" applyFont="1" applyFill="1" applyBorder="1" applyAlignment="1">
      <alignment horizontal="right" vertical="center" wrapText="1"/>
    </xf>
    <xf numFmtId="164" fontId="10" fillId="0" borderId="0" xfId="0" applyNumberFormat="1" applyFont="1"/>
    <xf numFmtId="49" fontId="5" fillId="4" borderId="7" xfId="0" applyNumberFormat="1" applyFont="1" applyFill="1" applyBorder="1" applyAlignment="1">
      <alignment horizontal="right" vertical="center" wrapText="1"/>
    </xf>
    <xf numFmtId="41" fontId="5" fillId="0" borderId="1" xfId="0" applyNumberFormat="1" applyFont="1" applyFill="1" applyBorder="1" applyAlignment="1">
      <alignment horizontal="right" vertical="center" wrapText="1"/>
    </xf>
    <xf numFmtId="43" fontId="5" fillId="0" borderId="1" xfId="0" applyNumberFormat="1" applyFont="1" applyFill="1" applyBorder="1" applyAlignment="1">
      <alignment horizontal="right" vertical="center" wrapText="1"/>
    </xf>
    <xf numFmtId="43" fontId="5" fillId="0" borderId="8" xfId="0" applyNumberFormat="1" applyFont="1" applyFill="1" applyBorder="1" applyAlignment="1">
      <alignment horizontal="right" vertical="center" wrapText="1"/>
    </xf>
    <xf numFmtId="0" fontId="11" fillId="0" borderId="0" xfId="0" applyFont="1"/>
    <xf numFmtId="41" fontId="12" fillId="0" borderId="1" xfId="0" applyNumberFormat="1" applyFont="1" applyFill="1" applyBorder="1" applyAlignment="1">
      <alignment horizontal="right" vertical="center" wrapText="1"/>
    </xf>
    <xf numFmtId="49" fontId="5" fillId="4" borderId="9" xfId="0" applyNumberFormat="1" applyFont="1" applyFill="1" applyBorder="1" applyAlignment="1">
      <alignment horizontal="right" vertical="center" wrapText="1"/>
    </xf>
    <xf numFmtId="43" fontId="14" fillId="0" borderId="0" xfId="0" applyNumberFormat="1" applyFont="1"/>
    <xf numFmtId="41" fontId="15" fillId="0" borderId="1" xfId="0" applyNumberFormat="1" applyFont="1" applyFill="1" applyBorder="1" applyAlignment="1">
      <alignment horizontal="right" vertical="center" wrapText="1"/>
    </xf>
    <xf numFmtId="41" fontId="15" fillId="0" borderId="1" xfId="0" applyNumberFormat="1" applyFont="1" applyFill="1" applyBorder="1" applyAlignment="1">
      <alignment horizontal="center" vertical="center" wrapText="1"/>
    </xf>
    <xf numFmtId="41" fontId="15" fillId="0" borderId="1" xfId="0" quotePrefix="1" applyNumberFormat="1" applyFont="1" applyFill="1" applyBorder="1" applyAlignment="1">
      <alignment horizontal="center" vertical="center" wrapText="1"/>
    </xf>
    <xf numFmtId="49" fontId="5" fillId="5" borderId="11" xfId="0" applyNumberFormat="1" applyFont="1" applyFill="1" applyBorder="1" applyAlignment="1">
      <alignment horizontal="right" vertical="center" wrapText="1"/>
    </xf>
    <xf numFmtId="41" fontId="5" fillId="5" borderId="1" xfId="0" applyNumberFormat="1" applyFont="1" applyFill="1" applyBorder="1" applyAlignment="1">
      <alignment horizontal="right" vertical="center" wrapText="1"/>
    </xf>
    <xf numFmtId="43" fontId="5" fillId="5" borderId="1" xfId="1" applyFont="1" applyFill="1" applyBorder="1" applyAlignment="1">
      <alignment horizontal="right" vertical="center" wrapText="1"/>
    </xf>
    <xf numFmtId="49" fontId="5" fillId="5" borderId="12" xfId="0" applyNumberFormat="1" applyFont="1" applyFill="1" applyBorder="1" applyAlignment="1">
      <alignment horizontal="right" vertical="center" wrapText="1"/>
    </xf>
    <xf numFmtId="41" fontId="5" fillId="5" borderId="13" xfId="0" applyNumberFormat="1" applyFont="1" applyFill="1" applyBorder="1" applyAlignment="1">
      <alignment horizontal="right" vertical="center" wrapText="1"/>
    </xf>
    <xf numFmtId="41" fontId="16" fillId="4" borderId="3" xfId="0" applyNumberFormat="1" applyFont="1" applyFill="1" applyBorder="1" applyAlignment="1">
      <alignment horizontal="left" vertical="center" wrapText="1"/>
    </xf>
    <xf numFmtId="41" fontId="16" fillId="4" borderId="4" xfId="0" applyNumberFormat="1" applyFont="1" applyFill="1" applyBorder="1" applyAlignment="1">
      <alignment horizontal="center" vertical="center" wrapText="1"/>
    </xf>
    <xf numFmtId="49" fontId="5" fillId="4" borderId="15" xfId="0" applyNumberFormat="1" applyFont="1" applyFill="1" applyBorder="1" applyAlignment="1">
      <alignment horizontal="right" vertical="center" wrapText="1"/>
    </xf>
    <xf numFmtId="49" fontId="5" fillId="5" borderId="11" xfId="0" applyNumberFormat="1" applyFont="1" applyFill="1" applyBorder="1" applyAlignment="1">
      <alignment horizontal="right" vertical="center"/>
    </xf>
    <xf numFmtId="41" fontId="12" fillId="0" borderId="0" xfId="0" applyNumberFormat="1" applyFont="1"/>
    <xf numFmtId="49" fontId="16" fillId="4" borderId="16" xfId="0" applyNumberFormat="1" applyFont="1" applyFill="1" applyBorder="1" applyAlignment="1">
      <alignment horizontal="left" vertical="center" wrapText="1"/>
    </xf>
    <xf numFmtId="49" fontId="5" fillId="4" borderId="17" xfId="0" applyNumberFormat="1" applyFont="1" applyFill="1" applyBorder="1" applyAlignment="1">
      <alignment horizontal="left" vertical="center" wrapText="1"/>
    </xf>
    <xf numFmtId="49" fontId="9" fillId="4" borderId="7" xfId="0" applyNumberFormat="1" applyFont="1" applyFill="1" applyBorder="1" applyAlignment="1">
      <alignment horizontal="right" vertical="center" wrapText="1"/>
    </xf>
    <xf numFmtId="43" fontId="5" fillId="5" borderId="12" xfId="1" applyFont="1" applyFill="1" applyBorder="1" applyAlignment="1">
      <alignment horizontal="right" vertical="center" wrapText="1"/>
    </xf>
    <xf numFmtId="165" fontId="5" fillId="5" borderId="13" xfId="1" applyNumberFormat="1" applyFont="1" applyFill="1" applyBorder="1" applyAlignment="1">
      <alignment horizontal="right" vertical="center" wrapText="1"/>
    </xf>
    <xf numFmtId="37" fontId="14" fillId="0" borderId="0" xfId="0" applyNumberFormat="1" applyFont="1" applyFill="1" applyBorder="1"/>
    <xf numFmtId="166" fontId="14" fillId="0" borderId="0" xfId="0" applyNumberFormat="1" applyFont="1" applyFill="1" applyBorder="1"/>
    <xf numFmtId="0" fontId="15" fillId="0" borderId="0" xfId="0" quotePrefix="1" applyFont="1"/>
    <xf numFmtId="0" fontId="12" fillId="0" borderId="0" xfId="0" applyFont="1"/>
    <xf numFmtId="0" fontId="15" fillId="0" borderId="0" xfId="0" applyFont="1"/>
    <xf numFmtId="43" fontId="9" fillId="0" borderId="1" xfId="1" applyFont="1" applyFill="1" applyBorder="1" applyAlignment="1">
      <alignment horizontal="right" vertical="center" wrapText="1"/>
    </xf>
    <xf numFmtId="43" fontId="9" fillId="0" borderId="8" xfId="1" applyFont="1" applyFill="1" applyBorder="1" applyAlignment="1">
      <alignment horizontal="right" vertical="center" wrapText="1"/>
    </xf>
    <xf numFmtId="43" fontId="5" fillId="0" borderId="1" xfId="1" applyFont="1" applyFill="1" applyBorder="1" applyAlignment="1">
      <alignment horizontal="right" vertical="center" wrapText="1"/>
    </xf>
    <xf numFmtId="43" fontId="5" fillId="5" borderId="8" xfId="1" applyFont="1" applyFill="1" applyBorder="1" applyAlignment="1">
      <alignment horizontal="right" vertical="center" wrapText="1"/>
    </xf>
    <xf numFmtId="43" fontId="5" fillId="5" borderId="13" xfId="1" applyFont="1" applyFill="1" applyBorder="1" applyAlignment="1">
      <alignment horizontal="right" vertical="center" wrapText="1"/>
    </xf>
    <xf numFmtId="43" fontId="5" fillId="5" borderId="14" xfId="1" applyFont="1" applyFill="1" applyBorder="1" applyAlignment="1">
      <alignment horizontal="right" vertical="center" wrapText="1"/>
    </xf>
    <xf numFmtId="165" fontId="5" fillId="5" borderId="1" xfId="1" applyNumberFormat="1" applyFont="1" applyFill="1" applyBorder="1" applyAlignment="1">
      <alignment horizontal="right" vertical="center" wrapText="1"/>
    </xf>
    <xf numFmtId="43" fontId="12" fillId="0" borderId="0" xfId="1" applyFont="1"/>
    <xf numFmtId="0" fontId="17" fillId="0" borderId="0" xfId="2"/>
    <xf numFmtId="0" fontId="17" fillId="0" borderId="0" xfId="2" applyAlignment="1">
      <alignment horizontal="center" wrapText="1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18" fillId="0" borderId="0" xfId="0" applyFont="1"/>
    <xf numFmtId="0" fontId="18" fillId="0" borderId="0" xfId="0" applyFont="1" applyAlignment="1"/>
    <xf numFmtId="49" fontId="18" fillId="6" borderId="20" xfId="0" applyNumberFormat="1" applyFont="1" applyFill="1" applyBorder="1" applyAlignment="1">
      <alignment horizontal="right" vertical="center"/>
    </xf>
    <xf numFmtId="49" fontId="18" fillId="6" borderId="18" xfId="0" applyNumberFormat="1" applyFont="1" applyFill="1" applyBorder="1" applyAlignment="1">
      <alignment vertical="center" wrapText="1"/>
    </xf>
    <xf numFmtId="49" fontId="18" fillId="6" borderId="22" xfId="0" applyNumberFormat="1" applyFont="1" applyFill="1" applyBorder="1" applyAlignment="1">
      <alignment vertical="center" wrapText="1"/>
    </xf>
    <xf numFmtId="49" fontId="18" fillId="6" borderId="19" xfId="0" applyNumberFormat="1" applyFont="1" applyFill="1" applyBorder="1" applyAlignment="1">
      <alignment vertical="center" wrapText="1"/>
    </xf>
    <xf numFmtId="0" fontId="18" fillId="0" borderId="0" xfId="0" applyFont="1" applyAlignment="1">
      <alignment wrapText="1"/>
    </xf>
    <xf numFmtId="49" fontId="19" fillId="6" borderId="20" xfId="0" applyNumberFormat="1" applyFont="1" applyFill="1" applyBorder="1" applyAlignment="1">
      <alignment horizontal="left" vertical="center" wrapText="1"/>
    </xf>
    <xf numFmtId="167" fontId="19" fillId="7" borderId="20" xfId="0" applyNumberFormat="1" applyFont="1" applyFill="1" applyBorder="1" applyAlignment="1">
      <alignment horizontal="right" vertical="center" wrapText="1"/>
    </xf>
    <xf numFmtId="168" fontId="19" fillId="7" borderId="20" xfId="0" applyNumberFormat="1" applyFont="1" applyFill="1" applyBorder="1" applyAlignment="1">
      <alignment horizontal="right" vertical="center" wrapText="1"/>
    </xf>
    <xf numFmtId="49" fontId="19" fillId="7" borderId="20" xfId="0" applyNumberFormat="1" applyFont="1" applyFill="1" applyBorder="1" applyAlignment="1">
      <alignment horizontal="right" vertical="center" wrapText="1"/>
    </xf>
    <xf numFmtId="167" fontId="19" fillId="8" borderId="20" xfId="0" applyNumberFormat="1" applyFont="1" applyFill="1" applyBorder="1" applyAlignment="1">
      <alignment horizontal="right" vertical="center" wrapText="1"/>
    </xf>
    <xf numFmtId="168" fontId="19" fillId="8" borderId="20" xfId="0" applyNumberFormat="1" applyFont="1" applyFill="1" applyBorder="1" applyAlignment="1">
      <alignment horizontal="right" vertical="center" wrapText="1"/>
    </xf>
    <xf numFmtId="49" fontId="19" fillId="8" borderId="20" xfId="0" applyNumberFormat="1" applyFont="1" applyFill="1" applyBorder="1" applyAlignment="1">
      <alignment horizontal="right" vertical="center" wrapText="1"/>
    </xf>
    <xf numFmtId="49" fontId="19" fillId="6" borderId="20" xfId="0" applyNumberFormat="1" applyFont="1" applyFill="1" applyBorder="1" applyAlignment="1">
      <alignment horizontal="right" vertical="center" wrapText="1"/>
    </xf>
    <xf numFmtId="49" fontId="19" fillId="6" borderId="20" xfId="0" applyNumberFormat="1" applyFont="1" applyFill="1" applyBorder="1" applyAlignment="1">
      <alignment horizontal="left" vertical="center"/>
    </xf>
    <xf numFmtId="49" fontId="19" fillId="6" borderId="18" xfId="0" applyNumberFormat="1" applyFont="1" applyFill="1" applyBorder="1" applyAlignment="1">
      <alignment vertical="center"/>
    </xf>
    <xf numFmtId="49" fontId="19" fillId="6" borderId="19" xfId="0" applyNumberFormat="1" applyFont="1" applyFill="1" applyBorder="1" applyAlignment="1">
      <alignment vertical="center"/>
    </xf>
    <xf numFmtId="49" fontId="19" fillId="6" borderId="20" xfId="0" applyNumberFormat="1" applyFont="1" applyFill="1" applyBorder="1" applyAlignment="1">
      <alignment horizontal="right" vertical="center"/>
    </xf>
    <xf numFmtId="0" fontId="13" fillId="0" borderId="0" xfId="5"/>
    <xf numFmtId="49" fontId="2" fillId="2" borderId="0" xfId="5" applyNumberFormat="1" applyFont="1" applyFill="1" applyAlignment="1">
      <alignment wrapText="1"/>
    </xf>
    <xf numFmtId="41" fontId="13" fillId="0" borderId="0" xfId="5" applyNumberFormat="1"/>
    <xf numFmtId="49" fontId="6" fillId="4" borderId="3" xfId="5" applyNumberFormat="1" applyFont="1" applyFill="1" applyBorder="1" applyAlignment="1">
      <alignment vertical="center" wrapText="1"/>
    </xf>
    <xf numFmtId="41" fontId="5" fillId="4" borderId="4" xfId="5" applyNumberFormat="1" applyFont="1" applyFill="1" applyBorder="1" applyAlignment="1">
      <alignment horizontal="center" vertical="center" wrapText="1"/>
    </xf>
    <xf numFmtId="49" fontId="5" fillId="4" borderId="4" xfId="5" applyNumberFormat="1" applyFont="1" applyFill="1" applyBorder="1" applyAlignment="1">
      <alignment horizontal="center" vertical="center" wrapText="1"/>
    </xf>
    <xf numFmtId="49" fontId="5" fillId="4" borderId="5" xfId="5" applyNumberFormat="1" applyFont="1" applyFill="1" applyBorder="1" applyAlignment="1">
      <alignment horizontal="center" vertical="center" wrapText="1"/>
    </xf>
    <xf numFmtId="49" fontId="8" fillId="4" borderId="7" xfId="5" applyNumberFormat="1" applyFont="1" applyFill="1" applyBorder="1" applyAlignment="1">
      <alignment horizontal="center" vertical="center" wrapText="1"/>
    </xf>
    <xf numFmtId="41" fontId="5" fillId="4" borderId="1" xfId="5" applyNumberFormat="1" applyFont="1" applyFill="1" applyBorder="1" applyAlignment="1">
      <alignment horizontal="center" vertical="center" wrapText="1"/>
    </xf>
    <xf numFmtId="49" fontId="5" fillId="4" borderId="1" xfId="5" applyNumberFormat="1" applyFont="1" applyFill="1" applyBorder="1" applyAlignment="1">
      <alignment horizontal="center" vertical="center" wrapText="1"/>
    </xf>
    <xf numFmtId="49" fontId="5" fillId="4" borderId="8" xfId="5" applyNumberFormat="1" applyFont="1" applyFill="1" applyBorder="1" applyAlignment="1">
      <alignment horizontal="center" vertical="center" wrapText="1"/>
    </xf>
    <xf numFmtId="49" fontId="9" fillId="4" borderId="7" xfId="5" applyNumberFormat="1" applyFont="1" applyFill="1" applyBorder="1" applyAlignment="1">
      <alignment horizontal="left" vertical="center" wrapText="1"/>
    </xf>
    <xf numFmtId="41" fontId="9" fillId="0" borderId="1" xfId="5" applyNumberFormat="1" applyFont="1" applyFill="1" applyBorder="1" applyAlignment="1">
      <alignment horizontal="right" vertical="center" wrapText="1"/>
    </xf>
    <xf numFmtId="43" fontId="9" fillId="0" borderId="1" xfId="5" applyNumberFormat="1" applyFont="1" applyFill="1" applyBorder="1" applyAlignment="1">
      <alignment horizontal="right" vertical="center" wrapText="1"/>
    </xf>
    <xf numFmtId="43" fontId="9" fillId="0" borderId="8" xfId="5" applyNumberFormat="1" applyFont="1" applyFill="1" applyBorder="1" applyAlignment="1">
      <alignment horizontal="right" vertical="center" wrapText="1"/>
    </xf>
    <xf numFmtId="164" fontId="10" fillId="0" borderId="0" xfId="5" applyNumberFormat="1" applyFont="1"/>
    <xf numFmtId="49" fontId="5" fillId="4" borderId="7" xfId="5" applyNumberFormat="1" applyFont="1" applyFill="1" applyBorder="1" applyAlignment="1">
      <alignment horizontal="right" vertical="center" wrapText="1"/>
    </xf>
    <xf numFmtId="41" fontId="5" fillId="0" borderId="1" xfId="5" applyNumberFormat="1" applyFont="1" applyFill="1" applyBorder="1" applyAlignment="1">
      <alignment horizontal="right" vertical="center" wrapText="1"/>
    </xf>
    <xf numFmtId="43" fontId="5" fillId="0" borderId="1" xfId="5" applyNumberFormat="1" applyFont="1" applyFill="1" applyBorder="1" applyAlignment="1">
      <alignment horizontal="right" vertical="center" wrapText="1"/>
    </xf>
    <xf numFmtId="43" fontId="5" fillId="0" borderId="8" xfId="5" applyNumberFormat="1" applyFont="1" applyFill="1" applyBorder="1" applyAlignment="1">
      <alignment horizontal="right" vertical="center" wrapText="1"/>
    </xf>
    <xf numFmtId="0" fontId="11" fillId="0" borderId="0" xfId="5" applyFont="1"/>
    <xf numFmtId="41" fontId="12" fillId="0" borderId="1" xfId="5" applyNumberFormat="1" applyFont="1" applyFill="1" applyBorder="1" applyAlignment="1">
      <alignment horizontal="right" vertical="center" wrapText="1"/>
    </xf>
    <xf numFmtId="49" fontId="5" fillId="4" borderId="9" xfId="5" applyNumberFormat="1" applyFont="1" applyFill="1" applyBorder="1" applyAlignment="1">
      <alignment horizontal="right" vertical="center" wrapText="1"/>
    </xf>
    <xf numFmtId="43" fontId="14" fillId="0" borderId="0" xfId="5" applyNumberFormat="1" applyFont="1"/>
    <xf numFmtId="41" fontId="15" fillId="0" borderId="1" xfId="5" applyNumberFormat="1" applyFont="1" applyFill="1" applyBorder="1" applyAlignment="1">
      <alignment horizontal="right" vertical="center" wrapText="1"/>
    </xf>
    <xf numFmtId="41" fontId="15" fillId="0" borderId="1" xfId="5" applyNumberFormat="1" applyFont="1" applyFill="1" applyBorder="1" applyAlignment="1">
      <alignment horizontal="center" vertical="center" wrapText="1"/>
    </xf>
    <xf numFmtId="41" fontId="15" fillId="0" borderId="1" xfId="5" quotePrefix="1" applyNumberFormat="1" applyFont="1" applyFill="1" applyBorder="1" applyAlignment="1">
      <alignment horizontal="center" vertical="center" wrapText="1"/>
    </xf>
    <xf numFmtId="49" fontId="5" fillId="5" borderId="11" xfId="5" applyNumberFormat="1" applyFont="1" applyFill="1" applyBorder="1" applyAlignment="1">
      <alignment horizontal="right" vertical="center" wrapText="1"/>
    </xf>
    <xf numFmtId="41" fontId="5" fillId="5" borderId="1" xfId="5" applyNumberFormat="1" applyFont="1" applyFill="1" applyBorder="1" applyAlignment="1">
      <alignment horizontal="right" vertical="center" wrapText="1"/>
    </xf>
    <xf numFmtId="49" fontId="5" fillId="5" borderId="12" xfId="5" applyNumberFormat="1" applyFont="1" applyFill="1" applyBorder="1" applyAlignment="1">
      <alignment horizontal="right" vertical="center" wrapText="1"/>
    </xf>
    <xf numFmtId="41" fontId="5" fillId="5" borderId="13" xfId="5" applyNumberFormat="1" applyFont="1" applyFill="1" applyBorder="1" applyAlignment="1">
      <alignment horizontal="right" vertical="center" wrapText="1"/>
    </xf>
    <xf numFmtId="41" fontId="16" fillId="4" borderId="3" xfId="5" applyNumberFormat="1" applyFont="1" applyFill="1" applyBorder="1" applyAlignment="1">
      <alignment horizontal="left" vertical="center" wrapText="1"/>
    </xf>
    <xf numFmtId="41" fontId="16" fillId="4" borderId="4" xfId="5" applyNumberFormat="1" applyFont="1" applyFill="1" applyBorder="1" applyAlignment="1">
      <alignment horizontal="center" vertical="center" wrapText="1"/>
    </xf>
    <xf numFmtId="49" fontId="5" fillId="4" borderId="15" xfId="5" applyNumberFormat="1" applyFont="1" applyFill="1" applyBorder="1" applyAlignment="1">
      <alignment horizontal="right" vertical="center" wrapText="1"/>
    </xf>
    <xf numFmtId="49" fontId="5" fillId="5" borderId="11" xfId="5" applyNumberFormat="1" applyFont="1" applyFill="1" applyBorder="1" applyAlignment="1">
      <alignment horizontal="right" vertical="center"/>
    </xf>
    <xf numFmtId="41" fontId="12" fillId="0" borderId="0" xfId="5" applyNumberFormat="1" applyFont="1"/>
    <xf numFmtId="49" fontId="16" fillId="4" borderId="16" xfId="5" applyNumberFormat="1" applyFont="1" applyFill="1" applyBorder="1" applyAlignment="1">
      <alignment horizontal="left" vertical="center" wrapText="1"/>
    </xf>
    <xf numFmtId="49" fontId="5" fillId="4" borderId="17" xfId="5" applyNumberFormat="1" applyFont="1" applyFill="1" applyBorder="1" applyAlignment="1">
      <alignment horizontal="left" vertical="center" wrapText="1"/>
    </xf>
    <xf numFmtId="49" fontId="9" fillId="4" borderId="7" xfId="5" applyNumberFormat="1" applyFont="1" applyFill="1" applyBorder="1" applyAlignment="1">
      <alignment horizontal="right" vertical="center" wrapText="1"/>
    </xf>
    <xf numFmtId="37" fontId="14" fillId="0" borderId="0" xfId="5" applyNumberFormat="1" applyFont="1" applyFill="1" applyBorder="1"/>
    <xf numFmtId="166" fontId="14" fillId="0" borderId="0" xfId="5" applyNumberFormat="1" applyFont="1" applyFill="1" applyBorder="1"/>
    <xf numFmtId="0" fontId="15" fillId="0" borderId="0" xfId="5" quotePrefix="1" applyFont="1"/>
    <xf numFmtId="0" fontId="12" fillId="0" borderId="0" xfId="5" applyFont="1"/>
    <xf numFmtId="0" fontId="15" fillId="0" borderId="0" xfId="5" applyFont="1"/>
    <xf numFmtId="0" fontId="13" fillId="0" borderId="0" xfId="5" applyFont="1"/>
    <xf numFmtId="41" fontId="13" fillId="0" borderId="0" xfId="5" applyNumberFormat="1" applyFont="1"/>
    <xf numFmtId="49" fontId="24" fillId="11" borderId="3" xfId="5" applyNumberFormat="1" applyFont="1" applyFill="1" applyBorder="1" applyAlignment="1">
      <alignment vertical="center" wrapText="1"/>
    </xf>
    <xf numFmtId="41" fontId="8" fillId="11" borderId="4" xfId="5" applyNumberFormat="1" applyFont="1" applyFill="1" applyBorder="1" applyAlignment="1">
      <alignment horizontal="center" vertical="center" wrapText="1"/>
    </xf>
    <xf numFmtId="41" fontId="25" fillId="11" borderId="4" xfId="5" applyNumberFormat="1" applyFont="1" applyFill="1" applyBorder="1" applyAlignment="1">
      <alignment horizontal="center" vertical="center" wrapText="1"/>
    </xf>
    <xf numFmtId="49" fontId="25" fillId="11" borderId="4" xfId="5" applyNumberFormat="1" applyFont="1" applyFill="1" applyBorder="1" applyAlignment="1">
      <alignment horizontal="center" vertical="center" wrapText="1"/>
    </xf>
    <xf numFmtId="49" fontId="25" fillId="11" borderId="5" xfId="5" applyNumberFormat="1" applyFont="1" applyFill="1" applyBorder="1" applyAlignment="1">
      <alignment horizontal="center" vertical="center" wrapText="1"/>
    </xf>
    <xf numFmtId="49" fontId="25" fillId="11" borderId="7" xfId="5" applyNumberFormat="1" applyFont="1" applyFill="1" applyBorder="1" applyAlignment="1">
      <alignment horizontal="center" vertical="center" wrapText="1"/>
    </xf>
    <xf numFmtId="41" fontId="8" fillId="11" borderId="1" xfId="5" applyNumberFormat="1" applyFont="1" applyFill="1" applyBorder="1" applyAlignment="1">
      <alignment horizontal="center" vertical="center" wrapText="1"/>
    </xf>
    <xf numFmtId="41" fontId="25" fillId="11" borderId="1" xfId="5" applyNumberFormat="1" applyFont="1" applyFill="1" applyBorder="1" applyAlignment="1">
      <alignment horizontal="center" vertical="center" wrapText="1"/>
    </xf>
    <xf numFmtId="49" fontId="25" fillId="11" borderId="1" xfId="5" applyNumberFormat="1" applyFont="1" applyFill="1" applyBorder="1" applyAlignment="1">
      <alignment horizontal="center" vertical="center" wrapText="1"/>
    </xf>
    <xf numFmtId="49" fontId="25" fillId="11" borderId="8" xfId="5" applyNumberFormat="1" applyFont="1" applyFill="1" applyBorder="1" applyAlignment="1">
      <alignment horizontal="center" vertical="center" wrapText="1"/>
    </xf>
    <xf numFmtId="49" fontId="25" fillId="0" borderId="23" xfId="5" applyNumberFormat="1" applyFont="1" applyFill="1" applyBorder="1" applyAlignment="1">
      <alignment horizontal="center" vertical="center" wrapText="1"/>
    </xf>
    <xf numFmtId="49" fontId="27" fillId="11" borderId="7" xfId="5" applyNumberFormat="1" applyFont="1" applyFill="1" applyBorder="1" applyAlignment="1">
      <alignment horizontal="left" vertical="center" wrapText="1"/>
    </xf>
    <xf numFmtId="43" fontId="12" fillId="0" borderId="1" xfId="5" applyNumberFormat="1" applyFont="1" applyFill="1" applyBorder="1" applyAlignment="1">
      <alignment horizontal="right" vertical="center" wrapText="1"/>
    </xf>
    <xf numFmtId="43" fontId="12" fillId="0" borderId="1" xfId="1" applyFont="1" applyFill="1" applyBorder="1" applyAlignment="1">
      <alignment horizontal="right" vertical="center" wrapText="1"/>
    </xf>
    <xf numFmtId="43" fontId="12" fillId="0" borderId="8" xfId="5" applyNumberFormat="1" applyFont="1" applyFill="1" applyBorder="1" applyAlignment="1">
      <alignment horizontal="right" vertical="center" wrapText="1"/>
    </xf>
    <xf numFmtId="164" fontId="14" fillId="0" borderId="0" xfId="5" applyNumberFormat="1" applyFont="1"/>
    <xf numFmtId="49" fontId="25" fillId="11" borderId="7" xfId="5" applyNumberFormat="1" applyFont="1" applyFill="1" applyBorder="1" applyAlignment="1">
      <alignment horizontal="right" vertical="center" wrapText="1"/>
    </xf>
    <xf numFmtId="41" fontId="25" fillId="0" borderId="1" xfId="5" applyNumberFormat="1" applyFont="1" applyFill="1" applyBorder="1" applyAlignment="1" applyProtection="1">
      <alignment horizontal="right" vertical="center" wrapText="1"/>
      <protection locked="0"/>
    </xf>
    <xf numFmtId="41" fontId="8" fillId="0" borderId="1" xfId="5" applyNumberFormat="1" applyFont="1" applyFill="1" applyBorder="1" applyAlignment="1" applyProtection="1">
      <alignment horizontal="right" vertical="center" wrapText="1"/>
    </xf>
    <xf numFmtId="43" fontId="8" fillId="0" borderId="1" xfId="1" applyFont="1" applyFill="1" applyBorder="1" applyAlignment="1" applyProtection="1">
      <alignment horizontal="right" vertical="center" wrapText="1"/>
    </xf>
    <xf numFmtId="43" fontId="8" fillId="0" borderId="8" xfId="1" applyFont="1" applyFill="1" applyBorder="1" applyAlignment="1" applyProtection="1">
      <alignment horizontal="right" vertical="center" wrapText="1"/>
    </xf>
    <xf numFmtId="41" fontId="8" fillId="0" borderId="1" xfId="5" applyNumberFormat="1" applyFont="1" applyFill="1" applyBorder="1" applyAlignment="1">
      <alignment horizontal="right" vertical="center" wrapText="1"/>
    </xf>
    <xf numFmtId="41" fontId="12" fillId="0" borderId="1" xfId="5" applyNumberFormat="1" applyFont="1" applyFill="1" applyBorder="1" applyAlignment="1" applyProtection="1">
      <alignment horizontal="right" vertical="center" wrapText="1"/>
      <protection locked="0"/>
    </xf>
    <xf numFmtId="41" fontId="12" fillId="0" borderId="1" xfId="5" applyNumberFormat="1" applyFont="1" applyFill="1" applyBorder="1" applyAlignment="1" applyProtection="1">
      <alignment horizontal="right" vertical="center" wrapText="1"/>
    </xf>
    <xf numFmtId="43" fontId="12" fillId="0" borderId="1" xfId="1" applyFont="1" applyFill="1" applyBorder="1" applyAlignment="1" applyProtection="1">
      <alignment horizontal="right" vertical="center" wrapText="1"/>
    </xf>
    <xf numFmtId="43" fontId="12" fillId="0" borderId="8" xfId="1" applyFont="1" applyFill="1" applyBorder="1" applyAlignment="1" applyProtection="1">
      <alignment horizontal="right" vertical="center" wrapText="1"/>
    </xf>
    <xf numFmtId="49" fontId="25" fillId="11" borderId="9" xfId="5" applyNumberFormat="1" applyFont="1" applyFill="1" applyBorder="1" applyAlignment="1">
      <alignment horizontal="right" vertical="center" wrapText="1"/>
    </xf>
    <xf numFmtId="43" fontId="8" fillId="0" borderId="1" xfId="5" applyNumberFormat="1" applyFont="1" applyFill="1" applyBorder="1" applyAlignment="1" applyProtection="1">
      <alignment horizontal="right" vertical="center" wrapText="1"/>
    </xf>
    <xf numFmtId="43" fontId="8" fillId="0" borderId="8" xfId="5" applyNumberFormat="1" applyFont="1" applyFill="1" applyBorder="1" applyAlignment="1" applyProtection="1">
      <alignment horizontal="right" vertical="center" wrapText="1"/>
    </xf>
    <xf numFmtId="49" fontId="8" fillId="11" borderId="9" xfId="5" applyNumberFormat="1" applyFont="1" applyFill="1" applyBorder="1" applyAlignment="1">
      <alignment horizontal="right" vertical="center" wrapText="1"/>
    </xf>
    <xf numFmtId="43" fontId="8" fillId="0" borderId="1" xfId="5" applyNumberFormat="1" applyFont="1" applyFill="1" applyBorder="1" applyAlignment="1">
      <alignment horizontal="right" vertical="center" wrapText="1"/>
    </xf>
    <xf numFmtId="43" fontId="8" fillId="0" borderId="8" xfId="5" applyNumberFormat="1" applyFont="1" applyFill="1" applyBorder="1" applyAlignment="1">
      <alignment horizontal="right" vertical="center" wrapText="1"/>
    </xf>
    <xf numFmtId="41" fontId="25" fillId="0" borderId="1" xfId="5" quotePrefix="1" applyNumberFormat="1" applyFont="1" applyFill="1" applyBorder="1" applyAlignment="1">
      <alignment horizontal="center" vertical="center" wrapText="1"/>
    </xf>
    <xf numFmtId="43" fontId="25" fillId="0" borderId="1" xfId="5" applyNumberFormat="1" applyFont="1" applyFill="1" applyBorder="1" applyAlignment="1" applyProtection="1">
      <alignment horizontal="right" vertical="center" wrapText="1"/>
      <protection locked="0"/>
    </xf>
    <xf numFmtId="41" fontId="8" fillId="0" borderId="1" xfId="5" applyNumberFormat="1" applyFont="1" applyFill="1" applyBorder="1" applyAlignment="1" applyProtection="1">
      <alignment horizontal="right" vertical="center" wrapText="1"/>
      <protection locked="0"/>
    </xf>
    <xf numFmtId="43" fontId="8" fillId="0" borderId="1" xfId="5" applyNumberFormat="1" applyFont="1" applyFill="1" applyBorder="1" applyAlignment="1" applyProtection="1">
      <alignment horizontal="right" vertical="center" wrapText="1"/>
      <protection locked="0"/>
    </xf>
    <xf numFmtId="43" fontId="8" fillId="0" borderId="1" xfId="1" applyFont="1" applyFill="1" applyBorder="1" applyAlignment="1">
      <alignment horizontal="right" vertical="center" wrapText="1"/>
    </xf>
    <xf numFmtId="43" fontId="25" fillId="0" borderId="1" xfId="1" applyFont="1" applyFill="1" applyBorder="1" applyAlignment="1" applyProtection="1">
      <alignment horizontal="right" vertical="center" wrapText="1"/>
      <protection locked="0"/>
    </xf>
    <xf numFmtId="43" fontId="25" fillId="0" borderId="1" xfId="5" applyNumberFormat="1" applyFont="1" applyFill="1" applyBorder="1" applyAlignment="1">
      <alignment horizontal="right" vertical="center" wrapText="1"/>
    </xf>
    <xf numFmtId="49" fontId="25" fillId="5" borderId="11" xfId="5" applyNumberFormat="1" applyFont="1" applyFill="1" applyBorder="1" applyAlignment="1">
      <alignment horizontal="right" vertical="center" wrapText="1"/>
    </xf>
    <xf numFmtId="41" fontId="8" fillId="5" borderId="1" xfId="5" applyNumberFormat="1" applyFont="1" applyFill="1" applyBorder="1" applyAlignment="1">
      <alignment horizontal="right" vertical="center" wrapText="1"/>
    </xf>
    <xf numFmtId="43" fontId="8" fillId="5" borderId="1" xfId="1" applyFont="1" applyFill="1" applyBorder="1" applyAlignment="1">
      <alignment horizontal="right" vertical="center" wrapText="1"/>
    </xf>
    <xf numFmtId="43" fontId="8" fillId="5" borderId="8" xfId="1" applyFont="1" applyFill="1" applyBorder="1" applyAlignment="1">
      <alignment horizontal="right" vertical="center" wrapText="1"/>
    </xf>
    <xf numFmtId="41" fontId="25" fillId="5" borderId="1" xfId="5" applyNumberFormat="1" applyFont="1" applyFill="1" applyBorder="1" applyAlignment="1" applyProtection="1">
      <alignment horizontal="right" vertical="center" wrapText="1"/>
      <protection locked="0"/>
    </xf>
    <xf numFmtId="43" fontId="25" fillId="5" borderId="1" xfId="1" applyFont="1" applyFill="1" applyBorder="1" applyAlignment="1" applyProtection="1">
      <alignment horizontal="right" vertical="center" wrapText="1"/>
      <protection locked="0"/>
    </xf>
    <xf numFmtId="49" fontId="25" fillId="5" borderId="12" xfId="5" applyNumberFormat="1" applyFont="1" applyFill="1" applyBorder="1" applyAlignment="1">
      <alignment horizontal="right" vertical="center" wrapText="1"/>
    </xf>
    <xf numFmtId="41" fontId="8" fillId="5" borderId="13" xfId="5" applyNumberFormat="1" applyFont="1" applyFill="1" applyBorder="1" applyAlignment="1">
      <alignment horizontal="right" vertical="center" wrapText="1"/>
    </xf>
    <xf numFmtId="165" fontId="8" fillId="5" borderId="13" xfId="1" applyNumberFormat="1" applyFont="1" applyFill="1" applyBorder="1" applyAlignment="1">
      <alignment horizontal="right" vertical="center" wrapText="1"/>
    </xf>
    <xf numFmtId="43" fontId="8" fillId="5" borderId="13" xfId="1" applyFont="1" applyFill="1" applyBorder="1" applyAlignment="1">
      <alignment horizontal="right" vertical="center" wrapText="1"/>
    </xf>
    <xf numFmtId="43" fontId="8" fillId="5" borderId="14" xfId="1" applyFont="1" applyFill="1" applyBorder="1" applyAlignment="1">
      <alignment horizontal="right" vertical="center" wrapText="1"/>
    </xf>
    <xf numFmtId="41" fontId="24" fillId="11" borderId="3" xfId="5" applyNumberFormat="1" applyFont="1" applyFill="1" applyBorder="1" applyAlignment="1">
      <alignment horizontal="left" vertical="center" wrapText="1"/>
    </xf>
    <xf numFmtId="41" fontId="16" fillId="11" borderId="4" xfId="5" applyNumberFormat="1" applyFont="1" applyFill="1" applyBorder="1" applyAlignment="1">
      <alignment horizontal="center" vertical="center" wrapText="1"/>
    </xf>
    <xf numFmtId="49" fontId="8" fillId="11" borderId="7" xfId="5" applyNumberFormat="1" applyFont="1" applyFill="1" applyBorder="1" applyAlignment="1">
      <alignment horizontal="center" vertical="center" wrapText="1"/>
    </xf>
    <xf numFmtId="43" fontId="12" fillId="0" borderId="8" xfId="1" applyFont="1" applyFill="1" applyBorder="1" applyAlignment="1">
      <alignment horizontal="right" vertical="center" wrapText="1"/>
    </xf>
    <xf numFmtId="49" fontId="25" fillId="11" borderId="15" xfId="5" applyNumberFormat="1" applyFont="1" applyFill="1" applyBorder="1" applyAlignment="1">
      <alignment horizontal="right" vertical="center" wrapText="1"/>
    </xf>
    <xf numFmtId="41" fontId="28" fillId="0" borderId="1" xfId="5" applyNumberFormat="1" applyFont="1" applyFill="1" applyBorder="1" applyAlignment="1" applyProtection="1">
      <alignment horizontal="right" vertical="center" wrapText="1"/>
      <protection locked="0"/>
    </xf>
    <xf numFmtId="41" fontId="28" fillId="0" borderId="1" xfId="5" applyNumberFormat="1" applyFont="1" applyFill="1" applyBorder="1" applyAlignment="1">
      <alignment horizontal="right" vertical="center" wrapText="1"/>
    </xf>
    <xf numFmtId="43" fontId="27" fillId="0" borderId="1" xfId="1" applyFont="1" applyFill="1" applyBorder="1" applyAlignment="1">
      <alignment horizontal="right" vertical="center" wrapText="1"/>
    </xf>
    <xf numFmtId="41" fontId="27" fillId="0" borderId="1" xfId="5" applyNumberFormat="1" applyFont="1" applyFill="1" applyBorder="1" applyAlignment="1">
      <alignment horizontal="right" vertical="center" wrapText="1"/>
    </xf>
    <xf numFmtId="49" fontId="25" fillId="5" borderId="11" xfId="5" applyNumberFormat="1" applyFont="1" applyFill="1" applyBorder="1" applyAlignment="1">
      <alignment horizontal="right" vertical="center"/>
    </xf>
    <xf numFmtId="165" fontId="8" fillId="5" borderId="1" xfId="1" applyNumberFormat="1" applyFont="1" applyFill="1" applyBorder="1" applyAlignment="1">
      <alignment horizontal="right" vertical="center" wrapText="1"/>
    </xf>
    <xf numFmtId="43" fontId="8" fillId="5" borderId="1" xfId="1" applyFont="1" applyFill="1" applyBorder="1" applyAlignment="1" applyProtection="1">
      <alignment horizontal="right" vertical="center" wrapText="1"/>
      <protection locked="0"/>
    </xf>
    <xf numFmtId="43" fontId="8" fillId="5" borderId="8" xfId="1" applyFont="1" applyFill="1" applyBorder="1" applyAlignment="1" applyProtection="1">
      <alignment horizontal="right" vertical="center" wrapText="1"/>
      <protection locked="0"/>
    </xf>
    <xf numFmtId="49" fontId="24" fillId="11" borderId="16" xfId="5" applyNumberFormat="1" applyFont="1" applyFill="1" applyBorder="1" applyAlignment="1">
      <alignment horizontal="left" vertical="center" wrapText="1"/>
    </xf>
    <xf numFmtId="49" fontId="8" fillId="11" borderId="17" xfId="5" applyNumberFormat="1" applyFont="1" applyFill="1" applyBorder="1" applyAlignment="1">
      <alignment horizontal="left" vertical="center" wrapText="1"/>
    </xf>
    <xf numFmtId="43" fontId="14" fillId="0" borderId="0" xfId="5" applyNumberFormat="1" applyFont="1" applyAlignment="1">
      <alignment horizontal="left"/>
    </xf>
    <xf numFmtId="49" fontId="27" fillId="11" borderId="7" xfId="5" applyNumberFormat="1" applyFont="1" applyFill="1" applyBorder="1" applyAlignment="1">
      <alignment horizontal="right" vertical="center" wrapText="1"/>
    </xf>
    <xf numFmtId="43" fontId="13" fillId="0" borderId="0" xfId="1" applyFont="1"/>
    <xf numFmtId="43" fontId="25" fillId="5" borderId="12" xfId="1" applyFont="1" applyFill="1" applyBorder="1" applyAlignment="1">
      <alignment horizontal="right" vertical="center" wrapText="1"/>
    </xf>
    <xf numFmtId="0" fontId="25" fillId="0" borderId="0" xfId="5" quotePrefix="1" applyFont="1"/>
    <xf numFmtId="41" fontId="27" fillId="0" borderId="0" xfId="5" applyNumberFormat="1" applyFont="1"/>
    <xf numFmtId="0" fontId="8" fillId="0" borderId="0" xfId="5" applyFont="1"/>
    <xf numFmtId="0" fontId="29" fillId="12" borderId="0" xfId="0" applyFont="1" applyFill="1"/>
    <xf numFmtId="0" fontId="29" fillId="12" borderId="0" xfId="0" applyFont="1" applyFill="1" applyAlignment="1">
      <alignment horizontal="center"/>
    </xf>
    <xf numFmtId="38" fontId="30" fillId="12" borderId="0" xfId="0" applyNumberFormat="1" applyFont="1" applyFill="1" applyAlignment="1">
      <alignment horizontal="center"/>
    </xf>
    <xf numFmtId="41" fontId="30" fillId="12" borderId="0" xfId="0" applyNumberFormat="1" applyFont="1" applyFill="1" applyAlignment="1">
      <alignment horizontal="center"/>
    </xf>
    <xf numFmtId="38" fontId="30" fillId="12" borderId="0" xfId="0" applyNumberFormat="1" applyFont="1" applyFill="1" applyAlignment="1">
      <alignment horizontal="center" wrapText="1"/>
    </xf>
    <xf numFmtId="41" fontId="30" fillId="12" borderId="0" xfId="0" applyNumberFormat="1" applyFont="1" applyFill="1" applyAlignment="1">
      <alignment horizontal="center" wrapText="1"/>
    </xf>
    <xf numFmtId="0" fontId="0" fillId="0" borderId="0" xfId="2" applyFont="1" applyAlignment="1">
      <alignment wrapText="1"/>
    </xf>
    <xf numFmtId="0" fontId="0" fillId="0" borderId="0" xfId="0" applyAlignment="1">
      <alignment wrapText="1"/>
    </xf>
    <xf numFmtId="0" fontId="0" fillId="0" borderId="0" xfId="2" applyFont="1" applyAlignment="1">
      <alignment horizontal="center" wrapText="1"/>
    </xf>
    <xf numFmtId="0" fontId="29" fillId="0" borderId="0" xfId="0" applyFont="1" applyFill="1" applyAlignment="1">
      <alignment horizontal="center"/>
    </xf>
    <xf numFmtId="2" fontId="0" fillId="0" borderId="0" xfId="0" applyNumberFormat="1"/>
    <xf numFmtId="171" fontId="0" fillId="0" borderId="0" xfId="0" applyNumberFormat="1"/>
    <xf numFmtId="0" fontId="29" fillId="0" borderId="0" xfId="0" applyFont="1" applyFill="1" applyAlignment="1">
      <alignment horizontal="center" wrapText="1"/>
    </xf>
    <xf numFmtId="0" fontId="0" fillId="0" borderId="21" xfId="0" applyBorder="1"/>
    <xf numFmtId="0" fontId="29" fillId="0" borderId="0" xfId="0" applyFont="1"/>
    <xf numFmtId="170" fontId="29" fillId="12" borderId="0" xfId="0" applyNumberFormat="1" applyFont="1" applyFill="1"/>
    <xf numFmtId="41" fontId="30" fillId="13" borderId="0" xfId="0" quotePrefix="1" applyNumberFormat="1" applyFont="1" applyFill="1" applyBorder="1" applyAlignment="1">
      <alignment horizontal="center" wrapText="1"/>
    </xf>
    <xf numFmtId="41" fontId="30" fillId="13" borderId="0" xfId="0" applyNumberFormat="1" applyFont="1" applyFill="1" applyBorder="1" applyAlignment="1">
      <alignment horizontal="center" wrapText="1"/>
    </xf>
    <xf numFmtId="0" fontId="29" fillId="13" borderId="0" xfId="0" applyFont="1" applyFill="1"/>
    <xf numFmtId="41" fontId="31" fillId="13" borderId="0" xfId="0" quotePrefix="1" applyNumberFormat="1" applyFont="1" applyFill="1" applyAlignment="1">
      <alignment horizontal="left"/>
    </xf>
    <xf numFmtId="41" fontId="30" fillId="13" borderId="0" xfId="0" applyNumberFormat="1" applyFont="1" applyFill="1"/>
    <xf numFmtId="0" fontId="29" fillId="14" borderId="0" xfId="0" applyFont="1" applyFill="1"/>
    <xf numFmtId="41" fontId="31" fillId="14" borderId="0" xfId="0" quotePrefix="1" applyNumberFormat="1" applyFont="1" applyFill="1" applyAlignment="1">
      <alignment horizontal="left"/>
    </xf>
    <xf numFmtId="41" fontId="30" fillId="14" borderId="0" xfId="0" applyNumberFormat="1" applyFont="1" applyFill="1"/>
    <xf numFmtId="41" fontId="30" fillId="14" borderId="0" xfId="0" applyNumberFormat="1" applyFont="1" applyFill="1" applyBorder="1" applyAlignment="1">
      <alignment horizontal="center" wrapText="1"/>
    </xf>
    <xf numFmtId="41" fontId="30" fillId="14" borderId="0" xfId="0" quotePrefix="1" applyNumberFormat="1" applyFont="1" applyFill="1" applyBorder="1" applyAlignment="1">
      <alignment horizontal="center" wrapText="1"/>
    </xf>
    <xf numFmtId="165" fontId="29" fillId="13" borderId="0" xfId="3" applyNumberFormat="1" applyFont="1" applyFill="1"/>
    <xf numFmtId="44" fontId="29" fillId="14" borderId="0" xfId="4" applyFont="1" applyFill="1"/>
    <xf numFmtId="172" fontId="29" fillId="14" borderId="0" xfId="4" applyNumberFormat="1" applyFont="1" applyFill="1"/>
    <xf numFmtId="44" fontId="29" fillId="13" borderId="0" xfId="0" applyNumberFormat="1" applyFont="1" applyFill="1"/>
    <xf numFmtId="43" fontId="30" fillId="13" borderId="0" xfId="3" applyFont="1" applyFill="1"/>
    <xf numFmtId="41" fontId="30" fillId="0" borderId="0" xfId="0" applyNumberFormat="1" applyFont="1"/>
    <xf numFmtId="43" fontId="30" fillId="14" borderId="0" xfId="3" applyFont="1" applyFill="1" applyBorder="1" applyAlignment="1">
      <alignment horizontal="center"/>
    </xf>
    <xf numFmtId="43" fontId="30" fillId="14" borderId="0" xfId="3" quotePrefix="1" applyFont="1" applyFill="1" applyBorder="1" applyAlignment="1">
      <alignment horizontal="center" wrapText="1"/>
    </xf>
    <xf numFmtId="43" fontId="30" fillId="14" borderId="0" xfId="3" applyFont="1" applyFill="1" applyBorder="1" applyAlignment="1">
      <alignment horizontal="center" wrapText="1"/>
    </xf>
    <xf numFmtId="43" fontId="30" fillId="0" borderId="0" xfId="3" applyFont="1" applyBorder="1" applyAlignment="1">
      <alignment horizontal="center" wrapText="1"/>
    </xf>
    <xf numFmtId="44" fontId="29" fillId="14" borderId="0" xfId="0" applyNumberFormat="1" applyFont="1" applyFill="1"/>
    <xf numFmtId="173" fontId="0" fillId="10" borderId="0" xfId="9" applyNumberFormat="1" applyFont="1" applyFill="1"/>
    <xf numFmtId="44" fontId="29" fillId="0" borderId="0" xfId="0" applyNumberFormat="1" applyFont="1" applyFill="1"/>
    <xf numFmtId="0" fontId="29" fillId="15" borderId="0" xfId="0" applyFont="1" applyFill="1"/>
    <xf numFmtId="41" fontId="30" fillId="15" borderId="0" xfId="0" applyNumberFormat="1" applyFont="1" applyFill="1"/>
    <xf numFmtId="41" fontId="30" fillId="15" borderId="0" xfId="0" applyNumberFormat="1" applyFont="1" applyFill="1" applyBorder="1" applyAlignment="1">
      <alignment horizontal="center" wrapText="1"/>
    </xf>
    <xf numFmtId="44" fontId="29" fillId="15" borderId="0" xfId="0" applyNumberFormat="1" applyFont="1" applyFill="1"/>
    <xf numFmtId="41" fontId="31" fillId="15" borderId="0" xfId="0" applyNumberFormat="1" applyFont="1" applyFill="1"/>
    <xf numFmtId="0" fontId="0" fillId="0" borderId="0" xfId="0" applyBorder="1"/>
    <xf numFmtId="0" fontId="0" fillId="0" borderId="0" xfId="0" applyAlignment="1">
      <alignment horizontal="center"/>
    </xf>
    <xf numFmtId="169" fontId="29" fillId="0" borderId="0" xfId="0" applyNumberFormat="1" applyFont="1"/>
    <xf numFmtId="41" fontId="30" fillId="15" borderId="0" xfId="0" quotePrefix="1" applyNumberFormat="1" applyFont="1" applyFill="1" applyBorder="1" applyAlignment="1">
      <alignment horizontal="center" wrapText="1"/>
    </xf>
    <xf numFmtId="41" fontId="29" fillId="15" borderId="0" xfId="0" applyNumberFormat="1" applyFont="1" applyFill="1"/>
    <xf numFmtId="44" fontId="29" fillId="0" borderId="0" xfId="0" applyNumberFormat="1" applyFont="1"/>
    <xf numFmtId="0" fontId="29" fillId="0" borderId="0" xfId="0" applyFont="1" applyAlignment="1">
      <alignment horizontal="center"/>
    </xf>
    <xf numFmtId="49" fontId="19" fillId="6" borderId="20" xfId="0" quotePrefix="1" applyNumberFormat="1" applyFont="1" applyFill="1" applyBorder="1" applyAlignment="1">
      <alignment horizontal="left" vertical="center" wrapText="1"/>
    </xf>
    <xf numFmtId="49" fontId="2" fillId="2" borderId="0" xfId="5" applyNumberFormat="1" applyFont="1" applyFill="1" applyAlignment="1">
      <alignment wrapText="1"/>
    </xf>
    <xf numFmtId="177" fontId="29" fillId="0" borderId="0" xfId="10" applyNumberFormat="1" applyFont="1"/>
    <xf numFmtId="49" fontId="2" fillId="2" borderId="0" xfId="5" applyNumberFormat="1" applyFont="1" applyFill="1" applyAlignment="1">
      <alignment wrapText="1"/>
    </xf>
    <xf numFmtId="49" fontId="24" fillId="4" borderId="3" xfId="5" applyNumberFormat="1" applyFont="1" applyFill="1" applyBorder="1" applyAlignment="1">
      <alignment vertical="center" wrapText="1"/>
    </xf>
    <xf numFmtId="41" fontId="8" fillId="4" borderId="4" xfId="5" applyNumberFormat="1" applyFont="1" applyFill="1" applyBorder="1" applyAlignment="1">
      <alignment horizontal="center" vertical="center" wrapText="1"/>
    </xf>
    <xf numFmtId="41" fontId="25" fillId="4" borderId="4" xfId="5" applyNumberFormat="1" applyFont="1" applyFill="1" applyBorder="1" applyAlignment="1">
      <alignment horizontal="center" vertical="center" wrapText="1"/>
    </xf>
    <xf numFmtId="49" fontId="25" fillId="4" borderId="4" xfId="5" applyNumberFormat="1" applyFont="1" applyFill="1" applyBorder="1" applyAlignment="1">
      <alignment horizontal="center" vertical="center" wrapText="1"/>
    </xf>
    <xf numFmtId="49" fontId="25" fillId="4" borderId="5" xfId="5" applyNumberFormat="1" applyFont="1" applyFill="1" applyBorder="1" applyAlignment="1">
      <alignment horizontal="center" vertical="center" wrapText="1"/>
    </xf>
    <xf numFmtId="49" fontId="25" fillId="4" borderId="7" xfId="5" applyNumberFormat="1" applyFont="1" applyFill="1" applyBorder="1" applyAlignment="1">
      <alignment horizontal="center" vertical="center" wrapText="1"/>
    </xf>
    <xf numFmtId="41" fontId="8" fillId="4" borderId="1" xfId="5" applyNumberFormat="1" applyFont="1" applyFill="1" applyBorder="1" applyAlignment="1">
      <alignment horizontal="center" vertical="center" wrapText="1"/>
    </xf>
    <xf numFmtId="41" fontId="25" fillId="4" borderId="1" xfId="5" applyNumberFormat="1" applyFont="1" applyFill="1" applyBorder="1" applyAlignment="1">
      <alignment horizontal="center" vertical="center" wrapText="1"/>
    </xf>
    <xf numFmtId="49" fontId="25" fillId="4" borderId="1" xfId="5" applyNumberFormat="1" applyFont="1" applyFill="1" applyBorder="1" applyAlignment="1">
      <alignment horizontal="center" vertical="center" wrapText="1"/>
    </xf>
    <xf numFmtId="49" fontId="25" fillId="4" borderId="8" xfId="5" applyNumberFormat="1" applyFont="1" applyFill="1" applyBorder="1" applyAlignment="1">
      <alignment horizontal="center" vertical="center" wrapText="1"/>
    </xf>
    <xf numFmtId="49" fontId="25" fillId="4" borderId="7" xfId="5" applyNumberFormat="1" applyFont="1" applyFill="1" applyBorder="1" applyAlignment="1">
      <alignment horizontal="right" vertical="center" wrapText="1"/>
    </xf>
    <xf numFmtId="49" fontId="27" fillId="4" borderId="7" xfId="5" applyNumberFormat="1" applyFont="1" applyFill="1" applyBorder="1" applyAlignment="1">
      <alignment horizontal="left" vertical="center" wrapText="1"/>
    </xf>
    <xf numFmtId="49" fontId="25" fillId="4" borderId="9" xfId="5" applyNumberFormat="1" applyFont="1" applyFill="1" applyBorder="1" applyAlignment="1">
      <alignment horizontal="right" vertical="center" wrapText="1"/>
    </xf>
    <xf numFmtId="49" fontId="8" fillId="4" borderId="9" xfId="5" applyNumberFormat="1" applyFont="1" applyFill="1" applyBorder="1" applyAlignment="1">
      <alignment horizontal="right" vertical="center" wrapText="1"/>
    </xf>
    <xf numFmtId="41" fontId="24" fillId="4" borderId="3" xfId="5" applyNumberFormat="1" applyFont="1" applyFill="1" applyBorder="1" applyAlignment="1">
      <alignment horizontal="left" vertical="center" wrapText="1"/>
    </xf>
    <xf numFmtId="49" fontId="25" fillId="4" borderId="15" xfId="5" applyNumberFormat="1" applyFont="1" applyFill="1" applyBorder="1" applyAlignment="1">
      <alignment horizontal="right" vertical="center" wrapText="1"/>
    </xf>
    <xf numFmtId="49" fontId="24" fillId="4" borderId="16" xfId="5" applyNumberFormat="1" applyFont="1" applyFill="1" applyBorder="1" applyAlignment="1">
      <alignment horizontal="left" vertical="center" wrapText="1"/>
    </xf>
    <xf numFmtId="49" fontId="8" fillId="4" borderId="17" xfId="5" applyNumberFormat="1" applyFont="1" applyFill="1" applyBorder="1" applyAlignment="1">
      <alignment horizontal="left" vertical="center" wrapText="1"/>
    </xf>
    <xf numFmtId="49" fontId="27" fillId="4" borderId="7" xfId="5" applyNumberFormat="1" applyFont="1" applyFill="1" applyBorder="1" applyAlignment="1">
      <alignment horizontal="right" vertical="center" wrapText="1"/>
    </xf>
    <xf numFmtId="49" fontId="12" fillId="0" borderId="1" xfId="1" applyNumberFormat="1" applyFont="1" applyFill="1" applyBorder="1" applyAlignment="1">
      <alignment horizontal="right" vertical="center" wrapText="1"/>
    </xf>
    <xf numFmtId="49" fontId="12" fillId="0" borderId="1" xfId="1" applyNumberFormat="1" applyFont="1" applyFill="1" applyBorder="1" applyAlignment="1" applyProtection="1">
      <alignment horizontal="right" vertical="center" wrapText="1"/>
    </xf>
    <xf numFmtId="167" fontId="29" fillId="0" borderId="0" xfId="0" applyNumberFormat="1" applyFont="1"/>
    <xf numFmtId="165" fontId="29" fillId="0" borderId="0" xfId="0" applyNumberFormat="1" applyFont="1"/>
    <xf numFmtId="41" fontId="31" fillId="13" borderId="0" xfId="0" applyNumberFormat="1" applyFont="1" applyFill="1"/>
    <xf numFmtId="167" fontId="29" fillId="13" borderId="0" xfId="0" applyNumberFormat="1" applyFont="1" applyFill="1"/>
    <xf numFmtId="165" fontId="29" fillId="13" borderId="0" xfId="0" applyNumberFormat="1" applyFont="1" applyFill="1"/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165" fontId="29" fillId="10" borderId="0" xfId="3" applyNumberFormat="1" applyFont="1" applyFill="1"/>
    <xf numFmtId="0" fontId="33" fillId="10" borderId="0" xfId="0" applyFont="1" applyFill="1"/>
    <xf numFmtId="169" fontId="29" fillId="13" borderId="0" xfId="4" applyNumberFormat="1" applyFont="1" applyFill="1"/>
    <xf numFmtId="0" fontId="29" fillId="16" borderId="0" xfId="0" applyFont="1" applyFill="1"/>
    <xf numFmtId="0" fontId="33" fillId="16" borderId="0" xfId="0" applyFont="1" applyFill="1"/>
    <xf numFmtId="0" fontId="29" fillId="16" borderId="0" xfId="0" quotePrefix="1" applyFont="1" applyFill="1" applyAlignment="1">
      <alignment horizontal="center" wrapText="1"/>
    </xf>
    <xf numFmtId="0" fontId="29" fillId="16" borderId="0" xfId="0" applyFont="1" applyFill="1" applyAlignment="1">
      <alignment horizontal="center"/>
    </xf>
    <xf numFmtId="165" fontId="29" fillId="16" borderId="0" xfId="3" applyNumberFormat="1" applyFont="1" applyFill="1"/>
    <xf numFmtId="169" fontId="29" fillId="16" borderId="0" xfId="4" applyNumberFormat="1" applyFont="1" applyFill="1"/>
    <xf numFmtId="44" fontId="29" fillId="10" borderId="0" xfId="4" applyNumberFormat="1" applyFont="1" applyFill="1"/>
    <xf numFmtId="0" fontId="34" fillId="0" borderId="0" xfId="11" applyFont="1" applyBorder="1"/>
    <xf numFmtId="0" fontId="35" fillId="0" borderId="0" xfId="11" applyFont="1" applyBorder="1"/>
    <xf numFmtId="0" fontId="35" fillId="0" borderId="0" xfId="11" applyFont="1" applyBorder="1" applyAlignment="1">
      <alignment horizontal="right"/>
    </xf>
    <xf numFmtId="0" fontId="35" fillId="0" borderId="0" xfId="11" applyFont="1" applyBorder="1" applyAlignment="1">
      <alignment horizontal="center"/>
    </xf>
    <xf numFmtId="169" fontId="34" fillId="0" borderId="0" xfId="4" applyNumberFormat="1" applyFont="1" applyBorder="1"/>
    <xf numFmtId="165" fontId="34" fillId="0" borderId="0" xfId="3" applyNumberFormat="1" applyFont="1" applyBorder="1"/>
    <xf numFmtId="165" fontId="34" fillId="0" borderId="0" xfId="12" applyNumberFormat="1" applyFont="1" applyBorder="1"/>
    <xf numFmtId="0" fontId="13" fillId="0" borderId="0" xfId="12" applyFont="1"/>
    <xf numFmtId="0" fontId="13" fillId="0" borderId="0" xfId="12" applyFont="1" applyBorder="1"/>
    <xf numFmtId="0" fontId="13" fillId="0" borderId="0" xfId="12" applyFont="1" applyBorder="1" applyAlignment="1">
      <alignment horizontal="right"/>
    </xf>
    <xf numFmtId="43" fontId="13" fillId="0" borderId="0" xfId="3" applyFont="1" applyBorder="1"/>
    <xf numFmtId="0" fontId="34" fillId="0" borderId="0" xfId="12" applyFont="1" applyFill="1" applyAlignment="1">
      <alignment horizontal="right"/>
    </xf>
    <xf numFmtId="0" fontId="36" fillId="0" borderId="0" xfId="12" applyFont="1" applyFill="1"/>
    <xf numFmtId="0" fontId="34" fillId="0" borderId="0" xfId="12" applyFont="1" applyFill="1"/>
    <xf numFmtId="0" fontId="35" fillId="0" borderId="0" xfId="12" applyFont="1" applyFill="1"/>
    <xf numFmtId="0" fontId="38" fillId="0" borderId="0" xfId="12" applyFont="1" applyFill="1"/>
    <xf numFmtId="0" fontId="35" fillId="0" borderId="0" xfId="3" applyNumberFormat="1" applyFont="1" applyFill="1"/>
    <xf numFmtId="0" fontId="38" fillId="0" borderId="0" xfId="12" quotePrefix="1" applyFont="1" applyFill="1" applyAlignment="1">
      <alignment horizontal="left"/>
    </xf>
    <xf numFmtId="0" fontId="34" fillId="0" borderId="0" xfId="3" applyNumberFormat="1" applyFont="1" applyFill="1"/>
    <xf numFmtId="0" fontId="38" fillId="0" borderId="0" xfId="3" applyNumberFormat="1" applyFont="1" applyFill="1"/>
    <xf numFmtId="0" fontId="29" fillId="10" borderId="0" xfId="0" applyFont="1" applyFill="1" applyAlignment="1">
      <alignment horizontal="right"/>
    </xf>
    <xf numFmtId="169" fontId="29" fillId="13" borderId="0" xfId="0" applyNumberFormat="1" applyFont="1" applyFill="1"/>
    <xf numFmtId="43" fontId="29" fillId="0" borderId="0" xfId="0" applyNumberFormat="1" applyFont="1"/>
    <xf numFmtId="178" fontId="29" fillId="0" borderId="0" xfId="0" applyNumberFormat="1" applyFont="1"/>
    <xf numFmtId="170" fontId="34" fillId="0" borderId="0" xfId="3" applyNumberFormat="1" applyFont="1" applyFill="1" applyBorder="1" applyAlignment="1">
      <alignment horizontal="center"/>
    </xf>
    <xf numFmtId="165" fontId="34" fillId="0" borderId="0" xfId="3" applyNumberFormat="1" applyFont="1" applyFill="1" applyBorder="1" applyAlignment="1">
      <alignment horizontal="right"/>
    </xf>
    <xf numFmtId="169" fontId="34" fillId="0" borderId="0" xfId="4" applyNumberFormat="1" applyFont="1" applyFill="1" applyBorder="1"/>
    <xf numFmtId="0" fontId="29" fillId="0" borderId="0" xfId="0" quotePrefix="1" applyFont="1" applyAlignment="1">
      <alignment horizontal="fill"/>
    </xf>
    <xf numFmtId="171" fontId="18" fillId="0" borderId="0" xfId="0" applyNumberFormat="1" applyFont="1"/>
    <xf numFmtId="0" fontId="29" fillId="17" borderId="0" xfId="0" applyFont="1" applyFill="1"/>
    <xf numFmtId="0" fontId="29" fillId="17" borderId="0" xfId="0" applyFont="1" applyFill="1" applyAlignment="1">
      <alignment horizontal="center"/>
    </xf>
    <xf numFmtId="165" fontId="29" fillId="17" borderId="0" xfId="3" applyNumberFormat="1" applyFont="1" applyFill="1"/>
    <xf numFmtId="0" fontId="29" fillId="17" borderId="0" xfId="0" applyFont="1" applyFill="1" applyAlignment="1">
      <alignment horizontal="right"/>
    </xf>
    <xf numFmtId="0" fontId="33" fillId="17" borderId="0" xfId="0" applyFont="1" applyFill="1"/>
    <xf numFmtId="169" fontId="29" fillId="17" borderId="0" xfId="4" applyNumberFormat="1" applyFont="1" applyFill="1"/>
    <xf numFmtId="0" fontId="11" fillId="0" borderId="0" xfId="0" applyFont="1" applyFill="1"/>
    <xf numFmtId="0" fontId="33" fillId="17" borderId="0" xfId="0" quotePrefix="1" applyFont="1" applyFill="1" applyAlignment="1">
      <alignment horizontal="left"/>
    </xf>
    <xf numFmtId="44" fontId="29" fillId="17" borderId="0" xfId="4" applyNumberFormat="1" applyFont="1" applyFill="1"/>
    <xf numFmtId="186" fontId="29" fillId="17" borderId="0" xfId="4" applyNumberFormat="1" applyFont="1" applyFill="1"/>
    <xf numFmtId="0" fontId="29" fillId="17" borderId="0" xfId="0" quotePrefix="1" applyFont="1" applyFill="1" applyAlignment="1">
      <alignment horizontal="center" wrapText="1"/>
    </xf>
    <xf numFmtId="187" fontId="29" fillId="13" borderId="0" xfId="3" applyNumberFormat="1" applyFont="1" applyFill="1"/>
    <xf numFmtId="187" fontId="29" fillId="16" borderId="0" xfId="3" applyNumberFormat="1" applyFont="1" applyFill="1"/>
    <xf numFmtId="187" fontId="29" fillId="10" borderId="0" xfId="3" applyNumberFormat="1" applyFont="1" applyFill="1"/>
    <xf numFmtId="187" fontId="29" fillId="10" borderId="0" xfId="0" applyNumberFormat="1" applyFont="1" applyFill="1"/>
    <xf numFmtId="187" fontId="29" fillId="13" borderId="0" xfId="0" applyNumberFormat="1" applyFont="1" applyFill="1"/>
    <xf numFmtId="0" fontId="33" fillId="13" borderId="21" xfId="0" applyFont="1" applyFill="1" applyBorder="1"/>
    <xf numFmtId="0" fontId="33" fillId="17" borderId="21" xfId="0" applyFont="1" applyFill="1" applyBorder="1"/>
    <xf numFmtId="41" fontId="31" fillId="13" borderId="0" xfId="0" applyNumberFormat="1" applyFont="1" applyFill="1" applyBorder="1" applyAlignment="1">
      <alignment horizontal="center" wrapText="1"/>
    </xf>
    <xf numFmtId="0" fontId="29" fillId="0" borderId="21" xfId="0" applyFont="1" applyBorder="1"/>
    <xf numFmtId="0" fontId="13" fillId="0" borderId="0" xfId="652" applyFont="1"/>
    <xf numFmtId="49" fontId="2" fillId="2" borderId="0" xfId="652" applyNumberFormat="1" applyFont="1" applyFill="1" applyAlignment="1">
      <alignment wrapText="1"/>
    </xf>
    <xf numFmtId="41" fontId="13" fillId="0" borderId="0" xfId="652" applyNumberFormat="1" applyFont="1"/>
    <xf numFmtId="41" fontId="8" fillId="3" borderId="4" xfId="652" applyNumberFormat="1" applyFont="1" applyFill="1" applyBorder="1" applyAlignment="1">
      <alignment horizontal="center" vertical="center" wrapText="1"/>
    </xf>
    <xf numFmtId="41" fontId="25" fillId="3" borderId="4" xfId="652" applyNumberFormat="1" applyFont="1" applyFill="1" applyBorder="1" applyAlignment="1">
      <alignment horizontal="center" vertical="center" wrapText="1"/>
    </xf>
    <xf numFmtId="49" fontId="25" fillId="3" borderId="4" xfId="652" applyNumberFormat="1" applyFont="1" applyFill="1" applyBorder="1" applyAlignment="1">
      <alignment horizontal="center" vertical="center" wrapText="1"/>
    </xf>
    <xf numFmtId="49" fontId="25" fillId="3" borderId="5" xfId="652" applyNumberFormat="1" applyFont="1" applyFill="1" applyBorder="1" applyAlignment="1">
      <alignment horizontal="center" vertical="center" wrapText="1"/>
    </xf>
    <xf numFmtId="49" fontId="25" fillId="3" borderId="1" xfId="652" applyNumberFormat="1" applyFont="1" applyFill="1" applyBorder="1" applyAlignment="1">
      <alignment horizontal="center" vertical="center" wrapText="1"/>
    </xf>
    <xf numFmtId="41" fontId="8" fillId="3" borderId="1" xfId="652" applyNumberFormat="1" applyFont="1" applyFill="1" applyBorder="1" applyAlignment="1">
      <alignment horizontal="center" vertical="center" wrapText="1"/>
    </xf>
    <xf numFmtId="41" fontId="25" fillId="3" borderId="1" xfId="652" applyNumberFormat="1" applyFont="1" applyFill="1" applyBorder="1" applyAlignment="1">
      <alignment horizontal="center" vertical="center" wrapText="1"/>
    </xf>
    <xf numFmtId="49" fontId="25" fillId="3" borderId="8" xfId="652" applyNumberFormat="1" applyFont="1" applyFill="1" applyBorder="1" applyAlignment="1">
      <alignment horizontal="center" vertical="center" wrapText="1"/>
    </xf>
    <xf numFmtId="49" fontId="25" fillId="0" borderId="23" xfId="652" applyNumberFormat="1" applyFont="1" applyFill="1" applyBorder="1" applyAlignment="1">
      <alignment horizontal="center" vertical="center" wrapText="1"/>
    </xf>
    <xf numFmtId="41" fontId="12" fillId="0" borderId="1" xfId="652" applyNumberFormat="1" applyFont="1" applyFill="1" applyBorder="1" applyAlignment="1">
      <alignment horizontal="right" vertical="center" wrapText="1"/>
    </xf>
    <xf numFmtId="43" fontId="12" fillId="0" borderId="1" xfId="652" applyNumberFormat="1" applyFont="1" applyFill="1" applyBorder="1" applyAlignment="1">
      <alignment horizontal="right" vertical="center" wrapText="1"/>
    </xf>
    <xf numFmtId="43" fontId="12" fillId="0" borderId="8" xfId="652" applyNumberFormat="1" applyFont="1" applyFill="1" applyBorder="1" applyAlignment="1">
      <alignment horizontal="right" vertical="center" wrapText="1"/>
    </xf>
    <xf numFmtId="164" fontId="14" fillId="0" borderId="0" xfId="652" applyNumberFormat="1" applyFont="1"/>
    <xf numFmtId="41" fontId="25" fillId="0" borderId="1" xfId="652" applyNumberFormat="1" applyFont="1" applyFill="1" applyBorder="1" applyAlignment="1" applyProtection="1">
      <alignment horizontal="right" vertical="center" wrapText="1"/>
      <protection locked="0"/>
    </xf>
    <xf numFmtId="41" fontId="8" fillId="0" borderId="1" xfId="652" applyNumberFormat="1" applyFont="1" applyFill="1" applyBorder="1" applyAlignment="1" applyProtection="1">
      <alignment horizontal="right" vertical="center" wrapText="1"/>
    </xf>
    <xf numFmtId="0" fontId="11" fillId="0" borderId="0" xfId="652" applyFont="1"/>
    <xf numFmtId="41" fontId="8" fillId="0" borderId="1" xfId="652" applyNumberFormat="1" applyFont="1" applyFill="1" applyBorder="1" applyAlignment="1">
      <alignment horizontal="right" vertical="center" wrapText="1"/>
    </xf>
    <xf numFmtId="41" fontId="12" fillId="0" borderId="1" xfId="652" applyNumberFormat="1" applyFont="1" applyFill="1" applyBorder="1" applyAlignment="1" applyProtection="1">
      <alignment horizontal="right" vertical="center" wrapText="1"/>
      <protection locked="0"/>
    </xf>
    <xf numFmtId="41" fontId="12" fillId="0" borderId="1" xfId="652" applyNumberFormat="1" applyFont="1" applyFill="1" applyBorder="1" applyAlignment="1" applyProtection="1">
      <alignment horizontal="right" vertical="center" wrapText="1"/>
    </xf>
    <xf numFmtId="43" fontId="14" fillId="0" borderId="0" xfId="652" applyNumberFormat="1" applyFont="1"/>
    <xf numFmtId="43" fontId="8" fillId="0" borderId="1" xfId="652" applyNumberFormat="1" applyFont="1" applyFill="1" applyBorder="1" applyAlignment="1" applyProtection="1">
      <alignment horizontal="right" vertical="center" wrapText="1"/>
    </xf>
    <xf numFmtId="43" fontId="8" fillId="0" borderId="8" xfId="652" applyNumberFormat="1" applyFont="1" applyFill="1" applyBorder="1" applyAlignment="1" applyProtection="1">
      <alignment horizontal="right" vertical="center" wrapText="1"/>
    </xf>
    <xf numFmtId="43" fontId="8" fillId="0" borderId="1" xfId="652" applyNumberFormat="1" applyFont="1" applyFill="1" applyBorder="1" applyAlignment="1">
      <alignment horizontal="right" vertical="center" wrapText="1"/>
    </xf>
    <xf numFmtId="43" fontId="8" fillId="0" borderId="8" xfId="652" applyNumberFormat="1" applyFont="1" applyFill="1" applyBorder="1" applyAlignment="1">
      <alignment horizontal="right" vertical="center" wrapText="1"/>
    </xf>
    <xf numFmtId="41" fontId="25" fillId="0" borderId="1" xfId="652" quotePrefix="1" applyNumberFormat="1" applyFont="1" applyFill="1" applyBorder="1" applyAlignment="1">
      <alignment horizontal="center" vertical="center" wrapText="1"/>
    </xf>
    <xf numFmtId="43" fontId="8" fillId="0" borderId="1" xfId="652" applyNumberFormat="1" applyFont="1" applyFill="1" applyBorder="1" applyAlignment="1" applyProtection="1">
      <alignment horizontal="right" vertical="center" wrapText="1"/>
      <protection locked="0"/>
    </xf>
    <xf numFmtId="43" fontId="25" fillId="0" borderId="1" xfId="652" applyNumberFormat="1" applyFont="1" applyFill="1" applyBorder="1" applyAlignment="1" applyProtection="1">
      <alignment horizontal="right" vertical="center" wrapText="1"/>
      <protection locked="0"/>
    </xf>
    <xf numFmtId="43" fontId="25" fillId="0" borderId="1" xfId="652" applyNumberFormat="1" applyFont="1" applyFill="1" applyBorder="1" applyAlignment="1">
      <alignment horizontal="right" vertical="center" wrapText="1"/>
    </xf>
    <xf numFmtId="49" fontId="25" fillId="5" borderId="11" xfId="652" applyNumberFormat="1" applyFont="1" applyFill="1" applyBorder="1" applyAlignment="1">
      <alignment horizontal="right" vertical="center" wrapText="1"/>
    </xf>
    <xf numFmtId="41" fontId="8" fillId="5" borderId="1" xfId="652" applyNumberFormat="1" applyFont="1" applyFill="1" applyBorder="1" applyAlignment="1">
      <alignment horizontal="right" vertical="center" wrapText="1"/>
    </xf>
    <xf numFmtId="41" fontId="25" fillId="5" borderId="1" xfId="652" applyNumberFormat="1" applyFont="1" applyFill="1" applyBorder="1" applyAlignment="1" applyProtection="1">
      <alignment horizontal="right" vertical="center" wrapText="1"/>
      <protection locked="0"/>
    </xf>
    <xf numFmtId="49" fontId="25" fillId="5" borderId="12" xfId="652" applyNumberFormat="1" applyFont="1" applyFill="1" applyBorder="1" applyAlignment="1">
      <alignment horizontal="right" vertical="center" wrapText="1"/>
    </xf>
    <xf numFmtId="41" fontId="8" fillId="5" borderId="13" xfId="652" applyNumberFormat="1" applyFont="1" applyFill="1" applyBorder="1" applyAlignment="1">
      <alignment horizontal="right" vertical="center" wrapText="1"/>
    </xf>
    <xf numFmtId="41" fontId="16" fillId="3" borderId="4" xfId="652" applyNumberFormat="1" applyFont="1" applyFill="1" applyBorder="1" applyAlignment="1">
      <alignment horizontal="center" vertical="center" wrapText="1"/>
    </xf>
    <xf numFmtId="49" fontId="25" fillId="3" borderId="15" xfId="652" applyNumberFormat="1" applyFont="1" applyFill="1" applyBorder="1" applyAlignment="1">
      <alignment horizontal="right" vertical="center" wrapText="1"/>
    </xf>
    <xf numFmtId="41" fontId="28" fillId="0" borderId="1" xfId="652" applyNumberFormat="1" applyFont="1" applyFill="1" applyBorder="1" applyAlignment="1" applyProtection="1">
      <alignment horizontal="right" vertical="center" wrapText="1"/>
      <protection locked="0"/>
    </xf>
    <xf numFmtId="41" fontId="28" fillId="0" borderId="1" xfId="652" applyNumberFormat="1" applyFont="1" applyFill="1" applyBorder="1" applyAlignment="1">
      <alignment horizontal="right" vertical="center" wrapText="1"/>
    </xf>
    <xf numFmtId="41" fontId="27" fillId="0" borderId="1" xfId="652" applyNumberFormat="1" applyFont="1" applyFill="1" applyBorder="1" applyAlignment="1">
      <alignment horizontal="right" vertical="center" wrapText="1"/>
    </xf>
    <xf numFmtId="49" fontId="25" fillId="5" borderId="11" xfId="652" applyNumberFormat="1" applyFont="1" applyFill="1" applyBorder="1" applyAlignment="1">
      <alignment horizontal="right" vertical="center"/>
    </xf>
    <xf numFmtId="41" fontId="12" fillId="0" borderId="0" xfId="652" applyNumberFormat="1" applyFont="1"/>
    <xf numFmtId="43" fontId="14" fillId="0" borderId="0" xfId="652" applyNumberFormat="1" applyFont="1" applyAlignment="1">
      <alignment horizontal="left"/>
    </xf>
    <xf numFmtId="37" fontId="14" fillId="0" borderId="0" xfId="652" applyNumberFormat="1" applyFont="1" applyFill="1" applyBorder="1"/>
    <xf numFmtId="166" fontId="14" fillId="0" borderId="0" xfId="652" applyNumberFormat="1" applyFont="1" applyFill="1" applyBorder="1"/>
    <xf numFmtId="0" fontId="25" fillId="0" borderId="0" xfId="652" quotePrefix="1" applyFont="1"/>
    <xf numFmtId="41" fontId="27" fillId="0" borderId="0" xfId="652" applyNumberFormat="1" applyFont="1"/>
    <xf numFmtId="0" fontId="12" fillId="0" borderId="0" xfId="652" applyFont="1"/>
    <xf numFmtId="0" fontId="8" fillId="0" borderId="0" xfId="652" applyFont="1"/>
    <xf numFmtId="0" fontId="46" fillId="0" borderId="0" xfId="15" applyFont="1" applyFill="1" applyProtection="1"/>
    <xf numFmtId="0" fontId="47" fillId="0" borderId="0" xfId="15" applyFont="1" applyFill="1" applyProtection="1"/>
    <xf numFmtId="165" fontId="47" fillId="0" borderId="0" xfId="1" applyNumberFormat="1" applyFont="1" applyFill="1" applyProtection="1"/>
    <xf numFmtId="165" fontId="47" fillId="0" borderId="0" xfId="1" applyNumberFormat="1" applyFont="1" applyFill="1" applyAlignment="1" applyProtection="1">
      <alignment horizontal="right"/>
    </xf>
    <xf numFmtId="165" fontId="47" fillId="0" borderId="0" xfId="1" applyNumberFormat="1" applyFont="1" applyFill="1" applyBorder="1" applyAlignment="1" applyProtection="1">
      <alignment horizontal="right"/>
    </xf>
    <xf numFmtId="179" fontId="47" fillId="0" borderId="47" xfId="1" quotePrefix="1" applyNumberFormat="1" applyFont="1" applyFill="1" applyBorder="1" applyAlignment="1" applyProtection="1">
      <alignment horizontal="right"/>
    </xf>
    <xf numFmtId="165" fontId="47" fillId="0" borderId="47" xfId="1" applyNumberFormat="1" applyFont="1" applyFill="1" applyBorder="1" applyAlignment="1" applyProtection="1">
      <alignment horizontal="right"/>
    </xf>
    <xf numFmtId="165" fontId="47" fillId="0" borderId="0" xfId="1" quotePrefix="1" applyNumberFormat="1" applyFont="1" applyFill="1" applyAlignment="1" applyProtection="1">
      <alignment horizontal="center"/>
    </xf>
    <xf numFmtId="165" fontId="47" fillId="0" borderId="0" xfId="1" quotePrefix="1" applyNumberFormat="1" applyFont="1" applyFill="1" applyBorder="1" applyAlignment="1" applyProtection="1">
      <alignment horizontal="center"/>
    </xf>
    <xf numFmtId="0" fontId="47" fillId="0" borderId="0" xfId="15" quotePrefix="1" applyFont="1" applyFill="1" applyAlignment="1" applyProtection="1">
      <alignment horizontal="left"/>
    </xf>
    <xf numFmtId="0" fontId="0" fillId="0" borderId="0" xfId="0" applyFill="1"/>
    <xf numFmtId="170" fontId="0" fillId="0" borderId="0" xfId="0" applyNumberFormat="1" applyFill="1"/>
    <xf numFmtId="180" fontId="47" fillId="0" borderId="0" xfId="1" applyNumberFormat="1" applyFont="1" applyFill="1" applyProtection="1"/>
    <xf numFmtId="188" fontId="47" fillId="0" borderId="0" xfId="6" applyNumberFormat="1" applyFont="1" applyFill="1" applyProtection="1"/>
    <xf numFmtId="189" fontId="47" fillId="0" borderId="0" xfId="6" applyNumberFormat="1" applyFont="1" applyFill="1" applyProtection="1"/>
    <xf numFmtId="190" fontId="47" fillId="0" borderId="0" xfId="6" applyNumberFormat="1" applyFont="1" applyFill="1" applyProtection="1"/>
    <xf numFmtId="191" fontId="47" fillId="0" borderId="0" xfId="1" applyNumberFormat="1" applyFont="1" applyFill="1" applyProtection="1"/>
    <xf numFmtId="0" fontId="47" fillId="0" borderId="0" xfId="15" applyFont="1" applyFill="1" applyBorder="1" applyProtection="1"/>
    <xf numFmtId="165" fontId="47" fillId="0" borderId="0" xfId="1" applyNumberFormat="1" applyFont="1" applyFill="1" applyBorder="1" applyProtection="1"/>
    <xf numFmtId="165" fontId="47" fillId="0" borderId="21" xfId="1" applyNumberFormat="1" applyFont="1" applyFill="1" applyBorder="1" applyProtection="1"/>
    <xf numFmtId="188" fontId="47" fillId="0" borderId="0" xfId="6" applyNumberFormat="1" applyFont="1" applyFill="1" applyBorder="1" applyProtection="1"/>
    <xf numFmtId="165" fontId="47" fillId="0" borderId="24" xfId="1" applyNumberFormat="1" applyFont="1" applyFill="1" applyBorder="1" applyProtection="1"/>
    <xf numFmtId="180" fontId="47" fillId="0" borderId="24" xfId="1" applyNumberFormat="1" applyFont="1" applyFill="1" applyBorder="1" applyProtection="1"/>
    <xf numFmtId="0" fontId="47" fillId="0" borderId="0" xfId="15" applyFont="1" applyFill="1" applyAlignment="1" applyProtection="1">
      <alignment horizontal="right"/>
    </xf>
    <xf numFmtId="191" fontId="47" fillId="0" borderId="0" xfId="1" applyNumberFormat="1" applyFont="1" applyFill="1" applyAlignment="1" applyProtection="1"/>
    <xf numFmtId="165" fontId="47" fillId="0" borderId="0" xfId="1" quotePrefix="1" applyNumberFormat="1" applyFont="1" applyFill="1" applyProtection="1"/>
    <xf numFmtId="169" fontId="47" fillId="0" borderId="48" xfId="6" applyNumberFormat="1" applyFont="1" applyFill="1" applyBorder="1" applyProtection="1"/>
    <xf numFmtId="170" fontId="29" fillId="0" borderId="0" xfId="0" applyNumberFormat="1" applyFont="1"/>
    <xf numFmtId="196" fontId="87" fillId="0" borderId="0" xfId="846" applyNumberFormat="1" applyFont="1" applyFill="1" applyBorder="1"/>
    <xf numFmtId="188" fontId="34" fillId="0" borderId="0" xfId="4" applyNumberFormat="1" applyFont="1" applyFill="1"/>
    <xf numFmtId="0" fontId="88" fillId="0" borderId="0" xfId="0" applyFont="1" applyFill="1" applyAlignment="1">
      <alignment horizontal="left"/>
    </xf>
    <xf numFmtId="0" fontId="88" fillId="0" borderId="0" xfId="0" applyFont="1" applyFill="1"/>
    <xf numFmtId="180" fontId="88" fillId="0" borderId="0" xfId="3" applyNumberFormat="1" applyFont="1" applyFill="1"/>
    <xf numFmtId="181" fontId="88" fillId="0" borderId="0" xfId="0" applyNumberFormat="1" applyFont="1" applyFill="1"/>
    <xf numFmtId="169" fontId="34" fillId="0" borderId="21" xfId="4" applyNumberFormat="1" applyFont="1" applyFill="1" applyBorder="1"/>
    <xf numFmtId="169" fontId="90" fillId="0" borderId="0" xfId="4" applyNumberFormat="1" applyFont="1" applyFill="1" applyBorder="1"/>
    <xf numFmtId="169" fontId="88" fillId="0" borderId="25" xfId="4" applyNumberFormat="1" applyFont="1" applyFill="1" applyBorder="1"/>
    <xf numFmtId="169" fontId="88" fillId="0" borderId="0" xfId="4" applyNumberFormat="1" applyFont="1" applyFill="1" applyBorder="1"/>
    <xf numFmtId="0" fontId="89" fillId="0" borderId="0" xfId="12" quotePrefix="1" applyFont="1" applyFill="1" applyAlignment="1">
      <alignment horizontal="left"/>
    </xf>
    <xf numFmtId="169" fontId="88" fillId="0" borderId="21" xfId="4" applyNumberFormat="1" applyFont="1" applyFill="1" applyBorder="1"/>
    <xf numFmtId="169" fontId="88" fillId="0" borderId="0" xfId="0" applyNumberFormat="1" applyFont="1" applyFill="1"/>
    <xf numFmtId="0" fontId="88" fillId="0" borderId="0" xfId="0" applyFont="1" applyFill="1" applyAlignment="1">
      <alignment horizontal="center"/>
    </xf>
    <xf numFmtId="169" fontId="88" fillId="0" borderId="0" xfId="4" applyNumberFormat="1" applyFont="1" applyFill="1"/>
    <xf numFmtId="0" fontId="88" fillId="0" borderId="0" xfId="0" quotePrefix="1" applyFont="1" applyFill="1" applyAlignment="1">
      <alignment horizontal="center"/>
    </xf>
    <xf numFmtId="0" fontId="88" fillId="0" borderId="21" xfId="0" applyFont="1" applyFill="1" applyBorder="1"/>
    <xf numFmtId="0" fontId="0" fillId="0" borderId="0" xfId="0" quotePrefix="1" applyFill="1" applyAlignment="1">
      <alignment horizontal="left"/>
    </xf>
    <xf numFmtId="0" fontId="88" fillId="0" borderId="0" xfId="0" quotePrefix="1" applyFont="1" applyFill="1" applyAlignment="1">
      <alignment horizontal="left"/>
    </xf>
    <xf numFmtId="165" fontId="34" fillId="0" borderId="0" xfId="849" applyNumberFormat="1" applyFont="1" applyFill="1"/>
    <xf numFmtId="0" fontId="34" fillId="0" borderId="0" xfId="849" applyFont="1" applyFill="1"/>
    <xf numFmtId="165" fontId="34" fillId="0" borderId="0" xfId="1" applyNumberFormat="1" applyFont="1" applyFill="1"/>
    <xf numFmtId="165" fontId="34" fillId="0" borderId="21" xfId="1" applyNumberFormat="1" applyFont="1" applyFill="1" applyBorder="1"/>
    <xf numFmtId="41" fontId="0" fillId="0" borderId="0" xfId="0" applyNumberFormat="1" applyFill="1"/>
    <xf numFmtId="165" fontId="0" fillId="0" borderId="0" xfId="0" applyNumberFormat="1" applyFill="1"/>
    <xf numFmtId="169" fontId="47" fillId="0" borderId="0" xfId="6" applyNumberFormat="1" applyFont="1" applyFill="1" applyProtection="1"/>
    <xf numFmtId="0" fontId="48" fillId="0" borderId="0" xfId="15" applyFont="1" applyFill="1" applyProtection="1"/>
    <xf numFmtId="165" fontId="46" fillId="0" borderId="0" xfId="1" applyNumberFormat="1" applyFont="1" applyFill="1" applyProtection="1"/>
    <xf numFmtId="0" fontId="47" fillId="0" borderId="0" xfId="15" quotePrefix="1" applyFont="1" applyFill="1" applyProtection="1"/>
    <xf numFmtId="0" fontId="0" fillId="0" borderId="61" xfId="0" applyFont="1" applyBorder="1" applyAlignment="1">
      <alignment horizontal="center"/>
    </xf>
    <xf numFmtId="0" fontId="0" fillId="0" borderId="62" xfId="0" applyFont="1" applyBorder="1" applyAlignment="1">
      <alignment horizontal="center"/>
    </xf>
    <xf numFmtId="0" fontId="18" fillId="0" borderId="0" xfId="0" applyFont="1" applyAlignment="1">
      <alignment horizontal="center"/>
    </xf>
    <xf numFmtId="49" fontId="19" fillId="6" borderId="18" xfId="0" applyNumberFormat="1" applyFont="1" applyFill="1" applyBorder="1" applyAlignment="1">
      <alignment horizontal="left" vertical="center" wrapText="1"/>
    </xf>
    <xf numFmtId="178" fontId="14" fillId="0" borderId="0" xfId="0" applyNumberFormat="1" applyFont="1"/>
    <xf numFmtId="49" fontId="95" fillId="0" borderId="0" xfId="0" applyNumberFormat="1" applyFont="1" applyFill="1" applyBorder="1" applyAlignment="1">
      <alignment horizontal="left" vertical="center"/>
    </xf>
    <xf numFmtId="0" fontId="29" fillId="0" borderId="0" xfId="0" applyFont="1" applyFill="1" applyBorder="1"/>
    <xf numFmtId="49" fontId="0" fillId="0" borderId="0" xfId="0" applyNumberFormat="1"/>
    <xf numFmtId="41" fontId="96" fillId="72" borderId="63" xfId="0" applyNumberFormat="1" applyFont="1" applyFill="1" applyBorder="1" applyAlignment="1">
      <alignment horizontal="center"/>
    </xf>
    <xf numFmtId="1" fontId="97" fillId="18" borderId="63" xfId="3" applyNumberFormat="1" applyFont="1" applyFill="1" applyBorder="1" applyAlignment="1">
      <alignment horizontal="center"/>
    </xf>
    <xf numFmtId="1" fontId="96" fillId="73" borderId="63" xfId="0" applyNumberFormat="1" applyFont="1" applyFill="1" applyBorder="1" applyAlignment="1">
      <alignment horizontal="center"/>
    </xf>
    <xf numFmtId="1" fontId="97" fillId="18" borderId="63" xfId="0" applyNumberFormat="1" applyFont="1" applyFill="1" applyBorder="1" applyAlignment="1">
      <alignment horizontal="center"/>
    </xf>
    <xf numFmtId="1" fontId="96" fillId="74" borderId="63" xfId="0" applyNumberFormat="1" applyFont="1" applyFill="1" applyBorder="1" applyAlignment="1">
      <alignment horizontal="center"/>
    </xf>
    <xf numFmtId="0" fontId="98" fillId="0" borderId="0" xfId="0" applyFont="1"/>
    <xf numFmtId="0" fontId="98" fillId="0" borderId="0" xfId="0" applyFont="1" applyAlignment="1">
      <alignment horizontal="center"/>
    </xf>
    <xf numFmtId="1" fontId="97" fillId="75" borderId="63" xfId="3" applyNumberFormat="1" applyFont="1" applyFill="1" applyBorder="1" applyAlignment="1">
      <alignment horizontal="center"/>
    </xf>
    <xf numFmtId="44" fontId="96" fillId="74" borderId="63" xfId="0" applyNumberFormat="1" applyFont="1" applyFill="1" applyBorder="1" applyAlignment="1">
      <alignment horizontal="center"/>
    </xf>
    <xf numFmtId="44" fontId="99" fillId="76" borderId="0" xfId="0" applyNumberFormat="1" applyFont="1" applyFill="1"/>
    <xf numFmtId="44" fontId="98" fillId="10" borderId="0" xfId="0" applyNumberFormat="1" applyFont="1" applyFill="1"/>
    <xf numFmtId="44" fontId="98" fillId="17" borderId="0" xfId="0" applyNumberFormat="1" applyFont="1" applyFill="1"/>
    <xf numFmtId="44" fontId="98" fillId="77" borderId="0" xfId="0" applyNumberFormat="1" applyFont="1" applyFill="1"/>
    <xf numFmtId="41" fontId="0" fillId="76" borderId="0" xfId="0" applyNumberFormat="1" applyFill="1"/>
    <xf numFmtId="43" fontId="98" fillId="10" borderId="0" xfId="0" applyNumberFormat="1" applyFont="1" applyFill="1"/>
    <xf numFmtId="43" fontId="98" fillId="17" borderId="0" xfId="0" applyNumberFormat="1" applyFont="1" applyFill="1"/>
    <xf numFmtId="0" fontId="99" fillId="0" borderId="0" xfId="0" applyFont="1" applyAlignment="1">
      <alignment horizontal="right" indent="1"/>
    </xf>
    <xf numFmtId="14" fontId="98" fillId="0" borderId="0" xfId="0" applyNumberFormat="1" applyFont="1" applyAlignment="1">
      <alignment horizontal="center"/>
    </xf>
    <xf numFmtId="41" fontId="98" fillId="76" borderId="0" xfId="0" applyNumberFormat="1" applyFont="1" applyFill="1"/>
    <xf numFmtId="165" fontId="98" fillId="10" borderId="0" xfId="3" applyNumberFormat="1" applyFont="1" applyFill="1"/>
    <xf numFmtId="165" fontId="98" fillId="17" borderId="0" xfId="3" applyNumberFormat="1" applyFont="1" applyFill="1"/>
    <xf numFmtId="44" fontId="99" fillId="10" borderId="0" xfId="0" applyNumberFormat="1" applyFont="1" applyFill="1"/>
    <xf numFmtId="44" fontId="99" fillId="17" borderId="0" xfId="0" applyNumberFormat="1" applyFont="1" applyFill="1"/>
    <xf numFmtId="0" fontId="99" fillId="0" borderId="0" xfId="0" applyFont="1" applyFill="1" applyBorder="1" applyAlignment="1">
      <alignment horizontal="right" indent="1"/>
    </xf>
    <xf numFmtId="0" fontId="99" fillId="0" borderId="0" xfId="0" applyFont="1" applyFill="1" applyAlignment="1">
      <alignment horizontal="right" indent="1"/>
    </xf>
    <xf numFmtId="49" fontId="24" fillId="4" borderId="3" xfId="652" applyNumberFormat="1" applyFont="1" applyFill="1" applyBorder="1" applyAlignment="1">
      <alignment vertical="center" wrapText="1"/>
    </xf>
    <xf numFmtId="41" fontId="8" fillId="4" borderId="4" xfId="652" applyNumberFormat="1" applyFont="1" applyFill="1" applyBorder="1" applyAlignment="1">
      <alignment horizontal="center" vertical="center" wrapText="1"/>
    </xf>
    <xf numFmtId="41" fontId="25" fillId="4" borderId="4" xfId="652" applyNumberFormat="1" applyFont="1" applyFill="1" applyBorder="1" applyAlignment="1">
      <alignment horizontal="center" vertical="center" wrapText="1"/>
    </xf>
    <xf numFmtId="49" fontId="25" fillId="4" borderId="4" xfId="652" applyNumberFormat="1" applyFont="1" applyFill="1" applyBorder="1" applyAlignment="1">
      <alignment horizontal="center" vertical="center" wrapText="1"/>
    </xf>
    <xf numFmtId="49" fontId="25" fillId="4" borderId="5" xfId="652" applyNumberFormat="1" applyFont="1" applyFill="1" applyBorder="1" applyAlignment="1">
      <alignment horizontal="center" vertical="center" wrapText="1"/>
    </xf>
    <xf numFmtId="49" fontId="25" fillId="4" borderId="7" xfId="652" applyNumberFormat="1" applyFont="1" applyFill="1" applyBorder="1" applyAlignment="1">
      <alignment horizontal="center" vertical="center" wrapText="1"/>
    </xf>
    <xf numFmtId="41" fontId="8" fillId="4" borderId="1" xfId="652" applyNumberFormat="1" applyFont="1" applyFill="1" applyBorder="1" applyAlignment="1">
      <alignment horizontal="center" vertical="center" wrapText="1"/>
    </xf>
    <xf numFmtId="41" fontId="25" fillId="4" borderId="1" xfId="652" applyNumberFormat="1" applyFont="1" applyFill="1" applyBorder="1" applyAlignment="1">
      <alignment horizontal="center" vertical="center" wrapText="1"/>
    </xf>
    <xf numFmtId="49" fontId="25" fillId="4" borderId="1" xfId="652" applyNumberFormat="1" applyFont="1" applyFill="1" applyBorder="1" applyAlignment="1">
      <alignment horizontal="center" vertical="center" wrapText="1"/>
    </xf>
    <xf numFmtId="49" fontId="25" fillId="4" borderId="8" xfId="652" applyNumberFormat="1" applyFont="1" applyFill="1" applyBorder="1" applyAlignment="1">
      <alignment horizontal="center" vertical="center" wrapText="1"/>
    </xf>
    <xf numFmtId="49" fontId="27" fillId="4" borderId="7" xfId="652" applyNumberFormat="1" applyFont="1" applyFill="1" applyBorder="1" applyAlignment="1">
      <alignment horizontal="left" vertical="center" wrapText="1"/>
    </xf>
    <xf numFmtId="49" fontId="25" fillId="4" borderId="7" xfId="652" applyNumberFormat="1" applyFont="1" applyFill="1" applyBorder="1" applyAlignment="1">
      <alignment horizontal="right" vertical="center" wrapText="1"/>
    </xf>
    <xf numFmtId="49" fontId="25" fillId="4" borderId="9" xfId="652" applyNumberFormat="1" applyFont="1" applyFill="1" applyBorder="1" applyAlignment="1">
      <alignment horizontal="right" vertical="center" wrapText="1"/>
    </xf>
    <xf numFmtId="49" fontId="8" fillId="4" borderId="9" xfId="652" applyNumberFormat="1" applyFont="1" applyFill="1" applyBorder="1" applyAlignment="1">
      <alignment horizontal="right" vertical="center" wrapText="1"/>
    </xf>
    <xf numFmtId="41" fontId="24" fillId="4" borderId="3" xfId="652" applyNumberFormat="1" applyFont="1" applyFill="1" applyBorder="1" applyAlignment="1">
      <alignment horizontal="left" vertical="center" wrapText="1"/>
    </xf>
    <xf numFmtId="41" fontId="16" fillId="4" borderId="4" xfId="652" applyNumberFormat="1" applyFont="1" applyFill="1" applyBorder="1" applyAlignment="1">
      <alignment horizontal="center" vertical="center" wrapText="1"/>
    </xf>
    <xf numFmtId="49" fontId="8" fillId="4" borderId="7" xfId="652" applyNumberFormat="1" applyFont="1" applyFill="1" applyBorder="1" applyAlignment="1">
      <alignment horizontal="center" vertical="center" wrapText="1"/>
    </xf>
    <xf numFmtId="49" fontId="25" fillId="4" borderId="15" xfId="652" applyNumberFormat="1" applyFont="1" applyFill="1" applyBorder="1" applyAlignment="1">
      <alignment horizontal="right" vertical="center" wrapText="1"/>
    </xf>
    <xf numFmtId="49" fontId="24" fillId="4" borderId="16" xfId="652" applyNumberFormat="1" applyFont="1" applyFill="1" applyBorder="1" applyAlignment="1">
      <alignment horizontal="left" vertical="center" wrapText="1"/>
    </xf>
    <xf numFmtId="49" fontId="8" fillId="4" borderId="17" xfId="652" applyNumberFormat="1" applyFont="1" applyFill="1" applyBorder="1" applyAlignment="1">
      <alignment horizontal="left" vertical="center" wrapText="1"/>
    </xf>
    <xf numFmtId="49" fontId="27" fillId="4" borderId="7" xfId="652" applyNumberFormat="1" applyFont="1" applyFill="1" applyBorder="1" applyAlignment="1">
      <alignment horizontal="right" vertical="center" wrapText="1"/>
    </xf>
    <xf numFmtId="0" fontId="94" fillId="0" borderId="0" xfId="0" applyFont="1" applyBorder="1"/>
    <xf numFmtId="0" fontId="0" fillId="78" borderId="0" xfId="0" applyFill="1"/>
    <xf numFmtId="171" fontId="0" fillId="0" borderId="0" xfId="0" applyNumberFormat="1" applyBorder="1"/>
    <xf numFmtId="171" fontId="0" fillId="0" borderId="0" xfId="0" applyNumberFormat="1" applyFill="1" applyBorder="1"/>
    <xf numFmtId="0" fontId="100" fillId="0" borderId="0" xfId="0" applyFont="1" applyAlignment="1">
      <alignment horizontal="center" wrapText="1"/>
    </xf>
    <xf numFmtId="43" fontId="98" fillId="17" borderId="0" xfId="0" quotePrefix="1" applyNumberFormat="1" applyFont="1" applyFill="1" applyAlignment="1">
      <alignment horizontal="center" wrapText="1"/>
    </xf>
    <xf numFmtId="44" fontId="98" fillId="77" borderId="0" xfId="0" applyNumberFormat="1" applyFont="1" applyFill="1" applyAlignment="1">
      <alignment horizontal="center" wrapText="1"/>
    </xf>
    <xf numFmtId="0" fontId="99" fillId="0" borderId="0" xfId="0" applyFont="1" applyAlignment="1">
      <alignment horizontal="center" vertical="center" wrapText="1"/>
    </xf>
    <xf numFmtId="0" fontId="99" fillId="0" borderId="0" xfId="0" quotePrefix="1" applyFont="1" applyAlignment="1">
      <alignment horizontal="center" vertical="center" wrapText="1"/>
    </xf>
    <xf numFmtId="0" fontId="0" fillId="0" borderId="0" xfId="0" applyFill="1" applyBorder="1"/>
    <xf numFmtId="173" fontId="13" fillId="0" borderId="0" xfId="5" applyNumberFormat="1"/>
    <xf numFmtId="0" fontId="101" fillId="0" borderId="0" xfId="0" applyFont="1" applyBorder="1"/>
    <xf numFmtId="0" fontId="0" fillId="0" borderId="21" xfId="0" applyBorder="1" applyAlignment="1">
      <alignment wrapText="1"/>
    </xf>
    <xf numFmtId="0" fontId="94" fillId="9" borderId="0" xfId="0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14" fontId="0" fillId="0" borderId="0" xfId="0" applyNumberFormat="1"/>
    <xf numFmtId="0" fontId="0" fillId="0" borderId="21" xfId="2" applyFont="1" applyBorder="1" applyAlignment="1">
      <alignment wrapText="1"/>
    </xf>
    <xf numFmtId="49" fontId="103" fillId="6" borderId="20" xfId="0" applyNumberFormat="1" applyFont="1" applyFill="1" applyBorder="1" applyAlignment="1">
      <alignment horizontal="left" vertical="center"/>
    </xf>
    <xf numFmtId="49" fontId="104" fillId="7" borderId="0" xfId="0" applyNumberFormat="1" applyFont="1" applyFill="1" applyAlignment="1"/>
    <xf numFmtId="0" fontId="0" fillId="0" borderId="0" xfId="0" applyAlignment="1"/>
    <xf numFmtId="0" fontId="29" fillId="0" borderId="0" xfId="0" applyFont="1" applyAlignment="1"/>
    <xf numFmtId="49" fontId="0" fillId="6" borderId="18" xfId="0" applyNumberFormat="1" applyFill="1" applyBorder="1" applyAlignment="1">
      <alignment vertical="center"/>
    </xf>
    <xf numFmtId="49" fontId="0" fillId="6" borderId="22" xfId="0" applyNumberFormat="1" applyFill="1" applyBorder="1" applyAlignment="1">
      <alignment vertical="center"/>
    </xf>
    <xf numFmtId="49" fontId="0" fillId="6" borderId="19" xfId="0" applyNumberFormat="1" applyFill="1" applyBorder="1" applyAlignment="1">
      <alignment vertical="center"/>
    </xf>
    <xf numFmtId="49" fontId="103" fillId="6" borderId="20" xfId="0" applyNumberFormat="1" applyFont="1" applyFill="1" applyBorder="1" applyAlignment="1">
      <alignment horizontal="right" vertical="center"/>
    </xf>
    <xf numFmtId="49" fontId="103" fillId="6" borderId="20" xfId="0" applyNumberFormat="1" applyFont="1" applyFill="1" applyBorder="1" applyAlignment="1">
      <alignment horizontal="left" vertical="center" wrapText="1"/>
    </xf>
    <xf numFmtId="49" fontId="103" fillId="6" borderId="18" xfId="0" applyNumberFormat="1" applyFont="1" applyFill="1" applyBorder="1" applyAlignment="1">
      <alignment vertical="center"/>
    </xf>
    <xf numFmtId="49" fontId="103" fillId="6" borderId="19" xfId="0" applyNumberFormat="1" applyFont="1" applyFill="1" applyBorder="1" applyAlignment="1">
      <alignment vertical="center"/>
    </xf>
    <xf numFmtId="49" fontId="103" fillId="6" borderId="20" xfId="0" applyNumberFormat="1" applyFont="1" applyFill="1" applyBorder="1" applyAlignment="1">
      <alignment horizontal="right" vertical="center" wrapText="1"/>
    </xf>
    <xf numFmtId="49" fontId="103" fillId="7" borderId="20" xfId="0" applyNumberFormat="1" applyFont="1" applyFill="1" applyBorder="1" applyAlignment="1">
      <alignment horizontal="right" vertical="center" wrapText="1"/>
    </xf>
    <xf numFmtId="168" fontId="103" fillId="7" borderId="20" xfId="0" applyNumberFormat="1" applyFont="1" applyFill="1" applyBorder="1" applyAlignment="1">
      <alignment horizontal="right" vertical="center" wrapText="1"/>
    </xf>
    <xf numFmtId="49" fontId="103" fillId="8" borderId="20" xfId="0" applyNumberFormat="1" applyFont="1" applyFill="1" applyBorder="1" applyAlignment="1">
      <alignment horizontal="right" vertical="center" wrapText="1"/>
    </xf>
    <xf numFmtId="168" fontId="103" fillId="8" borderId="20" xfId="0" applyNumberFormat="1" applyFont="1" applyFill="1" applyBorder="1" applyAlignment="1">
      <alignment horizontal="right" vertical="center" wrapText="1"/>
    </xf>
    <xf numFmtId="49" fontId="103" fillId="80" borderId="18" xfId="0" applyNumberFormat="1" applyFont="1" applyFill="1" applyBorder="1" applyAlignment="1">
      <alignment vertical="center"/>
    </xf>
    <xf numFmtId="49" fontId="103" fillId="80" borderId="19" xfId="0" applyNumberFormat="1" applyFont="1" applyFill="1" applyBorder="1" applyAlignment="1">
      <alignment vertical="center"/>
    </xf>
    <xf numFmtId="168" fontId="103" fillId="80" borderId="20" xfId="0" applyNumberFormat="1" applyFont="1" applyFill="1" applyBorder="1" applyAlignment="1">
      <alignment horizontal="right" vertical="center" wrapText="1"/>
    </xf>
    <xf numFmtId="49" fontId="103" fillId="80" borderId="20" xfId="0" applyNumberFormat="1" applyFont="1" applyFill="1" applyBorder="1" applyAlignment="1">
      <alignment horizontal="left" vertical="center"/>
    </xf>
    <xf numFmtId="49" fontId="103" fillId="80" borderId="20" xfId="0" applyNumberFormat="1" applyFont="1" applyFill="1" applyBorder="1" applyAlignment="1">
      <alignment horizontal="right" vertical="center" wrapText="1"/>
    </xf>
    <xf numFmtId="49" fontId="103" fillId="80" borderId="22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/>
    </xf>
    <xf numFmtId="0" fontId="31" fillId="0" borderId="21" xfId="0" applyFont="1" applyBorder="1"/>
    <xf numFmtId="0" fontId="31" fillId="0" borderId="0" xfId="0" applyFont="1" applyBorder="1"/>
    <xf numFmtId="0" fontId="10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0" fontId="105" fillId="0" borderId="21" xfId="0" applyFont="1" applyBorder="1" applyAlignment="1">
      <alignment horizontal="center"/>
    </xf>
    <xf numFmtId="175" fontId="30" fillId="0" borderId="0" xfId="0" applyNumberFormat="1" applyFont="1" applyAlignment="1">
      <alignment horizontal="center"/>
    </xf>
    <xf numFmtId="0" fontId="30" fillId="0" borderId="0" xfId="0" applyFont="1"/>
    <xf numFmtId="0" fontId="30" fillId="0" borderId="0" xfId="0" applyFont="1" applyFill="1" applyAlignment="1">
      <alignment horizontal="center"/>
    </xf>
    <xf numFmtId="176" fontId="30" fillId="0" borderId="0" xfId="0" applyNumberFormat="1" applyFont="1" applyAlignment="1">
      <alignment horizontal="center"/>
    </xf>
    <xf numFmtId="0" fontId="29" fillId="0" borderId="0" xfId="0" applyFont="1" applyFill="1"/>
    <xf numFmtId="184" fontId="91" fillId="0" borderId="0" xfId="13" applyNumberFormat="1" applyFont="1" applyFill="1" applyProtection="1"/>
    <xf numFmtId="171" fontId="30" fillId="0" borderId="0" xfId="0" applyNumberFormat="1" applyFont="1" applyAlignment="1">
      <alignment horizontal="center"/>
    </xf>
    <xf numFmtId="0" fontId="29" fillId="0" borderId="21" xfId="0" applyFont="1" applyBorder="1" applyAlignment="1">
      <alignment horizontal="right"/>
    </xf>
    <xf numFmtId="0" fontId="29" fillId="0" borderId="0" xfId="0" applyFont="1" applyBorder="1"/>
    <xf numFmtId="0" fontId="29" fillId="0" borderId="21" xfId="0" quotePrefix="1" applyFont="1" applyBorder="1" applyAlignment="1">
      <alignment horizontal="right"/>
    </xf>
    <xf numFmtId="0" fontId="29" fillId="0" borderId="0" xfId="0" quotePrefix="1" applyFont="1" applyAlignment="1">
      <alignment horizontal="center"/>
    </xf>
    <xf numFmtId="174" fontId="29" fillId="0" borderId="0" xfId="0" applyNumberFormat="1" applyFont="1"/>
    <xf numFmtId="14" fontId="103" fillId="6" borderId="20" xfId="0" applyNumberFormat="1" applyFont="1" applyFill="1" applyBorder="1" applyAlignment="1">
      <alignment horizontal="left" vertical="center"/>
    </xf>
    <xf numFmtId="41" fontId="107" fillId="0" borderId="0" xfId="0" applyNumberFormat="1" applyFont="1" applyFill="1" applyAlignment="1">
      <alignment horizontal="center" wrapText="1"/>
    </xf>
    <xf numFmtId="38" fontId="107" fillId="0" borderId="0" xfId="0" applyNumberFormat="1" applyFont="1" applyFill="1" applyAlignment="1">
      <alignment horizontal="center" wrapText="1"/>
    </xf>
    <xf numFmtId="0" fontId="100" fillId="0" borderId="0" xfId="0" applyFont="1" applyFill="1"/>
    <xf numFmtId="183" fontId="100" fillId="0" borderId="0" xfId="0" applyNumberFormat="1" applyFont="1" applyFill="1"/>
    <xf numFmtId="168" fontId="103" fillId="7" borderId="20" xfId="0" applyNumberFormat="1" applyFont="1" applyFill="1" applyBorder="1" applyAlignment="1">
      <alignment horizontal="right" vertical="center"/>
    </xf>
    <xf numFmtId="49" fontId="103" fillId="7" borderId="20" xfId="0" applyNumberFormat="1" applyFont="1" applyFill="1" applyBorder="1" applyAlignment="1">
      <alignment horizontal="right" vertical="center"/>
    </xf>
    <xf numFmtId="168" fontId="103" fillId="8" borderId="20" xfId="0" applyNumberFormat="1" applyFont="1" applyFill="1" applyBorder="1" applyAlignment="1">
      <alignment horizontal="right" vertical="center"/>
    </xf>
    <xf numFmtId="49" fontId="103" fillId="8" borderId="20" xfId="0" applyNumberFormat="1" applyFont="1" applyFill="1" applyBorder="1" applyAlignment="1">
      <alignment horizontal="right" vertical="center"/>
    </xf>
    <xf numFmtId="168" fontId="103" fillId="80" borderId="20" xfId="0" applyNumberFormat="1" applyFont="1" applyFill="1" applyBorder="1" applyAlignment="1">
      <alignment horizontal="right" vertical="center"/>
    </xf>
    <xf numFmtId="49" fontId="103" fillId="80" borderId="20" xfId="0" applyNumberFormat="1" applyFont="1" applyFill="1" applyBorder="1" applyAlignment="1">
      <alignment horizontal="right" vertical="center"/>
    </xf>
    <xf numFmtId="165" fontId="98" fillId="0" borderId="0" xfId="1" applyNumberFormat="1" applyFont="1" applyFill="1" applyAlignment="1" applyProtection="1">
      <alignment horizontal="left"/>
    </xf>
    <xf numFmtId="169" fontId="98" fillId="0" borderId="0" xfId="850" applyNumberFormat="1" applyFont="1" applyFill="1"/>
    <xf numFmtId="165" fontId="98" fillId="0" borderId="0" xfId="849" applyNumberFormat="1" applyFont="1" applyFill="1"/>
    <xf numFmtId="0" fontId="98" fillId="0" borderId="0" xfId="849" applyFont="1" applyFill="1"/>
    <xf numFmtId="182" fontId="98" fillId="0" borderId="0" xfId="0" applyNumberFormat="1" applyFont="1" applyFill="1" applyAlignment="1" applyProtection="1">
      <alignment horizontal="left"/>
    </xf>
    <xf numFmtId="180" fontId="98" fillId="0" borderId="0" xfId="1" applyNumberFormat="1" applyFont="1" applyFill="1" applyAlignment="1" applyProtection="1">
      <alignment horizontal="left"/>
    </xf>
    <xf numFmtId="165" fontId="98" fillId="0" borderId="0" xfId="849" applyNumberFormat="1" applyFont="1" applyFill="1" applyBorder="1"/>
    <xf numFmtId="43" fontId="98" fillId="0" borderId="0" xfId="849" applyNumberFormat="1" applyFont="1" applyFill="1" applyBorder="1"/>
    <xf numFmtId="165" fontId="98" fillId="0" borderId="21" xfId="1" applyNumberFormat="1" applyFont="1" applyFill="1" applyBorder="1" applyAlignment="1" applyProtection="1">
      <alignment horizontal="left"/>
    </xf>
    <xf numFmtId="180" fontId="98" fillId="0" borderId="21" xfId="1" applyNumberFormat="1" applyFont="1" applyFill="1" applyBorder="1" applyAlignment="1" applyProtection="1">
      <alignment horizontal="left"/>
    </xf>
    <xf numFmtId="182" fontId="98" fillId="0" borderId="0" xfId="849" applyNumberFormat="1" applyFont="1" applyFill="1" applyAlignment="1" applyProtection="1">
      <alignment horizontal="center"/>
    </xf>
    <xf numFmtId="165" fontId="98" fillId="0" borderId="0" xfId="1" applyNumberFormat="1" applyFont="1" applyFill="1" applyAlignment="1" applyProtection="1">
      <alignment horizontal="center"/>
    </xf>
    <xf numFmtId="182" fontId="98" fillId="0" borderId="0" xfId="849" applyNumberFormat="1" applyFont="1" applyFill="1" applyAlignment="1" applyProtection="1"/>
    <xf numFmtId="169" fontId="98" fillId="0" borderId="0" xfId="849" applyNumberFormat="1" applyFont="1" applyFill="1"/>
    <xf numFmtId="180" fontId="98" fillId="0" borderId="0" xfId="1" applyNumberFormat="1" applyFont="1" applyFill="1" applyAlignment="1">
      <alignment horizontal="right"/>
    </xf>
    <xf numFmtId="180" fontId="98" fillId="0" borderId="0" xfId="849" applyNumberFormat="1" applyFont="1" applyFill="1"/>
    <xf numFmtId="165" fontId="98" fillId="0" borderId="0" xfId="1" applyNumberFormat="1" applyFont="1" applyFill="1" applyAlignment="1">
      <alignment horizontal="right"/>
    </xf>
    <xf numFmtId="180" fontId="98" fillId="0" borderId="21" xfId="1" applyNumberFormat="1" applyFont="1" applyFill="1" applyBorder="1" applyAlignment="1">
      <alignment horizontal="right"/>
    </xf>
    <xf numFmtId="169" fontId="98" fillId="0" borderId="21" xfId="1" applyNumberFormat="1" applyFont="1" applyFill="1" applyBorder="1" applyAlignment="1">
      <alignment horizontal="right"/>
    </xf>
    <xf numFmtId="169" fontId="98" fillId="0" borderId="0" xfId="1" applyNumberFormat="1" applyFont="1" applyFill="1" applyBorder="1" applyAlignment="1">
      <alignment horizontal="right"/>
    </xf>
    <xf numFmtId="165" fontId="98" fillId="0" borderId="0" xfId="1" applyNumberFormat="1" applyFont="1" applyFill="1" applyBorder="1" applyAlignment="1" applyProtection="1">
      <alignment horizontal="left"/>
    </xf>
    <xf numFmtId="165" fontId="98" fillId="0" borderId="0" xfId="1" applyNumberFormat="1" applyFont="1" applyFill="1"/>
    <xf numFmtId="43" fontId="98" fillId="0" borderId="0" xfId="849" applyNumberFormat="1" applyFont="1" applyFill="1"/>
    <xf numFmtId="165" fontId="98" fillId="0" borderId="0" xfId="3" applyNumberFormat="1" applyFont="1" applyFill="1" applyAlignment="1" applyProtection="1">
      <alignment horizontal="right"/>
    </xf>
    <xf numFmtId="180" fontId="47" fillId="0" borderId="0" xfId="1" applyNumberFormat="1" applyFont="1" applyFill="1" applyBorder="1" applyProtection="1"/>
    <xf numFmtId="190" fontId="47" fillId="0" borderId="0" xfId="6" applyNumberFormat="1" applyFont="1" applyFill="1" applyBorder="1" applyProtection="1"/>
    <xf numFmtId="44" fontId="88" fillId="0" borderId="0" xfId="0" applyNumberFormat="1" applyFont="1" applyFill="1"/>
    <xf numFmtId="42" fontId="88" fillId="0" borderId="0" xfId="0" applyNumberFormat="1" applyFont="1" applyFill="1"/>
    <xf numFmtId="49" fontId="103" fillId="80" borderId="20" xfId="0" applyNumberFormat="1" applyFont="1" applyFill="1" applyBorder="1" applyAlignment="1">
      <alignment horizontal="left" vertical="center" wrapText="1"/>
    </xf>
    <xf numFmtId="167" fontId="29" fillId="16" borderId="0" xfId="3" applyNumberFormat="1" applyFont="1" applyFill="1"/>
    <xf numFmtId="44" fontId="29" fillId="16" borderId="0" xfId="4" applyFont="1" applyFill="1"/>
    <xf numFmtId="43" fontId="2" fillId="2" borderId="0" xfId="1" applyFont="1" applyFill="1" applyAlignment="1">
      <alignment wrapText="1"/>
    </xf>
    <xf numFmtId="43" fontId="25" fillId="4" borderId="4" xfId="1" applyFont="1" applyFill="1" applyBorder="1" applyAlignment="1">
      <alignment horizontal="center" vertical="center" wrapText="1"/>
    </xf>
    <xf numFmtId="43" fontId="25" fillId="4" borderId="5" xfId="1" applyFont="1" applyFill="1" applyBorder="1" applyAlignment="1">
      <alignment horizontal="center" vertical="center" wrapText="1"/>
    </xf>
    <xf numFmtId="43" fontId="25" fillId="4" borderId="1" xfId="1" applyFont="1" applyFill="1" applyBorder="1" applyAlignment="1">
      <alignment horizontal="center" vertical="center" wrapText="1"/>
    </xf>
    <xf numFmtId="43" fontId="25" fillId="4" borderId="8" xfId="1" applyFont="1" applyFill="1" applyBorder="1" applyAlignment="1">
      <alignment horizontal="center" vertical="center" wrapText="1"/>
    </xf>
    <xf numFmtId="43" fontId="8" fillId="0" borderId="8" xfId="1" applyFont="1" applyFill="1" applyBorder="1" applyAlignment="1">
      <alignment horizontal="right" vertical="center" wrapText="1"/>
    </xf>
    <xf numFmtId="43" fontId="8" fillId="0" borderId="1" xfId="1" applyFont="1" applyFill="1" applyBorder="1" applyAlignment="1" applyProtection="1">
      <alignment horizontal="right" vertical="center" wrapText="1"/>
      <protection locked="0"/>
    </xf>
    <xf numFmtId="43" fontId="25" fillId="0" borderId="1" xfId="1" applyFont="1" applyFill="1" applyBorder="1" applyAlignment="1">
      <alignment horizontal="right" vertical="center" wrapText="1"/>
    </xf>
    <xf numFmtId="49" fontId="25" fillId="5" borderId="64" xfId="652" applyNumberFormat="1" applyFont="1" applyFill="1" applyBorder="1" applyAlignment="1">
      <alignment horizontal="right" vertical="center" wrapText="1"/>
    </xf>
    <xf numFmtId="41" fontId="8" fillId="5" borderId="65" xfId="652" applyNumberFormat="1" applyFont="1" applyFill="1" applyBorder="1" applyAlignment="1">
      <alignment horizontal="right" vertical="center" wrapText="1"/>
    </xf>
    <xf numFmtId="41" fontId="25" fillId="5" borderId="65" xfId="652" applyNumberFormat="1" applyFont="1" applyFill="1" applyBorder="1" applyAlignment="1" applyProtection="1">
      <alignment horizontal="right" vertical="center" wrapText="1"/>
      <protection locked="0"/>
    </xf>
    <xf numFmtId="43" fontId="8" fillId="5" borderId="65" xfId="1" applyFont="1" applyFill="1" applyBorder="1" applyAlignment="1">
      <alignment horizontal="right" vertical="center" wrapText="1"/>
    </xf>
    <xf numFmtId="43" fontId="25" fillId="5" borderId="65" xfId="1" applyFont="1" applyFill="1" applyBorder="1" applyAlignment="1" applyProtection="1">
      <alignment horizontal="right" vertical="center" wrapText="1"/>
      <protection locked="0"/>
    </xf>
    <xf numFmtId="43" fontId="8" fillId="5" borderId="66" xfId="1" applyFont="1" applyFill="1" applyBorder="1" applyAlignment="1">
      <alignment horizontal="right" vertical="center" wrapText="1"/>
    </xf>
    <xf numFmtId="43" fontId="14" fillId="0" borderId="0" xfId="1" applyFont="1" applyFill="1" applyBorder="1"/>
    <xf numFmtId="180" fontId="29" fillId="0" borderId="0" xfId="0" applyNumberFormat="1" applyFont="1"/>
    <xf numFmtId="180" fontId="110" fillId="0" borderId="0" xfId="0" applyNumberFormat="1" applyFont="1"/>
    <xf numFmtId="0" fontId="0" fillId="0" borderId="0" xfId="0" applyFill="1" applyAlignment="1">
      <alignment horizontal="left"/>
    </xf>
    <xf numFmtId="0" fontId="0" fillId="0" borderId="0" xfId="0" quotePrefix="1" applyFill="1" applyAlignment="1">
      <alignment horizontal="right"/>
    </xf>
    <xf numFmtId="0" fontId="111" fillId="0" borderId="0" xfId="0" applyFont="1" applyFill="1" applyAlignment="1">
      <alignment horizontal="left"/>
    </xf>
    <xf numFmtId="0" fontId="110" fillId="0" borderId="0" xfId="0" quotePrefix="1" applyFont="1" applyFill="1" applyAlignment="1">
      <alignment horizontal="left"/>
    </xf>
    <xf numFmtId="0" fontId="110" fillId="0" borderId="0" xfId="0" applyFont="1" applyFill="1" applyAlignment="1">
      <alignment horizontal="left"/>
    </xf>
    <xf numFmtId="0" fontId="111" fillId="0" borderId="0" xfId="0" applyFont="1" applyFill="1"/>
    <xf numFmtId="178" fontId="100" fillId="0" borderId="0" xfId="0" applyNumberFormat="1" applyFont="1" applyFill="1"/>
    <xf numFmtId="42" fontId="100" fillId="0" borderId="0" xfId="0" applyNumberFormat="1" applyFont="1" applyFill="1"/>
    <xf numFmtId="0" fontId="34" fillId="0" borderId="0" xfId="12" quotePrefix="1" applyFont="1" applyFill="1" applyAlignment="1">
      <alignment horizontal="left"/>
    </xf>
    <xf numFmtId="165" fontId="88" fillId="0" borderId="0" xfId="0" applyNumberFormat="1" applyFont="1" applyFill="1"/>
    <xf numFmtId="180" fontId="88" fillId="0" borderId="0" xfId="0" applyNumberFormat="1" applyFont="1" applyFill="1"/>
    <xf numFmtId="0" fontId="88" fillId="0" borderId="0" xfId="0" applyFont="1" applyFill="1" applyAlignment="1">
      <alignment horizontal="right"/>
    </xf>
    <xf numFmtId="165" fontId="34" fillId="0" borderId="0" xfId="3" quotePrefix="1" applyNumberFormat="1" applyFont="1" applyFill="1" applyAlignment="1">
      <alignment horizontal="center"/>
    </xf>
    <xf numFmtId="165" fontId="34" fillId="0" borderId="21" xfId="3" applyNumberFormat="1" applyFont="1" applyFill="1" applyBorder="1" applyAlignment="1">
      <alignment horizontal="center"/>
    </xf>
    <xf numFmtId="165" fontId="34" fillId="0" borderId="0" xfId="3" applyNumberFormat="1" applyFont="1" applyFill="1" applyBorder="1" applyAlignment="1">
      <alignment horizontal="center"/>
    </xf>
    <xf numFmtId="179" fontId="34" fillId="0" borderId="21" xfId="3" quotePrefix="1" applyNumberFormat="1" applyFont="1" applyFill="1" applyBorder="1" applyAlignment="1">
      <alignment horizontal="center"/>
    </xf>
    <xf numFmtId="0" fontId="100" fillId="0" borderId="0" xfId="0" applyFont="1" applyFill="1" applyAlignment="1">
      <alignment horizontal="center"/>
    </xf>
    <xf numFmtId="4" fontId="47" fillId="0" borderId="0" xfId="1" applyNumberFormat="1" applyFont="1" applyFill="1" applyProtection="1"/>
    <xf numFmtId="202" fontId="47" fillId="0" borderId="0" xfId="1" applyNumberFormat="1" applyFont="1" applyFill="1" applyProtection="1"/>
    <xf numFmtId="169" fontId="47" fillId="0" borderId="0" xfId="6" applyNumberFormat="1" applyFont="1" applyFill="1"/>
    <xf numFmtId="169" fontId="47" fillId="0" borderId="21" xfId="6" applyNumberFormat="1" applyFont="1" applyFill="1" applyBorder="1"/>
    <xf numFmtId="191" fontId="47" fillId="0" borderId="28" xfId="1" applyNumberFormat="1" applyFont="1" applyFill="1" applyBorder="1" applyProtection="1"/>
    <xf numFmtId="43" fontId="112" fillId="0" borderId="0" xfId="1" applyFont="1" applyFill="1" applyProtection="1"/>
    <xf numFmtId="42" fontId="47" fillId="0" borderId="0" xfId="6" applyNumberFormat="1" applyFont="1" applyFill="1"/>
    <xf numFmtId="14" fontId="0" fillId="0" borderId="0" xfId="0" applyNumberFormat="1" applyFill="1"/>
    <xf numFmtId="0" fontId="88" fillId="0" borderId="0" xfId="0" applyFont="1"/>
    <xf numFmtId="0" fontId="109" fillId="0" borderId="0" xfId="0" applyFont="1" applyAlignment="1">
      <alignment horizontal="right"/>
    </xf>
    <xf numFmtId="0" fontId="109" fillId="0" borderId="0" xfId="0" applyFont="1" applyBorder="1" applyAlignment="1">
      <alignment horizontal="right"/>
    </xf>
    <xf numFmtId="0" fontId="109" fillId="0" borderId="0" xfId="0" applyFont="1" applyBorder="1"/>
    <xf numFmtId="0" fontId="109" fillId="0" borderId="47" xfId="0" applyFont="1" applyBorder="1" applyAlignment="1">
      <alignment horizontal="left"/>
    </xf>
    <xf numFmtId="0" fontId="109" fillId="0" borderId="47" xfId="0" applyFont="1" applyBorder="1" applyAlignment="1">
      <alignment horizontal="right"/>
    </xf>
    <xf numFmtId="0" fontId="109" fillId="0" borderId="47" xfId="0" applyFont="1" applyFill="1" applyBorder="1" applyAlignment="1">
      <alignment horizontal="right"/>
    </xf>
    <xf numFmtId="0" fontId="109" fillId="0" borderId="0" xfId="0" applyFont="1" applyFill="1" applyBorder="1" applyAlignment="1">
      <alignment horizontal="right"/>
    </xf>
    <xf numFmtId="169" fontId="88" fillId="0" borderId="0" xfId="850" applyNumberFormat="1" applyFont="1"/>
    <xf numFmtId="169" fontId="88" fillId="0" borderId="0" xfId="0" applyNumberFormat="1" applyFont="1"/>
    <xf numFmtId="10" fontId="88" fillId="0" borderId="0" xfId="10" applyNumberFormat="1" applyFont="1"/>
    <xf numFmtId="201" fontId="88" fillId="0" borderId="0" xfId="10" applyNumberFormat="1" applyFont="1"/>
    <xf numFmtId="165" fontId="88" fillId="0" borderId="0" xfId="846" applyNumberFormat="1" applyFont="1"/>
    <xf numFmtId="165" fontId="88" fillId="0" borderId="0" xfId="0" applyNumberFormat="1" applyFont="1"/>
    <xf numFmtId="169" fontId="88" fillId="0" borderId="25" xfId="850" applyNumberFormat="1" applyFont="1" applyBorder="1"/>
    <xf numFmtId="165" fontId="88" fillId="0" borderId="0" xfId="846" applyNumberFormat="1" applyFont="1" applyFill="1"/>
    <xf numFmtId="10" fontId="88" fillId="0" borderId="0" xfId="10" applyNumberFormat="1" applyFont="1" applyFill="1"/>
    <xf numFmtId="169" fontId="88" fillId="0" borderId="25" xfId="850" applyNumberFormat="1" applyFont="1" applyFill="1" applyBorder="1"/>
    <xf numFmtId="43" fontId="88" fillId="0" borderId="0" xfId="3" applyFont="1"/>
    <xf numFmtId="0" fontId="47" fillId="0" borderId="0" xfId="0" applyFont="1" applyFill="1"/>
    <xf numFmtId="0" fontId="46" fillId="0" borderId="0" xfId="0" applyFont="1" applyFill="1" applyAlignment="1">
      <alignment horizontal="right"/>
    </xf>
    <xf numFmtId="0" fontId="46" fillId="0" borderId="0" xfId="848" applyFont="1" applyFill="1" applyAlignment="1">
      <alignment horizontal="right"/>
    </xf>
    <xf numFmtId="0" fontId="46" fillId="0" borderId="0" xfId="848" applyFont="1" applyFill="1" applyBorder="1" applyAlignment="1">
      <alignment horizontal="center"/>
    </xf>
    <xf numFmtId="0" fontId="46" fillId="0" borderId="0" xfId="0" quotePrefix="1" applyFont="1" applyFill="1" applyAlignment="1">
      <alignment horizontal="right"/>
    </xf>
    <xf numFmtId="0" fontId="46" fillId="0" borderId="0" xfId="848" applyFont="1" applyFill="1" applyAlignment="1">
      <alignment horizontal="center"/>
    </xf>
    <xf numFmtId="0" fontId="46" fillId="0" borderId="47" xfId="0" applyFont="1" applyFill="1" applyBorder="1"/>
    <xf numFmtId="0" fontId="46" fillId="0" borderId="47" xfId="0" applyFont="1" applyFill="1" applyBorder="1" applyAlignment="1">
      <alignment horizontal="center"/>
    </xf>
    <xf numFmtId="0" fontId="46" fillId="0" borderId="47" xfId="848" applyFont="1" applyFill="1" applyBorder="1" applyAlignment="1">
      <alignment horizontal="center"/>
    </xf>
    <xf numFmtId="0" fontId="46" fillId="0" borderId="47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14" fontId="46" fillId="0" borderId="47" xfId="848" applyNumberFormat="1" applyFont="1" applyFill="1" applyBorder="1" applyAlignment="1">
      <alignment horizontal="center"/>
    </xf>
    <xf numFmtId="0" fontId="46" fillId="0" borderId="0" xfId="0" applyFont="1" applyFill="1" applyBorder="1"/>
    <xf numFmtId="0" fontId="47" fillId="0" borderId="0" xfId="848" applyFont="1" applyFill="1" applyBorder="1" applyAlignment="1">
      <alignment horizontal="right"/>
    </xf>
    <xf numFmtId="0" fontId="113" fillId="0" borderId="0" xfId="0" applyFont="1" applyFill="1"/>
    <xf numFmtId="0" fontId="46" fillId="0" borderId="0" xfId="0" applyFont="1" applyFill="1"/>
    <xf numFmtId="0" fontId="114" fillId="0" borderId="0" xfId="0" applyFont="1" applyFill="1"/>
    <xf numFmtId="0" fontId="87" fillId="0" borderId="0" xfId="0" applyFont="1" applyFill="1"/>
    <xf numFmtId="0" fontId="112" fillId="0" borderId="0" xfId="0" applyFont="1" applyFill="1" applyAlignment="1">
      <alignment horizontal="right"/>
    </xf>
    <xf numFmtId="0" fontId="47" fillId="0" borderId="0" xfId="848" applyFont="1" applyFill="1"/>
    <xf numFmtId="165" fontId="112" fillId="0" borderId="0" xfId="1" applyNumberFormat="1" applyFont="1" applyFill="1"/>
    <xf numFmtId="37" fontId="47" fillId="0" borderId="0" xfId="3" applyNumberFormat="1" applyFont="1" applyFill="1"/>
    <xf numFmtId="44" fontId="47" fillId="0" borderId="0" xfId="4" applyFont="1" applyFill="1"/>
    <xf numFmtId="169" fontId="47" fillId="0" borderId="0" xfId="0" applyNumberFormat="1" applyFont="1" applyFill="1"/>
    <xf numFmtId="0" fontId="47" fillId="0" borderId="0" xfId="0" quotePrefix="1" applyFont="1" applyFill="1" applyAlignment="1">
      <alignment horizontal="left"/>
    </xf>
    <xf numFmtId="172" fontId="47" fillId="0" borderId="0" xfId="4" applyNumberFormat="1" applyFont="1" applyFill="1"/>
    <xf numFmtId="37" fontId="47" fillId="0" borderId="0" xfId="0" applyNumberFormat="1" applyFont="1" applyFill="1"/>
    <xf numFmtId="0" fontId="46" fillId="0" borderId="0" xfId="848" applyFont="1" applyFill="1"/>
    <xf numFmtId="37" fontId="46" fillId="0" borderId="0" xfId="0" applyNumberFormat="1" applyFont="1" applyFill="1"/>
    <xf numFmtId="169" fontId="46" fillId="0" borderId="0" xfId="848" applyNumberFormat="1" applyFont="1" applyFill="1" applyBorder="1"/>
    <xf numFmtId="0" fontId="47" fillId="0" borderId="0" xfId="848" applyFont="1" applyFill="1" applyAlignment="1">
      <alignment horizontal="right"/>
    </xf>
    <xf numFmtId="173" fontId="47" fillId="0" borderId="0" xfId="1" applyNumberFormat="1" applyFont="1" applyFill="1" applyBorder="1"/>
    <xf numFmtId="173" fontId="47" fillId="0" borderId="0" xfId="0" applyNumberFormat="1" applyFont="1" applyFill="1"/>
    <xf numFmtId="172" fontId="47" fillId="0" borderId="0" xfId="0" applyNumberFormat="1" applyFont="1" applyFill="1"/>
    <xf numFmtId="169" fontId="47" fillId="0" borderId="48" xfId="0" applyNumberFormat="1" applyFont="1" applyFill="1" applyBorder="1"/>
    <xf numFmtId="0" fontId="47" fillId="0" borderId="0" xfId="0" applyFont="1" applyFill="1" applyAlignment="1">
      <alignment horizontal="left"/>
    </xf>
    <xf numFmtId="165" fontId="47" fillId="0" borderId="0" xfId="0" applyNumberFormat="1" applyFont="1" applyFill="1" applyBorder="1"/>
    <xf numFmtId="165" fontId="47" fillId="0" borderId="0" xfId="3" applyNumberFormat="1" applyFont="1" applyFill="1"/>
    <xf numFmtId="0" fontId="47" fillId="0" borderId="0" xfId="0" applyFont="1" applyFill="1" applyAlignment="1">
      <alignment horizontal="right"/>
    </xf>
    <xf numFmtId="10" fontId="47" fillId="0" borderId="0" xfId="794" applyNumberFormat="1" applyFont="1" applyFill="1"/>
    <xf numFmtId="10" fontId="37" fillId="0" borderId="0" xfId="8" applyNumberFormat="1" applyFont="1" applyFill="1"/>
    <xf numFmtId="0" fontId="47" fillId="0" borderId="0" xfId="0" applyFont="1" applyFill="1" applyAlignment="1">
      <alignment horizontal="left" indent="1"/>
    </xf>
    <xf numFmtId="10" fontId="37" fillId="0" borderId="0" xfId="0" applyNumberFormat="1" applyFont="1" applyFill="1"/>
    <xf numFmtId="42" fontId="47" fillId="0" borderId="0" xfId="0" applyNumberFormat="1" applyFont="1" applyFill="1"/>
    <xf numFmtId="44" fontId="47" fillId="0" borderId="0" xfId="0" applyNumberFormat="1" applyFont="1" applyFill="1"/>
    <xf numFmtId="198" fontId="47" fillId="0" borderId="0" xfId="0" applyNumberFormat="1" applyFont="1" applyFill="1"/>
    <xf numFmtId="169" fontId="47" fillId="0" borderId="0" xfId="848" applyNumberFormat="1" applyFont="1" applyFill="1" applyBorder="1"/>
    <xf numFmtId="194" fontId="47" fillId="0" borderId="0" xfId="0" applyNumberFormat="1" applyFont="1" applyFill="1"/>
    <xf numFmtId="169" fontId="47" fillId="0" borderId="48" xfId="848" applyNumberFormat="1" applyFont="1" applyFill="1" applyBorder="1"/>
    <xf numFmtId="165" fontId="47" fillId="0" borderId="0" xfId="0" applyNumberFormat="1" applyFont="1" applyFill="1"/>
    <xf numFmtId="10" fontId="88" fillId="0" borderId="0" xfId="0" applyNumberFormat="1" applyFont="1"/>
    <xf numFmtId="0" fontId="113" fillId="0" borderId="0" xfId="0" quotePrefix="1" applyFont="1" applyFill="1" applyAlignment="1">
      <alignment horizontal="left"/>
    </xf>
    <xf numFmtId="0" fontId="47" fillId="0" borderId="0" xfId="0" applyFont="1" applyFill="1" applyBorder="1"/>
    <xf numFmtId="1" fontId="47" fillId="0" borderId="0" xfId="0" applyNumberFormat="1" applyFont="1" applyFill="1" applyBorder="1"/>
    <xf numFmtId="0" fontId="47" fillId="0" borderId="0" xfId="848" applyFont="1" applyFill="1" applyAlignment="1">
      <alignment horizontal="left" indent="1"/>
    </xf>
    <xf numFmtId="180" fontId="47" fillId="0" borderId="0" xfId="0" applyNumberFormat="1" applyFont="1" applyFill="1"/>
    <xf numFmtId="169" fontId="46" fillId="0" borderId="48" xfId="848" applyNumberFormat="1" applyFont="1" applyFill="1" applyBorder="1"/>
    <xf numFmtId="44" fontId="47" fillId="0" borderId="0" xfId="4" applyNumberFormat="1" applyFont="1" applyFill="1"/>
    <xf numFmtId="42" fontId="47" fillId="0" borderId="21" xfId="0" applyNumberFormat="1" applyFont="1" applyFill="1" applyBorder="1"/>
    <xf numFmtId="42" fontId="47" fillId="0" borderId="0" xfId="0" applyNumberFormat="1" applyFont="1" applyFill="1" applyBorder="1"/>
    <xf numFmtId="169" fontId="47" fillId="0" borderId="48" xfId="850" applyNumberFormat="1" applyFont="1" applyFill="1" applyBorder="1"/>
    <xf numFmtId="10" fontId="47" fillId="0" borderId="0" xfId="10" applyNumberFormat="1" applyFont="1" applyFill="1" applyBorder="1"/>
    <xf numFmtId="43" fontId="47" fillId="0" borderId="0" xfId="0" applyNumberFormat="1" applyFont="1" applyFill="1"/>
    <xf numFmtId="0" fontId="46" fillId="0" borderId="0" xfId="0" quotePrefix="1" applyFont="1" applyFill="1" applyProtection="1"/>
    <xf numFmtId="42" fontId="46" fillId="0" borderId="0" xfId="848" applyNumberFormat="1" applyFont="1" applyFill="1" applyBorder="1"/>
    <xf numFmtId="0" fontId="46" fillId="0" borderId="0" xfId="0" quotePrefix="1" applyFont="1" applyFill="1" applyBorder="1" applyProtection="1"/>
    <xf numFmtId="200" fontId="47" fillId="0" borderId="0" xfId="0" applyNumberFormat="1" applyFont="1" applyFill="1"/>
    <xf numFmtId="42" fontId="46" fillId="0" borderId="48" xfId="848" applyNumberFormat="1" applyFont="1" applyFill="1" applyBorder="1"/>
    <xf numFmtId="165" fontId="47" fillId="0" borderId="0" xfId="846" applyNumberFormat="1" applyFont="1" applyFill="1"/>
    <xf numFmtId="0" fontId="34" fillId="0" borderId="0" xfId="848" applyFont="1" applyFill="1"/>
    <xf numFmtId="165" fontId="47" fillId="0" borderId="0" xfId="846" applyNumberFormat="1" applyFont="1" applyFill="1" applyAlignment="1">
      <alignment horizontal="right"/>
    </xf>
    <xf numFmtId="165" fontId="46" fillId="0" borderId="0" xfId="846" applyNumberFormat="1" applyFont="1" applyFill="1" applyAlignment="1">
      <alignment horizontal="right"/>
    </xf>
    <xf numFmtId="165" fontId="47" fillId="0" borderId="21" xfId="846" applyNumberFormat="1" applyFont="1" applyFill="1" applyBorder="1" applyAlignment="1" applyProtection="1">
      <alignment horizontal="right"/>
    </xf>
    <xf numFmtId="165" fontId="47" fillId="0" borderId="21" xfId="846" applyNumberFormat="1" applyFont="1" applyFill="1" applyBorder="1" applyAlignment="1">
      <alignment horizontal="right"/>
    </xf>
    <xf numFmtId="165" fontId="46" fillId="0" borderId="21" xfId="846" applyNumberFormat="1" applyFont="1" applyFill="1" applyBorder="1" applyAlignment="1" applyProtection="1">
      <alignment horizontal="right"/>
    </xf>
    <xf numFmtId="169" fontId="47" fillId="0" borderId="0" xfId="4" applyNumberFormat="1" applyFont="1" applyFill="1"/>
    <xf numFmtId="169" fontId="47" fillId="0" borderId="0" xfId="4" applyNumberFormat="1" applyFont="1" applyFill="1" applyBorder="1"/>
    <xf numFmtId="183" fontId="47" fillId="0" borderId="0" xfId="846" applyNumberFormat="1" applyFont="1" applyFill="1" applyBorder="1"/>
    <xf numFmtId="165" fontId="47" fillId="0" borderId="0" xfId="846" applyNumberFormat="1" applyFont="1" applyFill="1" applyBorder="1"/>
    <xf numFmtId="165" fontId="47" fillId="0" borderId="25" xfId="846" applyNumberFormat="1" applyFont="1" applyFill="1" applyBorder="1"/>
    <xf numFmtId="173" fontId="47" fillId="0" borderId="25" xfId="1" applyNumberFormat="1" applyFont="1" applyFill="1" applyBorder="1"/>
    <xf numFmtId="183" fontId="47" fillId="0" borderId="25" xfId="846" applyNumberFormat="1" applyFont="1" applyFill="1" applyBorder="1"/>
    <xf numFmtId="165" fontId="47" fillId="0" borderId="0" xfId="4" applyNumberFormat="1" applyFont="1" applyFill="1"/>
    <xf numFmtId="0" fontId="47" fillId="0" borderId="0" xfId="15" applyFont="1" applyFill="1" applyAlignment="1">
      <alignment horizontal="left"/>
    </xf>
    <xf numFmtId="165" fontId="47" fillId="0" borderId="21" xfId="4" applyNumberFormat="1" applyFont="1" applyFill="1" applyBorder="1"/>
    <xf numFmtId="165" fontId="34" fillId="0" borderId="0" xfId="848" applyNumberFormat="1" applyFont="1" applyFill="1"/>
    <xf numFmtId="0" fontId="47" fillId="0" borderId="0" xfId="15" applyFont="1" applyFill="1"/>
    <xf numFmtId="196" fontId="47" fillId="0" borderId="0" xfId="846" applyNumberFormat="1" applyFont="1" applyFill="1"/>
    <xf numFmtId="173" fontId="47" fillId="0" borderId="25" xfId="846" applyNumberFormat="1" applyFont="1" applyFill="1" applyBorder="1"/>
    <xf numFmtId="165" fontId="116" fillId="0" borderId="0" xfId="846" applyNumberFormat="1" applyFont="1" applyFill="1" applyBorder="1"/>
    <xf numFmtId="173" fontId="47" fillId="0" borderId="0" xfId="846" applyNumberFormat="1" applyFont="1" applyFill="1" applyBorder="1"/>
    <xf numFmtId="183" fontId="47" fillId="0" borderId="0" xfId="846" applyNumberFormat="1" applyFont="1" applyFill="1"/>
    <xf numFmtId="165" fontId="47" fillId="0" borderId="21" xfId="846" applyNumberFormat="1" applyFont="1" applyFill="1" applyBorder="1"/>
    <xf numFmtId="183" fontId="47" fillId="0" borderId="21" xfId="846" applyNumberFormat="1" applyFont="1" applyFill="1" applyBorder="1"/>
    <xf numFmtId="0" fontId="34" fillId="0" borderId="0" xfId="848" applyFont="1" applyFill="1" applyBorder="1"/>
    <xf numFmtId="165" fontId="34" fillId="0" borderId="0" xfId="848" applyNumberFormat="1" applyFont="1" applyFill="1" applyBorder="1"/>
    <xf numFmtId="183" fontId="47" fillId="0" borderId="30" xfId="846" applyNumberFormat="1" applyFont="1" applyFill="1" applyBorder="1"/>
    <xf numFmtId="183" fontId="47" fillId="0" borderId="25" xfId="848" applyNumberFormat="1" applyFont="1" applyFill="1" applyBorder="1"/>
    <xf numFmtId="183" fontId="34" fillId="0" borderId="0" xfId="848" applyNumberFormat="1" applyFont="1" applyFill="1" applyBorder="1"/>
    <xf numFmtId="180" fontId="34" fillId="0" borderId="0" xfId="848" applyNumberFormat="1" applyFont="1" applyFill="1" applyBorder="1"/>
    <xf numFmtId="180" fontId="47" fillId="0" borderId="0" xfId="846" applyNumberFormat="1" applyFont="1" applyFill="1"/>
    <xf numFmtId="166" fontId="47" fillId="0" borderId="0" xfId="846" applyNumberFormat="1" applyFont="1" applyFill="1" applyBorder="1"/>
    <xf numFmtId="166" fontId="47" fillId="0" borderId="0" xfId="846" quotePrefix="1" applyNumberFormat="1" applyFont="1" applyFill="1" applyBorder="1"/>
    <xf numFmtId="0" fontId="47" fillId="0" borderId="0" xfId="848" applyFont="1" applyFill="1" applyBorder="1"/>
    <xf numFmtId="180" fontId="47" fillId="0" borderId="0" xfId="846" applyNumberFormat="1" applyFont="1" applyFill="1" applyBorder="1"/>
    <xf numFmtId="165" fontId="47" fillId="0" borderId="0" xfId="846" quotePrefix="1" applyNumberFormat="1" applyFont="1" applyFill="1" applyBorder="1"/>
    <xf numFmtId="165" fontId="119" fillId="0" borderId="0" xfId="846" applyNumberFormat="1" applyFont="1" applyFill="1" applyBorder="1"/>
    <xf numFmtId="43" fontId="119" fillId="0" borderId="0" xfId="846" applyNumberFormat="1" applyFont="1" applyFill="1" applyBorder="1"/>
    <xf numFmtId="43" fontId="47" fillId="0" borderId="0" xfId="846" applyFont="1" applyFill="1" applyBorder="1"/>
    <xf numFmtId="165" fontId="46" fillId="0" borderId="0" xfId="846" quotePrefix="1" applyNumberFormat="1" applyFont="1" applyFill="1" applyAlignment="1">
      <alignment horizontal="center"/>
    </xf>
    <xf numFmtId="0" fontId="34" fillId="0" borderId="0" xfId="7" applyFont="1" applyFill="1"/>
    <xf numFmtId="43" fontId="34" fillId="0" borderId="0" xfId="434" applyFont="1" applyFill="1"/>
    <xf numFmtId="0" fontId="35" fillId="0" borderId="0" xfId="7" applyFont="1" applyFill="1" applyAlignment="1">
      <alignment horizontal="right"/>
    </xf>
    <xf numFmtId="0" fontId="35" fillId="0" borderId="0" xfId="7" applyFont="1" applyFill="1" applyAlignment="1">
      <alignment horizontal="left"/>
    </xf>
    <xf numFmtId="0" fontId="35" fillId="0" borderId="0" xfId="7" applyFont="1" applyFill="1"/>
    <xf numFmtId="0" fontId="34" fillId="0" borderId="0" xfId="7" applyFont="1" applyFill="1" applyAlignment="1">
      <alignment horizontal="center"/>
    </xf>
    <xf numFmtId="0" fontId="120" fillId="0" borderId="0" xfId="0" applyFont="1"/>
    <xf numFmtId="43" fontId="35" fillId="0" borderId="0" xfId="434" applyFont="1" applyFill="1" applyAlignment="1">
      <alignment horizontal="right"/>
    </xf>
    <xf numFmtId="0" fontId="34" fillId="0" borderId="0" xfId="7" applyFont="1" applyFill="1" applyBorder="1" applyAlignment="1">
      <alignment horizontal="right"/>
    </xf>
    <xf numFmtId="0" fontId="34" fillId="0" borderId="0" xfId="7" applyFont="1" applyFill="1" applyBorder="1" applyAlignment="1">
      <alignment horizontal="center"/>
    </xf>
    <xf numFmtId="0" fontId="35" fillId="0" borderId="0" xfId="7" applyFont="1" applyFill="1" applyBorder="1" applyAlignment="1">
      <alignment horizontal="center"/>
    </xf>
    <xf numFmtId="43" fontId="35" fillId="0" borderId="21" xfId="434" applyFont="1" applyFill="1" applyBorder="1" applyAlignment="1">
      <alignment horizontal="right"/>
    </xf>
    <xf numFmtId="0" fontId="35" fillId="0" borderId="21" xfId="7" applyFont="1" applyFill="1" applyBorder="1" applyAlignment="1">
      <alignment horizontal="right"/>
    </xf>
    <xf numFmtId="0" fontId="35" fillId="0" borderId="0" xfId="7" applyFont="1" applyFill="1" applyBorder="1" applyAlignment="1">
      <alignment horizontal="right"/>
    </xf>
    <xf numFmtId="170" fontId="121" fillId="0" borderId="0" xfId="0" applyNumberFormat="1" applyFont="1"/>
    <xf numFmtId="0" fontId="120" fillId="0" borderId="0" xfId="0" applyFont="1" applyFill="1"/>
    <xf numFmtId="0" fontId="34" fillId="0" borderId="0" xfId="7" applyFont="1" applyFill="1" applyAlignment="1">
      <alignment horizontal="right"/>
    </xf>
    <xf numFmtId="183" fontId="34" fillId="0" borderId="0" xfId="3" applyNumberFormat="1" applyFont="1" applyFill="1"/>
    <xf numFmtId="183" fontId="34" fillId="0" borderId="21" xfId="3" applyNumberFormat="1" applyFont="1" applyFill="1" applyBorder="1"/>
    <xf numFmtId="183" fontId="120" fillId="0" borderId="0" xfId="0" applyNumberFormat="1" applyFont="1" applyFill="1"/>
    <xf numFmtId="165" fontId="34" fillId="0" borderId="0" xfId="434" applyNumberFormat="1" applyFont="1" applyFill="1"/>
    <xf numFmtId="44" fontId="34" fillId="0" borderId="0" xfId="7" applyNumberFormat="1" applyFont="1" applyFill="1"/>
    <xf numFmtId="169" fontId="34" fillId="0" borderId="0" xfId="438" applyNumberFormat="1" applyFont="1" applyFill="1"/>
    <xf numFmtId="44" fontId="34" fillId="0" borderId="0" xfId="438" applyFont="1" applyFill="1"/>
    <xf numFmtId="172" fontId="34" fillId="0" borderId="0" xfId="4" applyNumberFormat="1" applyFont="1" applyFill="1"/>
    <xf numFmtId="169" fontId="34" fillId="0" borderId="0" xfId="434" applyNumberFormat="1" applyFont="1" applyFill="1" applyBorder="1"/>
    <xf numFmtId="169" fontId="34" fillId="0" borderId="0" xfId="7" applyNumberFormat="1" applyFont="1" applyFill="1"/>
    <xf numFmtId="42" fontId="34" fillId="0" borderId="0" xfId="4" applyNumberFormat="1" applyFont="1" applyFill="1"/>
    <xf numFmtId="42" fontId="120" fillId="0" borderId="0" xfId="0" applyNumberFormat="1" applyFont="1"/>
    <xf numFmtId="41" fontId="34" fillId="0" borderId="21" xfId="4" applyNumberFormat="1" applyFont="1" applyFill="1" applyBorder="1"/>
    <xf numFmtId="41" fontId="34" fillId="0" borderId="0" xfId="4" applyNumberFormat="1" applyFont="1" applyFill="1"/>
    <xf numFmtId="169" fontId="34" fillId="0" borderId="21" xfId="438" applyNumberFormat="1" applyFont="1" applyFill="1" applyBorder="1"/>
    <xf numFmtId="42" fontId="34" fillId="0" borderId="0" xfId="7" applyNumberFormat="1" applyFont="1" applyFill="1"/>
    <xf numFmtId="180" fontId="34" fillId="0" borderId="0" xfId="434" applyNumberFormat="1" applyFont="1" applyFill="1"/>
    <xf numFmtId="172" fontId="34" fillId="0" borderId="0" xfId="7" applyNumberFormat="1" applyFont="1" applyFill="1"/>
    <xf numFmtId="43" fontId="34" fillId="0" borderId="0" xfId="434" applyFont="1" applyFill="1" applyBorder="1"/>
    <xf numFmtId="0" fontId="34" fillId="0" borderId="0" xfId="7" applyFont="1" applyFill="1" applyBorder="1"/>
    <xf numFmtId="44" fontId="34" fillId="0" borderId="0" xfId="438" applyFont="1" applyFill="1" applyBorder="1"/>
    <xf numFmtId="44" fontId="34" fillId="0" borderId="0" xfId="7" applyNumberFormat="1" applyFont="1" applyFill="1" applyBorder="1"/>
    <xf numFmtId="42" fontId="120" fillId="0" borderId="0" xfId="0" applyNumberFormat="1" applyFont="1" applyFill="1"/>
    <xf numFmtId="42" fontId="120" fillId="0" borderId="48" xfId="0" applyNumberFormat="1" applyFont="1" applyFill="1" applyBorder="1"/>
    <xf numFmtId="43" fontId="34" fillId="0" borderId="0" xfId="7" applyNumberFormat="1" applyFont="1" applyFill="1"/>
    <xf numFmtId="0" fontId="34" fillId="0" borderId="0" xfId="7" applyFont="1" applyFill="1" applyAlignment="1"/>
    <xf numFmtId="188" fontId="34" fillId="0" borderId="0" xfId="7" applyNumberFormat="1" applyFont="1" applyFill="1"/>
    <xf numFmtId="172" fontId="34" fillId="0" borderId="0" xfId="7" applyNumberFormat="1" applyFont="1" applyFill="1" applyBorder="1"/>
    <xf numFmtId="188" fontId="34" fillId="0" borderId="0" xfId="7" applyNumberFormat="1" applyFont="1" applyFill="1" applyBorder="1"/>
    <xf numFmtId="169" fontId="35" fillId="0" borderId="48" xfId="7" applyNumberFormat="1" applyFont="1" applyFill="1" applyBorder="1"/>
    <xf numFmtId="0" fontId="34" fillId="0" borderId="0" xfId="15" applyFont="1" applyFill="1"/>
    <xf numFmtId="0" fontId="46" fillId="0" borderId="0" xfId="15" applyFont="1" applyFill="1"/>
    <xf numFmtId="0" fontId="47" fillId="0" borderId="0" xfId="15" applyFont="1" applyFill="1" applyAlignment="1">
      <alignment horizontal="right"/>
    </xf>
    <xf numFmtId="0" fontId="47" fillId="0" borderId="0" xfId="15" applyFont="1" applyFill="1" applyBorder="1" applyAlignment="1">
      <alignment horizontal="center"/>
    </xf>
    <xf numFmtId="165" fontId="47" fillId="0" borderId="0" xfId="15" applyNumberFormat="1" applyFont="1" applyFill="1" applyBorder="1" applyAlignment="1">
      <alignment horizontal="right"/>
    </xf>
    <xf numFmtId="0" fontId="123" fillId="0" borderId="0" xfId="15" applyFont="1" applyFill="1"/>
    <xf numFmtId="0" fontId="46" fillId="0" borderId="0" xfId="15" applyFont="1" applyFill="1" applyBorder="1"/>
    <xf numFmtId="165" fontId="47" fillId="0" borderId="29" xfId="1" applyNumberFormat="1" applyFont="1" applyFill="1" applyBorder="1"/>
    <xf numFmtId="165" fontId="47" fillId="0" borderId="26" xfId="1" applyNumberFormat="1" applyFont="1" applyFill="1" applyBorder="1"/>
    <xf numFmtId="0" fontId="47" fillId="0" borderId="31" xfId="15" applyFont="1" applyFill="1" applyBorder="1"/>
    <xf numFmtId="0" fontId="47" fillId="0" borderId="0" xfId="15" applyFont="1" applyFill="1" applyBorder="1" applyAlignment="1">
      <alignment horizontal="right"/>
    </xf>
    <xf numFmtId="0" fontId="48" fillId="0" borderId="0" xfId="15" applyFont="1" applyFill="1" applyBorder="1"/>
    <xf numFmtId="0" fontId="47" fillId="0" borderId="0" xfId="15" quotePrefix="1" applyFont="1" applyFill="1" applyAlignment="1">
      <alignment horizontal="left"/>
    </xf>
    <xf numFmtId="165" fontId="47" fillId="0" borderId="35" xfId="1" applyNumberFormat="1" applyFont="1" applyFill="1" applyBorder="1"/>
    <xf numFmtId="165" fontId="47" fillId="0" borderId="27" xfId="15" applyNumberFormat="1" applyFont="1" applyFill="1" applyBorder="1"/>
    <xf numFmtId="0" fontId="47" fillId="0" borderId="34" xfId="15" applyFont="1" applyFill="1" applyBorder="1"/>
    <xf numFmtId="0" fontId="47" fillId="0" borderId="21" xfId="15" applyFont="1" applyFill="1" applyBorder="1" applyAlignment="1">
      <alignment horizontal="right"/>
    </xf>
    <xf numFmtId="165" fontId="47" fillId="0" borderId="0" xfId="1" applyNumberFormat="1" applyFont="1" applyFill="1" applyBorder="1" applyAlignment="1">
      <alignment horizontal="right"/>
    </xf>
    <xf numFmtId="165" fontId="47" fillId="0" borderId="21" xfId="15" applyNumberFormat="1" applyFont="1" applyFill="1" applyBorder="1"/>
    <xf numFmtId="165" fontId="47" fillId="0" borderId="0" xfId="15" applyNumberFormat="1" applyFont="1" applyFill="1"/>
    <xf numFmtId="165" fontId="47" fillId="0" borderId="21" xfId="1" quotePrefix="1" applyNumberFormat="1" applyFont="1" applyFill="1" applyBorder="1" applyAlignment="1">
      <alignment horizontal="right"/>
    </xf>
    <xf numFmtId="165" fontId="47" fillId="0" borderId="21" xfId="1" applyNumberFormat="1" applyFont="1" applyFill="1" applyBorder="1" applyAlignment="1">
      <alignment horizontal="right"/>
    </xf>
    <xf numFmtId="165" fontId="47" fillId="0" borderId="0" xfId="1" applyNumberFormat="1" applyFont="1" applyFill="1"/>
    <xf numFmtId="165" fontId="47" fillId="0" borderId="0" xfId="1" applyNumberFormat="1" applyFont="1" applyFill="1" applyBorder="1"/>
    <xf numFmtId="194" fontId="47" fillId="0" borderId="0" xfId="15" quotePrefix="1" applyNumberFormat="1" applyFont="1" applyFill="1" applyAlignment="1">
      <alignment horizontal="right"/>
    </xf>
    <xf numFmtId="0" fontId="47" fillId="0" borderId="0" xfId="15" quotePrefix="1" applyFont="1" applyFill="1" applyAlignment="1">
      <alignment horizontal="right"/>
    </xf>
    <xf numFmtId="165" fontId="47" fillId="0" borderId="31" xfId="1" applyNumberFormat="1" applyFont="1" applyFill="1" applyBorder="1"/>
    <xf numFmtId="165" fontId="47" fillId="0" borderId="29" xfId="15" applyNumberFormat="1" applyFont="1" applyFill="1" applyBorder="1"/>
    <xf numFmtId="0" fontId="48" fillId="0" borderId="0" xfId="15" applyFont="1" applyFill="1"/>
    <xf numFmtId="0" fontId="47" fillId="0" borderId="47" xfId="15" applyFont="1" applyFill="1" applyBorder="1" applyAlignment="1">
      <alignment horizontal="right"/>
    </xf>
    <xf numFmtId="165" fontId="47" fillId="0" borderId="34" xfId="1" applyNumberFormat="1" applyFont="1" applyFill="1" applyBorder="1"/>
    <xf numFmtId="165" fontId="47" fillId="0" borderId="35" xfId="15" applyNumberFormat="1" applyFont="1" applyFill="1" applyBorder="1"/>
    <xf numFmtId="169" fontId="47" fillId="0" borderId="0" xfId="6" applyNumberFormat="1" applyFont="1" applyFill="1" applyBorder="1"/>
    <xf numFmtId="165" fontId="47" fillId="0" borderId="0" xfId="15" applyNumberFormat="1" applyFont="1" applyFill="1" applyAlignment="1">
      <alignment horizontal="right"/>
    </xf>
    <xf numFmtId="44" fontId="47" fillId="0" borderId="0" xfId="6" applyFont="1" applyFill="1" applyBorder="1"/>
    <xf numFmtId="180" fontId="47" fillId="0" borderId="0" xfId="1" applyNumberFormat="1" applyFont="1" applyFill="1"/>
    <xf numFmtId="169" fontId="47" fillId="0" borderId="0" xfId="15" applyNumberFormat="1" applyFont="1" applyFill="1"/>
    <xf numFmtId="165" fontId="47" fillId="0" borderId="0" xfId="1" quotePrefix="1" applyNumberFormat="1" applyFont="1" applyFill="1" applyAlignment="1">
      <alignment horizontal="right"/>
    </xf>
    <xf numFmtId="191" fontId="47" fillId="0" borderId="0" xfId="1" applyNumberFormat="1" applyFont="1" applyFill="1"/>
    <xf numFmtId="168" fontId="47" fillId="0" borderId="0" xfId="1" applyNumberFormat="1" applyFont="1" applyFill="1" applyBorder="1"/>
    <xf numFmtId="165" fontId="47" fillId="0" borderId="0" xfId="15" applyNumberFormat="1" applyFont="1" applyFill="1" applyBorder="1"/>
    <xf numFmtId="169" fontId="47" fillId="0" borderId="24" xfId="6" applyNumberFormat="1" applyFont="1" applyFill="1" applyBorder="1"/>
    <xf numFmtId="0" fontId="47" fillId="0" borderId="0" xfId="15" applyFont="1" applyFill="1" applyBorder="1"/>
    <xf numFmtId="180" fontId="47" fillId="0" borderId="0" xfId="1" applyNumberFormat="1" applyFont="1" applyFill="1" applyBorder="1"/>
    <xf numFmtId="195" fontId="47" fillId="0" borderId="0" xfId="15" applyNumberFormat="1" applyFont="1" applyFill="1"/>
    <xf numFmtId="165" fontId="47" fillId="0" borderId="21" xfId="1" applyNumberFormat="1" applyFont="1" applyFill="1" applyBorder="1"/>
    <xf numFmtId="180" fontId="47" fillId="0" borderId="21" xfId="1" applyNumberFormat="1" applyFont="1" applyFill="1" applyBorder="1"/>
    <xf numFmtId="0" fontId="47" fillId="0" borderId="21" xfId="15" applyFont="1" applyFill="1" applyBorder="1"/>
    <xf numFmtId="0" fontId="47" fillId="0" borderId="0" xfId="1" applyNumberFormat="1" applyFont="1" applyFill="1" applyAlignment="1">
      <alignment horizontal="left"/>
    </xf>
    <xf numFmtId="10" fontId="47" fillId="0" borderId="0" xfId="15" applyNumberFormat="1" applyFont="1" applyFill="1" applyBorder="1"/>
    <xf numFmtId="10" fontId="47" fillId="0" borderId="0" xfId="15" applyNumberFormat="1" applyFont="1" applyFill="1"/>
    <xf numFmtId="180" fontId="47" fillId="0" borderId="24" xfId="1" applyNumberFormat="1" applyFont="1" applyFill="1" applyBorder="1"/>
    <xf numFmtId="180" fontId="47" fillId="0" borderId="48" xfId="15" applyNumberFormat="1" applyFont="1" applyFill="1" applyBorder="1"/>
    <xf numFmtId="169" fontId="47" fillId="0" borderId="48" xfId="6" applyNumberFormat="1" applyFont="1" applyFill="1" applyBorder="1"/>
    <xf numFmtId="188" fontId="47" fillId="0" borderId="0" xfId="6" applyNumberFormat="1" applyFont="1" applyFill="1" applyAlignment="1">
      <alignment horizontal="right"/>
    </xf>
    <xf numFmtId="0" fontId="47" fillId="0" borderId="0" xfId="15" applyFont="1" applyFill="1" applyBorder="1" applyAlignment="1">
      <alignment horizontal="left"/>
    </xf>
    <xf numFmtId="43" fontId="47" fillId="0" borderId="0" xfId="1" applyFont="1" applyFill="1"/>
    <xf numFmtId="182" fontId="47" fillId="0" borderId="0" xfId="15" applyNumberFormat="1" applyFont="1" applyFill="1" applyProtection="1"/>
    <xf numFmtId="0" fontId="46" fillId="0" borderId="0" xfId="15" applyFont="1" applyFill="1" applyAlignment="1">
      <alignment horizontal="right"/>
    </xf>
    <xf numFmtId="182" fontId="47" fillId="0" borderId="0" xfId="15" applyNumberFormat="1" applyFont="1" applyFill="1" applyAlignment="1" applyProtection="1">
      <alignment horizontal="center"/>
    </xf>
    <xf numFmtId="0" fontId="46" fillId="0" borderId="0" xfId="15" applyFont="1" applyFill="1" applyAlignment="1">
      <alignment horizontal="left"/>
    </xf>
    <xf numFmtId="0" fontId="116" fillId="0" borderId="0" xfId="15" applyFont="1" applyFill="1" applyAlignment="1">
      <alignment horizontal="right"/>
    </xf>
    <xf numFmtId="0" fontId="116" fillId="0" borderId="0" xfId="15" applyFont="1" applyFill="1"/>
    <xf numFmtId="182" fontId="47" fillId="0" borderId="0" xfId="15" applyNumberFormat="1" applyFont="1" applyFill="1" applyAlignment="1" applyProtection="1">
      <alignment horizontal="left"/>
    </xf>
    <xf numFmtId="182" fontId="47" fillId="0" borderId="0" xfId="15" quotePrefix="1" applyNumberFormat="1" applyFont="1" applyFill="1" applyAlignment="1" applyProtection="1">
      <alignment horizontal="left"/>
    </xf>
    <xf numFmtId="169" fontId="47" fillId="0" borderId="24" xfId="15" applyNumberFormat="1" applyFont="1" applyFill="1" applyBorder="1"/>
    <xf numFmtId="188" fontId="47" fillId="0" borderId="0" xfId="6" applyNumberFormat="1" applyFont="1" applyFill="1"/>
    <xf numFmtId="188" fontId="47" fillId="0" borderId="0" xfId="6" applyNumberFormat="1" applyFont="1" applyFill="1" applyBorder="1"/>
    <xf numFmtId="14" fontId="47" fillId="0" borderId="0" xfId="15" applyNumberFormat="1" applyFont="1" applyFill="1"/>
    <xf numFmtId="170" fontId="47" fillId="0" borderId="0" xfId="15" applyNumberFormat="1" applyFont="1" applyFill="1"/>
    <xf numFmtId="182" fontId="47" fillId="0" borderId="0" xfId="15" applyNumberFormat="1" applyFont="1" applyFill="1"/>
    <xf numFmtId="184" fontId="47" fillId="0" borderId="0" xfId="15" applyNumberFormat="1" applyFont="1" applyFill="1"/>
    <xf numFmtId="0" fontId="46" fillId="0" borderId="0" xfId="11" applyFont="1"/>
    <xf numFmtId="0" fontId="47" fillId="0" borderId="0" xfId="11" applyFont="1"/>
    <xf numFmtId="0" fontId="46" fillId="0" borderId="0" xfId="11" applyFont="1" applyAlignment="1">
      <alignment horizontal="center"/>
    </xf>
    <xf numFmtId="0" fontId="46" fillId="0" borderId="21" xfId="11" applyFont="1" applyBorder="1" applyAlignment="1">
      <alignment horizontal="left"/>
    </xf>
    <xf numFmtId="49" fontId="46" fillId="0" borderId="21" xfId="11" quotePrefix="1" applyNumberFormat="1" applyFont="1" applyBorder="1" applyAlignment="1">
      <alignment horizontal="center"/>
    </xf>
    <xf numFmtId="0" fontId="46" fillId="0" borderId="0" xfId="11" applyFont="1" applyBorder="1" applyAlignment="1">
      <alignment horizontal="center"/>
    </xf>
    <xf numFmtId="0" fontId="47" fillId="0" borderId="0" xfId="11" quotePrefix="1" applyFont="1" applyFill="1" applyAlignment="1">
      <alignment horizontal="left"/>
    </xf>
    <xf numFmtId="0" fontId="47" fillId="0" borderId="0" xfId="11" applyFont="1" applyFill="1" applyAlignment="1">
      <alignment horizontal="left"/>
    </xf>
    <xf numFmtId="0" fontId="47" fillId="0" borderId="0" xfId="11" applyFont="1" applyAlignment="1">
      <alignment horizontal="center"/>
    </xf>
    <xf numFmtId="0" fontId="47" fillId="0" borderId="0" xfId="12" applyFont="1"/>
    <xf numFmtId="0" fontId="47" fillId="0" borderId="0" xfId="11" applyFont="1" applyFill="1"/>
    <xf numFmtId="0" fontId="46" fillId="0" borderId="0" xfId="12" applyFont="1" applyAlignment="1">
      <alignment horizontal="center"/>
    </xf>
    <xf numFmtId="165" fontId="47" fillId="0" borderId="24" xfId="12" applyNumberFormat="1" applyFont="1" applyBorder="1"/>
    <xf numFmtId="165" fontId="47" fillId="0" borderId="0" xfId="12" applyNumberFormat="1" applyFont="1"/>
    <xf numFmtId="43" fontId="47" fillId="0" borderId="0" xfId="3" applyFont="1" applyAlignment="1">
      <alignment horizontal="right"/>
    </xf>
    <xf numFmtId="0" fontId="46" fillId="0" borderId="0" xfId="12" applyFont="1" applyFill="1"/>
    <xf numFmtId="0" fontId="47" fillId="0" borderId="0" xfId="12" quotePrefix="1" applyFont="1" applyAlignment="1">
      <alignment horizontal="left"/>
    </xf>
    <xf numFmtId="43" fontId="47" fillId="0" borderId="0" xfId="3" applyFont="1"/>
    <xf numFmtId="165" fontId="47" fillId="0" borderId="0" xfId="1" applyNumberFormat="1" applyFont="1" applyFill="1" applyAlignment="1">
      <alignment horizontal="right"/>
    </xf>
    <xf numFmtId="165" fontId="47" fillId="0" borderId="0" xfId="1" applyNumberFormat="1" applyFont="1" applyFill="1" applyAlignment="1">
      <alignment horizontal="center"/>
    </xf>
    <xf numFmtId="165" fontId="47" fillId="0" borderId="21" xfId="1" applyNumberFormat="1" applyFont="1" applyFill="1" applyBorder="1" applyAlignment="1">
      <alignment horizontal="center"/>
    </xf>
    <xf numFmtId="165" fontId="46" fillId="0" borderId="0" xfId="1" applyNumberFormat="1" applyFont="1" applyFill="1"/>
    <xf numFmtId="165" fontId="47" fillId="0" borderId="25" xfId="1" applyNumberFormat="1" applyFont="1" applyFill="1" applyBorder="1"/>
    <xf numFmtId="10" fontId="47" fillId="0" borderId="0" xfId="794" applyNumberFormat="1" applyFont="1" applyFill="1" applyBorder="1"/>
    <xf numFmtId="165" fontId="123" fillId="0" borderId="0" xfId="1" applyNumberFormat="1" applyFont="1" applyFill="1" applyBorder="1"/>
    <xf numFmtId="10" fontId="88" fillId="79" borderId="67" xfId="10" applyNumberFormat="1" applyFont="1" applyFill="1" applyBorder="1"/>
    <xf numFmtId="169" fontId="88" fillId="79" borderId="67" xfId="4" applyNumberFormat="1" applyFont="1" applyFill="1" applyBorder="1"/>
    <xf numFmtId="41" fontId="34" fillId="0" borderId="0" xfId="853" applyFont="1" applyFill="1" applyBorder="1" applyAlignment="1">
      <alignment horizontal="center"/>
    </xf>
    <xf numFmtId="203" fontId="47" fillId="0" borderId="0" xfId="0" applyNumberFormat="1" applyFont="1" applyFill="1"/>
    <xf numFmtId="204" fontId="47" fillId="0" borderId="0" xfId="1" applyNumberFormat="1" applyFont="1" applyFill="1" applyBorder="1"/>
    <xf numFmtId="205" fontId="47" fillId="0" borderId="0" xfId="0" applyNumberFormat="1" applyFont="1" applyFill="1"/>
    <xf numFmtId="43" fontId="47" fillId="0" borderId="0" xfId="846" applyNumberFormat="1" applyFont="1" applyFill="1" applyBorder="1"/>
    <xf numFmtId="9" fontId="88" fillId="0" borderId="0" xfId="0" applyNumberFormat="1" applyFont="1"/>
    <xf numFmtId="0" fontId="34" fillId="0" borderId="0" xfId="852" applyFont="1" applyAlignment="1">
      <alignment horizontal="right"/>
    </xf>
    <xf numFmtId="0" fontId="34" fillId="0" borderId="0" xfId="852" applyFont="1"/>
    <xf numFmtId="0" fontId="34" fillId="0" borderId="0" xfId="852" applyFont="1" applyFill="1" applyAlignment="1">
      <alignment horizontal="right"/>
    </xf>
    <xf numFmtId="41" fontId="34" fillId="0" borderId="0" xfId="0" applyNumberFormat="1" applyFont="1" applyAlignment="1">
      <alignment horizontal="right"/>
    </xf>
    <xf numFmtId="41" fontId="34" fillId="0" borderId="0" xfId="0" applyNumberFormat="1" applyFont="1" applyAlignment="1">
      <alignment horizontal="right" wrapText="1"/>
    </xf>
    <xf numFmtId="10" fontId="120" fillId="0" borderId="0" xfId="0" applyNumberFormat="1" applyFont="1"/>
    <xf numFmtId="10" fontId="120" fillId="0" borderId="0" xfId="10" applyNumberFormat="1" applyFont="1"/>
    <xf numFmtId="43" fontId="120" fillId="0" borderId="0" xfId="0" applyNumberFormat="1" applyFont="1"/>
    <xf numFmtId="180" fontId="120" fillId="0" borderId="0" xfId="846" applyNumberFormat="1" applyFont="1"/>
    <xf numFmtId="0" fontId="120" fillId="0" borderId="0" xfId="0" applyFont="1" applyProtection="1">
      <protection locked="0"/>
    </xf>
    <xf numFmtId="0" fontId="120" fillId="0" borderId="0" xfId="0" applyFont="1" applyFill="1" applyProtection="1">
      <protection locked="0"/>
    </xf>
    <xf numFmtId="165" fontId="125" fillId="0" borderId="0" xfId="1" applyNumberFormat="1" applyFont="1" applyFill="1" applyAlignment="1" applyProtection="1">
      <alignment horizontal="center"/>
      <protection locked="0"/>
    </xf>
    <xf numFmtId="165" fontId="34" fillId="0" borderId="0" xfId="1" applyNumberFormat="1" applyFont="1" applyFill="1" applyAlignment="1" applyProtection="1">
      <alignment horizontal="center"/>
      <protection locked="0"/>
    </xf>
    <xf numFmtId="165" fontId="34" fillId="0" borderId="0" xfId="1" applyNumberFormat="1" applyFont="1" applyFill="1" applyBorder="1" applyAlignment="1" applyProtection="1">
      <alignment horizontal="center"/>
      <protection locked="0"/>
    </xf>
    <xf numFmtId="165" fontId="34" fillId="0" borderId="0" xfId="1" applyNumberFormat="1" applyFont="1" applyFill="1" applyAlignment="1">
      <alignment horizontal="center"/>
    </xf>
    <xf numFmtId="165" fontId="34" fillId="0" borderId="21" xfId="1" applyNumberFormat="1" applyFont="1" applyFill="1" applyBorder="1" applyAlignment="1" applyProtection="1">
      <alignment horizontal="center"/>
      <protection locked="0"/>
    </xf>
    <xf numFmtId="165" fontId="125" fillId="0" borderId="21" xfId="1" applyNumberFormat="1" applyFont="1" applyFill="1" applyBorder="1" applyAlignment="1" applyProtection="1">
      <alignment horizontal="center"/>
      <protection locked="0"/>
    </xf>
    <xf numFmtId="0" fontId="121" fillId="0" borderId="0" xfId="0" applyFont="1" applyProtection="1">
      <protection locked="0"/>
    </xf>
    <xf numFmtId="165" fontId="34" fillId="0" borderId="0" xfId="1" applyNumberFormat="1" applyFont="1" applyFill="1" applyProtection="1">
      <protection locked="0"/>
    </xf>
    <xf numFmtId="44" fontId="120" fillId="0" borderId="0" xfId="0" applyNumberFormat="1" applyFont="1" applyProtection="1">
      <protection locked="0"/>
    </xf>
    <xf numFmtId="0" fontId="34" fillId="0" borderId="0" xfId="0" applyFont="1" applyFill="1" applyAlignment="1" applyProtection="1">
      <alignment horizontal="left"/>
      <protection locked="0"/>
    </xf>
    <xf numFmtId="2" fontId="120" fillId="0" borderId="0" xfId="0" applyNumberFormat="1" applyFont="1" applyFill="1" applyProtection="1">
      <protection locked="0"/>
    </xf>
    <xf numFmtId="43" fontId="120" fillId="0" borderId="0" xfId="0" applyNumberFormat="1" applyFont="1" applyProtection="1">
      <protection locked="0"/>
    </xf>
    <xf numFmtId="206" fontId="120" fillId="0" borderId="0" xfId="0" applyNumberFormat="1" applyFont="1" applyProtection="1">
      <protection locked="0"/>
    </xf>
    <xf numFmtId="206" fontId="120" fillId="0" borderId="0" xfId="0" applyNumberFormat="1" applyFont="1" applyFill="1" applyProtection="1">
      <protection locked="0"/>
    </xf>
    <xf numFmtId="0" fontId="120" fillId="0" borderId="0" xfId="0" applyFont="1" applyAlignment="1" applyProtection="1">
      <alignment horizontal="left" indent="1"/>
      <protection locked="0"/>
    </xf>
    <xf numFmtId="2" fontId="120" fillId="0" borderId="0" xfId="0" applyNumberFormat="1" applyFont="1" applyProtection="1">
      <protection locked="0"/>
    </xf>
    <xf numFmtId="0" fontId="120" fillId="4" borderId="0" xfId="0" applyFont="1" applyFill="1" applyProtection="1">
      <protection locked="0"/>
    </xf>
    <xf numFmtId="43" fontId="120" fillId="4" borderId="0" xfId="0" applyNumberFormat="1" applyFont="1" applyFill="1" applyProtection="1">
      <protection locked="0"/>
    </xf>
    <xf numFmtId="206" fontId="120" fillId="4" borderId="0" xfId="0" applyNumberFormat="1" applyFont="1" applyFill="1" applyProtection="1">
      <protection locked="0"/>
    </xf>
    <xf numFmtId="206" fontId="120" fillId="0" borderId="0" xfId="0" applyNumberFormat="1" applyFont="1"/>
    <xf numFmtId="165" fontId="88" fillId="0" borderId="0" xfId="3" applyNumberFormat="1" applyFont="1"/>
    <xf numFmtId="207" fontId="47" fillId="0" borderId="0" xfId="0" applyNumberFormat="1" applyFont="1" applyFill="1"/>
    <xf numFmtId="0" fontId="126" fillId="0" borderId="0" xfId="0" applyFont="1" applyProtection="1">
      <protection locked="0"/>
    </xf>
    <xf numFmtId="44" fontId="120" fillId="0" borderId="0" xfId="846" applyNumberFormat="1" applyFont="1"/>
    <xf numFmtId="44" fontId="120" fillId="0" borderId="0" xfId="0" applyNumberFormat="1" applyFont="1"/>
    <xf numFmtId="42" fontId="120" fillId="0" borderId="0" xfId="846" applyNumberFormat="1" applyFont="1"/>
    <xf numFmtId="10" fontId="120" fillId="0" borderId="0" xfId="10" applyNumberFormat="1" applyFont="1" applyFill="1"/>
    <xf numFmtId="188" fontId="47" fillId="0" borderId="0" xfId="4" applyNumberFormat="1" applyFont="1" applyFill="1"/>
    <xf numFmtId="43" fontId="120" fillId="0" borderId="0" xfId="0" applyNumberFormat="1" applyFont="1" applyFill="1"/>
    <xf numFmtId="10" fontId="88" fillId="0" borderId="25" xfId="10" applyNumberFormat="1" applyFont="1" applyFill="1" applyBorder="1"/>
    <xf numFmtId="178" fontId="46" fillId="0" borderId="0" xfId="851" applyFont="1" applyFill="1" applyBorder="1" applyAlignment="1">
      <alignment horizontal="center"/>
    </xf>
    <xf numFmtId="165" fontId="47" fillId="0" borderId="67" xfId="3" applyNumberFormat="1" applyFont="1" applyFill="1" applyBorder="1"/>
    <xf numFmtId="37" fontId="88" fillId="0" borderId="0" xfId="0" applyNumberFormat="1" applyFont="1" applyFill="1"/>
    <xf numFmtId="10" fontId="88" fillId="0" borderId="0" xfId="0" applyNumberFormat="1" applyFont="1" applyFill="1"/>
    <xf numFmtId="166" fontId="88" fillId="0" borderId="0" xfId="0" applyNumberFormat="1" applyFont="1" applyFill="1"/>
    <xf numFmtId="198" fontId="88" fillId="0" borderId="0" xfId="0" applyNumberFormat="1" applyFont="1" applyFill="1"/>
    <xf numFmtId="0" fontId="121" fillId="0" borderId="0" xfId="0" applyFont="1"/>
    <xf numFmtId="170" fontId="121" fillId="0" borderId="0" xfId="0" applyNumberFormat="1" applyFont="1" applyAlignment="1">
      <alignment horizontal="right"/>
    </xf>
    <xf numFmtId="0" fontId="120" fillId="0" borderId="0" xfId="0" applyFont="1" applyAlignment="1">
      <alignment horizontal="center"/>
    </xf>
    <xf numFmtId="0" fontId="121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185" fontId="120" fillId="0" borderId="0" xfId="0" applyNumberFormat="1" applyFont="1"/>
    <xf numFmtId="0" fontId="120" fillId="0" borderId="0" xfId="0" applyFont="1" applyFill="1" applyAlignment="1">
      <alignment horizontal="center"/>
    </xf>
    <xf numFmtId="42" fontId="120" fillId="0" borderId="21" xfId="0" applyNumberFormat="1" applyFont="1" applyBorder="1"/>
    <xf numFmtId="0" fontId="120" fillId="0" borderId="21" xfId="0" applyFont="1" applyBorder="1"/>
    <xf numFmtId="42" fontId="121" fillId="0" borderId="48" xfId="0" applyNumberFormat="1" applyFont="1" applyBorder="1"/>
    <xf numFmtId="0" fontId="126" fillId="0" borderId="0" xfId="0" applyFont="1"/>
    <xf numFmtId="165" fontId="100" fillId="0" borderId="0" xfId="0" applyNumberFormat="1" applyFont="1" applyFill="1"/>
    <xf numFmtId="0" fontId="94" fillId="0" borderId="0" xfId="0" applyFont="1" applyFill="1" applyBorder="1"/>
    <xf numFmtId="0" fontId="102" fillId="0" borderId="0" xfId="0" applyFont="1" applyFill="1"/>
    <xf numFmtId="170" fontId="102" fillId="0" borderId="0" xfId="0" applyNumberFormat="1" applyFont="1" applyFill="1"/>
    <xf numFmtId="0" fontId="102" fillId="0" borderId="0" xfId="0" applyFont="1" applyFill="1" applyAlignment="1">
      <alignment horizontal="right"/>
    </xf>
    <xf numFmtId="0" fontId="42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43" fillId="0" borderId="0" xfId="0" applyFont="1" applyFill="1" applyAlignment="1">
      <alignment horizontal="right"/>
    </xf>
    <xf numFmtId="2" fontId="100" fillId="0" borderId="0" xfId="0" applyNumberFormat="1" applyFont="1" applyFill="1"/>
    <xf numFmtId="0" fontId="42" fillId="0" borderId="0" xfId="0" applyFont="1" applyFill="1" applyAlignment="1">
      <alignment horizontal="right"/>
    </xf>
    <xf numFmtId="40" fontId="100" fillId="0" borderId="0" xfId="0" applyNumberFormat="1" applyFont="1" applyFill="1"/>
    <xf numFmtId="43" fontId="100" fillId="0" borderId="0" xfId="0" applyNumberFormat="1" applyFont="1" applyFill="1"/>
    <xf numFmtId="44" fontId="100" fillId="0" borderId="0" xfId="0" applyNumberFormat="1" applyFont="1" applyFill="1"/>
    <xf numFmtId="172" fontId="100" fillId="0" borderId="0" xfId="0" applyNumberFormat="1" applyFont="1" applyFill="1"/>
    <xf numFmtId="0" fontId="42" fillId="0" borderId="0" xfId="0" applyFont="1" applyFill="1" applyAlignment="1" applyProtection="1">
      <alignment horizontal="right"/>
      <protection locked="0"/>
    </xf>
    <xf numFmtId="0" fontId="42" fillId="0" borderId="0" xfId="14" applyFont="1" applyFill="1" applyAlignment="1" applyProtection="1">
      <alignment horizontal="right"/>
    </xf>
    <xf numFmtId="0" fontId="44" fillId="0" borderId="0" xfId="0" applyFont="1" applyFill="1" applyAlignment="1">
      <alignment horizontal="right"/>
    </xf>
    <xf numFmtId="169" fontId="100" fillId="0" borderId="0" xfId="0" applyNumberFormat="1" applyFont="1" applyFill="1"/>
    <xf numFmtId="169" fontId="100" fillId="0" borderId="21" xfId="0" applyNumberFormat="1" applyFont="1" applyFill="1" applyBorder="1"/>
    <xf numFmtId="169" fontId="100" fillId="0" borderId="0" xfId="0" applyNumberFormat="1" applyFont="1" applyFill="1" applyBorder="1"/>
    <xf numFmtId="169" fontId="102" fillId="0" borderId="0" xfId="0" applyNumberFormat="1" applyFont="1" applyFill="1"/>
    <xf numFmtId="0" fontId="42" fillId="0" borderId="0" xfId="0" applyFont="1" applyFill="1" applyBorder="1" applyAlignment="1">
      <alignment horizontal="right"/>
    </xf>
    <xf numFmtId="0" fontId="11" fillId="0" borderId="0" xfId="0" quotePrefix="1" applyFont="1" applyFill="1" applyAlignment="1">
      <alignment horizontal="left"/>
    </xf>
    <xf numFmtId="0" fontId="100" fillId="0" borderId="21" xfId="0" applyFont="1" applyFill="1" applyBorder="1"/>
    <xf numFmtId="180" fontId="100" fillId="0" borderId="0" xfId="3" applyNumberFormat="1" applyFont="1" applyFill="1"/>
    <xf numFmtId="44" fontId="100" fillId="0" borderId="21" xfId="0" applyNumberFormat="1" applyFont="1" applyFill="1" applyBorder="1"/>
    <xf numFmtId="0" fontId="100" fillId="0" borderId="0" xfId="0" applyFont="1" applyFill="1" applyAlignment="1">
      <alignment horizontal="right"/>
    </xf>
    <xf numFmtId="0" fontId="31" fillId="0" borderId="0" xfId="0" applyFont="1" applyFill="1"/>
    <xf numFmtId="0" fontId="91" fillId="0" borderId="0" xfId="0" applyFont="1" applyFill="1" applyAlignment="1">
      <alignment horizontal="right"/>
    </xf>
    <xf numFmtId="185" fontId="100" fillId="0" borderId="0" xfId="0" applyNumberFormat="1" applyFont="1" applyFill="1"/>
    <xf numFmtId="0" fontId="91" fillId="0" borderId="0" xfId="0" applyFont="1" applyFill="1"/>
    <xf numFmtId="0" fontId="92" fillId="0" borderId="0" xfId="0" applyFont="1" applyFill="1" applyAlignment="1">
      <alignment horizontal="right"/>
    </xf>
    <xf numFmtId="0" fontId="91" fillId="0" borderId="0" xfId="0" applyFont="1" applyFill="1" applyBorder="1" applyAlignment="1">
      <alignment horizontal="right"/>
    </xf>
    <xf numFmtId="0" fontId="30" fillId="0" borderId="0" xfId="14" applyFont="1" applyFill="1" applyAlignment="1" applyProtection="1">
      <alignment horizontal="right"/>
    </xf>
    <xf numFmtId="43" fontId="91" fillId="0" borderId="0" xfId="1" applyFont="1" applyFill="1" applyAlignment="1">
      <alignment horizontal="right"/>
    </xf>
    <xf numFmtId="42" fontId="100" fillId="0" borderId="21" xfId="0" applyNumberFormat="1" applyFont="1" applyFill="1" applyBorder="1"/>
    <xf numFmtId="6" fontId="100" fillId="0" borderId="0" xfId="0" applyNumberFormat="1" applyFont="1" applyFill="1"/>
    <xf numFmtId="180" fontId="100" fillId="0" borderId="0" xfId="0" applyNumberFormat="1" applyFont="1" applyFill="1"/>
    <xf numFmtId="183" fontId="102" fillId="0" borderId="0" xfId="0" applyNumberFormat="1" applyFont="1" applyFill="1"/>
    <xf numFmtId="169" fontId="100" fillId="0" borderId="0" xfId="0" applyNumberFormat="1" applyFont="1" applyFill="1" applyAlignment="1">
      <alignment horizontal="right"/>
    </xf>
    <xf numFmtId="0" fontId="42" fillId="0" borderId="0" xfId="14" applyFont="1" applyFill="1"/>
    <xf numFmtId="40" fontId="42" fillId="0" borderId="0" xfId="14" applyNumberFormat="1" applyFont="1" applyFill="1"/>
    <xf numFmtId="5" fontId="100" fillId="0" borderId="0" xfId="0" applyNumberFormat="1" applyFont="1" applyFill="1"/>
    <xf numFmtId="0" fontId="100" fillId="0" borderId="29" xfId="0" applyFont="1" applyFill="1" applyBorder="1"/>
    <xf numFmtId="0" fontId="100" fillId="0" borderId="30" xfId="0" applyFont="1" applyFill="1" applyBorder="1"/>
    <xf numFmtId="0" fontId="100" fillId="0" borderId="31" xfId="0" applyFont="1" applyFill="1" applyBorder="1"/>
    <xf numFmtId="42" fontId="102" fillId="0" borderId="0" xfId="0" applyNumberFormat="1" applyFont="1" applyFill="1"/>
    <xf numFmtId="0" fontId="100" fillId="0" borderId="32" xfId="0" applyFont="1" applyFill="1" applyBorder="1"/>
    <xf numFmtId="0" fontId="100" fillId="0" borderId="0" xfId="0" applyFont="1" applyFill="1" applyBorder="1"/>
    <xf numFmtId="0" fontId="100" fillId="0" borderId="33" xfId="0" applyFont="1" applyFill="1" applyBorder="1"/>
    <xf numFmtId="0" fontId="100" fillId="0" borderId="0" xfId="0" applyFont="1" applyFill="1" applyBorder="1" applyAlignment="1">
      <alignment horizontal="right"/>
    </xf>
    <xf numFmtId="199" fontId="100" fillId="0" borderId="0" xfId="0" applyNumberFormat="1" applyFont="1" applyFill="1"/>
    <xf numFmtId="0" fontId="100" fillId="0" borderId="35" xfId="0" applyFont="1" applyFill="1" applyBorder="1"/>
    <xf numFmtId="0" fontId="100" fillId="0" borderId="34" xfId="0" applyFont="1" applyFill="1" applyBorder="1"/>
    <xf numFmtId="0" fontId="42" fillId="0" borderId="0" xfId="0" applyFont="1" applyFill="1" applyAlignment="1">
      <alignment horizontal="center" wrapText="1"/>
    </xf>
    <xf numFmtId="42" fontId="100" fillId="0" borderId="0" xfId="0" applyNumberFormat="1" applyFont="1" applyFill="1" applyBorder="1"/>
    <xf numFmtId="169" fontId="100" fillId="0" borderId="36" xfId="0" applyNumberFormat="1" applyFont="1" applyFill="1" applyBorder="1"/>
    <xf numFmtId="169" fontId="100" fillId="0" borderId="37" xfId="0" applyNumberFormat="1" applyFont="1" applyFill="1" applyBorder="1"/>
    <xf numFmtId="198" fontId="100" fillId="0" borderId="0" xfId="0" applyNumberFormat="1" applyFont="1" applyFill="1"/>
    <xf numFmtId="0" fontId="39" fillId="0" borderId="0" xfId="0" applyFont="1" applyFill="1" applyAlignment="1">
      <alignment horizontal="right"/>
    </xf>
    <xf numFmtId="0" fontId="102" fillId="0" borderId="0" xfId="0" applyFont="1" applyFill="1" applyBorder="1" applyAlignment="1">
      <alignment horizontal="right"/>
    </xf>
    <xf numFmtId="2" fontId="100" fillId="0" borderId="0" xfId="0" applyNumberFormat="1" applyFont="1" applyFill="1" applyBorder="1"/>
    <xf numFmtId="40" fontId="100" fillId="0" borderId="0" xfId="0" applyNumberFormat="1" applyFont="1" applyFill="1" applyBorder="1"/>
    <xf numFmtId="169" fontId="102" fillId="0" borderId="0" xfId="0" applyNumberFormat="1" applyFont="1" applyFill="1" applyBorder="1"/>
    <xf numFmtId="180" fontId="100" fillId="0" borderId="0" xfId="3" applyNumberFormat="1" applyFont="1" applyFill="1" applyBorder="1"/>
    <xf numFmtId="183" fontId="102" fillId="0" borderId="0" xfId="0" applyNumberFormat="1" applyFont="1" applyFill="1" applyBorder="1"/>
    <xf numFmtId="183" fontId="100" fillId="0" borderId="0" xfId="0" applyNumberFormat="1" applyFont="1" applyFill="1" applyBorder="1"/>
    <xf numFmtId="42" fontId="102" fillId="0" borderId="0" xfId="0" applyNumberFormat="1" applyFont="1" applyFill="1" applyBorder="1"/>
    <xf numFmtId="44" fontId="100" fillId="0" borderId="0" xfId="0" applyNumberFormat="1" applyFont="1" applyFill="1" applyBorder="1"/>
    <xf numFmtId="44" fontId="120" fillId="0" borderId="0" xfId="0" applyNumberFormat="1" applyFont="1" applyFill="1" applyProtection="1">
      <protection locked="0"/>
    </xf>
    <xf numFmtId="191" fontId="120" fillId="0" borderId="0" xfId="0" applyNumberFormat="1" applyFont="1" applyFill="1" applyProtection="1">
      <protection locked="0"/>
    </xf>
    <xf numFmtId="43" fontId="120" fillId="0" borderId="0" xfId="0" applyNumberFormat="1" applyFont="1" applyFill="1" applyProtection="1">
      <protection locked="0"/>
    </xf>
    <xf numFmtId="43" fontId="120" fillId="0" borderId="0" xfId="0" applyNumberFormat="1" applyFont="1" applyFill="1" applyAlignment="1">
      <alignment horizontal="right"/>
    </xf>
    <xf numFmtId="206" fontId="120" fillId="0" borderId="0" xfId="0" applyNumberFormat="1" applyFont="1" applyFill="1"/>
    <xf numFmtId="0" fontId="88" fillId="0" borderId="0" xfId="0" applyFont="1" applyBorder="1"/>
    <xf numFmtId="9" fontId="88" fillId="0" borderId="0" xfId="0" applyNumberFormat="1" applyFont="1" applyBorder="1"/>
    <xf numFmtId="0" fontId="88" fillId="0" borderId="0" xfId="0" applyFont="1" applyBorder="1" applyAlignment="1">
      <alignment horizontal="center"/>
    </xf>
    <xf numFmtId="169" fontId="88" fillId="0" borderId="0" xfId="0" applyNumberFormat="1" applyFont="1" applyBorder="1"/>
    <xf numFmtId="10" fontId="88" fillId="0" borderId="0" xfId="10" applyNumberFormat="1" applyFont="1" applyBorder="1"/>
    <xf numFmtId="165" fontId="88" fillId="0" borderId="0" xfId="0" applyNumberFormat="1" applyFont="1" applyBorder="1"/>
    <xf numFmtId="169" fontId="88" fillId="0" borderId="0" xfId="850" applyNumberFormat="1" applyFont="1" applyBorder="1"/>
    <xf numFmtId="0" fontId="47" fillId="0" borderId="0" xfId="15" applyFont="1" applyFill="1" applyAlignment="1">
      <alignment horizontal="center"/>
    </xf>
    <xf numFmtId="165" fontId="34" fillId="0" borderId="0" xfId="846" applyNumberFormat="1" applyFont="1" applyFill="1" applyBorder="1"/>
    <xf numFmtId="165" fontId="47" fillId="0" borderId="0" xfId="846" applyNumberFormat="1" applyFont="1" applyFill="1" applyBorder="1" applyAlignment="1">
      <alignment horizontal="center"/>
    </xf>
    <xf numFmtId="41" fontId="47" fillId="0" borderId="0" xfId="846" applyNumberFormat="1" applyFont="1" applyFill="1" applyBorder="1"/>
    <xf numFmtId="170" fontId="0" fillId="0" borderId="0" xfId="0" applyNumberFormat="1" applyFill="1" applyBorder="1"/>
    <xf numFmtId="41" fontId="0" fillId="0" borderId="0" xfId="0" applyNumberFormat="1" applyFill="1" applyBorder="1"/>
    <xf numFmtId="165" fontId="0" fillId="0" borderId="0" xfId="0" applyNumberFormat="1" applyFill="1" applyBorder="1"/>
    <xf numFmtId="170" fontId="94" fillId="0" borderId="0" xfId="0" applyNumberFormat="1" applyFont="1" applyFill="1" applyBorder="1"/>
    <xf numFmtId="14" fontId="0" fillId="0" borderId="0" xfId="0" applyNumberFormat="1" applyFill="1" applyBorder="1"/>
    <xf numFmtId="3" fontId="0" fillId="0" borderId="0" xfId="0" applyNumberFormat="1" applyFill="1" applyBorder="1"/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quotePrefix="1" applyFill="1" applyAlignment="1">
      <alignment horizontal="center"/>
    </xf>
    <xf numFmtId="165" fontId="0" fillId="0" borderId="0" xfId="3" applyNumberFormat="1" applyFont="1" applyFill="1"/>
    <xf numFmtId="0" fontId="121" fillId="0" borderId="0" xfId="0" applyFont="1" applyFill="1" applyAlignment="1">
      <alignment horizontal="center"/>
    </xf>
    <xf numFmtId="170" fontId="121" fillId="0" borderId="0" xfId="0" applyNumberFormat="1" applyFont="1" applyFill="1"/>
    <xf numFmtId="0" fontId="98" fillId="0" borderId="0" xfId="0" applyFont="1" applyFill="1"/>
    <xf numFmtId="174" fontId="29" fillId="0" borderId="0" xfId="0" applyNumberFormat="1" applyFont="1" applyFill="1"/>
    <xf numFmtId="171" fontId="30" fillId="0" borderId="0" xfId="0" applyNumberFormat="1" applyFont="1" applyFill="1" applyAlignment="1">
      <alignment horizontal="center"/>
    </xf>
    <xf numFmtId="0" fontId="105" fillId="0" borderId="0" xfId="0" applyFont="1" applyFill="1" applyAlignment="1">
      <alignment horizontal="center"/>
    </xf>
    <xf numFmtId="176" fontId="30" fillId="0" borderId="0" xfId="0" applyNumberFormat="1" applyFont="1" applyFill="1" applyAlignment="1">
      <alignment horizontal="center"/>
    </xf>
    <xf numFmtId="175" fontId="30" fillId="0" borderId="0" xfId="0" applyNumberFormat="1" applyFont="1" applyFill="1" applyAlignment="1">
      <alignment horizontal="center"/>
    </xf>
    <xf numFmtId="49" fontId="1" fillId="0" borderId="0" xfId="5" applyNumberFormat="1" applyFont="1" applyFill="1" applyAlignment="1">
      <alignment wrapText="1"/>
    </xf>
    <xf numFmtId="0" fontId="13" fillId="0" borderId="0" xfId="5" applyFill="1"/>
    <xf numFmtId="0" fontId="3" fillId="0" borderId="0" xfId="5" applyFont="1" applyFill="1" applyAlignment="1">
      <alignment wrapText="1"/>
    </xf>
    <xf numFmtId="41" fontId="4" fillId="0" borderId="1" xfId="5" applyNumberFormat="1" applyFont="1" applyFill="1" applyBorder="1" applyAlignment="1">
      <alignment horizontal="left" vertical="center" wrapText="1"/>
    </xf>
    <xf numFmtId="41" fontId="5" fillId="0" borderId="1" xfId="5" applyNumberFormat="1" applyFont="1" applyFill="1" applyBorder="1" applyAlignment="1">
      <alignment horizontal="left" vertical="center" wrapText="1"/>
    </xf>
    <xf numFmtId="49" fontId="5" fillId="0" borderId="2" xfId="5" applyNumberFormat="1" applyFont="1" applyFill="1" applyBorder="1" applyAlignment="1">
      <alignment horizontal="center" vertical="center" wrapText="1"/>
    </xf>
    <xf numFmtId="49" fontId="5" fillId="0" borderId="1" xfId="5" applyNumberFormat="1" applyFont="1" applyFill="1" applyBorder="1" applyAlignment="1">
      <alignment horizontal="center" vertical="center" wrapText="1"/>
    </xf>
    <xf numFmtId="49" fontId="7" fillId="0" borderId="1" xfId="5" applyNumberFormat="1" applyFont="1" applyFill="1" applyBorder="1" applyAlignment="1">
      <alignment horizontal="center" vertical="center" wrapText="1"/>
    </xf>
    <xf numFmtId="49" fontId="9" fillId="0" borderId="1" xfId="5" applyNumberFormat="1" applyFont="1" applyFill="1" applyBorder="1" applyAlignment="1">
      <alignment horizontal="left" vertical="center" wrapText="1"/>
    </xf>
    <xf numFmtId="49" fontId="9" fillId="0" borderId="2" xfId="5" applyNumberFormat="1" applyFont="1" applyFill="1" applyBorder="1" applyAlignment="1">
      <alignment horizontal="left" vertical="center" wrapText="1"/>
    </xf>
    <xf numFmtId="49" fontId="5" fillId="0" borderId="1" xfId="5" applyNumberFormat="1" applyFont="1" applyFill="1" applyBorder="1" applyAlignment="1">
      <alignment horizontal="left" vertical="center" wrapText="1"/>
    </xf>
    <xf numFmtId="49" fontId="5" fillId="0" borderId="2" xfId="5" applyNumberFormat="1" applyFont="1" applyFill="1" applyBorder="1" applyAlignment="1">
      <alignment horizontal="left" vertical="center" wrapText="1"/>
    </xf>
    <xf numFmtId="49" fontId="5" fillId="0" borderId="0" xfId="5" applyNumberFormat="1" applyFont="1" applyFill="1" applyBorder="1" applyAlignment="1">
      <alignment horizontal="left" vertical="center" wrapText="1"/>
    </xf>
    <xf numFmtId="49" fontId="5" fillId="0" borderId="0" xfId="5" applyNumberFormat="1" applyFont="1" applyFill="1" applyBorder="1" applyAlignment="1">
      <alignment vertical="center" wrapText="1"/>
    </xf>
    <xf numFmtId="49" fontId="9" fillId="0" borderId="0" xfId="5" applyNumberFormat="1" applyFont="1" applyFill="1" applyBorder="1" applyAlignment="1">
      <alignment horizontal="left" vertical="center" wrapText="1"/>
    </xf>
    <xf numFmtId="49" fontId="5" fillId="0" borderId="10" xfId="5" applyNumberFormat="1" applyFont="1" applyFill="1" applyBorder="1" applyAlignment="1">
      <alignment horizontal="left" vertical="center" wrapText="1"/>
    </xf>
    <xf numFmtId="49" fontId="5" fillId="0" borderId="6" xfId="5" applyNumberFormat="1" applyFont="1" applyFill="1" applyBorder="1" applyAlignment="1">
      <alignment horizontal="left" vertical="center" wrapText="1"/>
    </xf>
    <xf numFmtId="49" fontId="8" fillId="0" borderId="2" xfId="5" applyNumberFormat="1" applyFont="1" applyFill="1" applyBorder="1" applyAlignment="1">
      <alignment horizontal="center" vertical="center" wrapText="1"/>
    </xf>
    <xf numFmtId="49" fontId="9" fillId="0" borderId="6" xfId="5" applyNumberFormat="1" applyFont="1" applyFill="1" applyBorder="1" applyAlignment="1">
      <alignment horizontal="left" vertical="center" wrapText="1"/>
    </xf>
    <xf numFmtId="49" fontId="5" fillId="0" borderId="2" xfId="5" applyNumberFormat="1" applyFont="1" applyFill="1" applyBorder="1" applyAlignment="1">
      <alignment vertical="center" wrapText="1"/>
    </xf>
    <xf numFmtId="49" fontId="5" fillId="0" borderId="6" xfId="5" applyNumberFormat="1" applyFont="1" applyFill="1" applyBorder="1" applyAlignment="1">
      <alignment horizontal="right" vertical="center" wrapText="1"/>
    </xf>
    <xf numFmtId="49" fontId="5" fillId="0" borderId="10" xfId="5" applyNumberFormat="1" applyFont="1" applyFill="1" applyBorder="1" applyAlignment="1">
      <alignment horizontal="left" vertical="center"/>
    </xf>
    <xf numFmtId="43" fontId="0" fillId="0" borderId="0" xfId="1" applyFont="1" applyFill="1"/>
    <xf numFmtId="0" fontId="12" fillId="0" borderId="0" xfId="5" applyFont="1" applyFill="1"/>
    <xf numFmtId="49" fontId="1" fillId="0" borderId="0" xfId="0" applyNumberFormat="1" applyFont="1" applyFill="1" applyAlignment="1">
      <alignment wrapText="1"/>
    </xf>
    <xf numFmtId="0" fontId="3" fillId="0" borderId="0" xfId="0" applyFont="1" applyFill="1" applyAlignment="1">
      <alignment wrapText="1"/>
    </xf>
    <xf numFmtId="41" fontId="4" fillId="0" borderId="1" xfId="0" applyNumberFormat="1" applyFont="1" applyFill="1" applyBorder="1" applyAlignment="1">
      <alignment horizontal="left" vertical="center" wrapText="1"/>
    </xf>
    <xf numFmtId="41" fontId="5" fillId="0" borderId="1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9" fontId="5" fillId="0" borderId="10" xfId="0" applyNumberFormat="1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vertical="center" wrapText="1"/>
    </xf>
    <xf numFmtId="49" fontId="5" fillId="0" borderId="6" xfId="0" applyNumberFormat="1" applyFont="1" applyFill="1" applyBorder="1" applyAlignment="1">
      <alignment horizontal="right" vertical="center" wrapText="1"/>
    </xf>
    <xf numFmtId="49" fontId="5" fillId="0" borderId="10" xfId="0" applyNumberFormat="1" applyFont="1" applyFill="1" applyBorder="1" applyAlignment="1">
      <alignment horizontal="left" vertical="center"/>
    </xf>
    <xf numFmtId="0" fontId="12" fillId="0" borderId="0" xfId="0" applyFont="1" applyFill="1"/>
    <xf numFmtId="49" fontId="20" fillId="0" borderId="0" xfId="5" applyNumberFormat="1" applyFont="1" applyFill="1" applyAlignment="1">
      <alignment wrapText="1"/>
    </xf>
    <xf numFmtId="0" fontId="13" fillId="0" borderId="0" xfId="5" applyFont="1" applyFill="1"/>
    <xf numFmtId="41" fontId="22" fillId="0" borderId="1" xfId="5" applyNumberFormat="1" applyFont="1" applyFill="1" applyBorder="1" applyAlignment="1">
      <alignment horizontal="left" vertical="center" wrapText="1"/>
    </xf>
    <xf numFmtId="41" fontId="8" fillId="0" borderId="1" xfId="5" applyNumberFormat="1" applyFont="1" applyFill="1" applyBorder="1" applyAlignment="1">
      <alignment horizontal="left" vertical="center" wrapText="1"/>
    </xf>
    <xf numFmtId="41" fontId="23" fillId="0" borderId="1" xfId="5" applyNumberFormat="1" applyFont="1" applyFill="1" applyBorder="1" applyAlignment="1">
      <alignment horizontal="left" vertical="center" wrapText="1"/>
    </xf>
    <xf numFmtId="49" fontId="25" fillId="0" borderId="1" xfId="5" applyNumberFormat="1" applyFont="1" applyFill="1" applyBorder="1" applyAlignment="1">
      <alignment horizontal="center" vertical="center" wrapText="1"/>
    </xf>
    <xf numFmtId="49" fontId="26" fillId="0" borderId="1" xfId="5" applyNumberFormat="1" applyFont="1" applyFill="1" applyBorder="1" applyAlignment="1">
      <alignment horizontal="center" vertical="center" wrapText="1"/>
    </xf>
    <xf numFmtId="49" fontId="27" fillId="0" borderId="1" xfId="5" applyNumberFormat="1" applyFont="1" applyFill="1" applyBorder="1" applyAlignment="1">
      <alignment horizontal="left" vertical="center" wrapText="1"/>
    </xf>
    <xf numFmtId="49" fontId="27" fillId="0" borderId="2" xfId="5" applyNumberFormat="1" applyFont="1" applyFill="1" applyBorder="1" applyAlignment="1">
      <alignment horizontal="left" vertical="center" wrapText="1"/>
    </xf>
    <xf numFmtId="49" fontId="8" fillId="0" borderId="1" xfId="5" applyNumberFormat="1" applyFont="1" applyFill="1" applyBorder="1" applyAlignment="1">
      <alignment horizontal="left" vertical="center" wrapText="1"/>
    </xf>
    <xf numFmtId="49" fontId="8" fillId="0" borderId="2" xfId="5" applyNumberFormat="1" applyFont="1" applyFill="1" applyBorder="1" applyAlignment="1">
      <alignment horizontal="left" vertical="center" wrapText="1"/>
    </xf>
    <xf numFmtId="49" fontId="12" fillId="0" borderId="1" xfId="5" applyNumberFormat="1" applyFont="1" applyFill="1" applyBorder="1" applyAlignment="1">
      <alignment horizontal="left" vertical="center" wrapText="1"/>
    </xf>
    <xf numFmtId="49" fontId="12" fillId="0" borderId="2" xfId="5" applyNumberFormat="1" applyFont="1" applyFill="1" applyBorder="1" applyAlignment="1">
      <alignment horizontal="left" vertical="center" wrapText="1"/>
    </xf>
    <xf numFmtId="49" fontId="27" fillId="0" borderId="6" xfId="5" applyNumberFormat="1" applyFont="1" applyFill="1" applyBorder="1" applyAlignment="1">
      <alignment horizontal="left" vertical="center" wrapText="1"/>
    </xf>
    <xf numFmtId="49" fontId="12" fillId="0" borderId="6" xfId="5" applyNumberFormat="1" applyFont="1" applyFill="1" applyBorder="1" applyAlignment="1">
      <alignment horizontal="left" vertical="center" wrapText="1"/>
    </xf>
    <xf numFmtId="49" fontId="8" fillId="0" borderId="0" xfId="5" applyNumberFormat="1" applyFont="1" applyFill="1" applyBorder="1" applyAlignment="1">
      <alignment horizontal="left" vertical="center" wrapText="1"/>
    </xf>
    <xf numFmtId="49" fontId="8" fillId="0" borderId="0" xfId="5" applyNumberFormat="1" applyFont="1" applyFill="1" applyBorder="1" applyAlignment="1">
      <alignment vertical="center" wrapText="1"/>
    </xf>
    <xf numFmtId="49" fontId="12" fillId="0" borderId="0" xfId="5" applyNumberFormat="1" applyFont="1" applyFill="1" applyBorder="1" applyAlignment="1">
      <alignment horizontal="left" vertical="center" wrapText="1"/>
    </xf>
    <xf numFmtId="49" fontId="25" fillId="0" borderId="10" xfId="5" applyNumberFormat="1" applyFont="1" applyFill="1" applyBorder="1" applyAlignment="1">
      <alignment horizontal="left" vertical="center" wrapText="1"/>
    </xf>
    <xf numFmtId="49" fontId="8" fillId="0" borderId="6" xfId="5" applyNumberFormat="1" applyFont="1" applyFill="1" applyBorder="1" applyAlignment="1">
      <alignment horizontal="left" vertical="center" wrapText="1"/>
    </xf>
    <xf numFmtId="49" fontId="8" fillId="0" borderId="10" xfId="5" applyNumberFormat="1" applyFont="1" applyFill="1" applyBorder="1" applyAlignment="1">
      <alignment horizontal="left" vertical="center" wrapText="1"/>
    </xf>
    <xf numFmtId="49" fontId="8" fillId="0" borderId="2" xfId="5" applyNumberFormat="1" applyFont="1" applyFill="1" applyBorder="1" applyAlignment="1">
      <alignment vertical="center" wrapText="1"/>
    </xf>
    <xf numFmtId="49" fontId="8" fillId="0" borderId="6" xfId="5" applyNumberFormat="1" applyFont="1" applyFill="1" applyBorder="1" applyAlignment="1">
      <alignment horizontal="right" vertical="center" wrapText="1"/>
    </xf>
    <xf numFmtId="49" fontId="25" fillId="0" borderId="10" xfId="5" applyNumberFormat="1" applyFont="1" applyFill="1" applyBorder="1" applyAlignment="1">
      <alignment horizontal="left" vertical="center"/>
    </xf>
    <xf numFmtId="43" fontId="13" fillId="0" borderId="0" xfId="1" applyFont="1" applyFill="1"/>
    <xf numFmtId="49" fontId="20" fillId="0" borderId="0" xfId="652" applyNumberFormat="1" applyFont="1" applyFill="1" applyAlignment="1">
      <alignment wrapText="1"/>
    </xf>
    <xf numFmtId="0" fontId="13" fillId="0" borderId="0" xfId="652" applyFont="1" applyFill="1"/>
    <xf numFmtId="0" fontId="3" fillId="0" borderId="0" xfId="652" applyFont="1" applyFill="1" applyAlignment="1">
      <alignment wrapText="1"/>
    </xf>
    <xf numFmtId="41" fontId="22" fillId="0" borderId="1" xfId="652" applyNumberFormat="1" applyFont="1" applyFill="1" applyBorder="1" applyAlignment="1">
      <alignment horizontal="left" vertical="center" wrapText="1"/>
    </xf>
    <xf numFmtId="41" fontId="8" fillId="0" borderId="1" xfId="652" applyNumberFormat="1" applyFont="1" applyFill="1" applyBorder="1" applyAlignment="1">
      <alignment horizontal="left" vertical="center" wrapText="1"/>
    </xf>
    <xf numFmtId="41" fontId="23" fillId="0" borderId="1" xfId="652" applyNumberFormat="1" applyFont="1" applyFill="1" applyBorder="1" applyAlignment="1">
      <alignment horizontal="left" vertical="center" wrapText="1"/>
    </xf>
    <xf numFmtId="49" fontId="8" fillId="0" borderId="2" xfId="652" applyNumberFormat="1" applyFont="1" applyFill="1" applyBorder="1" applyAlignment="1">
      <alignment horizontal="center" vertical="center" wrapText="1"/>
    </xf>
    <xf numFmtId="49" fontId="24" fillId="0" borderId="3" xfId="652" applyNumberFormat="1" applyFont="1" applyFill="1" applyBorder="1" applyAlignment="1">
      <alignment vertical="center" wrapText="1"/>
    </xf>
    <xf numFmtId="49" fontId="25" fillId="0" borderId="1" xfId="652" applyNumberFormat="1" applyFont="1" applyFill="1" applyBorder="1" applyAlignment="1">
      <alignment horizontal="center" vertical="center" wrapText="1"/>
    </xf>
    <xf numFmtId="49" fontId="26" fillId="0" borderId="1" xfId="652" applyNumberFormat="1" applyFont="1" applyFill="1" applyBorder="1" applyAlignment="1">
      <alignment horizontal="center" vertical="center" wrapText="1"/>
    </xf>
    <xf numFmtId="49" fontId="25" fillId="0" borderId="7" xfId="652" applyNumberFormat="1" applyFont="1" applyFill="1" applyBorder="1" applyAlignment="1">
      <alignment horizontal="center" vertical="center" wrapText="1"/>
    </xf>
    <xf numFmtId="49" fontId="27" fillId="0" borderId="1" xfId="652" applyNumberFormat="1" applyFont="1" applyFill="1" applyBorder="1" applyAlignment="1">
      <alignment horizontal="left" vertical="center" wrapText="1"/>
    </xf>
    <xf numFmtId="49" fontId="27" fillId="0" borderId="2" xfId="652" applyNumberFormat="1" applyFont="1" applyFill="1" applyBorder="1" applyAlignment="1">
      <alignment horizontal="left" vertical="center" wrapText="1"/>
    </xf>
    <xf numFmtId="49" fontId="27" fillId="0" borderId="7" xfId="652" applyNumberFormat="1" applyFont="1" applyFill="1" applyBorder="1" applyAlignment="1">
      <alignment horizontal="left" vertical="center" wrapText="1"/>
    </xf>
    <xf numFmtId="49" fontId="8" fillId="0" borderId="1" xfId="652" applyNumberFormat="1" applyFont="1" applyFill="1" applyBorder="1" applyAlignment="1">
      <alignment horizontal="left" vertical="center" wrapText="1"/>
    </xf>
    <xf numFmtId="49" fontId="8" fillId="0" borderId="2" xfId="652" applyNumberFormat="1" applyFont="1" applyFill="1" applyBorder="1" applyAlignment="1">
      <alignment horizontal="left" vertical="center" wrapText="1"/>
    </xf>
    <xf numFmtId="49" fontId="25" fillId="0" borderId="7" xfId="652" applyNumberFormat="1" applyFont="1" applyFill="1" applyBorder="1" applyAlignment="1">
      <alignment horizontal="right" vertical="center" wrapText="1"/>
    </xf>
    <xf numFmtId="49" fontId="12" fillId="0" borderId="1" xfId="652" applyNumberFormat="1" applyFont="1" applyFill="1" applyBorder="1" applyAlignment="1">
      <alignment horizontal="left" vertical="center" wrapText="1"/>
    </xf>
    <xf numFmtId="49" fontId="27" fillId="0" borderId="6" xfId="652" applyNumberFormat="1" applyFont="1" applyFill="1" applyBorder="1" applyAlignment="1">
      <alignment horizontal="left" vertical="center" wrapText="1"/>
    </xf>
    <xf numFmtId="49" fontId="8" fillId="0" borderId="0" xfId="652" applyNumberFormat="1" applyFont="1" applyFill="1" applyBorder="1" applyAlignment="1">
      <alignment horizontal="left" vertical="center" wrapText="1"/>
    </xf>
    <xf numFmtId="49" fontId="25" fillId="0" borderId="9" xfId="652" applyNumberFormat="1" applyFont="1" applyFill="1" applyBorder="1" applyAlignment="1">
      <alignment horizontal="right" vertical="center" wrapText="1"/>
    </xf>
    <xf numFmtId="49" fontId="8" fillId="0" borderId="9" xfId="652" applyNumberFormat="1" applyFont="1" applyFill="1" applyBorder="1" applyAlignment="1">
      <alignment horizontal="right" vertical="center" wrapText="1"/>
    </xf>
    <xf numFmtId="49" fontId="8" fillId="0" borderId="0" xfId="652" applyNumberFormat="1" applyFont="1" applyFill="1" applyBorder="1" applyAlignment="1">
      <alignment vertical="center" wrapText="1"/>
    </xf>
    <xf numFmtId="49" fontId="12" fillId="0" borderId="0" xfId="652" applyNumberFormat="1" applyFont="1" applyFill="1" applyBorder="1" applyAlignment="1">
      <alignment horizontal="left" vertical="center" wrapText="1"/>
    </xf>
    <xf numFmtId="49" fontId="25" fillId="0" borderId="10" xfId="652" applyNumberFormat="1" applyFont="1" applyFill="1" applyBorder="1" applyAlignment="1">
      <alignment horizontal="left" vertical="center" wrapText="1"/>
    </xf>
    <xf numFmtId="49" fontId="8" fillId="0" borderId="6" xfId="652" applyNumberFormat="1" applyFont="1" applyFill="1" applyBorder="1" applyAlignment="1">
      <alignment horizontal="left" vertical="center" wrapText="1"/>
    </xf>
    <xf numFmtId="49" fontId="25" fillId="0" borderId="11" xfId="652" applyNumberFormat="1" applyFont="1" applyFill="1" applyBorder="1" applyAlignment="1">
      <alignment horizontal="right" vertical="center" wrapText="1"/>
    </xf>
    <xf numFmtId="49" fontId="8" fillId="0" borderId="10" xfId="652" applyNumberFormat="1" applyFont="1" applyFill="1" applyBorder="1" applyAlignment="1">
      <alignment horizontal="left" vertical="center" wrapText="1"/>
    </xf>
    <xf numFmtId="49" fontId="25" fillId="0" borderId="12" xfId="652" applyNumberFormat="1" applyFont="1" applyFill="1" applyBorder="1" applyAlignment="1">
      <alignment horizontal="right" vertical="center" wrapText="1"/>
    </xf>
    <xf numFmtId="41" fontId="24" fillId="0" borderId="3" xfId="652" applyNumberFormat="1" applyFont="1" applyFill="1" applyBorder="1" applyAlignment="1">
      <alignment horizontal="left" vertical="center" wrapText="1"/>
    </xf>
    <xf numFmtId="49" fontId="8" fillId="0" borderId="7" xfId="652" applyNumberFormat="1" applyFont="1" applyFill="1" applyBorder="1" applyAlignment="1">
      <alignment horizontal="center" vertical="center" wrapText="1"/>
    </xf>
    <xf numFmtId="49" fontId="12" fillId="0" borderId="2" xfId="652" applyNumberFormat="1" applyFont="1" applyFill="1" applyBorder="1" applyAlignment="1">
      <alignment horizontal="left" vertical="center" wrapText="1"/>
    </xf>
    <xf numFmtId="49" fontId="12" fillId="0" borderId="6" xfId="652" applyNumberFormat="1" applyFont="1" applyFill="1" applyBorder="1" applyAlignment="1">
      <alignment horizontal="left" vertical="center" wrapText="1"/>
    </xf>
    <xf numFmtId="49" fontId="8" fillId="0" borderId="2" xfId="652" applyNumberFormat="1" applyFont="1" applyFill="1" applyBorder="1" applyAlignment="1">
      <alignment vertical="center" wrapText="1"/>
    </xf>
    <xf numFmtId="49" fontId="25" fillId="0" borderId="15" xfId="652" applyNumberFormat="1" applyFont="1" applyFill="1" applyBorder="1" applyAlignment="1">
      <alignment horizontal="right" vertical="center" wrapText="1"/>
    </xf>
    <xf numFmtId="49" fontId="8" fillId="0" borderId="6" xfId="652" applyNumberFormat="1" applyFont="1" applyFill="1" applyBorder="1" applyAlignment="1">
      <alignment horizontal="right" vertical="center" wrapText="1"/>
    </xf>
    <xf numFmtId="49" fontId="25" fillId="0" borderId="10" xfId="652" applyNumberFormat="1" applyFont="1" applyFill="1" applyBorder="1" applyAlignment="1">
      <alignment horizontal="left" vertical="center"/>
    </xf>
    <xf numFmtId="49" fontId="25" fillId="0" borderId="11" xfId="652" applyNumberFormat="1" applyFont="1" applyFill="1" applyBorder="1" applyAlignment="1">
      <alignment horizontal="right" vertical="center"/>
    </xf>
    <xf numFmtId="49" fontId="24" fillId="0" borderId="16" xfId="652" applyNumberFormat="1" applyFont="1" applyFill="1" applyBorder="1" applyAlignment="1">
      <alignment horizontal="left" vertical="center" wrapText="1"/>
    </xf>
    <xf numFmtId="49" fontId="8" fillId="0" borderId="17" xfId="652" applyNumberFormat="1" applyFont="1" applyFill="1" applyBorder="1" applyAlignment="1">
      <alignment horizontal="left" vertical="center" wrapText="1"/>
    </xf>
    <xf numFmtId="49" fontId="27" fillId="0" borderId="7" xfId="652" applyNumberFormat="1" applyFont="1" applyFill="1" applyBorder="1" applyAlignment="1">
      <alignment horizontal="right" vertical="center" wrapText="1"/>
    </xf>
    <xf numFmtId="43" fontId="25" fillId="0" borderId="12" xfId="1" applyFont="1" applyFill="1" applyBorder="1" applyAlignment="1">
      <alignment horizontal="right" vertical="center" wrapText="1"/>
    </xf>
    <xf numFmtId="0" fontId="12" fillId="0" borderId="0" xfId="652" applyFont="1" applyFill="1"/>
    <xf numFmtId="41" fontId="31" fillId="0" borderId="0" xfId="0" applyNumberFormat="1" applyFont="1" applyFill="1"/>
    <xf numFmtId="41" fontId="30" fillId="0" borderId="0" xfId="0" applyNumberFormat="1" applyFont="1" applyFill="1"/>
    <xf numFmtId="38" fontId="30" fillId="0" borderId="0" xfId="0" applyNumberFormat="1" applyFont="1" applyFill="1" applyAlignment="1">
      <alignment horizontal="center" wrapText="1"/>
    </xf>
    <xf numFmtId="41" fontId="30" fillId="0" borderId="0" xfId="0" applyNumberFormat="1" applyFont="1" applyFill="1" applyAlignment="1">
      <alignment horizontal="center" wrapText="1"/>
    </xf>
    <xf numFmtId="41" fontId="30" fillId="0" borderId="0" xfId="0" applyNumberFormat="1" applyFont="1" applyFill="1" applyBorder="1" applyAlignment="1">
      <alignment horizontal="center" wrapText="1"/>
    </xf>
    <xf numFmtId="170" fontId="29" fillId="0" borderId="0" xfId="0" applyNumberFormat="1" applyFont="1" applyFill="1"/>
    <xf numFmtId="165" fontId="29" fillId="0" borderId="0" xfId="3" applyNumberFormat="1" applyFont="1" applyFill="1"/>
    <xf numFmtId="43" fontId="29" fillId="0" borderId="0" xfId="0" applyNumberFormat="1" applyFont="1" applyFill="1"/>
    <xf numFmtId="165" fontId="29" fillId="0" borderId="0" xfId="0" applyNumberFormat="1" applyFont="1" applyFill="1"/>
    <xf numFmtId="40" fontId="98" fillId="0" borderId="0" xfId="0" applyNumberFormat="1" applyFont="1" applyFill="1"/>
    <xf numFmtId="39" fontId="98" fillId="0" borderId="0" xfId="0" applyNumberFormat="1" applyFont="1" applyFill="1"/>
    <xf numFmtId="39" fontId="42" fillId="0" borderId="0" xfId="14" applyNumberFormat="1" applyFont="1" applyFill="1"/>
    <xf numFmtId="180" fontId="98" fillId="0" borderId="0" xfId="1" applyNumberFormat="1" applyFont="1" applyFill="1"/>
    <xf numFmtId="165" fontId="99" fillId="0" borderId="0" xfId="1" applyNumberFormat="1" applyFont="1" applyFill="1" applyAlignment="1"/>
    <xf numFmtId="165" fontId="98" fillId="0" borderId="0" xfId="1" applyNumberFormat="1" applyFont="1" applyFill="1" applyAlignment="1"/>
    <xf numFmtId="0" fontId="99" fillId="0" borderId="0" xfId="849" applyFont="1" applyFill="1"/>
    <xf numFmtId="0" fontId="98" fillId="0" borderId="0" xfId="849" applyFont="1" applyFill="1" applyBorder="1"/>
    <xf numFmtId="165" fontId="98" fillId="0" borderId="0" xfId="1" applyNumberFormat="1" applyFont="1" applyFill="1" applyBorder="1"/>
    <xf numFmtId="180" fontId="98" fillId="0" borderId="0" xfId="1" applyNumberFormat="1" applyFont="1" applyFill="1" applyBorder="1"/>
    <xf numFmtId="1" fontId="98" fillId="0" borderId="0" xfId="1" applyNumberFormat="1" applyFont="1" applyFill="1" applyBorder="1" applyAlignment="1">
      <alignment horizontal="center"/>
    </xf>
    <xf numFmtId="43" fontId="98" fillId="0" borderId="0" xfId="1" applyFont="1" applyFill="1" applyBorder="1" applyAlignment="1">
      <alignment horizontal="center"/>
    </xf>
    <xf numFmtId="165" fontId="98" fillId="0" borderId="0" xfId="1" applyNumberFormat="1" applyFont="1" applyFill="1" applyBorder="1" applyAlignment="1">
      <alignment horizontal="center"/>
    </xf>
    <xf numFmtId="170" fontId="98" fillId="0" borderId="21" xfId="1" quotePrefix="1" applyNumberFormat="1" applyFont="1" applyFill="1" applyBorder="1" applyAlignment="1">
      <alignment horizontal="center"/>
    </xf>
    <xf numFmtId="170" fontId="98" fillId="0" borderId="21" xfId="1" applyNumberFormat="1" applyFont="1" applyFill="1" applyBorder="1" applyAlignment="1">
      <alignment horizontal="center"/>
    </xf>
    <xf numFmtId="165" fontId="98" fillId="0" borderId="21" xfId="1" applyNumberFormat="1" applyFont="1" applyFill="1" applyBorder="1" applyAlignment="1">
      <alignment horizontal="right"/>
    </xf>
    <xf numFmtId="165" fontId="98" fillId="0" borderId="0" xfId="1" applyNumberFormat="1" applyFont="1" applyFill="1" applyBorder="1" applyAlignment="1">
      <alignment horizontal="right"/>
    </xf>
    <xf numFmtId="165" fontId="98" fillId="0" borderId="0" xfId="1" quotePrefix="1" applyNumberFormat="1" applyFont="1" applyFill="1" applyBorder="1" applyAlignment="1" applyProtection="1">
      <alignment horizontal="right"/>
    </xf>
    <xf numFmtId="165" fontId="98" fillId="0" borderId="0" xfId="1" quotePrefix="1" applyNumberFormat="1" applyFont="1" applyFill="1" applyBorder="1" applyAlignment="1">
      <alignment horizontal="right"/>
    </xf>
    <xf numFmtId="2" fontId="98" fillId="0" borderId="0" xfId="1" quotePrefix="1" applyNumberFormat="1" applyFont="1" applyFill="1" applyBorder="1" applyAlignment="1">
      <alignment horizontal="right"/>
    </xf>
    <xf numFmtId="42" fontId="98" fillId="0" borderId="0" xfId="849" applyNumberFormat="1" applyFont="1" applyFill="1"/>
    <xf numFmtId="0" fontId="108" fillId="0" borderId="0" xfId="849" applyFont="1" applyFill="1"/>
    <xf numFmtId="165" fontId="108" fillId="0" borderId="0" xfId="1" applyNumberFormat="1" applyFont="1" applyFill="1"/>
    <xf numFmtId="180" fontId="108" fillId="0" borderId="0" xfId="1" applyNumberFormat="1" applyFont="1" applyFill="1"/>
    <xf numFmtId="165" fontId="98" fillId="0" borderId="0" xfId="1" quotePrefix="1" applyNumberFormat="1" applyFont="1" applyFill="1" applyAlignment="1" applyProtection="1">
      <alignment horizontal="right"/>
    </xf>
    <xf numFmtId="165" fontId="98" fillId="0" borderId="0" xfId="1" quotePrefix="1" applyNumberFormat="1" applyFont="1" applyFill="1" applyAlignment="1">
      <alignment horizontal="right"/>
    </xf>
    <xf numFmtId="0" fontId="98" fillId="0" borderId="0" xfId="849" applyFont="1" applyFill="1" applyAlignment="1"/>
    <xf numFmtId="0" fontId="98" fillId="0" borderId="0" xfId="849" applyFont="1" applyFill="1" applyAlignment="1">
      <alignment horizontal="right"/>
    </xf>
    <xf numFmtId="170" fontId="98" fillId="0" borderId="0" xfId="849" applyNumberFormat="1" applyFont="1" applyFill="1"/>
    <xf numFmtId="180" fontId="98" fillId="0" borderId="0" xfId="1" applyNumberFormat="1" applyFont="1" applyFill="1" applyAlignment="1" applyProtection="1">
      <alignment horizontal="right"/>
    </xf>
    <xf numFmtId="42" fontId="98" fillId="0" borderId="0" xfId="1" applyNumberFormat="1" applyFont="1" applyFill="1" applyAlignment="1" applyProtection="1">
      <alignment horizontal="left"/>
    </xf>
    <xf numFmtId="42" fontId="98" fillId="0" borderId="0" xfId="4" applyNumberFormat="1" applyFont="1" applyFill="1"/>
    <xf numFmtId="165" fontId="107" fillId="0" borderId="0" xfId="1" applyNumberFormat="1" applyFont="1" applyFill="1" applyAlignment="1" applyProtection="1">
      <alignment horizontal="left"/>
    </xf>
    <xf numFmtId="180" fontId="107" fillId="0" borderId="0" xfId="1" applyNumberFormat="1" applyFont="1" applyFill="1" applyAlignment="1" applyProtection="1">
      <alignment horizontal="left"/>
    </xf>
    <xf numFmtId="180" fontId="98" fillId="0" borderId="21" xfId="1" applyNumberFormat="1" applyFont="1" applyFill="1" applyBorder="1" applyAlignment="1" applyProtection="1">
      <alignment horizontal="right"/>
    </xf>
    <xf numFmtId="42" fontId="98" fillId="0" borderId="21" xfId="1" applyNumberFormat="1" applyFont="1" applyFill="1" applyBorder="1" applyAlignment="1" applyProtection="1">
      <alignment horizontal="left"/>
    </xf>
    <xf numFmtId="42" fontId="98" fillId="0" borderId="21" xfId="4" applyNumberFormat="1" applyFont="1" applyFill="1" applyBorder="1"/>
    <xf numFmtId="42" fontId="98" fillId="0" borderId="0" xfId="1" applyNumberFormat="1" applyFont="1" applyFill="1"/>
    <xf numFmtId="182" fontId="98" fillId="0" borderId="0" xfId="849" applyNumberFormat="1" applyFont="1" applyFill="1" applyProtection="1"/>
    <xf numFmtId="180" fontId="98" fillId="0" borderId="0" xfId="1" applyNumberFormat="1" applyFont="1" applyFill="1" applyAlignment="1" applyProtection="1">
      <alignment horizontal="center"/>
    </xf>
    <xf numFmtId="165" fontId="98" fillId="0" borderId="0" xfId="1" applyNumberFormat="1" applyFont="1" applyFill="1" applyProtection="1"/>
    <xf numFmtId="180" fontId="98" fillId="0" borderId="0" xfId="1" applyNumberFormat="1" applyFont="1" applyFill="1" applyBorder="1" applyAlignment="1" applyProtection="1">
      <alignment horizontal="right"/>
    </xf>
    <xf numFmtId="42" fontId="98" fillId="0" borderId="0" xfId="1" applyNumberFormat="1" applyFont="1" applyFill="1" applyBorder="1" applyAlignment="1" applyProtection="1">
      <alignment horizontal="left"/>
    </xf>
    <xf numFmtId="182" fontId="98" fillId="0" borderId="0" xfId="849" quotePrefix="1" applyNumberFormat="1" applyFont="1" applyFill="1" applyAlignment="1" applyProtection="1">
      <alignment horizontal="left"/>
    </xf>
    <xf numFmtId="165" fontId="98" fillId="0" borderId="21" xfId="1" applyNumberFormat="1" applyFont="1" applyFill="1" applyBorder="1" applyAlignment="1" applyProtection="1">
      <alignment horizontal="center"/>
    </xf>
    <xf numFmtId="182" fontId="98" fillId="0" borderId="0" xfId="849" applyNumberFormat="1" applyFont="1" applyFill="1" applyAlignment="1" applyProtection="1">
      <alignment horizontal="left"/>
    </xf>
    <xf numFmtId="182" fontId="98" fillId="0" borderId="0" xfId="849" quotePrefix="1" applyNumberFormat="1" applyFont="1" applyFill="1" applyAlignment="1" applyProtection="1">
      <alignment horizontal="center"/>
    </xf>
    <xf numFmtId="180" fontId="98" fillId="0" borderId="0" xfId="1" applyNumberFormat="1" applyFont="1" applyFill="1" applyBorder="1" applyAlignment="1" applyProtection="1">
      <alignment horizontal="left"/>
    </xf>
    <xf numFmtId="42" fontId="98" fillId="0" borderId="21" xfId="849" applyNumberFormat="1" applyFont="1" applyFill="1" applyBorder="1"/>
    <xf numFmtId="165" fontId="98" fillId="0" borderId="0" xfId="1" applyNumberFormat="1" applyFont="1" applyFill="1" applyBorder="1" applyAlignment="1" applyProtection="1">
      <alignment horizontal="right"/>
    </xf>
    <xf numFmtId="182" fontId="98" fillId="0" borderId="0" xfId="849" quotePrefix="1" applyNumberFormat="1" applyFont="1" applyFill="1" applyAlignment="1" applyProtection="1">
      <alignment horizontal="right"/>
    </xf>
    <xf numFmtId="199" fontId="98" fillId="0" borderId="0" xfId="849" applyNumberFormat="1" applyFont="1" applyFill="1"/>
    <xf numFmtId="169" fontId="98" fillId="0" borderId="0" xfId="1" applyNumberFormat="1" applyFont="1" applyFill="1"/>
    <xf numFmtId="37" fontId="98" fillId="0" borderId="21" xfId="1" applyNumberFormat="1" applyFont="1" applyFill="1" applyBorder="1" applyAlignment="1" applyProtection="1">
      <alignment horizontal="right"/>
    </xf>
    <xf numFmtId="165" fontId="107" fillId="0" borderId="0" xfId="849" applyNumberFormat="1" applyFont="1" applyFill="1"/>
    <xf numFmtId="165" fontId="98" fillId="0" borderId="0" xfId="1" applyNumberFormat="1" applyFont="1" applyFill="1" applyAlignment="1">
      <alignment horizontal="center"/>
    </xf>
    <xf numFmtId="169" fontId="98" fillId="0" borderId="21" xfId="1" applyNumberFormat="1" applyFont="1" applyFill="1" applyBorder="1"/>
    <xf numFmtId="182" fontId="98" fillId="0" borderId="0" xfId="849" applyNumberFormat="1" applyFont="1" applyFill="1" applyAlignment="1" applyProtection="1">
      <alignment horizontal="right"/>
    </xf>
    <xf numFmtId="169" fontId="98" fillId="0" borderId="21" xfId="850" applyNumberFormat="1" applyFont="1" applyFill="1" applyBorder="1"/>
    <xf numFmtId="37" fontId="98" fillId="0" borderId="0" xfId="1" applyNumberFormat="1" applyFont="1" applyFill="1" applyAlignment="1">
      <alignment horizontal="right"/>
    </xf>
    <xf numFmtId="0" fontId="98" fillId="0" borderId="0" xfId="849" quotePrefix="1" applyFont="1" applyFill="1" applyAlignment="1">
      <alignment horizontal="right"/>
    </xf>
    <xf numFmtId="0" fontId="98" fillId="0" borderId="21" xfId="849" applyFont="1" applyFill="1" applyBorder="1"/>
    <xf numFmtId="169" fontId="98" fillId="0" borderId="0" xfId="850" applyNumberFormat="1" applyFont="1" applyFill="1" applyBorder="1" applyAlignment="1">
      <alignment horizontal="right"/>
    </xf>
    <xf numFmtId="42" fontId="98" fillId="0" borderId="0" xfId="1" applyNumberFormat="1" applyFont="1" applyFill="1" applyAlignment="1">
      <alignment horizontal="right"/>
    </xf>
    <xf numFmtId="182" fontId="98" fillId="0" borderId="0" xfId="849" applyNumberFormat="1" applyFont="1" applyFill="1"/>
    <xf numFmtId="180" fontId="98" fillId="0" borderId="0" xfId="1" quotePrefix="1" applyNumberFormat="1" applyFont="1" applyFill="1" applyAlignment="1">
      <alignment horizontal="right"/>
    </xf>
    <xf numFmtId="6" fontId="98" fillId="0" borderId="0" xfId="1" applyNumberFormat="1" applyFont="1" applyFill="1" applyAlignment="1">
      <alignment horizontal="right"/>
    </xf>
    <xf numFmtId="6" fontId="98" fillId="0" borderId="0" xfId="1" applyNumberFormat="1" applyFont="1" applyFill="1"/>
    <xf numFmtId="43" fontId="98" fillId="0" borderId="0" xfId="1" applyNumberFormat="1" applyFont="1" applyFill="1"/>
    <xf numFmtId="180" fontId="99" fillId="0" borderId="0" xfId="1" applyNumberFormat="1" applyFont="1" applyFill="1" applyAlignment="1">
      <alignment horizontal="center"/>
    </xf>
    <xf numFmtId="0" fontId="98" fillId="0" borderId="0" xfId="0" quotePrefix="1" applyFont="1" applyFill="1" applyAlignment="1">
      <alignment horizontal="left"/>
    </xf>
    <xf numFmtId="0" fontId="98" fillId="0" borderId="0" xfId="849" applyFont="1" applyFill="1" applyAlignment="1" applyProtection="1">
      <alignment horizontal="left"/>
      <protection locked="0"/>
    </xf>
    <xf numFmtId="169" fontId="98" fillId="0" borderId="21" xfId="850" applyNumberFormat="1" applyFont="1" applyFill="1" applyBorder="1" applyAlignment="1">
      <alignment horizontal="right"/>
    </xf>
    <xf numFmtId="165" fontId="98" fillId="0" borderId="21" xfId="1" applyNumberFormat="1" applyFont="1" applyFill="1" applyBorder="1"/>
    <xf numFmtId="180" fontId="93" fillId="0" borderId="0" xfId="1" applyNumberFormat="1" applyFont="1" applyFill="1" applyAlignment="1">
      <alignment horizontal="center"/>
    </xf>
    <xf numFmtId="0" fontId="34" fillId="0" borderId="0" xfId="849" quotePrefix="1" applyFont="1" applyFill="1" applyAlignment="1">
      <alignment horizontal="center"/>
    </xf>
    <xf numFmtId="180" fontId="34" fillId="0" borderId="0" xfId="1" applyNumberFormat="1" applyFont="1" applyFill="1"/>
    <xf numFmtId="17" fontId="34" fillId="0" borderId="0" xfId="849" quotePrefix="1" applyNumberFormat="1" applyFont="1" applyFill="1" applyAlignment="1">
      <alignment horizontal="center"/>
    </xf>
    <xf numFmtId="0" fontId="35" fillId="0" borderId="0" xfId="849" applyFont="1" applyFill="1" applyBorder="1" applyAlignment="1">
      <alignment horizontal="center"/>
    </xf>
    <xf numFmtId="180" fontId="35" fillId="0" borderId="0" xfId="1" applyNumberFormat="1" applyFont="1" applyFill="1" applyBorder="1" applyAlignment="1">
      <alignment horizontal="right"/>
    </xf>
    <xf numFmtId="165" fontId="35" fillId="0" borderId="0" xfId="1" applyNumberFormat="1" applyFont="1" applyFill="1" applyBorder="1" applyAlignment="1">
      <alignment horizontal="right"/>
    </xf>
    <xf numFmtId="165" fontId="34" fillId="0" borderId="21" xfId="1" applyNumberFormat="1" applyFont="1" applyFill="1" applyBorder="1" applyAlignment="1">
      <alignment horizontal="right"/>
    </xf>
    <xf numFmtId="180" fontId="34" fillId="0" borderId="21" xfId="1" applyNumberFormat="1" applyFont="1" applyFill="1" applyBorder="1" applyAlignment="1">
      <alignment horizontal="right"/>
    </xf>
    <xf numFmtId="170" fontId="34" fillId="0" borderId="21" xfId="1" quotePrefix="1" applyNumberFormat="1" applyFont="1" applyFill="1" applyBorder="1" applyAlignment="1">
      <alignment horizontal="center"/>
    </xf>
    <xf numFmtId="0" fontId="34" fillId="0" borderId="0" xfId="849" applyFont="1" applyFill="1" applyAlignment="1">
      <alignment horizontal="center"/>
    </xf>
    <xf numFmtId="165" fontId="34" fillId="0" borderId="21" xfId="849" applyNumberFormat="1" applyFont="1" applyFill="1" applyBorder="1"/>
    <xf numFmtId="180" fontId="34" fillId="0" borderId="21" xfId="849" applyNumberFormat="1" applyFont="1" applyFill="1" applyBorder="1"/>
    <xf numFmtId="169" fontId="34" fillId="0" borderId="21" xfId="6" applyNumberFormat="1" applyFont="1" applyFill="1" applyBorder="1"/>
    <xf numFmtId="180" fontId="34" fillId="0" borderId="0" xfId="849" applyNumberFormat="1" applyFont="1" applyFill="1"/>
    <xf numFmtId="180" fontId="34" fillId="0" borderId="21" xfId="1" applyNumberFormat="1" applyFont="1" applyFill="1" applyBorder="1"/>
    <xf numFmtId="0" fontId="35" fillId="0" borderId="0" xfId="849" applyFont="1" applyFill="1"/>
    <xf numFmtId="180" fontId="34" fillId="0" borderId="0" xfId="1" applyNumberFormat="1" applyFont="1" applyFill="1" applyBorder="1"/>
    <xf numFmtId="169" fontId="34" fillId="0" borderId="0" xfId="4" applyNumberFormat="1" applyFont="1" applyFill="1"/>
    <xf numFmtId="165" fontId="34" fillId="0" borderId="0" xfId="1" applyNumberFormat="1" applyFont="1" applyFill="1" applyBorder="1"/>
    <xf numFmtId="0" fontId="34" fillId="0" borderId="0" xfId="849" quotePrefix="1" applyFont="1" applyFill="1" applyAlignment="1">
      <alignment horizontal="left"/>
    </xf>
    <xf numFmtId="0" fontId="34" fillId="0" borderId="0" xfId="849" applyFont="1" applyFill="1" applyAlignment="1">
      <alignment horizontal="left"/>
    </xf>
    <xf numFmtId="44" fontId="34" fillId="0" borderId="0" xfId="849" applyNumberFormat="1" applyFont="1" applyFill="1"/>
    <xf numFmtId="43" fontId="34" fillId="0" borderId="0" xfId="849" applyNumberFormat="1" applyFont="1" applyFill="1"/>
    <xf numFmtId="165" fontId="46" fillId="0" borderId="0" xfId="846" quotePrefix="1" applyNumberFormat="1" applyFont="1" applyFill="1" applyBorder="1" applyAlignment="1">
      <alignment horizontal="center"/>
    </xf>
    <xf numFmtId="43" fontId="46" fillId="0" borderId="0" xfId="846" quotePrefix="1" applyFont="1" applyFill="1" applyAlignment="1">
      <alignment horizontal="center"/>
    </xf>
    <xf numFmtId="180" fontId="46" fillId="0" borderId="0" xfId="846" quotePrefix="1" applyNumberFormat="1" applyFont="1" applyFill="1" applyAlignment="1">
      <alignment horizontal="center"/>
    </xf>
    <xf numFmtId="165" fontId="47" fillId="0" borderId="0" xfId="846" applyNumberFormat="1" applyFont="1" applyFill="1" applyBorder="1" applyAlignment="1">
      <alignment horizontal="right"/>
    </xf>
    <xf numFmtId="0" fontId="47" fillId="0" borderId="0" xfId="848" applyFont="1" applyFill="1" applyAlignment="1">
      <alignment horizontal="center"/>
    </xf>
    <xf numFmtId="165" fontId="46" fillId="0" borderId="0" xfId="846" applyNumberFormat="1" applyFont="1" applyFill="1" applyBorder="1" applyAlignment="1">
      <alignment horizontal="right"/>
    </xf>
    <xf numFmtId="180" fontId="47" fillId="0" borderId="0" xfId="846" applyNumberFormat="1" applyFont="1" applyFill="1" applyAlignment="1">
      <alignment horizontal="right"/>
    </xf>
    <xf numFmtId="180" fontId="46" fillId="0" borderId="0" xfId="846" applyNumberFormat="1" applyFont="1" applyFill="1" applyAlignment="1">
      <alignment horizontal="right"/>
    </xf>
    <xf numFmtId="182" fontId="47" fillId="0" borderId="0" xfId="848" applyNumberFormat="1" applyFont="1" applyFill="1" applyAlignment="1" applyProtection="1">
      <alignment horizontal="left"/>
    </xf>
    <xf numFmtId="165" fontId="47" fillId="0" borderId="0" xfId="846" quotePrefix="1" applyNumberFormat="1" applyFont="1" applyFill="1" applyBorder="1" applyAlignment="1" applyProtection="1">
      <alignment horizontal="right"/>
    </xf>
    <xf numFmtId="165" fontId="47" fillId="0" borderId="21" xfId="846" quotePrefix="1" applyNumberFormat="1" applyFont="1" applyFill="1" applyBorder="1" applyAlignment="1" applyProtection="1">
      <alignment horizontal="right"/>
    </xf>
    <xf numFmtId="180" fontId="47" fillId="0" borderId="21" xfId="848" applyNumberFormat="1" applyFont="1" applyFill="1" applyBorder="1" applyAlignment="1">
      <alignment horizontal="right"/>
    </xf>
    <xf numFmtId="165" fontId="47" fillId="0" borderId="21" xfId="848" applyNumberFormat="1" applyFont="1" applyFill="1" applyBorder="1" applyAlignment="1">
      <alignment horizontal="right"/>
    </xf>
    <xf numFmtId="0" fontId="35" fillId="0" borderId="0" xfId="848" applyFont="1" applyFill="1" applyBorder="1"/>
    <xf numFmtId="43" fontId="47" fillId="0" borderId="0" xfId="848" applyNumberFormat="1" applyFont="1" applyFill="1"/>
    <xf numFmtId="196" fontId="47" fillId="0" borderId="0" xfId="848" applyNumberFormat="1" applyFont="1" applyFill="1" applyBorder="1"/>
    <xf numFmtId="43" fontId="47" fillId="0" borderId="21" xfId="848" applyNumberFormat="1" applyFont="1" applyFill="1" applyBorder="1"/>
    <xf numFmtId="165" fontId="47" fillId="0" borderId="0" xfId="848" applyNumberFormat="1" applyFont="1" applyFill="1" applyBorder="1"/>
    <xf numFmtId="43" fontId="47" fillId="0" borderId="0" xfId="848" applyNumberFormat="1" applyFont="1" applyFill="1" applyBorder="1"/>
    <xf numFmtId="0" fontId="117" fillId="0" borderId="0" xfId="0" applyFont="1" applyFill="1"/>
    <xf numFmtId="0" fontId="47" fillId="0" borderId="0" xfId="848" quotePrefix="1" applyFont="1" applyFill="1" applyBorder="1" applyAlignment="1">
      <alignment horizontal="left"/>
    </xf>
    <xf numFmtId="37" fontId="118" fillId="0" borderId="0" xfId="847" applyNumberFormat="1" applyFont="1" applyFill="1" applyBorder="1" applyProtection="1">
      <protection locked="0"/>
    </xf>
    <xf numFmtId="165" fontId="47" fillId="0" borderId="0" xfId="846" applyNumberFormat="1" applyFont="1" applyFill="1" applyBorder="1" applyProtection="1"/>
    <xf numFmtId="0" fontId="47" fillId="0" borderId="0" xfId="848" applyFont="1" applyFill="1" applyBorder="1" applyAlignment="1">
      <alignment horizontal="left" indent="1"/>
    </xf>
    <xf numFmtId="197" fontId="47" fillId="0" borderId="0" xfId="10" applyNumberFormat="1" applyFont="1" applyFill="1" applyBorder="1" applyAlignment="1">
      <alignment horizontal="center"/>
    </xf>
    <xf numFmtId="0" fontId="117" fillId="0" borderId="0" xfId="0" applyFont="1" applyFill="1" applyBorder="1"/>
    <xf numFmtId="194" fontId="47" fillId="0" borderId="0" xfId="15" quotePrefix="1" applyNumberFormat="1" applyFont="1" applyFill="1" applyBorder="1" applyAlignment="1">
      <alignment horizontal="right"/>
    </xf>
    <xf numFmtId="0" fontId="47" fillId="0" borderId="0" xfId="15" quotePrefix="1" applyFont="1" applyFill="1" applyBorder="1" applyAlignment="1">
      <alignment horizontal="right"/>
    </xf>
    <xf numFmtId="0" fontId="47" fillId="0" borderId="0" xfId="15" quotePrefix="1" applyFont="1" applyFill="1" applyBorder="1" applyAlignment="1">
      <alignment horizontal="left"/>
    </xf>
    <xf numFmtId="195" fontId="47" fillId="0" borderId="0" xfId="15" applyNumberFormat="1" applyFont="1" applyFill="1" applyBorder="1"/>
    <xf numFmtId="188" fontId="47" fillId="0" borderId="0" xfId="15" applyNumberFormat="1" applyFont="1" applyFill="1" applyBorder="1"/>
    <xf numFmtId="0" fontId="116" fillId="0" borderId="0" xfId="15" applyFont="1" applyFill="1" applyBorder="1" applyAlignment="1">
      <alignment horizontal="right"/>
    </xf>
    <xf numFmtId="0" fontId="124" fillId="0" borderId="0" xfId="15" applyFont="1" applyFill="1" applyBorder="1"/>
    <xf numFmtId="0" fontId="46" fillId="0" borderId="0" xfId="15" applyFont="1" applyFill="1" applyBorder="1" applyAlignment="1">
      <alignment horizontal="left"/>
    </xf>
    <xf numFmtId="0" fontId="116" fillId="0" borderId="0" xfId="15" applyFont="1" applyFill="1" applyBorder="1"/>
    <xf numFmtId="43" fontId="47" fillId="0" borderId="0" xfId="3" applyFont="1" applyFill="1"/>
    <xf numFmtId="43" fontId="127" fillId="0" borderId="0" xfId="3" applyFont="1" applyFill="1"/>
    <xf numFmtId="38" fontId="30" fillId="0" borderId="0" xfId="0" applyNumberFormat="1" applyFont="1" applyFill="1" applyAlignment="1">
      <alignment horizontal="center"/>
    </xf>
    <xf numFmtId="41" fontId="30" fillId="0" borderId="0" xfId="0" applyNumberFormat="1" applyFont="1" applyFill="1" applyAlignment="1">
      <alignment horizontal="center"/>
    </xf>
    <xf numFmtId="41" fontId="31" fillId="0" borderId="0" xfId="0" applyNumberFormat="1" applyFont="1" applyFill="1" applyAlignment="1">
      <alignment horizontal="left"/>
    </xf>
    <xf numFmtId="41" fontId="31" fillId="0" borderId="0" xfId="0" quotePrefix="1" applyNumberFormat="1" applyFont="1" applyFill="1" applyAlignment="1">
      <alignment horizontal="left"/>
    </xf>
    <xf numFmtId="41" fontId="30" fillId="0" borderId="0" xfId="0" quotePrefix="1" applyNumberFormat="1" applyFont="1" applyFill="1" applyBorder="1" applyAlignment="1">
      <alignment horizontal="center" wrapText="1"/>
    </xf>
    <xf numFmtId="43" fontId="29" fillId="0" borderId="0" xfId="3" applyNumberFormat="1" applyFont="1" applyFill="1"/>
    <xf numFmtId="44" fontId="33" fillId="0" borderId="0" xfId="0" applyNumberFormat="1" applyFont="1" applyFill="1"/>
    <xf numFmtId="1" fontId="29" fillId="0" borderId="0" xfId="0" applyNumberFormat="1" applyFont="1" applyFill="1"/>
    <xf numFmtId="44" fontId="0" fillId="0" borderId="0" xfId="0" applyNumberFormat="1" applyFill="1"/>
    <xf numFmtId="2" fontId="29" fillId="0" borderId="0" xfId="0" applyNumberFormat="1" applyFont="1" applyFill="1"/>
    <xf numFmtId="49" fontId="29" fillId="0" borderId="0" xfId="0" applyNumberFormat="1" applyFont="1" applyFill="1"/>
    <xf numFmtId="178" fontId="46" fillId="0" borderId="47" xfId="851" applyFont="1" applyFill="1" applyBorder="1" applyAlignment="1">
      <alignment horizontal="center"/>
    </xf>
    <xf numFmtId="0" fontId="35" fillId="0" borderId="47" xfId="7" applyFont="1" applyFill="1" applyBorder="1" applyAlignment="1">
      <alignment horizontal="center"/>
    </xf>
    <xf numFmtId="0" fontId="122" fillId="0" borderId="58" xfId="15" applyFont="1" applyFill="1" applyBorder="1" applyAlignment="1">
      <alignment horizontal="center"/>
    </xf>
    <xf numFmtId="0" fontId="122" fillId="0" borderId="59" xfId="15" applyFont="1" applyFill="1" applyBorder="1" applyAlignment="1">
      <alignment horizontal="center"/>
    </xf>
    <xf numFmtId="0" fontId="122" fillId="0" borderId="60" xfId="15" applyFont="1" applyFill="1" applyBorder="1" applyAlignment="1">
      <alignment horizontal="center"/>
    </xf>
    <xf numFmtId="0" fontId="122" fillId="0" borderId="0" xfId="15" applyFont="1" applyFill="1" applyBorder="1" applyAlignment="1">
      <alignment horizontal="center"/>
    </xf>
    <xf numFmtId="0" fontId="47" fillId="0" borderId="0" xfId="15" applyFont="1" applyFill="1" applyAlignment="1">
      <alignment horizontal="center"/>
    </xf>
    <xf numFmtId="0" fontId="47" fillId="0" borderId="21" xfId="15" quotePrefix="1" applyFont="1" applyFill="1" applyBorder="1" applyAlignment="1">
      <alignment horizontal="center"/>
    </xf>
    <xf numFmtId="0" fontId="47" fillId="0" borderId="21" xfId="15" applyFont="1" applyFill="1" applyBorder="1" applyAlignment="1">
      <alignment horizontal="center"/>
    </xf>
    <xf numFmtId="0" fontId="35" fillId="0" borderId="47" xfId="849" quotePrefix="1" applyFont="1" applyFill="1" applyBorder="1" applyAlignment="1">
      <alignment horizontal="center"/>
    </xf>
    <xf numFmtId="0" fontId="35" fillId="0" borderId="47" xfId="849" applyFont="1" applyFill="1" applyBorder="1" applyAlignment="1">
      <alignment horizontal="center"/>
    </xf>
    <xf numFmtId="165" fontId="99" fillId="0" borderId="0" xfId="1" applyNumberFormat="1" applyFont="1" applyFill="1" applyAlignment="1">
      <alignment horizontal="center"/>
    </xf>
    <xf numFmtId="165" fontId="98" fillId="0" borderId="21" xfId="1" quotePrefix="1" applyNumberFormat="1" applyFont="1" applyFill="1" applyBorder="1" applyAlignment="1">
      <alignment horizontal="center"/>
    </xf>
    <xf numFmtId="165" fontId="98" fillId="0" borderId="21" xfId="1" applyNumberFormat="1" applyFont="1" applyFill="1" applyBorder="1" applyAlignment="1">
      <alignment horizontal="center"/>
    </xf>
    <xf numFmtId="49" fontId="103" fillId="80" borderId="18" xfId="0" applyNumberFormat="1" applyFont="1" applyFill="1" applyBorder="1" applyAlignment="1">
      <alignment horizontal="left" vertical="center" wrapText="1"/>
    </xf>
    <xf numFmtId="49" fontId="103" fillId="80" borderId="19" xfId="0" applyNumberFormat="1" applyFont="1" applyFill="1" applyBorder="1" applyAlignment="1">
      <alignment horizontal="left" vertical="center" wrapText="1"/>
    </xf>
    <xf numFmtId="0" fontId="0" fillId="0" borderId="21" xfId="0" applyBorder="1" applyAlignment="1">
      <alignment horizontal="center"/>
    </xf>
    <xf numFmtId="49" fontId="2" fillId="2" borderId="0" xfId="5" applyNumberFormat="1" applyFont="1" applyFill="1" applyAlignment="1">
      <alignment wrapText="1"/>
    </xf>
    <xf numFmtId="49" fontId="7" fillId="0" borderId="2" xfId="5" applyNumberFormat="1" applyFont="1" applyFill="1" applyBorder="1" applyAlignment="1">
      <alignment horizontal="center" vertical="center" wrapText="1"/>
    </xf>
    <xf numFmtId="49" fontId="7" fillId="0" borderId="6" xfId="5" applyNumberFormat="1" applyFont="1" applyFill="1" applyBorder="1" applyAlignment="1">
      <alignment horizontal="center" vertical="center" wrapText="1"/>
    </xf>
    <xf numFmtId="41" fontId="4" fillId="0" borderId="2" xfId="5" applyNumberFormat="1" applyFont="1" applyFill="1" applyBorder="1" applyAlignment="1">
      <alignment horizontal="left" vertical="center" wrapText="1"/>
    </xf>
    <xf numFmtId="41" fontId="4" fillId="0" borderId="6" xfId="5" applyNumberFormat="1" applyFont="1" applyFill="1" applyBorder="1" applyAlignment="1">
      <alignment horizontal="left" vertical="center" wrapText="1"/>
    </xf>
    <xf numFmtId="49" fontId="4" fillId="0" borderId="2" xfId="5" applyNumberFormat="1" applyFont="1" applyFill="1" applyBorder="1" applyAlignment="1">
      <alignment horizontal="left" vertical="center" wrapText="1"/>
    </xf>
    <xf numFmtId="49" fontId="4" fillId="0" borderId="6" xfId="5" applyNumberFormat="1" applyFont="1" applyFill="1" applyBorder="1" applyAlignment="1">
      <alignment horizontal="left" vertical="center" wrapText="1"/>
    </xf>
    <xf numFmtId="43" fontId="5" fillId="0" borderId="6" xfId="1" applyFont="1" applyFill="1" applyBorder="1" applyAlignment="1">
      <alignment horizontal="left" vertical="center" wrapText="1"/>
    </xf>
    <xf numFmtId="49" fontId="2" fillId="2" borderId="0" xfId="0" applyNumberFormat="1" applyFont="1" applyFill="1" applyAlignment="1">
      <alignment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 wrapText="1"/>
    </xf>
    <xf numFmtId="41" fontId="4" fillId="0" borderId="2" xfId="0" applyNumberFormat="1" applyFont="1" applyFill="1" applyBorder="1" applyAlignment="1">
      <alignment horizontal="left" vertical="center" wrapText="1"/>
    </xf>
    <xf numFmtId="41" fontId="4" fillId="0" borderId="6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49" fontId="4" fillId="0" borderId="6" xfId="0" applyNumberFormat="1" applyFont="1" applyFill="1" applyBorder="1" applyAlignment="1">
      <alignment horizontal="left" vertical="center" wrapText="1"/>
    </xf>
    <xf numFmtId="49" fontId="21" fillId="2" borderId="0" xfId="5" applyNumberFormat="1" applyFont="1" applyFill="1" applyAlignment="1" applyProtection="1">
      <alignment wrapText="1"/>
      <protection locked="0"/>
    </xf>
    <xf numFmtId="49" fontId="26" fillId="0" borderId="2" xfId="5" applyNumberFormat="1" applyFont="1" applyFill="1" applyBorder="1" applyAlignment="1">
      <alignment horizontal="center" vertical="center" wrapText="1"/>
    </xf>
    <xf numFmtId="49" fontId="26" fillId="0" borderId="6" xfId="5" applyNumberFormat="1" applyFont="1" applyFill="1" applyBorder="1" applyAlignment="1">
      <alignment horizontal="center" vertical="center" wrapText="1"/>
    </xf>
    <xf numFmtId="41" fontId="23" fillId="0" borderId="2" xfId="5" applyNumberFormat="1" applyFont="1" applyFill="1" applyBorder="1" applyAlignment="1">
      <alignment horizontal="left" vertical="center" wrapText="1"/>
    </xf>
    <xf numFmtId="41" fontId="23" fillId="0" borderId="6" xfId="5" applyNumberFormat="1" applyFont="1" applyFill="1" applyBorder="1" applyAlignment="1">
      <alignment horizontal="left" vertical="center" wrapText="1"/>
    </xf>
    <xf numFmtId="49" fontId="23" fillId="0" borderId="2" xfId="5" applyNumberFormat="1" applyFont="1" applyFill="1" applyBorder="1" applyAlignment="1">
      <alignment horizontal="left" vertical="center" wrapText="1"/>
    </xf>
    <xf numFmtId="49" fontId="23" fillId="0" borderId="6" xfId="5" applyNumberFormat="1" applyFont="1" applyFill="1" applyBorder="1" applyAlignment="1">
      <alignment horizontal="left" vertical="center" wrapText="1"/>
    </xf>
    <xf numFmtId="43" fontId="25" fillId="0" borderId="6" xfId="1" applyFont="1" applyFill="1" applyBorder="1" applyAlignment="1">
      <alignment horizontal="left" vertical="center" wrapText="1"/>
    </xf>
    <xf numFmtId="49" fontId="21" fillId="2" borderId="0" xfId="652" applyNumberFormat="1" applyFont="1" applyFill="1" applyAlignment="1" applyProtection="1">
      <alignment wrapText="1"/>
      <protection locked="0"/>
    </xf>
    <xf numFmtId="49" fontId="26" fillId="0" borderId="2" xfId="652" applyNumberFormat="1" applyFont="1" applyFill="1" applyBorder="1" applyAlignment="1">
      <alignment horizontal="center" vertical="center" wrapText="1"/>
    </xf>
    <xf numFmtId="49" fontId="26" fillId="0" borderId="6" xfId="652" applyNumberFormat="1" applyFont="1" applyFill="1" applyBorder="1" applyAlignment="1">
      <alignment horizontal="center" vertical="center" wrapText="1"/>
    </xf>
    <xf numFmtId="41" fontId="23" fillId="0" borderId="2" xfId="652" applyNumberFormat="1" applyFont="1" applyFill="1" applyBorder="1" applyAlignment="1">
      <alignment horizontal="left" vertical="center" wrapText="1"/>
    </xf>
    <xf numFmtId="41" fontId="23" fillId="0" borderId="6" xfId="652" applyNumberFormat="1" applyFont="1" applyFill="1" applyBorder="1" applyAlignment="1">
      <alignment horizontal="left" vertical="center" wrapText="1"/>
    </xf>
    <xf numFmtId="49" fontId="23" fillId="0" borderId="2" xfId="652" applyNumberFormat="1" applyFont="1" applyFill="1" applyBorder="1" applyAlignment="1">
      <alignment horizontal="left" vertical="center" wrapText="1"/>
    </xf>
    <xf numFmtId="49" fontId="23" fillId="0" borderId="6" xfId="652" applyNumberFormat="1" applyFont="1" applyFill="1" applyBorder="1" applyAlignment="1">
      <alignment horizontal="left" vertical="center" wrapText="1"/>
    </xf>
    <xf numFmtId="40" fontId="100" fillId="0" borderId="0" xfId="0" applyNumberFormat="1" applyFont="1"/>
  </cellXfs>
  <cellStyles count="854">
    <cellStyle name="20% - Accent1 10" xfId="16"/>
    <cellStyle name="20% - Accent1 11" xfId="17"/>
    <cellStyle name="20% - Accent1 12" xfId="18"/>
    <cellStyle name="20% - Accent1 13" xfId="19"/>
    <cellStyle name="20% - Accent1 14" xfId="20"/>
    <cellStyle name="20% - Accent1 15" xfId="21"/>
    <cellStyle name="20% - Accent1 16" xfId="22"/>
    <cellStyle name="20% - Accent1 2" xfId="23"/>
    <cellStyle name="20% - Accent1 3" xfId="24"/>
    <cellStyle name="20% - Accent1 4" xfId="25"/>
    <cellStyle name="20% - Accent1 5" xfId="26"/>
    <cellStyle name="20% - Accent1 6" xfId="27"/>
    <cellStyle name="20% - Accent1 7" xfId="28"/>
    <cellStyle name="20% - Accent1 8" xfId="29"/>
    <cellStyle name="20% - Accent1 9" xfId="30"/>
    <cellStyle name="20% - Accent2 10" xfId="31"/>
    <cellStyle name="20% - Accent2 11" xfId="32"/>
    <cellStyle name="20% - Accent2 12" xfId="33"/>
    <cellStyle name="20% - Accent2 13" xfId="34"/>
    <cellStyle name="20% - Accent2 14" xfId="35"/>
    <cellStyle name="20% - Accent2 15" xfId="36"/>
    <cellStyle name="20% - Accent2 16" xfId="37"/>
    <cellStyle name="20% - Accent2 2" xfId="38"/>
    <cellStyle name="20% - Accent2 3" xfId="39"/>
    <cellStyle name="20% - Accent2 4" xfId="40"/>
    <cellStyle name="20% - Accent2 5" xfId="41"/>
    <cellStyle name="20% - Accent2 6" xfId="42"/>
    <cellStyle name="20% - Accent2 7" xfId="43"/>
    <cellStyle name="20% - Accent2 8" xfId="44"/>
    <cellStyle name="20% - Accent2 9" xfId="45"/>
    <cellStyle name="20% - Accent3 10" xfId="46"/>
    <cellStyle name="20% - Accent3 11" xfId="47"/>
    <cellStyle name="20% - Accent3 12" xfId="48"/>
    <cellStyle name="20% - Accent3 13" xfId="49"/>
    <cellStyle name="20% - Accent3 14" xfId="50"/>
    <cellStyle name="20% - Accent3 15" xfId="51"/>
    <cellStyle name="20% - Accent3 16" xfId="52"/>
    <cellStyle name="20% - Accent3 2" xfId="53"/>
    <cellStyle name="20% - Accent3 3" xfId="54"/>
    <cellStyle name="20% - Accent3 4" xfId="55"/>
    <cellStyle name="20% - Accent3 5" xfId="56"/>
    <cellStyle name="20% - Accent3 6" xfId="57"/>
    <cellStyle name="20% - Accent3 7" xfId="58"/>
    <cellStyle name="20% - Accent3 8" xfId="59"/>
    <cellStyle name="20% - Accent3 9" xfId="60"/>
    <cellStyle name="20% - Accent4 10" xfId="61"/>
    <cellStyle name="20% - Accent4 11" xfId="62"/>
    <cellStyle name="20% - Accent4 12" xfId="63"/>
    <cellStyle name="20% - Accent4 13" xfId="64"/>
    <cellStyle name="20% - Accent4 14" xfId="65"/>
    <cellStyle name="20% - Accent4 15" xfId="66"/>
    <cellStyle name="20% - Accent4 16" xfId="67"/>
    <cellStyle name="20% - Accent4 2" xfId="68"/>
    <cellStyle name="20% - Accent4 3" xfId="69"/>
    <cellStyle name="20% - Accent4 4" xfId="70"/>
    <cellStyle name="20% - Accent4 5" xfId="71"/>
    <cellStyle name="20% - Accent4 6" xfId="72"/>
    <cellStyle name="20% - Accent4 7" xfId="73"/>
    <cellStyle name="20% - Accent4 8" xfId="74"/>
    <cellStyle name="20% - Accent4 9" xfId="75"/>
    <cellStyle name="20% - Accent5 10" xfId="76"/>
    <cellStyle name="20% - Accent5 11" xfId="77"/>
    <cellStyle name="20% - Accent5 12" xfId="78"/>
    <cellStyle name="20% - Accent5 13" xfId="79"/>
    <cellStyle name="20% - Accent5 14" xfId="80"/>
    <cellStyle name="20% - Accent5 15" xfId="81"/>
    <cellStyle name="20% - Accent5 16" xfId="82"/>
    <cellStyle name="20% - Accent5 2" xfId="83"/>
    <cellStyle name="20% - Accent5 3" xfId="84"/>
    <cellStyle name="20% - Accent5 4" xfId="85"/>
    <cellStyle name="20% - Accent5 5" xfId="86"/>
    <cellStyle name="20% - Accent5 6" xfId="87"/>
    <cellStyle name="20% - Accent5 7" xfId="88"/>
    <cellStyle name="20% - Accent5 8" xfId="89"/>
    <cellStyle name="20% - Accent5 9" xfId="90"/>
    <cellStyle name="20% - Accent6 10" xfId="91"/>
    <cellStyle name="20% - Accent6 11" xfId="92"/>
    <cellStyle name="20% - Accent6 12" xfId="93"/>
    <cellStyle name="20% - Accent6 13" xfId="94"/>
    <cellStyle name="20% - Accent6 14" xfId="95"/>
    <cellStyle name="20% - Accent6 15" xfId="96"/>
    <cellStyle name="20% - Accent6 16" xfId="97"/>
    <cellStyle name="20% - Accent6 2" xfId="98"/>
    <cellStyle name="20% - Accent6 3" xfId="99"/>
    <cellStyle name="20% - Accent6 4" xfId="100"/>
    <cellStyle name="20% - Accent6 5" xfId="101"/>
    <cellStyle name="20% - Accent6 6" xfId="102"/>
    <cellStyle name="20% - Accent6 7" xfId="103"/>
    <cellStyle name="20% - Accent6 8" xfId="104"/>
    <cellStyle name="20% - Accent6 9" xfId="105"/>
    <cellStyle name="40% - Accent1 10" xfId="106"/>
    <cellStyle name="40% - Accent1 11" xfId="107"/>
    <cellStyle name="40% - Accent1 12" xfId="108"/>
    <cellStyle name="40% - Accent1 13" xfId="109"/>
    <cellStyle name="40% - Accent1 14" xfId="110"/>
    <cellStyle name="40% - Accent1 15" xfId="111"/>
    <cellStyle name="40% - Accent1 16" xfId="112"/>
    <cellStyle name="40% - Accent1 2" xfId="113"/>
    <cellStyle name="40% - Accent1 3" xfId="114"/>
    <cellStyle name="40% - Accent1 4" xfId="115"/>
    <cellStyle name="40% - Accent1 5" xfId="116"/>
    <cellStyle name="40% - Accent1 6" xfId="117"/>
    <cellStyle name="40% - Accent1 7" xfId="118"/>
    <cellStyle name="40% - Accent1 8" xfId="119"/>
    <cellStyle name="40% - Accent1 9" xfId="120"/>
    <cellStyle name="40% - Accent2 10" xfId="121"/>
    <cellStyle name="40% - Accent2 11" xfId="122"/>
    <cellStyle name="40% - Accent2 12" xfId="123"/>
    <cellStyle name="40% - Accent2 13" xfId="124"/>
    <cellStyle name="40% - Accent2 14" xfId="125"/>
    <cellStyle name="40% - Accent2 15" xfId="126"/>
    <cellStyle name="40% - Accent2 16" xfId="127"/>
    <cellStyle name="40% - Accent2 2" xfId="128"/>
    <cellStyle name="40% - Accent2 3" xfId="129"/>
    <cellStyle name="40% - Accent2 4" xfId="130"/>
    <cellStyle name="40% - Accent2 5" xfId="131"/>
    <cellStyle name="40% - Accent2 6" xfId="132"/>
    <cellStyle name="40% - Accent2 7" xfId="133"/>
    <cellStyle name="40% - Accent2 8" xfId="134"/>
    <cellStyle name="40% - Accent2 9" xfId="135"/>
    <cellStyle name="40% - Accent3 10" xfId="136"/>
    <cellStyle name="40% - Accent3 11" xfId="137"/>
    <cellStyle name="40% - Accent3 12" xfId="138"/>
    <cellStyle name="40% - Accent3 13" xfId="139"/>
    <cellStyle name="40% - Accent3 14" xfId="140"/>
    <cellStyle name="40% - Accent3 15" xfId="141"/>
    <cellStyle name="40% - Accent3 16" xfId="142"/>
    <cellStyle name="40% - Accent3 2" xfId="143"/>
    <cellStyle name="40% - Accent3 3" xfId="144"/>
    <cellStyle name="40% - Accent3 4" xfId="145"/>
    <cellStyle name="40% - Accent3 5" xfId="146"/>
    <cellStyle name="40% - Accent3 6" xfId="147"/>
    <cellStyle name="40% - Accent3 7" xfId="148"/>
    <cellStyle name="40% - Accent3 8" xfId="149"/>
    <cellStyle name="40% - Accent3 9" xfId="150"/>
    <cellStyle name="40% - Accent4 10" xfId="151"/>
    <cellStyle name="40% - Accent4 11" xfId="152"/>
    <cellStyle name="40% - Accent4 12" xfId="153"/>
    <cellStyle name="40% - Accent4 13" xfId="154"/>
    <cellStyle name="40% - Accent4 14" xfId="155"/>
    <cellStyle name="40% - Accent4 15" xfId="156"/>
    <cellStyle name="40% - Accent4 16" xfId="157"/>
    <cellStyle name="40% - Accent4 2" xfId="158"/>
    <cellStyle name="40% - Accent4 3" xfId="159"/>
    <cellStyle name="40% - Accent4 4" xfId="160"/>
    <cellStyle name="40% - Accent4 5" xfId="161"/>
    <cellStyle name="40% - Accent4 6" xfId="162"/>
    <cellStyle name="40% - Accent4 7" xfId="163"/>
    <cellStyle name="40% - Accent4 8" xfId="164"/>
    <cellStyle name="40% - Accent4 9" xfId="165"/>
    <cellStyle name="40% - Accent5 10" xfId="166"/>
    <cellStyle name="40% - Accent5 11" xfId="167"/>
    <cellStyle name="40% - Accent5 12" xfId="168"/>
    <cellStyle name="40% - Accent5 13" xfId="169"/>
    <cellStyle name="40% - Accent5 14" xfId="170"/>
    <cellStyle name="40% - Accent5 15" xfId="171"/>
    <cellStyle name="40% - Accent5 16" xfId="172"/>
    <cellStyle name="40% - Accent5 2" xfId="173"/>
    <cellStyle name="40% - Accent5 3" xfId="174"/>
    <cellStyle name="40% - Accent5 4" xfId="175"/>
    <cellStyle name="40% - Accent5 5" xfId="176"/>
    <cellStyle name="40% - Accent5 6" xfId="177"/>
    <cellStyle name="40% - Accent5 7" xfId="178"/>
    <cellStyle name="40% - Accent5 8" xfId="179"/>
    <cellStyle name="40% - Accent5 9" xfId="180"/>
    <cellStyle name="40% - Accent6 10" xfId="181"/>
    <cellStyle name="40% - Accent6 11" xfId="182"/>
    <cellStyle name="40% - Accent6 12" xfId="183"/>
    <cellStyle name="40% - Accent6 13" xfId="184"/>
    <cellStyle name="40% - Accent6 14" xfId="185"/>
    <cellStyle name="40% - Accent6 15" xfId="186"/>
    <cellStyle name="40% - Accent6 16" xfId="187"/>
    <cellStyle name="40% - Accent6 2" xfId="188"/>
    <cellStyle name="40% - Accent6 3" xfId="189"/>
    <cellStyle name="40% - Accent6 4" xfId="190"/>
    <cellStyle name="40% - Accent6 5" xfId="191"/>
    <cellStyle name="40% - Accent6 6" xfId="192"/>
    <cellStyle name="40% - Accent6 7" xfId="193"/>
    <cellStyle name="40% - Accent6 8" xfId="194"/>
    <cellStyle name="40% - Accent6 9" xfId="195"/>
    <cellStyle name="60% - Accent1 10" xfId="196"/>
    <cellStyle name="60% - Accent1 11" xfId="197"/>
    <cellStyle name="60% - Accent1 12" xfId="198"/>
    <cellStyle name="60% - Accent1 13" xfId="199"/>
    <cellStyle name="60% - Accent1 14" xfId="200"/>
    <cellStyle name="60% - Accent1 15" xfId="201"/>
    <cellStyle name="60% - Accent1 16" xfId="202"/>
    <cellStyle name="60% - Accent1 2" xfId="203"/>
    <cellStyle name="60% - Accent1 3" xfId="204"/>
    <cellStyle name="60% - Accent1 4" xfId="205"/>
    <cellStyle name="60% - Accent1 5" xfId="206"/>
    <cellStyle name="60% - Accent1 6" xfId="207"/>
    <cellStyle name="60% - Accent1 7" xfId="208"/>
    <cellStyle name="60% - Accent1 8" xfId="209"/>
    <cellStyle name="60% - Accent1 9" xfId="210"/>
    <cellStyle name="60% - Accent2 10" xfId="211"/>
    <cellStyle name="60% - Accent2 11" xfId="212"/>
    <cellStyle name="60% - Accent2 12" xfId="213"/>
    <cellStyle name="60% - Accent2 13" xfId="214"/>
    <cellStyle name="60% - Accent2 14" xfId="215"/>
    <cellStyle name="60% - Accent2 15" xfId="216"/>
    <cellStyle name="60% - Accent2 16" xfId="217"/>
    <cellStyle name="60% - Accent2 2" xfId="218"/>
    <cellStyle name="60% - Accent2 3" xfId="219"/>
    <cellStyle name="60% - Accent2 4" xfId="220"/>
    <cellStyle name="60% - Accent2 5" xfId="221"/>
    <cellStyle name="60% - Accent2 6" xfId="222"/>
    <cellStyle name="60% - Accent2 7" xfId="223"/>
    <cellStyle name="60% - Accent2 8" xfId="224"/>
    <cellStyle name="60% - Accent2 9" xfId="225"/>
    <cellStyle name="60% - Accent3 10" xfId="226"/>
    <cellStyle name="60% - Accent3 11" xfId="227"/>
    <cellStyle name="60% - Accent3 12" xfId="228"/>
    <cellStyle name="60% - Accent3 13" xfId="229"/>
    <cellStyle name="60% - Accent3 14" xfId="230"/>
    <cellStyle name="60% - Accent3 15" xfId="231"/>
    <cellStyle name="60% - Accent3 16" xfId="232"/>
    <cellStyle name="60% - Accent3 2" xfId="233"/>
    <cellStyle name="60% - Accent3 3" xfId="234"/>
    <cellStyle name="60% - Accent3 4" xfId="235"/>
    <cellStyle name="60% - Accent3 5" xfId="236"/>
    <cellStyle name="60% - Accent3 6" xfId="237"/>
    <cellStyle name="60% - Accent3 7" xfId="238"/>
    <cellStyle name="60% - Accent3 8" xfId="239"/>
    <cellStyle name="60% - Accent3 9" xfId="240"/>
    <cellStyle name="60% - Accent4 10" xfId="241"/>
    <cellStyle name="60% - Accent4 11" xfId="242"/>
    <cellStyle name="60% - Accent4 12" xfId="243"/>
    <cellStyle name="60% - Accent4 13" xfId="244"/>
    <cellStyle name="60% - Accent4 14" xfId="245"/>
    <cellStyle name="60% - Accent4 15" xfId="246"/>
    <cellStyle name="60% - Accent4 16" xfId="247"/>
    <cellStyle name="60% - Accent4 2" xfId="248"/>
    <cellStyle name="60% - Accent4 3" xfId="249"/>
    <cellStyle name="60% - Accent4 4" xfId="250"/>
    <cellStyle name="60% - Accent4 5" xfId="251"/>
    <cellStyle name="60% - Accent4 6" xfId="252"/>
    <cellStyle name="60% - Accent4 7" xfId="253"/>
    <cellStyle name="60% - Accent4 8" xfId="254"/>
    <cellStyle name="60% - Accent4 9" xfId="255"/>
    <cellStyle name="60% - Accent5 10" xfId="256"/>
    <cellStyle name="60% - Accent5 11" xfId="257"/>
    <cellStyle name="60% - Accent5 12" xfId="258"/>
    <cellStyle name="60% - Accent5 13" xfId="259"/>
    <cellStyle name="60% - Accent5 14" xfId="260"/>
    <cellStyle name="60% - Accent5 15" xfId="261"/>
    <cellStyle name="60% - Accent5 16" xfId="262"/>
    <cellStyle name="60% - Accent5 2" xfId="263"/>
    <cellStyle name="60% - Accent5 3" xfId="264"/>
    <cellStyle name="60% - Accent5 4" xfId="265"/>
    <cellStyle name="60% - Accent5 5" xfId="266"/>
    <cellStyle name="60% - Accent5 6" xfId="267"/>
    <cellStyle name="60% - Accent5 7" xfId="268"/>
    <cellStyle name="60% - Accent5 8" xfId="269"/>
    <cellStyle name="60% - Accent5 9" xfId="270"/>
    <cellStyle name="60% - Accent6 10" xfId="271"/>
    <cellStyle name="60% - Accent6 11" xfId="272"/>
    <cellStyle name="60% - Accent6 12" xfId="273"/>
    <cellStyle name="60% - Accent6 13" xfId="274"/>
    <cellStyle name="60% - Accent6 14" xfId="275"/>
    <cellStyle name="60% - Accent6 15" xfId="276"/>
    <cellStyle name="60% - Accent6 16" xfId="277"/>
    <cellStyle name="60% - Accent6 2" xfId="278"/>
    <cellStyle name="60% - Accent6 3" xfId="279"/>
    <cellStyle name="60% - Accent6 4" xfId="280"/>
    <cellStyle name="60% - Accent6 5" xfId="281"/>
    <cellStyle name="60% - Accent6 6" xfId="282"/>
    <cellStyle name="60% - Accent6 7" xfId="283"/>
    <cellStyle name="60% - Accent6 8" xfId="284"/>
    <cellStyle name="60% - Accent6 9" xfId="285"/>
    <cellStyle name="Accent1 10" xfId="286"/>
    <cellStyle name="Accent1 11" xfId="287"/>
    <cellStyle name="Accent1 12" xfId="288"/>
    <cellStyle name="Accent1 13" xfId="289"/>
    <cellStyle name="Accent1 14" xfId="290"/>
    <cellStyle name="Accent1 15" xfId="291"/>
    <cellStyle name="Accent1 16" xfId="292"/>
    <cellStyle name="Accent1 2" xfId="293"/>
    <cellStyle name="Accent1 3" xfId="294"/>
    <cellStyle name="Accent1 4" xfId="295"/>
    <cellStyle name="Accent1 5" xfId="296"/>
    <cellStyle name="Accent1 6" xfId="297"/>
    <cellStyle name="Accent1 7" xfId="298"/>
    <cellStyle name="Accent1 8" xfId="299"/>
    <cellStyle name="Accent1 9" xfId="300"/>
    <cellStyle name="Accent2 10" xfId="301"/>
    <cellStyle name="Accent2 11" xfId="302"/>
    <cellStyle name="Accent2 12" xfId="303"/>
    <cellStyle name="Accent2 13" xfId="304"/>
    <cellStyle name="Accent2 14" xfId="305"/>
    <cellStyle name="Accent2 15" xfId="306"/>
    <cellStyle name="Accent2 16" xfId="307"/>
    <cellStyle name="Accent2 2" xfId="308"/>
    <cellStyle name="Accent2 3" xfId="309"/>
    <cellStyle name="Accent2 4" xfId="310"/>
    <cellStyle name="Accent2 5" xfId="311"/>
    <cellStyle name="Accent2 6" xfId="312"/>
    <cellStyle name="Accent2 7" xfId="313"/>
    <cellStyle name="Accent2 8" xfId="314"/>
    <cellStyle name="Accent2 9" xfId="315"/>
    <cellStyle name="Accent3 10" xfId="316"/>
    <cellStyle name="Accent3 11" xfId="317"/>
    <cellStyle name="Accent3 12" xfId="318"/>
    <cellStyle name="Accent3 13" xfId="319"/>
    <cellStyle name="Accent3 14" xfId="320"/>
    <cellStyle name="Accent3 15" xfId="321"/>
    <cellStyle name="Accent3 16" xfId="322"/>
    <cellStyle name="Accent3 2" xfId="323"/>
    <cellStyle name="Accent3 3" xfId="324"/>
    <cellStyle name="Accent3 4" xfId="325"/>
    <cellStyle name="Accent3 5" xfId="326"/>
    <cellStyle name="Accent3 6" xfId="327"/>
    <cellStyle name="Accent3 7" xfId="328"/>
    <cellStyle name="Accent3 8" xfId="329"/>
    <cellStyle name="Accent3 9" xfId="330"/>
    <cellStyle name="Accent4 10" xfId="331"/>
    <cellStyle name="Accent4 11" xfId="332"/>
    <cellStyle name="Accent4 12" xfId="333"/>
    <cellStyle name="Accent4 13" xfId="334"/>
    <cellStyle name="Accent4 14" xfId="335"/>
    <cellStyle name="Accent4 15" xfId="336"/>
    <cellStyle name="Accent4 16" xfId="337"/>
    <cellStyle name="Accent4 2" xfId="338"/>
    <cellStyle name="Accent4 3" xfId="339"/>
    <cellStyle name="Accent4 4" xfId="340"/>
    <cellStyle name="Accent4 5" xfId="341"/>
    <cellStyle name="Accent4 6" xfId="342"/>
    <cellStyle name="Accent4 7" xfId="343"/>
    <cellStyle name="Accent4 8" xfId="344"/>
    <cellStyle name="Accent4 9" xfId="345"/>
    <cellStyle name="Accent5 10" xfId="346"/>
    <cellStyle name="Accent5 11" xfId="347"/>
    <cellStyle name="Accent5 12" xfId="348"/>
    <cellStyle name="Accent5 13" xfId="349"/>
    <cellStyle name="Accent5 14" xfId="350"/>
    <cellStyle name="Accent5 15" xfId="351"/>
    <cellStyle name="Accent5 16" xfId="352"/>
    <cellStyle name="Accent5 2" xfId="353"/>
    <cellStyle name="Accent5 3" xfId="354"/>
    <cellStyle name="Accent5 4" xfId="355"/>
    <cellStyle name="Accent5 5" xfId="356"/>
    <cellStyle name="Accent5 6" xfId="357"/>
    <cellStyle name="Accent5 7" xfId="358"/>
    <cellStyle name="Accent5 8" xfId="359"/>
    <cellStyle name="Accent5 9" xfId="360"/>
    <cellStyle name="Accent6 10" xfId="361"/>
    <cellStyle name="Accent6 11" xfId="362"/>
    <cellStyle name="Accent6 12" xfId="363"/>
    <cellStyle name="Accent6 13" xfId="364"/>
    <cellStyle name="Accent6 14" xfId="365"/>
    <cellStyle name="Accent6 15" xfId="366"/>
    <cellStyle name="Accent6 16" xfId="367"/>
    <cellStyle name="Accent6 2" xfId="368"/>
    <cellStyle name="Accent6 3" xfId="369"/>
    <cellStyle name="Accent6 4" xfId="370"/>
    <cellStyle name="Accent6 5" xfId="371"/>
    <cellStyle name="Accent6 6" xfId="372"/>
    <cellStyle name="Accent6 7" xfId="373"/>
    <cellStyle name="Accent6 8" xfId="374"/>
    <cellStyle name="Accent6 9" xfId="375"/>
    <cellStyle name="Bad 10" xfId="376"/>
    <cellStyle name="Bad 11" xfId="377"/>
    <cellStyle name="Bad 12" xfId="378"/>
    <cellStyle name="Bad 13" xfId="379"/>
    <cellStyle name="Bad 14" xfId="380"/>
    <cellStyle name="Bad 15" xfId="381"/>
    <cellStyle name="Bad 16" xfId="382"/>
    <cellStyle name="Bad 2" xfId="383"/>
    <cellStyle name="Bad 3" xfId="384"/>
    <cellStyle name="Bad 4" xfId="385"/>
    <cellStyle name="Bad 5" xfId="386"/>
    <cellStyle name="Bad 6" xfId="387"/>
    <cellStyle name="Bad 7" xfId="388"/>
    <cellStyle name="Bad 8" xfId="389"/>
    <cellStyle name="Bad 9" xfId="390"/>
    <cellStyle name="Calculation 10" xfId="391"/>
    <cellStyle name="Calculation 11" xfId="392"/>
    <cellStyle name="Calculation 12" xfId="393"/>
    <cellStyle name="Calculation 13" xfId="394"/>
    <cellStyle name="Calculation 14" xfId="395"/>
    <cellStyle name="Calculation 15" xfId="396"/>
    <cellStyle name="Calculation 16" xfId="397"/>
    <cellStyle name="Calculation 2" xfId="398"/>
    <cellStyle name="Calculation 3" xfId="399"/>
    <cellStyle name="Calculation 4" xfId="400"/>
    <cellStyle name="Calculation 5" xfId="401"/>
    <cellStyle name="Calculation 6" xfId="402"/>
    <cellStyle name="Calculation 7" xfId="403"/>
    <cellStyle name="Calculation 8" xfId="404"/>
    <cellStyle name="Calculation 9" xfId="405"/>
    <cellStyle name="Check Cell 10" xfId="406"/>
    <cellStyle name="Check Cell 11" xfId="407"/>
    <cellStyle name="Check Cell 12" xfId="408"/>
    <cellStyle name="Check Cell 13" xfId="409"/>
    <cellStyle name="Check Cell 14" xfId="410"/>
    <cellStyle name="Check Cell 15" xfId="411"/>
    <cellStyle name="Check Cell 16" xfId="412"/>
    <cellStyle name="Check Cell 2" xfId="413"/>
    <cellStyle name="Check Cell 3" xfId="414"/>
    <cellStyle name="Check Cell 4" xfId="415"/>
    <cellStyle name="Check Cell 5" xfId="416"/>
    <cellStyle name="Check Cell 6" xfId="417"/>
    <cellStyle name="Check Cell 7" xfId="418"/>
    <cellStyle name="Check Cell 8" xfId="419"/>
    <cellStyle name="Check Cell 9" xfId="420"/>
    <cellStyle name="Comma" xfId="3" builtinId="3"/>
    <cellStyle name="Comma 2" xfId="1"/>
    <cellStyle name="Comma 2 10" xfId="421"/>
    <cellStyle name="Comma 2 11" xfId="422"/>
    <cellStyle name="Comma 2 12" xfId="423"/>
    <cellStyle name="Comma 2 13" xfId="424"/>
    <cellStyle name="Comma 2 14" xfId="425"/>
    <cellStyle name="Comma 2 2" xfId="426"/>
    <cellStyle name="Comma 2 3" xfId="427"/>
    <cellStyle name="Comma 2 4" xfId="428"/>
    <cellStyle name="Comma 2 5" xfId="429"/>
    <cellStyle name="Comma 2 6" xfId="430"/>
    <cellStyle name="Comma 2 7" xfId="431"/>
    <cellStyle name="Comma 2 8" xfId="432"/>
    <cellStyle name="Comma 2 9" xfId="433"/>
    <cellStyle name="Comma 3" xfId="434"/>
    <cellStyle name="Comma 4" xfId="435"/>
    <cellStyle name="Comma 5" xfId="436"/>
    <cellStyle name="Comma 6" xfId="9"/>
    <cellStyle name="Comma 7" xfId="846"/>
    <cellStyle name="Comma0" xfId="437"/>
    <cellStyle name="Currency" xfId="4" builtinId="4"/>
    <cellStyle name="Currency 2" xfId="6"/>
    <cellStyle name="Currency 3" xfId="438"/>
    <cellStyle name="Currency 4" xfId="439"/>
    <cellStyle name="Currency 5" xfId="850"/>
    <cellStyle name="Currency0" xfId="440"/>
    <cellStyle name="Date" xfId="441"/>
    <cellStyle name="Euro" xfId="442"/>
    <cellStyle name="Explanatory Text 10" xfId="443"/>
    <cellStyle name="Explanatory Text 11" xfId="444"/>
    <cellStyle name="Explanatory Text 12" xfId="445"/>
    <cellStyle name="Explanatory Text 13" xfId="446"/>
    <cellStyle name="Explanatory Text 14" xfId="447"/>
    <cellStyle name="Explanatory Text 15" xfId="448"/>
    <cellStyle name="Explanatory Text 16" xfId="449"/>
    <cellStyle name="Explanatory Text 2" xfId="450"/>
    <cellStyle name="Explanatory Text 3" xfId="451"/>
    <cellStyle name="Explanatory Text 4" xfId="452"/>
    <cellStyle name="Explanatory Text 5" xfId="453"/>
    <cellStyle name="Explanatory Text 6" xfId="454"/>
    <cellStyle name="Explanatory Text 7" xfId="455"/>
    <cellStyle name="Explanatory Text 8" xfId="456"/>
    <cellStyle name="Explanatory Text 9" xfId="457"/>
    <cellStyle name="F2" xfId="458"/>
    <cellStyle name="F2 2" xfId="459"/>
    <cellStyle name="F2 3" xfId="460"/>
    <cellStyle name="F2 4" xfId="461"/>
    <cellStyle name="F2 5" xfId="462"/>
    <cellStyle name="F2 6" xfId="463"/>
    <cellStyle name="F2 7" xfId="464"/>
    <cellStyle name="F2 8" xfId="465"/>
    <cellStyle name="F2 9" xfId="466"/>
    <cellStyle name="F2_Regenerated Revenues LGE Gas 2008-04 with Elec Gen-Seelye final version " xfId="467"/>
    <cellStyle name="F3" xfId="468"/>
    <cellStyle name="F3 2" xfId="469"/>
    <cellStyle name="F3 3" xfId="470"/>
    <cellStyle name="F3 4" xfId="471"/>
    <cellStyle name="F3 5" xfId="472"/>
    <cellStyle name="F3 6" xfId="473"/>
    <cellStyle name="F3 7" xfId="474"/>
    <cellStyle name="F3 8" xfId="475"/>
    <cellStyle name="F3 9" xfId="476"/>
    <cellStyle name="F3_Regenerated Revenues LGE Gas 2008-04 with Elec Gen-Seelye final version " xfId="477"/>
    <cellStyle name="F4" xfId="478"/>
    <cellStyle name="F4 2" xfId="479"/>
    <cellStyle name="F4 3" xfId="480"/>
    <cellStyle name="F4 4" xfId="481"/>
    <cellStyle name="F4 5" xfId="482"/>
    <cellStyle name="F4 6" xfId="483"/>
    <cellStyle name="F4 7" xfId="484"/>
    <cellStyle name="F4 8" xfId="485"/>
    <cellStyle name="F4 9" xfId="486"/>
    <cellStyle name="F4_Regenerated Revenues LGE Gas 2008-04 with Elec Gen-Seelye final version " xfId="487"/>
    <cellStyle name="F5" xfId="488"/>
    <cellStyle name="F5 2" xfId="489"/>
    <cellStyle name="F5 3" xfId="490"/>
    <cellStyle name="F5 4" xfId="491"/>
    <cellStyle name="F5 5" xfId="492"/>
    <cellStyle name="F5 6" xfId="493"/>
    <cellStyle name="F5 7" xfId="494"/>
    <cellStyle name="F5 8" xfId="495"/>
    <cellStyle name="F5 9" xfId="496"/>
    <cellStyle name="F5_Regenerated Revenues LGE Gas 2008-04 with Elec Gen-Seelye final version " xfId="497"/>
    <cellStyle name="F6" xfId="498"/>
    <cellStyle name="F6 2" xfId="499"/>
    <cellStyle name="F6 3" xfId="500"/>
    <cellStyle name="F6 4" xfId="501"/>
    <cellStyle name="F6 5" xfId="502"/>
    <cellStyle name="F6 6" xfId="503"/>
    <cellStyle name="F6 7" xfId="504"/>
    <cellStyle name="F6 8" xfId="505"/>
    <cellStyle name="F6 9" xfId="506"/>
    <cellStyle name="F6_Regenerated Revenues LGE Gas 2008-04 with Elec Gen-Seelye final version " xfId="507"/>
    <cellStyle name="F7" xfId="508"/>
    <cellStyle name="F7 2" xfId="509"/>
    <cellStyle name="F7 3" xfId="510"/>
    <cellStyle name="F7 4" xfId="511"/>
    <cellStyle name="F7 5" xfId="512"/>
    <cellStyle name="F7 6" xfId="513"/>
    <cellStyle name="F7 7" xfId="514"/>
    <cellStyle name="F7 8" xfId="515"/>
    <cellStyle name="F7 9" xfId="516"/>
    <cellStyle name="F7_Regenerated Revenues LGE Gas 2008-04 with Elec Gen-Seelye final version " xfId="517"/>
    <cellStyle name="F8" xfId="518"/>
    <cellStyle name="F8 2" xfId="519"/>
    <cellStyle name="F8 3" xfId="520"/>
    <cellStyle name="F8 4" xfId="521"/>
    <cellStyle name="F8 5" xfId="522"/>
    <cellStyle name="F8 6" xfId="523"/>
    <cellStyle name="F8 7" xfId="524"/>
    <cellStyle name="F8 8" xfId="525"/>
    <cellStyle name="F8 9" xfId="526"/>
    <cellStyle name="F8_Regenerated Revenues LGE Gas 2008-04 with Elec Gen-Seelye final version " xfId="527"/>
    <cellStyle name="Fixed" xfId="528"/>
    <cellStyle name="Good 10" xfId="529"/>
    <cellStyle name="Good 11" xfId="530"/>
    <cellStyle name="Good 12" xfId="531"/>
    <cellStyle name="Good 13" xfId="532"/>
    <cellStyle name="Good 14" xfId="533"/>
    <cellStyle name="Good 15" xfId="534"/>
    <cellStyle name="Good 16" xfId="535"/>
    <cellStyle name="Good 2" xfId="536"/>
    <cellStyle name="Good 3" xfId="537"/>
    <cellStyle name="Good 4" xfId="538"/>
    <cellStyle name="Good 5" xfId="539"/>
    <cellStyle name="Good 6" xfId="540"/>
    <cellStyle name="Good 7" xfId="541"/>
    <cellStyle name="Good 8" xfId="542"/>
    <cellStyle name="Good 9" xfId="543"/>
    <cellStyle name="Heading 1 10" xfId="544"/>
    <cellStyle name="Heading 1 11" xfId="545"/>
    <cellStyle name="Heading 1 12" xfId="546"/>
    <cellStyle name="Heading 1 13" xfId="547"/>
    <cellStyle name="Heading 1 14" xfId="548"/>
    <cellStyle name="Heading 1 15" xfId="549"/>
    <cellStyle name="Heading 1 16" xfId="550"/>
    <cellStyle name="Heading 1 2" xfId="551"/>
    <cellStyle name="Heading 1 3" xfId="552"/>
    <cellStyle name="Heading 1 4" xfId="553"/>
    <cellStyle name="Heading 1 5" xfId="554"/>
    <cellStyle name="Heading 1 6" xfId="555"/>
    <cellStyle name="Heading 1 7" xfId="556"/>
    <cellStyle name="Heading 1 8" xfId="557"/>
    <cellStyle name="Heading 1 9" xfId="558"/>
    <cellStyle name="Heading 2 10" xfId="559"/>
    <cellStyle name="Heading 2 11" xfId="560"/>
    <cellStyle name="Heading 2 12" xfId="561"/>
    <cellStyle name="Heading 2 13" xfId="562"/>
    <cellStyle name="Heading 2 14" xfId="563"/>
    <cellStyle name="Heading 2 15" xfId="564"/>
    <cellStyle name="Heading 2 16" xfId="565"/>
    <cellStyle name="Heading 2 2" xfId="566"/>
    <cellStyle name="Heading 2 3" xfId="567"/>
    <cellStyle name="Heading 2 4" xfId="568"/>
    <cellStyle name="Heading 2 5" xfId="569"/>
    <cellStyle name="Heading 2 6" xfId="570"/>
    <cellStyle name="Heading 2 7" xfId="571"/>
    <cellStyle name="Heading 2 8" xfId="572"/>
    <cellStyle name="Heading 2 9" xfId="573"/>
    <cellStyle name="Heading 3 10" xfId="574"/>
    <cellStyle name="Heading 3 11" xfId="575"/>
    <cellStyle name="Heading 3 12" xfId="576"/>
    <cellStyle name="Heading 3 13" xfId="577"/>
    <cellStyle name="Heading 3 14" xfId="578"/>
    <cellStyle name="Heading 3 15" xfId="579"/>
    <cellStyle name="Heading 3 16" xfId="580"/>
    <cellStyle name="Heading 3 2" xfId="581"/>
    <cellStyle name="Heading 3 3" xfId="582"/>
    <cellStyle name="Heading 3 4" xfId="583"/>
    <cellStyle name="Heading 3 5" xfId="584"/>
    <cellStyle name="Heading 3 6" xfId="585"/>
    <cellStyle name="Heading 3 7" xfId="586"/>
    <cellStyle name="Heading 3 8" xfId="587"/>
    <cellStyle name="Heading 3 9" xfId="588"/>
    <cellStyle name="Heading 4 10" xfId="589"/>
    <cellStyle name="Heading 4 11" xfId="590"/>
    <cellStyle name="Heading 4 12" xfId="591"/>
    <cellStyle name="Heading 4 13" xfId="592"/>
    <cellStyle name="Heading 4 14" xfId="593"/>
    <cellStyle name="Heading 4 15" xfId="594"/>
    <cellStyle name="Heading 4 16" xfId="595"/>
    <cellStyle name="Heading 4 2" xfId="596"/>
    <cellStyle name="Heading 4 3" xfId="597"/>
    <cellStyle name="Heading 4 4" xfId="598"/>
    <cellStyle name="Heading 4 5" xfId="599"/>
    <cellStyle name="Heading 4 6" xfId="600"/>
    <cellStyle name="Heading 4 7" xfId="601"/>
    <cellStyle name="Heading 4 8" xfId="602"/>
    <cellStyle name="Heading 4 9" xfId="603"/>
    <cellStyle name="Input 10" xfId="604"/>
    <cellStyle name="Input 11" xfId="605"/>
    <cellStyle name="Input 12" xfId="606"/>
    <cellStyle name="Input 13" xfId="607"/>
    <cellStyle name="Input 14" xfId="608"/>
    <cellStyle name="Input 15" xfId="609"/>
    <cellStyle name="Input 16" xfId="610"/>
    <cellStyle name="Input 2" xfId="611"/>
    <cellStyle name="Input 3" xfId="612"/>
    <cellStyle name="Input 4" xfId="613"/>
    <cellStyle name="Input 5" xfId="614"/>
    <cellStyle name="Input 6" xfId="615"/>
    <cellStyle name="Input 7" xfId="616"/>
    <cellStyle name="Input 8" xfId="617"/>
    <cellStyle name="Input 9" xfId="618"/>
    <cellStyle name="Linked Cell 10" xfId="619"/>
    <cellStyle name="Linked Cell 11" xfId="620"/>
    <cellStyle name="Linked Cell 12" xfId="621"/>
    <cellStyle name="Linked Cell 13" xfId="622"/>
    <cellStyle name="Linked Cell 14" xfId="623"/>
    <cellStyle name="Linked Cell 15" xfId="624"/>
    <cellStyle name="Linked Cell 16" xfId="625"/>
    <cellStyle name="Linked Cell 2" xfId="626"/>
    <cellStyle name="Linked Cell 3" xfId="627"/>
    <cellStyle name="Linked Cell 4" xfId="628"/>
    <cellStyle name="Linked Cell 5" xfId="629"/>
    <cellStyle name="Linked Cell 6" xfId="630"/>
    <cellStyle name="Linked Cell 7" xfId="631"/>
    <cellStyle name="Linked Cell 8" xfId="632"/>
    <cellStyle name="Linked Cell 9" xfId="633"/>
    <cellStyle name="Neutral 10" xfId="634"/>
    <cellStyle name="Neutral 11" xfId="635"/>
    <cellStyle name="Neutral 12" xfId="636"/>
    <cellStyle name="Neutral 13" xfId="637"/>
    <cellStyle name="Neutral 14" xfId="638"/>
    <cellStyle name="Neutral 15" xfId="639"/>
    <cellStyle name="Neutral 16" xfId="640"/>
    <cellStyle name="Neutral 2" xfId="641"/>
    <cellStyle name="Neutral 3" xfId="642"/>
    <cellStyle name="Neutral 4" xfId="643"/>
    <cellStyle name="Neutral 5" xfId="644"/>
    <cellStyle name="Neutral 6" xfId="645"/>
    <cellStyle name="Neutral 7" xfId="646"/>
    <cellStyle name="Neutral 8" xfId="647"/>
    <cellStyle name="Neutral 9" xfId="648"/>
    <cellStyle name="Normal" xfId="0" builtinId="0"/>
    <cellStyle name="Normal 10" xfId="649"/>
    <cellStyle name="Normal 11" xfId="650"/>
    <cellStyle name="Normal 12" xfId="651"/>
    <cellStyle name="Normal 13" xfId="652"/>
    <cellStyle name="Normal 14" xfId="15"/>
    <cellStyle name="Normal 15" xfId="653"/>
    <cellStyle name="Normal 16" xfId="654"/>
    <cellStyle name="Normal 17" xfId="655"/>
    <cellStyle name="Normal 18" xfId="656"/>
    <cellStyle name="Normal 19" xfId="657"/>
    <cellStyle name="Normal 2" xfId="5"/>
    <cellStyle name="Normal 2 10" xfId="658"/>
    <cellStyle name="Normal 2 11" xfId="659"/>
    <cellStyle name="Normal 2 12" xfId="660"/>
    <cellStyle name="Normal 2 13" xfId="661"/>
    <cellStyle name="Normal 2 14" xfId="662"/>
    <cellStyle name="Normal 2 15" xfId="663"/>
    <cellStyle name="Normal 2 16" xfId="664"/>
    <cellStyle name="Normal 2 19" xfId="853"/>
    <cellStyle name="Normal 2 2" xfId="665"/>
    <cellStyle name="Normal 2 3" xfId="666"/>
    <cellStyle name="Normal 2 4" xfId="667"/>
    <cellStyle name="Normal 2 5" xfId="668"/>
    <cellStyle name="Normal 2 6" xfId="669"/>
    <cellStyle name="Normal 2 7" xfId="670"/>
    <cellStyle name="Normal 2 8" xfId="671"/>
    <cellStyle name="Normal 2 9" xfId="672"/>
    <cellStyle name="Normal 2_LGEElecBillingDeterminants2009-10" xfId="673"/>
    <cellStyle name="Normal 20" xfId="674"/>
    <cellStyle name="Normal 21" xfId="675"/>
    <cellStyle name="Normal 22" xfId="676"/>
    <cellStyle name="Normal 23" xfId="677"/>
    <cellStyle name="Normal 3" xfId="2"/>
    <cellStyle name="Normal 3 10" xfId="678"/>
    <cellStyle name="Normal 3 11" xfId="679"/>
    <cellStyle name="Normal 3 12" xfId="680"/>
    <cellStyle name="Normal 3 13" xfId="681"/>
    <cellStyle name="Normal 3 14" xfId="682"/>
    <cellStyle name="Normal 3 15" xfId="683"/>
    <cellStyle name="Normal 3 16" xfId="684"/>
    <cellStyle name="Normal 3 17" xfId="849"/>
    <cellStyle name="Normal 3 2" xfId="685"/>
    <cellStyle name="Normal 3 3" xfId="686"/>
    <cellStyle name="Normal 3 4" xfId="687"/>
    <cellStyle name="Normal 3 5" xfId="688"/>
    <cellStyle name="Normal 3 6" xfId="689"/>
    <cellStyle name="Normal 3 7" xfId="690"/>
    <cellStyle name="Normal 3 8" xfId="691"/>
    <cellStyle name="Normal 3 9" xfId="692"/>
    <cellStyle name="Normal 3_LGEElecBillingDeterminants2009-10" xfId="693"/>
    <cellStyle name="Normal 4" xfId="7"/>
    <cellStyle name="Normal 4 2" xfId="694"/>
    <cellStyle name="Normal 4 3" xfId="695"/>
    <cellStyle name="Normal 4_Regenerated Revenues LGE Gas 10312009" xfId="696"/>
    <cellStyle name="Normal 5" xfId="13"/>
    <cellStyle name="Normal 5 2" xfId="697"/>
    <cellStyle name="Normal 5 3" xfId="698"/>
    <cellStyle name="Normal 6" xfId="699"/>
    <cellStyle name="Normal 6 2" xfId="700"/>
    <cellStyle name="Normal 6 3" xfId="701"/>
    <cellStyle name="Normal 7" xfId="702"/>
    <cellStyle name="Normal 7 2" xfId="703"/>
    <cellStyle name="Normal 7 3" xfId="704"/>
    <cellStyle name="Normal 8" xfId="705"/>
    <cellStyle name="Normal 8 2" xfId="706"/>
    <cellStyle name="Normal 8 3" xfId="707"/>
    <cellStyle name="Normal 9" xfId="708"/>
    <cellStyle name="Normal 9 2" xfId="709"/>
    <cellStyle name="Normal 9 3" xfId="710"/>
    <cellStyle name="Normal_Book1" xfId="14"/>
    <cellStyle name="Normal_Exhibit 09" xfId="11"/>
    <cellStyle name="Normal_LG&amp;E RR Exhibits 12mosAPR 2008 v2" xfId="847"/>
    <cellStyle name="Normal_LGE Filed Test Period Billing Exhibits - SBR Summary" xfId="851"/>
    <cellStyle name="Normal_Regenerated Revenues LGE Gas 2008-04 with Elec Gen contract(MEH)" xfId="12"/>
    <cellStyle name="Normal_Regenerated Revenues LGE Gas 2008-04 with Elec Gen-Seelye final version " xfId="848"/>
    <cellStyle name="Normal_Summary By Class of Service" xfId="852"/>
    <cellStyle name="Note 10" xfId="711"/>
    <cellStyle name="Note 11" xfId="712"/>
    <cellStyle name="Note 12" xfId="713"/>
    <cellStyle name="Note 13" xfId="714"/>
    <cellStyle name="Note 14" xfId="715"/>
    <cellStyle name="Note 2" xfId="716"/>
    <cellStyle name="Note 2 2" xfId="717"/>
    <cellStyle name="Note 2 3" xfId="718"/>
    <cellStyle name="Note 3" xfId="719"/>
    <cellStyle name="Note 3 2" xfId="720"/>
    <cellStyle name="Note 3 3" xfId="721"/>
    <cellStyle name="Note 4" xfId="722"/>
    <cellStyle name="Note 4 2" xfId="723"/>
    <cellStyle name="Note 4 3" xfId="724"/>
    <cellStyle name="Note 5" xfId="725"/>
    <cellStyle name="Note 5 2" xfId="726"/>
    <cellStyle name="Note 5 3" xfId="727"/>
    <cellStyle name="Note 6" xfId="728"/>
    <cellStyle name="Note 6 2" xfId="729"/>
    <cellStyle name="Note 6 3" xfId="730"/>
    <cellStyle name="Note 7" xfId="731"/>
    <cellStyle name="Note 7 2" xfId="732"/>
    <cellStyle name="Note 7 3" xfId="733"/>
    <cellStyle name="Note 8" xfId="734"/>
    <cellStyle name="Note 8 2" xfId="735"/>
    <cellStyle name="Note 8 3" xfId="736"/>
    <cellStyle name="Note 9" xfId="737"/>
    <cellStyle name="Output 10" xfId="738"/>
    <cellStyle name="Output 11" xfId="739"/>
    <cellStyle name="Output 12" xfId="740"/>
    <cellStyle name="Output 13" xfId="741"/>
    <cellStyle name="Output 14" xfId="742"/>
    <cellStyle name="Output 15" xfId="743"/>
    <cellStyle name="Output 16" xfId="744"/>
    <cellStyle name="Output 2" xfId="745"/>
    <cellStyle name="Output 3" xfId="746"/>
    <cellStyle name="Output 4" xfId="747"/>
    <cellStyle name="Output 5" xfId="748"/>
    <cellStyle name="Output 6" xfId="749"/>
    <cellStyle name="Output 7" xfId="750"/>
    <cellStyle name="Output 8" xfId="751"/>
    <cellStyle name="Output 9" xfId="752"/>
    <cellStyle name="Output Amounts" xfId="753"/>
    <cellStyle name="Output Column Headings" xfId="754"/>
    <cellStyle name="Output Column Headings 2" xfId="755"/>
    <cellStyle name="Output Column Headings 3" xfId="756"/>
    <cellStyle name="Output Column Headings 4" xfId="757"/>
    <cellStyle name="Output Column Headings 5" xfId="758"/>
    <cellStyle name="Output Column Headings 6" xfId="759"/>
    <cellStyle name="Output Column Headings 7" xfId="760"/>
    <cellStyle name="Output Column Headings 8" xfId="761"/>
    <cellStyle name="Output Column Headings 9" xfId="762"/>
    <cellStyle name="Output Column Headings_Regenerated Revenues LGE Gas 2008-04 with Elec Gen-Seelye final version " xfId="763"/>
    <cellStyle name="Output Line Items" xfId="764"/>
    <cellStyle name="Output Line Items 2" xfId="765"/>
    <cellStyle name="Output Line Items 3" xfId="766"/>
    <cellStyle name="Output Line Items 4" xfId="767"/>
    <cellStyle name="Output Line Items 5" xfId="768"/>
    <cellStyle name="Output Line Items 6" xfId="769"/>
    <cellStyle name="Output Line Items 7" xfId="770"/>
    <cellStyle name="Output Line Items 8" xfId="771"/>
    <cellStyle name="Output Line Items 9" xfId="772"/>
    <cellStyle name="Output Line Items_Regenerated Revenues LGE Gas 2008-04 with Elec Gen-Seelye final version " xfId="773"/>
    <cellStyle name="Output Report Heading" xfId="774"/>
    <cellStyle name="Output Report Heading 2" xfId="775"/>
    <cellStyle name="Output Report Heading 3" xfId="776"/>
    <cellStyle name="Output Report Heading 4" xfId="777"/>
    <cellStyle name="Output Report Heading 5" xfId="778"/>
    <cellStyle name="Output Report Heading 6" xfId="779"/>
    <cellStyle name="Output Report Heading 7" xfId="780"/>
    <cellStyle name="Output Report Heading 8" xfId="781"/>
    <cellStyle name="Output Report Heading 9" xfId="782"/>
    <cellStyle name="Output Report Heading_Regenerated Revenues LGE Gas 2008-04 with Elec Gen-Seelye final version " xfId="783"/>
    <cellStyle name="Output Report Title" xfId="784"/>
    <cellStyle name="Output Report Title 2" xfId="785"/>
    <cellStyle name="Output Report Title 3" xfId="786"/>
    <cellStyle name="Output Report Title 4" xfId="787"/>
    <cellStyle name="Output Report Title 5" xfId="788"/>
    <cellStyle name="Output Report Title 6" xfId="789"/>
    <cellStyle name="Output Report Title 7" xfId="790"/>
    <cellStyle name="Output Report Title 8" xfId="791"/>
    <cellStyle name="Output Report Title 9" xfId="792"/>
    <cellStyle name="Output Report Title_Regenerated Revenues LGE Gas 2008-04 with Elec Gen-Seelye final version " xfId="793"/>
    <cellStyle name="Percent" xfId="10" builtinId="5"/>
    <cellStyle name="Percent 2" xfId="8"/>
    <cellStyle name="Percent 3" xfId="794"/>
    <cellStyle name="STYL5 - Style5" xfId="795"/>
    <cellStyle name="STYL6 - Style6" xfId="796"/>
    <cellStyle name="STYLE1 - Style1" xfId="797"/>
    <cellStyle name="STYLE2 - Style2" xfId="798"/>
    <cellStyle name="STYLE3 - Style3" xfId="799"/>
    <cellStyle name="STYLE4 - Style4" xfId="800"/>
    <cellStyle name="Title 10" xfId="801"/>
    <cellStyle name="Title 11" xfId="802"/>
    <cellStyle name="Title 12" xfId="803"/>
    <cellStyle name="Title 13" xfId="804"/>
    <cellStyle name="Title 14" xfId="805"/>
    <cellStyle name="Title 15" xfId="806"/>
    <cellStyle name="Title 16" xfId="807"/>
    <cellStyle name="Title 2" xfId="808"/>
    <cellStyle name="Title 3" xfId="809"/>
    <cellStyle name="Title 4" xfId="810"/>
    <cellStyle name="Title 5" xfId="811"/>
    <cellStyle name="Title 6" xfId="812"/>
    <cellStyle name="Title 7" xfId="813"/>
    <cellStyle name="Title 8" xfId="814"/>
    <cellStyle name="Title 9" xfId="815"/>
    <cellStyle name="Total 10" xfId="816"/>
    <cellStyle name="Total 11" xfId="817"/>
    <cellStyle name="Total 12" xfId="818"/>
    <cellStyle name="Total 13" xfId="819"/>
    <cellStyle name="Total 14" xfId="820"/>
    <cellStyle name="Total 15" xfId="821"/>
    <cellStyle name="Total 16" xfId="822"/>
    <cellStyle name="Total 2" xfId="823"/>
    <cellStyle name="Total 3" xfId="824"/>
    <cellStyle name="Total 4" xfId="825"/>
    <cellStyle name="Total 5" xfId="826"/>
    <cellStyle name="Total 6" xfId="827"/>
    <cellStyle name="Total 7" xfId="828"/>
    <cellStyle name="Total 8" xfId="829"/>
    <cellStyle name="Total 9" xfId="830"/>
    <cellStyle name="Warning Text 10" xfId="831"/>
    <cellStyle name="Warning Text 11" xfId="832"/>
    <cellStyle name="Warning Text 12" xfId="833"/>
    <cellStyle name="Warning Text 13" xfId="834"/>
    <cellStyle name="Warning Text 14" xfId="835"/>
    <cellStyle name="Warning Text 15" xfId="836"/>
    <cellStyle name="Warning Text 16" xfId="837"/>
    <cellStyle name="Warning Text 2" xfId="838"/>
    <cellStyle name="Warning Text 3" xfId="839"/>
    <cellStyle name="Warning Text 4" xfId="840"/>
    <cellStyle name="Warning Text 5" xfId="841"/>
    <cellStyle name="Warning Text 6" xfId="842"/>
    <cellStyle name="Warning Text 7" xfId="843"/>
    <cellStyle name="Warning Text 8" xfId="844"/>
    <cellStyle name="Warning Text 9" xfId="845"/>
  </cellStyles>
  <dxfs count="58"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FF99"/>
      <color rgb="FFFFFF00"/>
      <color rgb="FFFFCC66"/>
      <color rgb="FFFFFFCC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61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billed\KU\2008\KU%20Unbilled%202008.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6206\AppData\Local\Microsoft\Windows\Temporary%20Internet%20Files\Content.Outlook\LJOSIN94\LGE%20Gas%20CCS%20EOM%202012.0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1.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1.1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6206\AppData\Local\Microsoft\Windows\Temporary%20Internet%20Files\Content.Outlook\HGDC1RGE\LGE%20Gas%20CCS%20EOM%202011.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6206\AppData\Local\Microsoft\Windows\Temporary%20Internet%20Files\Content.Outlook\HGDC1RGE\LGE%20Gas%20CCS%20EOM%202011.0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Revenue%20Acct\End%20of%20Month%20Revenue\EOM%20KU\2010\KU%20CCS%20EOM%202010.10%20(Beth's%20review)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Volume%20Analysis\2009\Revenue%20Volume%20Analysis%202009.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billed\KU\2010\KU%20Unbilled%202010.09%20KU%20ONLY%20V3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Volume%20Analysis%20Reports\2011\Revenue%20Volume%20Analysis%202011%2005(REVISED%20CDD%20and%20HDD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urnal%20Entries\KU\2009\J518-588%20Billed%20Revenues%20Reclass\J518-J588%20Billed%20Revenues%20Reclass%202009.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11031\Local%20Settings\Temporary%20Internet%20Files\OLK39\LGE\LGE%20BECR%20Calc%202008.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Volume%20Analysis\2009\Revenue%20Volume%20Analysis%202009.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drea\2010%20KY%20Rate%20Case\LGEElecBillDeter2009-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billed\KU\2009\KU%20Unbilled%202009.06%20KU%20ON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1%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2.0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2.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KU Unbilled"/>
      <sheetName val="KUUnbKWHAlloc"/>
      <sheetName val="KUUnbCCH"/>
      <sheetName val="KuUnbPricing"/>
      <sheetName val="KUUnbByComp"/>
      <sheetName val="ODP Unbilled"/>
      <sheetName val="ODPUnbKwhAlloc"/>
      <sheetName val="ODPUnbPricing"/>
      <sheetName val="ODPUnbByComp"/>
      <sheetName val="Summary_UnbByComp"/>
      <sheetName val="KU JE"/>
      <sheetName val="ODP JE"/>
      <sheetName val="RevDatabase"/>
      <sheetName val="2008 Allocation Tables"/>
      <sheetName val="Checklist"/>
      <sheetName val="Version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2.03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3">
          <cell r="E23">
            <v>0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481105</v>
          </cell>
        </row>
        <row r="13">
          <cell r="A13">
            <v>481107</v>
          </cell>
        </row>
        <row r="14">
          <cell r="A14">
            <v>481119</v>
          </cell>
        </row>
        <row r="15">
          <cell r="A15">
            <v>481202</v>
          </cell>
        </row>
        <row r="16">
          <cell r="A16">
            <v>481204</v>
          </cell>
        </row>
        <row r="17">
          <cell r="A17">
            <v>481205</v>
          </cell>
        </row>
        <row r="18">
          <cell r="A18">
            <v>481219</v>
          </cell>
        </row>
        <row r="19">
          <cell r="A19">
            <v>482101</v>
          </cell>
        </row>
        <row r="20">
          <cell r="A20">
            <v>482102</v>
          </cell>
        </row>
        <row r="21">
          <cell r="A21">
            <v>482104</v>
          </cell>
        </row>
        <row r="22">
          <cell r="A22">
            <v>482105</v>
          </cell>
        </row>
        <row r="23">
          <cell r="A23">
            <v>482107</v>
          </cell>
        </row>
        <row r="24">
          <cell r="A24">
            <v>482119</v>
          </cell>
        </row>
        <row r="25">
          <cell r="A25">
            <v>484102</v>
          </cell>
        </row>
        <row r="26">
          <cell r="A26">
            <v>484104</v>
          </cell>
        </row>
        <row r="27">
          <cell r="A27">
            <v>484119</v>
          </cell>
        </row>
        <row r="28">
          <cell r="A28">
            <v>489201</v>
          </cell>
        </row>
        <row r="29">
          <cell r="A29">
            <v>489204</v>
          </cell>
        </row>
        <row r="30">
          <cell r="A30">
            <v>489301</v>
          </cell>
        </row>
        <row r="31">
          <cell r="A31">
            <v>489302</v>
          </cell>
        </row>
        <row r="32">
          <cell r="A32">
            <v>489304</v>
          </cell>
        </row>
        <row r="33">
          <cell r="A33">
            <v>489322</v>
          </cell>
        </row>
        <row r="34">
          <cell r="A34">
            <v>489332</v>
          </cell>
        </row>
        <row r="35">
          <cell r="A35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11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3">
          <cell r="E23">
            <v>13467.400000000001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10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 refreshError="1"/>
      <sheetData sheetId="1" refreshError="1"/>
      <sheetData sheetId="2"/>
      <sheetData sheetId="3" refreshError="1"/>
      <sheetData sheetId="4">
        <row r="24">
          <cell r="E24">
            <v>369404.46</v>
          </cell>
        </row>
      </sheetData>
      <sheetData sheetId="5" refreshError="1"/>
      <sheetData sheetId="6" refreshError="1"/>
      <sheetData sheetId="7" refreshError="1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 refreshError="1"/>
      <sheetData sheetId="10">
        <row r="5">
          <cell r="E5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09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4">
          <cell r="E24">
            <v>322081.23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08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 refreshError="1"/>
      <sheetData sheetId="1" refreshError="1"/>
      <sheetData sheetId="2"/>
      <sheetData sheetId="3" refreshError="1"/>
      <sheetData sheetId="4">
        <row r="24">
          <cell r="E24">
            <v>332614.14</v>
          </cell>
        </row>
      </sheetData>
      <sheetData sheetId="5" refreshError="1"/>
      <sheetData sheetId="6" refreshError="1"/>
      <sheetData sheetId="7" refreshError="1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 refreshError="1"/>
      <sheetData sheetId="10">
        <row r="5">
          <cell r="E5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Instruction"/>
      <sheetName val="4023-Orig.Data"/>
      <sheetName val="4023-Summ(Orig.Data)"/>
      <sheetName val="4023-Revised"/>
      <sheetName val="4023-Summ(Revised)"/>
      <sheetName val="SummOfAdjmts"/>
      <sheetName val="ODPRev."/>
      <sheetName val="4210-Data"/>
      <sheetName val="OracleInput"/>
      <sheetName val="Oracle KU"/>
      <sheetName val="4240-BI Adjmts"/>
      <sheetName val="4240-Detail"/>
      <sheetName val="4210-4023Recon"/>
      <sheetName val="4210 Adjmts"/>
      <sheetName val="4023 Adjmts"/>
      <sheetName val="Sept2010"/>
      <sheetName val="J518"/>
      <sheetName val="J532_KW&amp;KWH"/>
      <sheetName val="KU Summary"/>
      <sheetName val="Revenue Accounting Inputs"/>
      <sheetName val="VersionHist"/>
      <sheetName val="instructions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VA"/>
      <sheetName val="RBC Summary"/>
      <sheetName val="RBC Detail"/>
      <sheetName val="Information for SEC Table"/>
      <sheetName val="Curr Mo. Error Checks"/>
      <sheetName val="Weather Check"/>
      <sheetName val="Qtd Error Checks"/>
      <sheetName val="12 mo rolling error checks"/>
      <sheetName val="Ytd Error Checks"/>
      <sheetName val="DataChecks"/>
      <sheetName val="Data"/>
      <sheetName val="ListsValues"/>
      <sheetName val="VersionHist"/>
      <sheetName val="Revenue Volume Analysis 2009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Unbilled Revenue(KU)"/>
      <sheetName val="JE Details"/>
      <sheetName val="Input"/>
      <sheetName val="KUUnbCCH"/>
      <sheetName val="KU Unbilled"/>
      <sheetName val="KuUnbPricing"/>
      <sheetName val="KU Unb. kWh Alloc."/>
      <sheetName val="KUUnbByComp"/>
      <sheetName val="Summary_UnbByComp"/>
      <sheetName val="J511"/>
      <sheetName val="2010 Allocation Tables"/>
      <sheetName val="Error Check"/>
      <sheetName val="VersionHist"/>
      <sheetName val="instructions"/>
    </sheetNames>
    <sheetDataSet>
      <sheetData sheetId="0">
        <row r="1">
          <cell r="A1" t="str">
            <v>No</v>
          </cell>
        </row>
      </sheetData>
      <sheetData sheetId="1" refreshError="1"/>
      <sheetData sheetId="2" refreshError="1"/>
      <sheetData sheetId="3" refreshError="1"/>
      <sheetData sheetId="4">
        <row r="10">
          <cell r="K10">
            <v>40422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Overview"/>
      <sheetName val="PVA"/>
      <sheetName val="RBC Summary"/>
      <sheetName val="RBC Detail"/>
      <sheetName val="Information for SEC Table"/>
      <sheetName val="Curr Mo. Error Checks"/>
      <sheetName val="Qtd Error Checks"/>
      <sheetName val="Ytd Error Checks"/>
      <sheetName val="12 Mo. Ending error checks"/>
      <sheetName val="Weather Check"/>
      <sheetName val="DataChecks"/>
      <sheetName val="PVA - Variance Checks"/>
      <sheetName val="Data"/>
      <sheetName val="ListsValues"/>
      <sheetName val="Version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F3">
            <v>40664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KU_Billed"/>
      <sheetName val="ODP_Billed"/>
      <sheetName val="JE518"/>
      <sheetName val="JE588"/>
      <sheetName val="Error Check"/>
      <sheetName val="IDTable"/>
    </sheetNames>
    <sheetDataSet>
      <sheetData sheetId="0" refreshError="1">
        <row r="5">
          <cell r="C5">
            <v>39845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>
        <row r="5">
          <cell r="A5">
            <v>13063</v>
          </cell>
          <cell r="B5" t="str">
            <v>Kim Withers</v>
          </cell>
          <cell r="C5" t="str">
            <v>KHW</v>
          </cell>
        </row>
        <row r="6">
          <cell r="A6">
            <v>11568</v>
          </cell>
          <cell r="B6" t="str">
            <v>Albert Elkins</v>
          </cell>
          <cell r="C6" t="str">
            <v>AME</v>
          </cell>
        </row>
        <row r="7">
          <cell r="A7">
            <v>11216</v>
          </cell>
          <cell r="B7" t="str">
            <v>Mike Brann</v>
          </cell>
          <cell r="C7" t="str">
            <v>CMB</v>
          </cell>
        </row>
        <row r="8">
          <cell r="A8">
            <v>6180</v>
          </cell>
          <cell r="B8" t="str">
            <v>Pam White</v>
          </cell>
          <cell r="C8" t="str">
            <v>PKW</v>
          </cell>
        </row>
        <row r="9">
          <cell r="A9">
            <v>9078</v>
          </cell>
          <cell r="B9" t="str">
            <v>Rich Dowdell</v>
          </cell>
          <cell r="C9" t="str">
            <v>RHD</v>
          </cell>
        </row>
        <row r="10">
          <cell r="A10">
            <v>4860</v>
          </cell>
          <cell r="B10" t="str">
            <v>David Stead</v>
          </cell>
          <cell r="C10" t="str">
            <v>DDS</v>
          </cell>
        </row>
        <row r="11">
          <cell r="A11" t="str">
            <v>XXXXX</v>
          </cell>
          <cell r="B11" t="str">
            <v>XXXXX</v>
          </cell>
          <cell r="C11" t="str">
            <v>XXX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ata Table"/>
      <sheetName val="mData"/>
      <sheetName val="odlData"/>
      <sheetName val="Error Check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VA"/>
      <sheetName val="RBC Summary"/>
      <sheetName val="RBC Detail"/>
      <sheetName val="Information for SEC Table"/>
      <sheetName val="Curr Mo. Error Checks"/>
      <sheetName val="Weather Check"/>
      <sheetName val="Qtd Error Checks"/>
      <sheetName val="12 mo rolling error checks"/>
      <sheetName val="Ytd Error Checks"/>
      <sheetName val="DataChecks"/>
      <sheetName val="Data"/>
      <sheetName val="ListsValues"/>
      <sheetName val="Version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4">
          <cell r="M44">
            <v>1</v>
          </cell>
        </row>
      </sheetData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Billing Determinants"/>
      <sheetName val="BaseRtFACECREx23pg1"/>
      <sheetName val="BaseRtFACECR,Ex23 pg 2-36"/>
      <sheetName val="Full Yr FAC Chgs Rollin, Ex 24"/>
      <sheetName val="YrEnd Customers"/>
      <sheetName val="TempAdj"/>
      <sheetName val="200902OldRates"/>
      <sheetName val="200906NewRates"/>
      <sheetName val="200910FAC"/>
      <sheetName val="200910Billed"/>
      <sheetName val="ReconcileBillings,Ex 27 pg 2-24"/>
      <sheetName val="200910RevRateAnnual"/>
      <sheetName val="200910FACAnnual"/>
      <sheetName val="RevVolRecon"/>
      <sheetName val="ECR Rates"/>
      <sheetName val="ECR Rates-Alt"/>
      <sheetName val="BillingFactors"/>
      <sheetName val="SBR"/>
      <sheetName val="200901"/>
      <sheetName val="200902Old"/>
      <sheetName val="200902New"/>
      <sheetName val="200902"/>
      <sheetName val="200903Old"/>
      <sheetName val="200903New"/>
      <sheetName val="200903"/>
      <sheetName val="200904"/>
      <sheetName val="200905"/>
      <sheetName val="200906"/>
      <sheetName val="200907"/>
      <sheetName val="200908"/>
      <sheetName val="200909"/>
      <sheetName val="200910"/>
      <sheetName val="200811"/>
      <sheetName val="200812"/>
      <sheetName val="RevDeltaRoll-in"/>
      <sheetName val="Dec06ECR"/>
      <sheetName val="LGE"/>
      <sheetName val="Input"/>
      <sheetName val="Custom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RevDatabase Input"/>
      <sheetName val="Additional Unbilled Input"/>
      <sheetName val="KU Unbilled"/>
      <sheetName val="KuUnbPricing"/>
      <sheetName val="KUUnbKWHAlloc"/>
      <sheetName val="KUUnbCCH"/>
      <sheetName val="KUUnbByComp"/>
      <sheetName val="KU JE"/>
      <sheetName val="Summary_UnbByComp"/>
      <sheetName val="Error Check"/>
      <sheetName val="2009 Allocation Tables"/>
      <sheetName val="VersionHis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12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3">
          <cell r="E23">
            <v>0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2.02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 refreshError="1"/>
      <sheetData sheetId="1" refreshError="1"/>
      <sheetData sheetId="2"/>
      <sheetData sheetId="3" refreshError="1"/>
      <sheetData sheetId="4">
        <row r="23">
          <cell r="E23">
            <v>0</v>
          </cell>
        </row>
      </sheetData>
      <sheetData sheetId="5" refreshError="1"/>
      <sheetData sheetId="6" refreshError="1"/>
      <sheetData sheetId="7" refreshError="1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 refreshError="1"/>
      <sheetData sheetId="10">
        <row r="5">
          <cell r="E5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2.01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3">
          <cell r="E23">
            <v>0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 tint="-0.499984740745262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6" tint="0.39997558519241921"/>
  </sheetPr>
  <dimension ref="A1:AZ56"/>
  <sheetViews>
    <sheetView topLeftCell="Y1" zoomScale="80" zoomScaleNormal="80" zoomScaleSheetLayoutView="90" workbookViewId="0"/>
  </sheetViews>
  <sheetFormatPr defaultRowHeight="12.75" x14ac:dyDescent="0.2"/>
  <cols>
    <col min="1" max="1" width="3.85546875" style="771" customWidth="1"/>
    <col min="2" max="2" width="3.28515625" style="771" customWidth="1"/>
    <col min="3" max="3" width="31.85546875" style="771" customWidth="1"/>
    <col min="4" max="4" width="3.28515625" style="771" customWidth="1"/>
    <col min="5" max="5" width="13.85546875" style="772" customWidth="1"/>
    <col min="6" max="6" width="6.28515625" style="771" customWidth="1"/>
    <col min="7" max="7" width="13.7109375" style="771" customWidth="1"/>
    <col min="8" max="8" width="9.28515625" style="771" customWidth="1"/>
    <col min="9" max="9" width="15.42578125" style="771" customWidth="1"/>
    <col min="10" max="10" width="4.85546875" style="771" customWidth="1"/>
    <col min="11" max="11" width="13.7109375" style="771" customWidth="1"/>
    <col min="12" max="12" width="9.28515625" style="771" customWidth="1"/>
    <col min="13" max="13" width="17.28515625" style="771" customWidth="1"/>
    <col min="14" max="14" width="5.140625" style="771" customWidth="1"/>
    <col min="15" max="15" width="15.7109375" style="771" customWidth="1"/>
    <col min="16" max="16" width="2.140625" style="771" customWidth="1"/>
    <col min="17" max="17" width="2.28515625" style="771" customWidth="1"/>
    <col min="18" max="18" width="15.7109375" style="771" customWidth="1"/>
    <col min="19" max="19" width="10.5703125" style="786" customWidth="1"/>
    <col min="20" max="31" width="11.5703125" style="786" customWidth="1"/>
    <col min="32" max="32" width="12.85546875" style="786" customWidth="1"/>
    <col min="33" max="33" width="1.28515625" style="786" customWidth="1"/>
    <col min="34" max="34" width="2.140625" style="771" customWidth="1"/>
    <col min="35" max="35" width="2.28515625" style="771" customWidth="1"/>
    <col min="36" max="36" width="15.7109375" style="771" customWidth="1"/>
    <col min="37" max="37" width="10.5703125" style="786" customWidth="1"/>
    <col min="38" max="49" width="11.5703125" style="786" customWidth="1"/>
    <col min="50" max="50" width="12.85546875" style="786" customWidth="1"/>
    <col min="51" max="51" width="1.5703125" style="786" customWidth="1"/>
    <col min="52" max="16384" width="9.140625" style="786"/>
  </cols>
  <sheetData>
    <row r="1" spans="1:50" ht="13.5" thickBot="1" x14ac:dyDescent="0.25">
      <c r="G1" s="1358" t="s">
        <v>973</v>
      </c>
      <c r="H1" s="1358"/>
      <c r="I1" s="1358"/>
      <c r="K1" s="1358" t="s">
        <v>974</v>
      </c>
      <c r="L1" s="1358"/>
      <c r="M1" s="1358"/>
      <c r="O1" s="773" t="s">
        <v>1014</v>
      </c>
      <c r="P1" s="774" t="s">
        <v>982</v>
      </c>
      <c r="Q1" s="773"/>
      <c r="R1" s="773"/>
      <c r="S1" s="775"/>
      <c r="T1" s="771"/>
      <c r="U1" s="776"/>
      <c r="V1" s="771"/>
      <c r="AH1" s="774" t="s">
        <v>1005</v>
      </c>
      <c r="AI1" s="773"/>
      <c r="AJ1" s="773"/>
      <c r="AK1" s="775"/>
      <c r="AL1" s="771"/>
      <c r="AM1" s="776"/>
      <c r="AN1" s="771"/>
    </row>
    <row r="2" spans="1:50" x14ac:dyDescent="0.2">
      <c r="E2" s="778" t="s">
        <v>975</v>
      </c>
      <c r="F2" s="779"/>
      <c r="G2" s="775"/>
      <c r="H2" s="775"/>
      <c r="I2" s="773" t="s">
        <v>976</v>
      </c>
      <c r="K2" s="775"/>
      <c r="L2" s="775"/>
      <c r="M2" s="773" t="s">
        <v>976</v>
      </c>
      <c r="O2" s="773" t="s">
        <v>1015</v>
      </c>
      <c r="P2" s="773"/>
      <c r="Q2" s="774" t="s">
        <v>983</v>
      </c>
      <c r="R2" s="773"/>
      <c r="S2" s="771"/>
      <c r="T2" s="771"/>
      <c r="U2" s="780"/>
      <c r="V2" s="781"/>
      <c r="AH2" s="773"/>
      <c r="AI2" s="774" t="s">
        <v>983</v>
      </c>
      <c r="AJ2" s="773"/>
      <c r="AK2" s="771"/>
      <c r="AL2" s="771"/>
      <c r="AM2" s="780"/>
      <c r="AN2" s="781"/>
    </row>
    <row r="3" spans="1:50" x14ac:dyDescent="0.2">
      <c r="E3" s="782" t="s">
        <v>977</v>
      </c>
      <c r="F3" s="779"/>
      <c r="G3" s="783" t="s">
        <v>612</v>
      </c>
      <c r="H3" s="775"/>
      <c r="I3" s="783" t="s">
        <v>412</v>
      </c>
      <c r="K3" s="783" t="s">
        <v>612</v>
      </c>
      <c r="L3" s="775"/>
      <c r="M3" s="783" t="s">
        <v>412</v>
      </c>
      <c r="O3" s="783" t="s">
        <v>462</v>
      </c>
      <c r="P3" s="784"/>
      <c r="Q3" s="784"/>
      <c r="R3" s="784"/>
      <c r="S3" s="771"/>
      <c r="T3" s="771"/>
      <c r="U3" s="780"/>
      <c r="V3" s="780"/>
      <c r="AH3" s="784"/>
      <c r="AI3" s="784"/>
      <c r="AJ3" s="784"/>
      <c r="AK3" s="771"/>
      <c r="AL3" s="771"/>
      <c r="AM3" s="780"/>
      <c r="AN3" s="780"/>
    </row>
    <row r="4" spans="1:50" x14ac:dyDescent="0.2">
      <c r="S4" s="771"/>
      <c r="T4" s="771"/>
      <c r="U4" s="780"/>
      <c r="V4" s="779"/>
      <c r="AK4" s="771"/>
      <c r="AL4" s="771"/>
      <c r="AM4" s="780"/>
      <c r="AN4" s="779"/>
    </row>
    <row r="5" spans="1:50" x14ac:dyDescent="0.2">
      <c r="A5" s="775" t="s">
        <v>978</v>
      </c>
      <c r="S5" s="771"/>
      <c r="T5" s="771"/>
      <c r="U5" s="780"/>
      <c r="V5" s="779"/>
      <c r="AF5" s="1078" t="s">
        <v>997</v>
      </c>
      <c r="AK5" s="771"/>
      <c r="AL5" s="771"/>
      <c r="AM5" s="780"/>
      <c r="AN5" s="779"/>
      <c r="AX5" s="1078" t="s">
        <v>997</v>
      </c>
    </row>
    <row r="6" spans="1:50" x14ac:dyDescent="0.2">
      <c r="B6" s="774" t="s">
        <v>979</v>
      </c>
      <c r="C6" s="773"/>
      <c r="D6" s="773"/>
      <c r="S6" s="771"/>
      <c r="T6" s="1079">
        <v>40909</v>
      </c>
      <c r="U6" s="1079">
        <v>40940</v>
      </c>
      <c r="V6" s="1079">
        <v>40969</v>
      </c>
      <c r="W6" s="1079">
        <v>40634</v>
      </c>
      <c r="X6" s="1079">
        <v>40664</v>
      </c>
      <c r="Y6" s="1079">
        <v>40695</v>
      </c>
      <c r="Z6" s="1079">
        <v>40725</v>
      </c>
      <c r="AA6" s="1079">
        <v>40756</v>
      </c>
      <c r="AB6" s="1079">
        <v>40787</v>
      </c>
      <c r="AC6" s="1079">
        <v>40817</v>
      </c>
      <c r="AD6" s="1079">
        <v>40848</v>
      </c>
      <c r="AE6" s="1079">
        <v>40878</v>
      </c>
      <c r="AF6" s="1078" t="s">
        <v>334</v>
      </c>
      <c r="AK6" s="771"/>
      <c r="AL6" s="1079">
        <v>40909</v>
      </c>
      <c r="AM6" s="1079">
        <v>40940</v>
      </c>
      <c r="AN6" s="1079">
        <v>40969</v>
      </c>
      <c r="AO6" s="1079">
        <v>40634</v>
      </c>
      <c r="AP6" s="1079">
        <v>40664</v>
      </c>
      <c r="AQ6" s="1079">
        <v>40695</v>
      </c>
      <c r="AR6" s="1079">
        <v>40725</v>
      </c>
      <c r="AS6" s="1079">
        <v>40756</v>
      </c>
      <c r="AT6" s="1079">
        <v>40787</v>
      </c>
      <c r="AU6" s="1079">
        <v>40817</v>
      </c>
      <c r="AV6" s="1079">
        <v>40848</v>
      </c>
      <c r="AW6" s="1079">
        <v>40878</v>
      </c>
      <c r="AX6" s="1078" t="s">
        <v>334</v>
      </c>
    </row>
    <row r="7" spans="1:50" x14ac:dyDescent="0.2">
      <c r="C7" s="771" t="s">
        <v>1003</v>
      </c>
      <c r="R7" s="775"/>
      <c r="S7" s="773" t="s">
        <v>984</v>
      </c>
      <c r="T7" s="771"/>
      <c r="U7" s="780"/>
      <c r="V7" s="779"/>
      <c r="AJ7" s="775"/>
      <c r="AK7" s="773" t="s">
        <v>1006</v>
      </c>
      <c r="AL7" s="771"/>
      <c r="AM7" s="780"/>
      <c r="AN7" s="779"/>
    </row>
    <row r="8" spans="1:50" x14ac:dyDescent="0.2">
      <c r="C8" s="771" t="s">
        <v>1002</v>
      </c>
      <c r="S8" s="787" t="s">
        <v>991</v>
      </c>
      <c r="T8" s="788">
        <v>1034</v>
      </c>
      <c r="U8" s="788">
        <v>919.2</v>
      </c>
      <c r="V8" s="788">
        <v>891.6</v>
      </c>
      <c r="W8" s="788">
        <v>100</v>
      </c>
      <c r="X8" s="788">
        <v>100</v>
      </c>
      <c r="Y8" s="788">
        <v>100</v>
      </c>
      <c r="Z8" s="788">
        <v>100</v>
      </c>
      <c r="AA8" s="788">
        <v>100</v>
      </c>
      <c r="AB8" s="788">
        <v>100</v>
      </c>
      <c r="AC8" s="788">
        <v>100</v>
      </c>
      <c r="AD8" s="788">
        <v>949.3</v>
      </c>
      <c r="AE8" s="788">
        <v>1008</v>
      </c>
      <c r="AK8" s="787" t="s">
        <v>991</v>
      </c>
      <c r="AL8" s="788">
        <v>2518.3000000000002</v>
      </c>
      <c r="AM8" s="788">
        <v>1720.1</v>
      </c>
      <c r="AN8" s="788">
        <v>2096</v>
      </c>
      <c r="AO8" s="788">
        <v>200</v>
      </c>
      <c r="AP8" s="788">
        <v>200</v>
      </c>
      <c r="AQ8" s="788">
        <v>200</v>
      </c>
      <c r="AR8" s="788">
        <v>140.69999999999999</v>
      </c>
      <c r="AS8" s="788">
        <v>200</v>
      </c>
      <c r="AT8" s="788">
        <v>100</v>
      </c>
      <c r="AU8" s="788">
        <v>200</v>
      </c>
      <c r="AV8" s="788">
        <v>2056.6999999999998</v>
      </c>
      <c r="AW8" s="788">
        <v>2010.8</v>
      </c>
    </row>
    <row r="9" spans="1:50" x14ac:dyDescent="0.2">
      <c r="S9" s="787" t="s">
        <v>993</v>
      </c>
      <c r="T9" s="789">
        <v>0</v>
      </c>
      <c r="U9" s="789">
        <v>0</v>
      </c>
      <c r="V9" s="789">
        <v>0</v>
      </c>
      <c r="W9" s="789">
        <v>918.2</v>
      </c>
      <c r="X9" s="789">
        <v>826.4</v>
      </c>
      <c r="Y9" s="789">
        <v>929</v>
      </c>
      <c r="Z9" s="789">
        <v>782</v>
      </c>
      <c r="AA9" s="789">
        <v>850.1</v>
      </c>
      <c r="AB9" s="789">
        <v>891.9</v>
      </c>
      <c r="AC9" s="789">
        <v>871.1</v>
      </c>
      <c r="AD9" s="789">
        <v>0</v>
      </c>
      <c r="AE9" s="789">
        <v>0</v>
      </c>
      <c r="AK9" s="787" t="s">
        <v>993</v>
      </c>
      <c r="AL9" s="789">
        <f>+AL10-AL8</f>
        <v>0</v>
      </c>
      <c r="AM9" s="789">
        <f t="shared" ref="AM9:AW9" si="0">+AM10-AM8</f>
        <v>0</v>
      </c>
      <c r="AN9" s="789">
        <f t="shared" si="0"/>
        <v>0</v>
      </c>
      <c r="AO9" s="789">
        <f t="shared" si="0"/>
        <v>1780.4</v>
      </c>
      <c r="AP9" s="789">
        <f t="shared" si="0"/>
        <v>1676.3</v>
      </c>
      <c r="AQ9" s="789">
        <f t="shared" si="0"/>
        <v>1832.9</v>
      </c>
      <c r="AR9" s="789">
        <f t="shared" si="0"/>
        <v>1733</v>
      </c>
      <c r="AS9" s="789">
        <f t="shared" si="0"/>
        <v>1930.3000000000002</v>
      </c>
      <c r="AT9" s="789">
        <f t="shared" si="0"/>
        <v>1897.1</v>
      </c>
      <c r="AU9" s="789">
        <f t="shared" si="0"/>
        <v>1880.1</v>
      </c>
      <c r="AV9" s="789">
        <f t="shared" si="0"/>
        <v>0</v>
      </c>
      <c r="AW9" s="789">
        <f t="shared" si="0"/>
        <v>0</v>
      </c>
    </row>
    <row r="10" spans="1:50" x14ac:dyDescent="0.2">
      <c r="C10" s="774"/>
      <c r="S10" s="787" t="s">
        <v>995</v>
      </c>
      <c r="T10" s="788">
        <f>+T8+T9</f>
        <v>1034</v>
      </c>
      <c r="U10" s="788">
        <f t="shared" ref="U10:AE10" si="1">+U8+U9</f>
        <v>919.2</v>
      </c>
      <c r="V10" s="788">
        <f t="shared" si="1"/>
        <v>891.6</v>
      </c>
      <c r="W10" s="788">
        <f t="shared" si="1"/>
        <v>1018.2</v>
      </c>
      <c r="X10" s="788">
        <f t="shared" si="1"/>
        <v>926.4</v>
      </c>
      <c r="Y10" s="788">
        <f t="shared" si="1"/>
        <v>1029</v>
      </c>
      <c r="Z10" s="788">
        <f t="shared" si="1"/>
        <v>882</v>
      </c>
      <c r="AA10" s="788">
        <f t="shared" si="1"/>
        <v>950.1</v>
      </c>
      <c r="AB10" s="788">
        <f t="shared" si="1"/>
        <v>991.9</v>
      </c>
      <c r="AC10" s="788">
        <f t="shared" si="1"/>
        <v>971.1</v>
      </c>
      <c r="AD10" s="788">
        <f t="shared" si="1"/>
        <v>949.3</v>
      </c>
      <c r="AE10" s="788">
        <f t="shared" si="1"/>
        <v>1008</v>
      </c>
      <c r="AF10" s="790">
        <f>SUM(T10:AE10)</f>
        <v>11570.8</v>
      </c>
      <c r="AK10" s="787" t="s">
        <v>995</v>
      </c>
      <c r="AL10" s="788">
        <v>2518.3000000000002</v>
      </c>
      <c r="AM10" s="788">
        <v>1720.1</v>
      </c>
      <c r="AN10" s="788">
        <v>2096</v>
      </c>
      <c r="AO10" s="788">
        <v>1980.4</v>
      </c>
      <c r="AP10" s="788">
        <v>1876.3</v>
      </c>
      <c r="AQ10" s="788">
        <v>2032.9</v>
      </c>
      <c r="AR10" s="788">
        <v>1873.7</v>
      </c>
      <c r="AS10" s="788">
        <v>2130.3000000000002</v>
      </c>
      <c r="AT10" s="788">
        <v>1997.1</v>
      </c>
      <c r="AU10" s="788">
        <v>2080.1</v>
      </c>
      <c r="AV10" s="788">
        <v>2056.6999999999998</v>
      </c>
      <c r="AW10" s="788">
        <v>2010.8</v>
      </c>
      <c r="AX10" s="790">
        <f>SUM(AL10:AW10)</f>
        <v>24372.699999999997</v>
      </c>
    </row>
    <row r="11" spans="1:50" x14ac:dyDescent="0.2">
      <c r="C11" s="773" t="s">
        <v>1009</v>
      </c>
      <c r="D11" s="773"/>
      <c r="E11" s="791">
        <v>12</v>
      </c>
      <c r="G11" s="792">
        <f>+T15</f>
        <v>170</v>
      </c>
      <c r="H11" s="771" t="s">
        <v>1013</v>
      </c>
      <c r="I11" s="793">
        <f>+E11*G11</f>
        <v>2040</v>
      </c>
      <c r="K11" s="792"/>
      <c r="M11" s="794"/>
      <c r="S11" s="787"/>
      <c r="T11" s="771"/>
      <c r="U11" s="780"/>
      <c r="V11" s="779"/>
      <c r="AK11" s="787"/>
      <c r="AL11" s="771"/>
      <c r="AM11" s="780"/>
      <c r="AN11" s="779"/>
    </row>
    <row r="12" spans="1:50" x14ac:dyDescent="0.2">
      <c r="C12" s="773" t="s">
        <v>1010</v>
      </c>
      <c r="D12" s="773"/>
      <c r="E12" s="788">
        <f>SUM(T8:AE8)</f>
        <v>5502.1</v>
      </c>
      <c r="F12" s="771" t="s">
        <v>408</v>
      </c>
      <c r="G12" s="795">
        <f>+$T$12</f>
        <v>1.8721999999999999</v>
      </c>
      <c r="H12" s="771" t="s">
        <v>473</v>
      </c>
      <c r="I12" s="793">
        <f>ROUND(+E12*G12,2)</f>
        <v>10301.030000000001</v>
      </c>
      <c r="K12" s="795">
        <f>+$T$34</f>
        <v>0.43</v>
      </c>
      <c r="L12" s="771" t="s">
        <v>473</v>
      </c>
      <c r="M12" s="793">
        <f>ROUND(+E12*K12,2)</f>
        <v>2365.9</v>
      </c>
      <c r="S12" s="787" t="s">
        <v>987</v>
      </c>
      <c r="T12" s="795">
        <f>+'Retail Rates'!$H$13*10</f>
        <v>1.8721999999999999</v>
      </c>
      <c r="U12" s="795">
        <f>+'Retail Rates'!$H$13*10</f>
        <v>1.8721999999999999</v>
      </c>
      <c r="V12" s="795">
        <f>+'Retail Rates'!$H$13*10</f>
        <v>1.8721999999999999</v>
      </c>
      <c r="W12" s="795">
        <f>+'Retail Rates'!$H$13*10</f>
        <v>1.8721999999999999</v>
      </c>
      <c r="X12" s="795">
        <f>+'Retail Rates'!$H$13*10</f>
        <v>1.8721999999999999</v>
      </c>
      <c r="Y12" s="795">
        <f>+'Retail Rates'!$H$13*10</f>
        <v>1.8721999999999999</v>
      </c>
      <c r="Z12" s="795">
        <f>+'Retail Rates'!$H$13*10</f>
        <v>1.8721999999999999</v>
      </c>
      <c r="AA12" s="795">
        <f>+'Retail Rates'!$H$13*10</f>
        <v>1.8721999999999999</v>
      </c>
      <c r="AB12" s="795">
        <f>+'Retail Rates'!$H$13*10</f>
        <v>1.8721999999999999</v>
      </c>
      <c r="AC12" s="795">
        <f>+'Retail Rates'!$H$13*10</f>
        <v>1.8721999999999999</v>
      </c>
      <c r="AD12" s="795">
        <f>+'Retail Rates'!$H$13*10</f>
        <v>1.8721999999999999</v>
      </c>
      <c r="AE12" s="795">
        <f>+'Retail Rates'!$H$13*10</f>
        <v>1.8721999999999999</v>
      </c>
      <c r="AK12" s="787" t="s">
        <v>987</v>
      </c>
      <c r="AL12" s="795">
        <f>+'Retail Rates'!$H$46</f>
        <v>1.9021999999999999</v>
      </c>
      <c r="AM12" s="795">
        <f>+'Retail Rates'!$H$46</f>
        <v>1.9021999999999999</v>
      </c>
      <c r="AN12" s="795">
        <f>+'Retail Rates'!$H$46</f>
        <v>1.9021999999999999</v>
      </c>
      <c r="AO12" s="795">
        <f>+'Retail Rates'!$H$46</f>
        <v>1.9021999999999999</v>
      </c>
      <c r="AP12" s="795">
        <f>+'Retail Rates'!$H$46</f>
        <v>1.9021999999999999</v>
      </c>
      <c r="AQ12" s="795">
        <f>+'Retail Rates'!$H$46</f>
        <v>1.9021999999999999</v>
      </c>
      <c r="AR12" s="795">
        <f>+'Retail Rates'!$H$46</f>
        <v>1.9021999999999999</v>
      </c>
      <c r="AS12" s="795">
        <f>+'Retail Rates'!$H$46</f>
        <v>1.9021999999999999</v>
      </c>
      <c r="AT12" s="795">
        <f>+'Retail Rates'!$H$46</f>
        <v>1.9021999999999999</v>
      </c>
      <c r="AU12" s="795">
        <f>+'Retail Rates'!$H$46</f>
        <v>1.9021999999999999</v>
      </c>
      <c r="AV12" s="795">
        <f>+'Retail Rates'!$H$46</f>
        <v>1.9021999999999999</v>
      </c>
      <c r="AW12" s="795">
        <f>+'Retail Rates'!$H$46</f>
        <v>1.9021999999999999</v>
      </c>
    </row>
    <row r="13" spans="1:50" x14ac:dyDescent="0.2">
      <c r="C13" s="773" t="s">
        <v>1016</v>
      </c>
      <c r="D13" s="773"/>
      <c r="E13" s="788">
        <f>SUM(T9:AE9)</f>
        <v>6068.7</v>
      </c>
      <c r="F13" s="771" t="s">
        <v>408</v>
      </c>
      <c r="G13" s="795">
        <f>+$W$13</f>
        <v>1.3722000000000001</v>
      </c>
      <c r="H13" s="771" t="s">
        <v>473</v>
      </c>
      <c r="I13" s="793">
        <f>ROUND(+E13*G13,2)</f>
        <v>8327.4699999999993</v>
      </c>
      <c r="K13" s="795">
        <f>+$T$34</f>
        <v>0.43</v>
      </c>
      <c r="L13" s="771" t="s">
        <v>473</v>
      </c>
      <c r="M13" s="793">
        <f>ROUND(+E13*K13,2)</f>
        <v>2609.54</v>
      </c>
      <c r="S13" s="787" t="s">
        <v>994</v>
      </c>
      <c r="T13" s="795">
        <v>0</v>
      </c>
      <c r="U13" s="795">
        <v>0</v>
      </c>
      <c r="V13" s="795">
        <v>0</v>
      </c>
      <c r="W13" s="795">
        <f>+'Retail Rates'!$I$13*10</f>
        <v>1.3722000000000001</v>
      </c>
      <c r="X13" s="795">
        <f>+'Retail Rates'!$I$13*10</f>
        <v>1.3722000000000001</v>
      </c>
      <c r="Y13" s="795">
        <f>+'Retail Rates'!$I$13*10</f>
        <v>1.3722000000000001</v>
      </c>
      <c r="Z13" s="795">
        <f>+'Retail Rates'!$I$13*10</f>
        <v>1.3722000000000001</v>
      </c>
      <c r="AA13" s="795">
        <f>+'Retail Rates'!$I$13*10</f>
        <v>1.3722000000000001</v>
      </c>
      <c r="AB13" s="795">
        <f>+'Retail Rates'!$I$13*10</f>
        <v>1.3722000000000001</v>
      </c>
      <c r="AC13" s="795">
        <f>+'Retail Rates'!$I$13*10</f>
        <v>1.3722000000000001</v>
      </c>
      <c r="AD13" s="795">
        <v>0</v>
      </c>
      <c r="AE13" s="795">
        <v>0</v>
      </c>
      <c r="AK13" s="787" t="s">
        <v>994</v>
      </c>
      <c r="AL13" s="795">
        <v>0</v>
      </c>
      <c r="AM13" s="795">
        <v>0</v>
      </c>
      <c r="AN13" s="795">
        <v>0</v>
      </c>
      <c r="AO13" s="795">
        <f>+'Retail Rates'!$I$46</f>
        <v>1.4021999999999999</v>
      </c>
      <c r="AP13" s="795">
        <f>+'Retail Rates'!$I$46</f>
        <v>1.4021999999999999</v>
      </c>
      <c r="AQ13" s="795">
        <f>+'Retail Rates'!$I$46</f>
        <v>1.4021999999999999</v>
      </c>
      <c r="AR13" s="795">
        <f>+'Retail Rates'!$I$46</f>
        <v>1.4021999999999999</v>
      </c>
      <c r="AS13" s="795">
        <f>+'Retail Rates'!$I$46</f>
        <v>1.4021999999999999</v>
      </c>
      <c r="AT13" s="795">
        <f>+'Retail Rates'!$I$46</f>
        <v>1.4021999999999999</v>
      </c>
      <c r="AU13" s="795">
        <f>+'Retail Rates'!$I$46</f>
        <v>1.4021999999999999</v>
      </c>
      <c r="AV13" s="795">
        <v>0</v>
      </c>
      <c r="AW13" s="795">
        <v>0</v>
      </c>
    </row>
    <row r="14" spans="1:50" x14ac:dyDescent="0.2">
      <c r="C14" s="773"/>
      <c r="D14" s="773"/>
      <c r="E14" s="791"/>
      <c r="G14" s="792"/>
      <c r="I14" s="793"/>
      <c r="M14" s="796"/>
      <c r="S14" s="787"/>
      <c r="T14" s="771"/>
      <c r="U14" s="780"/>
      <c r="V14" s="779"/>
      <c r="AK14" s="787"/>
      <c r="AL14" s="771"/>
      <c r="AM14" s="780"/>
      <c r="AN14" s="779"/>
    </row>
    <row r="15" spans="1:50" x14ac:dyDescent="0.2">
      <c r="C15" s="774"/>
      <c r="E15" s="791"/>
      <c r="I15" s="797"/>
      <c r="K15" s="792"/>
      <c r="M15" s="797"/>
      <c r="O15" s="792"/>
      <c r="P15" s="792"/>
      <c r="S15" s="787" t="s">
        <v>986</v>
      </c>
      <c r="T15" s="798">
        <f>+'Retail Rates'!$G$13</f>
        <v>170</v>
      </c>
      <c r="U15" s="798">
        <f>+'Retail Rates'!$G$13</f>
        <v>170</v>
      </c>
      <c r="V15" s="798">
        <f>+'Retail Rates'!$G$13</f>
        <v>170</v>
      </c>
      <c r="W15" s="798">
        <f>+'Retail Rates'!$G$13</f>
        <v>170</v>
      </c>
      <c r="X15" s="798">
        <f>+'Retail Rates'!$G$13</f>
        <v>170</v>
      </c>
      <c r="Y15" s="798">
        <f>+'Retail Rates'!$G$13</f>
        <v>170</v>
      </c>
      <c r="Z15" s="798">
        <f>+'Retail Rates'!$G$13</f>
        <v>170</v>
      </c>
      <c r="AA15" s="798">
        <f>+'Retail Rates'!$G$13</f>
        <v>170</v>
      </c>
      <c r="AB15" s="798">
        <f>+'Retail Rates'!$G$13</f>
        <v>170</v>
      </c>
      <c r="AC15" s="798">
        <f>+'Retail Rates'!$G$13</f>
        <v>170</v>
      </c>
      <c r="AD15" s="798">
        <f>+'Retail Rates'!$G$13</f>
        <v>170</v>
      </c>
      <c r="AE15" s="798">
        <f>+'Retail Rates'!$G$13</f>
        <v>170</v>
      </c>
      <c r="AF15" s="810"/>
      <c r="AH15" s="792"/>
      <c r="AK15" s="787" t="s">
        <v>986</v>
      </c>
      <c r="AL15" s="798">
        <f>+'Retail Rates'!$G$23</f>
        <v>170</v>
      </c>
      <c r="AM15" s="798">
        <f>+'Retail Rates'!$G$23</f>
        <v>170</v>
      </c>
      <c r="AN15" s="798">
        <f>+'Retail Rates'!$G$23</f>
        <v>170</v>
      </c>
      <c r="AO15" s="798">
        <f>+'Retail Rates'!$G$23</f>
        <v>170</v>
      </c>
      <c r="AP15" s="798">
        <f>+'Retail Rates'!$G$23</f>
        <v>170</v>
      </c>
      <c r="AQ15" s="798">
        <f>+'Retail Rates'!$G$23</f>
        <v>170</v>
      </c>
      <c r="AR15" s="798">
        <f>+'Retail Rates'!$G$23</f>
        <v>170</v>
      </c>
      <c r="AS15" s="798">
        <f>+'Retail Rates'!$G$23</f>
        <v>170</v>
      </c>
      <c r="AT15" s="798">
        <f>+'Retail Rates'!$G$23</f>
        <v>170</v>
      </c>
      <c r="AU15" s="798">
        <f>+'Retail Rates'!$G$23</f>
        <v>170</v>
      </c>
      <c r="AV15" s="798">
        <f>+'Retail Rates'!$G$23</f>
        <v>170</v>
      </c>
      <c r="AW15" s="798">
        <f>+'Retail Rates'!$G$23</f>
        <v>170</v>
      </c>
    </row>
    <row r="16" spans="1:50" x14ac:dyDescent="0.2">
      <c r="C16" s="773" t="s">
        <v>1011</v>
      </c>
      <c r="E16" s="791">
        <v>12</v>
      </c>
      <c r="G16" s="792">
        <f>+$T$25</f>
        <v>275</v>
      </c>
      <c r="H16" s="771" t="s">
        <v>1013</v>
      </c>
      <c r="I16" s="797">
        <f>+E16*G16</f>
        <v>3300</v>
      </c>
      <c r="K16" s="792"/>
      <c r="M16" s="797"/>
      <c r="S16" s="787" t="s">
        <v>6</v>
      </c>
      <c r="T16" s="800">
        <f>ROUND((T8*T12)+(T9*T13),2)</f>
        <v>1935.85</v>
      </c>
      <c r="U16" s="800">
        <f t="shared" ref="U16:AE16" si="2">ROUND((U8*U12)+(U9*U13),2)</f>
        <v>1720.93</v>
      </c>
      <c r="V16" s="800">
        <f t="shared" si="2"/>
        <v>1669.25</v>
      </c>
      <c r="W16" s="800">
        <f t="shared" si="2"/>
        <v>1447.17</v>
      </c>
      <c r="X16" s="800">
        <f t="shared" si="2"/>
        <v>1321.21</v>
      </c>
      <c r="Y16" s="800">
        <f t="shared" si="2"/>
        <v>1461.99</v>
      </c>
      <c r="Z16" s="800">
        <f t="shared" si="2"/>
        <v>1260.28</v>
      </c>
      <c r="AA16" s="800">
        <f t="shared" si="2"/>
        <v>1353.73</v>
      </c>
      <c r="AB16" s="800">
        <f t="shared" si="2"/>
        <v>1411.09</v>
      </c>
      <c r="AC16" s="800">
        <f t="shared" si="2"/>
        <v>1382.54</v>
      </c>
      <c r="AD16" s="800">
        <f t="shared" si="2"/>
        <v>1777.28</v>
      </c>
      <c r="AE16" s="800">
        <f t="shared" si="2"/>
        <v>1887.18</v>
      </c>
      <c r="AF16" s="810"/>
      <c r="AH16" s="792"/>
      <c r="AK16" s="787" t="s">
        <v>990</v>
      </c>
      <c r="AL16" s="801">
        <f>+'Retail Rates'!$F$46</f>
        <v>153</v>
      </c>
      <c r="AM16" s="801">
        <f>+'Retail Rates'!$F$46</f>
        <v>153</v>
      </c>
      <c r="AN16" s="801">
        <f>+'Retail Rates'!$F$46</f>
        <v>153</v>
      </c>
      <c r="AO16" s="801">
        <f>+'Retail Rates'!$F$46</f>
        <v>153</v>
      </c>
      <c r="AP16" s="801">
        <f>+'Retail Rates'!$F$46</f>
        <v>153</v>
      </c>
      <c r="AQ16" s="801">
        <f>+'Retail Rates'!$F$46</f>
        <v>153</v>
      </c>
      <c r="AR16" s="801">
        <f>+'Retail Rates'!$F$46</f>
        <v>153</v>
      </c>
      <c r="AS16" s="801">
        <f>+'Retail Rates'!$F$46</f>
        <v>153</v>
      </c>
      <c r="AT16" s="801">
        <f>+'Retail Rates'!$F$46</f>
        <v>153</v>
      </c>
      <c r="AU16" s="801">
        <f>+'Retail Rates'!$F$46</f>
        <v>153</v>
      </c>
      <c r="AV16" s="801">
        <f>+'Retail Rates'!$F$46</f>
        <v>153</v>
      </c>
      <c r="AW16" s="801">
        <f>+'Retail Rates'!$F$46</f>
        <v>153</v>
      </c>
    </row>
    <row r="17" spans="1:50" x14ac:dyDescent="0.2">
      <c r="B17" s="775"/>
      <c r="C17" s="773" t="s">
        <v>1012</v>
      </c>
      <c r="E17" s="788">
        <f>SUM(T21:AE21)</f>
        <v>14765.4</v>
      </c>
      <c r="F17" s="771" t="s">
        <v>408</v>
      </c>
      <c r="G17" s="795">
        <f>+T23</f>
        <v>0.5252</v>
      </c>
      <c r="H17" s="771" t="s">
        <v>473</v>
      </c>
      <c r="I17" s="793">
        <f>ROUND(+E17*G17,2)</f>
        <v>7754.79</v>
      </c>
      <c r="K17" s="795">
        <f>+$T$34</f>
        <v>0.43</v>
      </c>
      <c r="L17" s="771" t="s">
        <v>473</v>
      </c>
      <c r="M17" s="793">
        <f>ROUND(+E17*K17,2)</f>
        <v>6349.12</v>
      </c>
      <c r="S17" s="787" t="s">
        <v>988</v>
      </c>
      <c r="T17" s="810">
        <f>SUM(T15:T16)</f>
        <v>2105.85</v>
      </c>
      <c r="U17" s="810">
        <f t="shared" ref="U17:AE17" si="3">SUM(U15:U16)</f>
        <v>1890.93</v>
      </c>
      <c r="V17" s="810">
        <f t="shared" si="3"/>
        <v>1839.25</v>
      </c>
      <c r="W17" s="810">
        <f t="shared" si="3"/>
        <v>1617.17</v>
      </c>
      <c r="X17" s="810">
        <f t="shared" si="3"/>
        <v>1491.21</v>
      </c>
      <c r="Y17" s="810">
        <f t="shared" si="3"/>
        <v>1631.99</v>
      </c>
      <c r="Z17" s="810">
        <f t="shared" si="3"/>
        <v>1430.28</v>
      </c>
      <c r="AA17" s="810">
        <f t="shared" si="3"/>
        <v>1523.73</v>
      </c>
      <c r="AB17" s="810">
        <f t="shared" si="3"/>
        <v>1581.09</v>
      </c>
      <c r="AC17" s="810">
        <f t="shared" si="3"/>
        <v>1552.54</v>
      </c>
      <c r="AD17" s="810">
        <f t="shared" si="3"/>
        <v>1947.28</v>
      </c>
      <c r="AE17" s="810">
        <f t="shared" si="3"/>
        <v>2057.1800000000003</v>
      </c>
      <c r="AF17" s="810">
        <f>SUM(T17:AE17)</f>
        <v>20668.5</v>
      </c>
      <c r="AK17" s="787" t="s">
        <v>6</v>
      </c>
      <c r="AL17" s="800">
        <f t="shared" ref="AL17:AW17" si="4">ROUND((AL8*AL12)+(AL9*AL13),2)</f>
        <v>4790.3100000000004</v>
      </c>
      <c r="AM17" s="800">
        <f t="shared" si="4"/>
        <v>3271.97</v>
      </c>
      <c r="AN17" s="800">
        <f t="shared" si="4"/>
        <v>3987.01</v>
      </c>
      <c r="AO17" s="800">
        <f t="shared" si="4"/>
        <v>2876.92</v>
      </c>
      <c r="AP17" s="800">
        <f t="shared" si="4"/>
        <v>2730.95</v>
      </c>
      <c r="AQ17" s="800">
        <f t="shared" si="4"/>
        <v>2950.53</v>
      </c>
      <c r="AR17" s="800">
        <f t="shared" si="4"/>
        <v>2697.65</v>
      </c>
      <c r="AS17" s="800">
        <f t="shared" si="4"/>
        <v>3087.11</v>
      </c>
      <c r="AT17" s="800">
        <f t="shared" si="4"/>
        <v>2850.33</v>
      </c>
      <c r="AU17" s="800">
        <f t="shared" si="4"/>
        <v>3016.72</v>
      </c>
      <c r="AV17" s="800">
        <f t="shared" si="4"/>
        <v>3912.25</v>
      </c>
      <c r="AW17" s="800">
        <f t="shared" si="4"/>
        <v>3824.94</v>
      </c>
    </row>
    <row r="18" spans="1:50" x14ac:dyDescent="0.2">
      <c r="B18" s="775"/>
      <c r="C18" s="773"/>
      <c r="E18" s="791"/>
      <c r="G18" s="792"/>
      <c r="I18" s="793"/>
      <c r="K18" s="792"/>
      <c r="M18" s="793"/>
      <c r="AK18" s="787" t="s">
        <v>1008</v>
      </c>
      <c r="AL18" s="810">
        <f t="shared" ref="AL18:AW18" si="5">SUM(AL15:AL17)</f>
        <v>5113.3100000000004</v>
      </c>
      <c r="AM18" s="810">
        <f t="shared" si="5"/>
        <v>3594.97</v>
      </c>
      <c r="AN18" s="810">
        <f t="shared" si="5"/>
        <v>4310.01</v>
      </c>
      <c r="AO18" s="810">
        <f t="shared" si="5"/>
        <v>3199.92</v>
      </c>
      <c r="AP18" s="810">
        <f t="shared" si="5"/>
        <v>3053.95</v>
      </c>
      <c r="AQ18" s="810">
        <f t="shared" si="5"/>
        <v>3273.53</v>
      </c>
      <c r="AR18" s="810">
        <f t="shared" si="5"/>
        <v>3020.65</v>
      </c>
      <c r="AS18" s="810">
        <f t="shared" si="5"/>
        <v>3410.11</v>
      </c>
      <c r="AT18" s="810">
        <f t="shared" si="5"/>
        <v>3173.33</v>
      </c>
      <c r="AU18" s="810">
        <f t="shared" si="5"/>
        <v>3339.72</v>
      </c>
      <c r="AV18" s="810">
        <f t="shared" si="5"/>
        <v>4235.25</v>
      </c>
      <c r="AW18" s="810">
        <f t="shared" si="5"/>
        <v>4147.9400000000005</v>
      </c>
      <c r="AX18" s="810">
        <f>SUM(AL18:AW18)</f>
        <v>43872.69</v>
      </c>
    </row>
    <row r="19" spans="1:50" x14ac:dyDescent="0.2">
      <c r="C19" s="773" t="s">
        <v>660</v>
      </c>
      <c r="E19" s="791">
        <v>12</v>
      </c>
      <c r="G19" s="792"/>
      <c r="I19" s="802"/>
      <c r="K19" s="803">
        <f>+$T$36</f>
        <v>230</v>
      </c>
      <c r="L19" s="771" t="s">
        <v>1013</v>
      </c>
      <c r="M19" s="802">
        <f>+K19*E19</f>
        <v>2760</v>
      </c>
      <c r="Q19" s="792"/>
      <c r="R19" s="792"/>
    </row>
    <row r="20" spans="1:50" x14ac:dyDescent="0.2">
      <c r="C20" s="773"/>
      <c r="E20" s="791"/>
      <c r="G20" s="792"/>
      <c r="I20" s="793"/>
      <c r="K20" s="792"/>
      <c r="M20" s="793"/>
      <c r="R20" s="775"/>
      <c r="S20" s="773" t="s">
        <v>985</v>
      </c>
      <c r="AI20" s="792"/>
    </row>
    <row r="21" spans="1:50" x14ac:dyDescent="0.2">
      <c r="C21" s="773"/>
      <c r="E21" s="791"/>
      <c r="G21" s="792"/>
      <c r="I21" s="793"/>
      <c r="K21" s="792"/>
      <c r="M21" s="793"/>
      <c r="S21" s="787" t="s">
        <v>995</v>
      </c>
      <c r="T21" s="788">
        <v>1485</v>
      </c>
      <c r="U21" s="788">
        <v>1305.2</v>
      </c>
      <c r="V21" s="788">
        <v>1200.4000000000001</v>
      </c>
      <c r="W21" s="788">
        <v>1422.1</v>
      </c>
      <c r="X21" s="788">
        <v>1119.0999999999999</v>
      </c>
      <c r="Y21" s="788">
        <v>1227.5</v>
      </c>
      <c r="Z21" s="788">
        <v>1102.3</v>
      </c>
      <c r="AA21" s="788">
        <v>1161</v>
      </c>
      <c r="AB21" s="788">
        <v>1217.2</v>
      </c>
      <c r="AC21" s="788">
        <v>1175.2</v>
      </c>
      <c r="AD21" s="788">
        <v>1163.4000000000001</v>
      </c>
      <c r="AE21" s="788">
        <v>1187</v>
      </c>
      <c r="AF21" s="790">
        <f>SUM(T21:AE21)</f>
        <v>14765.4</v>
      </c>
      <c r="AK21" s="773" t="s">
        <v>989</v>
      </c>
    </row>
    <row r="22" spans="1:50" x14ac:dyDescent="0.2">
      <c r="C22" s="773" t="s">
        <v>980</v>
      </c>
      <c r="E22" s="791"/>
      <c r="G22" s="792"/>
      <c r="I22" s="793">
        <f>SUM(I11:I19)</f>
        <v>31723.29</v>
      </c>
      <c r="K22" s="792"/>
      <c r="M22" s="793">
        <f>SUM(M11:M19)</f>
        <v>14084.560000000001</v>
      </c>
      <c r="O22" s="797">
        <f>M22-I22</f>
        <v>-17638.73</v>
      </c>
      <c r="S22" s="787"/>
      <c r="T22" s="771"/>
      <c r="U22" s="780"/>
      <c r="V22" s="779"/>
      <c r="AI22" s="792"/>
      <c r="AJ22" s="792"/>
      <c r="AK22" s="787" t="s">
        <v>243</v>
      </c>
      <c r="AL22" s="788">
        <f>+AL10</f>
        <v>2518.3000000000002</v>
      </c>
      <c r="AM22" s="788">
        <f t="shared" ref="AM22:AW22" si="6">+AM10</f>
        <v>1720.1</v>
      </c>
      <c r="AN22" s="788">
        <f t="shared" si="6"/>
        <v>2096</v>
      </c>
      <c r="AO22" s="788">
        <f t="shared" si="6"/>
        <v>1980.4</v>
      </c>
      <c r="AP22" s="788">
        <f t="shared" si="6"/>
        <v>1876.3</v>
      </c>
      <c r="AQ22" s="788">
        <f t="shared" si="6"/>
        <v>2032.9</v>
      </c>
      <c r="AR22" s="788">
        <f t="shared" si="6"/>
        <v>1873.7</v>
      </c>
      <c r="AS22" s="788">
        <f t="shared" si="6"/>
        <v>2130.3000000000002</v>
      </c>
      <c r="AT22" s="788">
        <f t="shared" si="6"/>
        <v>1997.1</v>
      </c>
      <c r="AU22" s="788">
        <f t="shared" si="6"/>
        <v>2080.1</v>
      </c>
      <c r="AV22" s="788">
        <f t="shared" si="6"/>
        <v>2056.6999999999998</v>
      </c>
      <c r="AW22" s="788">
        <f t="shared" si="6"/>
        <v>2010.8</v>
      </c>
      <c r="AX22" s="790">
        <f>SUM(AL22:AW22)</f>
        <v>24372.699999999997</v>
      </c>
    </row>
    <row r="23" spans="1:50" x14ac:dyDescent="0.2">
      <c r="C23" s="773"/>
      <c r="D23" s="773"/>
      <c r="E23" s="791"/>
      <c r="G23" s="792"/>
      <c r="I23" s="794"/>
      <c r="K23" s="792"/>
      <c r="M23" s="794"/>
      <c r="S23" s="787" t="s">
        <v>987</v>
      </c>
      <c r="T23" s="795">
        <f>+'Retail Rates'!$H$7*10</f>
        <v>0.5252</v>
      </c>
      <c r="U23" s="795">
        <f>+'Retail Rates'!$H$7*10</f>
        <v>0.5252</v>
      </c>
      <c r="V23" s="795">
        <f>+'Retail Rates'!$H$7*10</f>
        <v>0.5252</v>
      </c>
      <c r="W23" s="795">
        <f>+'Retail Rates'!$H$7*10</f>
        <v>0.5252</v>
      </c>
      <c r="X23" s="795">
        <f>+'Retail Rates'!$H$7*10</f>
        <v>0.5252</v>
      </c>
      <c r="Y23" s="795">
        <f>+'Retail Rates'!$H$7*10</f>
        <v>0.5252</v>
      </c>
      <c r="Z23" s="795">
        <f>+'Retail Rates'!$H$7*10</f>
        <v>0.5252</v>
      </c>
      <c r="AA23" s="795">
        <f>+'Retail Rates'!$H$7*10</f>
        <v>0.5252</v>
      </c>
      <c r="AB23" s="795">
        <f>+'Retail Rates'!$H$7*10</f>
        <v>0.5252</v>
      </c>
      <c r="AC23" s="795">
        <f>+'Retail Rates'!$H$7*10</f>
        <v>0.5252</v>
      </c>
      <c r="AD23" s="795">
        <f>+'Retail Rates'!$H$7*10</f>
        <v>0.5252</v>
      </c>
      <c r="AE23" s="795">
        <f>+'Retail Rates'!$H$7*10</f>
        <v>0.5252</v>
      </c>
      <c r="AK23" s="787" t="s">
        <v>987</v>
      </c>
      <c r="AL23" s="795">
        <f>+'Retail Rates'!$H$48</f>
        <v>0.43</v>
      </c>
      <c r="AM23" s="795">
        <f>+'Retail Rates'!$H$48</f>
        <v>0.43</v>
      </c>
      <c r="AN23" s="795">
        <f>+'Retail Rates'!$H$48</f>
        <v>0.43</v>
      </c>
      <c r="AO23" s="795">
        <f>+'Retail Rates'!$H$48</f>
        <v>0.43</v>
      </c>
      <c r="AP23" s="795">
        <f>+'Retail Rates'!$H$48</f>
        <v>0.43</v>
      </c>
      <c r="AQ23" s="795">
        <f>+'Retail Rates'!$H$48</f>
        <v>0.43</v>
      </c>
      <c r="AR23" s="795">
        <f>+'Retail Rates'!$H$48</f>
        <v>0.43</v>
      </c>
      <c r="AS23" s="795">
        <f>+'Retail Rates'!$H$48</f>
        <v>0.43</v>
      </c>
      <c r="AT23" s="795">
        <f>+'Retail Rates'!$H$48</f>
        <v>0.43</v>
      </c>
      <c r="AU23" s="795">
        <f>+'Retail Rates'!$H$48</f>
        <v>0.43</v>
      </c>
      <c r="AV23" s="795">
        <f>+'Retail Rates'!$H$48</f>
        <v>0.43</v>
      </c>
      <c r="AW23" s="795">
        <f>+'Retail Rates'!$H$48</f>
        <v>0.43</v>
      </c>
    </row>
    <row r="24" spans="1:50" x14ac:dyDescent="0.2">
      <c r="C24" s="773"/>
      <c r="I24" s="792"/>
      <c r="M24" s="792"/>
      <c r="O24" s="792"/>
      <c r="P24" s="792"/>
      <c r="S24" s="787"/>
      <c r="T24" s="771"/>
      <c r="U24" s="780"/>
      <c r="V24" s="779"/>
      <c r="AK24" s="787"/>
      <c r="AL24" s="771"/>
    </row>
    <row r="25" spans="1:50" x14ac:dyDescent="0.2">
      <c r="B25" s="774" t="s">
        <v>1017</v>
      </c>
      <c r="C25" s="773"/>
      <c r="D25" s="773"/>
      <c r="E25" s="804"/>
      <c r="G25" s="805"/>
      <c r="I25" s="806"/>
      <c r="J25" s="807"/>
      <c r="K25" s="808"/>
      <c r="L25" s="807"/>
      <c r="M25" s="806"/>
      <c r="N25" s="807"/>
      <c r="S25" s="787" t="s">
        <v>986</v>
      </c>
      <c r="T25" s="798">
        <f>+'Retail Rates'!$F$7</f>
        <v>275</v>
      </c>
      <c r="U25" s="798">
        <f>+'Retail Rates'!$F$7</f>
        <v>275</v>
      </c>
      <c r="V25" s="798">
        <f>+'Retail Rates'!$F$7</f>
        <v>275</v>
      </c>
      <c r="W25" s="798">
        <f>+'Retail Rates'!$F$7</f>
        <v>275</v>
      </c>
      <c r="X25" s="798">
        <f>+'Retail Rates'!$F$7</f>
        <v>275</v>
      </c>
      <c r="Y25" s="798">
        <f>+'Retail Rates'!$F$7</f>
        <v>275</v>
      </c>
      <c r="Z25" s="798">
        <f>+'Retail Rates'!$F$7</f>
        <v>275</v>
      </c>
      <c r="AA25" s="798">
        <f>+'Retail Rates'!$F$7</f>
        <v>275</v>
      </c>
      <c r="AB25" s="798">
        <f>+'Retail Rates'!$F$7</f>
        <v>275</v>
      </c>
      <c r="AC25" s="798">
        <f>+'Retail Rates'!$F$7</f>
        <v>275</v>
      </c>
      <c r="AD25" s="798">
        <f>+'Retail Rates'!$F$7</f>
        <v>275</v>
      </c>
      <c r="AE25" s="798">
        <f>+'Retail Rates'!$F$7</f>
        <v>275</v>
      </c>
      <c r="AF25" s="810"/>
      <c r="AK25" s="787" t="s">
        <v>990</v>
      </c>
      <c r="AL25" s="798">
        <f>+'Retail Rates'!$F$48</f>
        <v>230</v>
      </c>
      <c r="AM25" s="798">
        <f>+'Retail Rates'!$F$48</f>
        <v>230</v>
      </c>
      <c r="AN25" s="798">
        <f>+'Retail Rates'!$F$48</f>
        <v>230</v>
      </c>
      <c r="AO25" s="798">
        <f>+'Retail Rates'!$F$48</f>
        <v>230</v>
      </c>
      <c r="AP25" s="798">
        <f>+'Retail Rates'!$F$48</f>
        <v>230</v>
      </c>
      <c r="AQ25" s="798">
        <f>+'Retail Rates'!$F$48</f>
        <v>230</v>
      </c>
      <c r="AR25" s="798">
        <f>+'Retail Rates'!$F$48</f>
        <v>230</v>
      </c>
      <c r="AS25" s="798">
        <f>+'Retail Rates'!$F$48</f>
        <v>230</v>
      </c>
      <c r="AT25" s="798">
        <f>+'Retail Rates'!$F$48</f>
        <v>230</v>
      </c>
      <c r="AU25" s="798">
        <f>+'Retail Rates'!$F$48</f>
        <v>230</v>
      </c>
      <c r="AV25" s="798">
        <f>+'Retail Rates'!$F$48</f>
        <v>230</v>
      </c>
      <c r="AW25" s="798">
        <f>+'Retail Rates'!$F$48</f>
        <v>230</v>
      </c>
    </row>
    <row r="26" spans="1:50" x14ac:dyDescent="0.2">
      <c r="C26" s="771" t="s">
        <v>1004</v>
      </c>
      <c r="I26" s="809"/>
      <c r="J26" s="807"/>
      <c r="K26" s="807"/>
      <c r="L26" s="807"/>
      <c r="M26" s="809"/>
      <c r="N26" s="807"/>
      <c r="O26" s="792"/>
      <c r="P26" s="792"/>
      <c r="S26" s="787" t="s">
        <v>6</v>
      </c>
      <c r="T26" s="800">
        <f>ROUND((T21*T23),2)</f>
        <v>779.92</v>
      </c>
      <c r="U26" s="800">
        <f t="shared" ref="U26:AE26" si="7">ROUND((U21*U23),2)</f>
        <v>685.49</v>
      </c>
      <c r="V26" s="800">
        <f t="shared" si="7"/>
        <v>630.45000000000005</v>
      </c>
      <c r="W26" s="800">
        <f t="shared" si="7"/>
        <v>746.89</v>
      </c>
      <c r="X26" s="800">
        <f t="shared" si="7"/>
        <v>587.75</v>
      </c>
      <c r="Y26" s="800">
        <f t="shared" si="7"/>
        <v>644.67999999999995</v>
      </c>
      <c r="Z26" s="800">
        <f t="shared" si="7"/>
        <v>578.92999999999995</v>
      </c>
      <c r="AA26" s="800">
        <f t="shared" si="7"/>
        <v>609.76</v>
      </c>
      <c r="AB26" s="800">
        <f t="shared" si="7"/>
        <v>639.27</v>
      </c>
      <c r="AC26" s="800">
        <f t="shared" si="7"/>
        <v>617.22</v>
      </c>
      <c r="AD26" s="800">
        <f t="shared" si="7"/>
        <v>611.02</v>
      </c>
      <c r="AE26" s="800">
        <f t="shared" si="7"/>
        <v>623.41</v>
      </c>
      <c r="AF26" s="810"/>
      <c r="AK26" s="787" t="s">
        <v>6</v>
      </c>
      <c r="AL26" s="800">
        <f>ROUND((AL22*AL23),2)</f>
        <v>1082.8699999999999</v>
      </c>
      <c r="AM26" s="800">
        <f t="shared" ref="AM26:AW26" si="8">ROUND((AM22*AM23),2)</f>
        <v>739.64</v>
      </c>
      <c r="AN26" s="800">
        <f t="shared" si="8"/>
        <v>901.28</v>
      </c>
      <c r="AO26" s="800">
        <f t="shared" si="8"/>
        <v>851.57</v>
      </c>
      <c r="AP26" s="800">
        <f t="shared" si="8"/>
        <v>806.81</v>
      </c>
      <c r="AQ26" s="800">
        <f t="shared" si="8"/>
        <v>874.15</v>
      </c>
      <c r="AR26" s="800">
        <f t="shared" si="8"/>
        <v>805.69</v>
      </c>
      <c r="AS26" s="800">
        <f t="shared" si="8"/>
        <v>916.03</v>
      </c>
      <c r="AT26" s="800">
        <f t="shared" si="8"/>
        <v>858.75</v>
      </c>
      <c r="AU26" s="800">
        <f t="shared" si="8"/>
        <v>894.44</v>
      </c>
      <c r="AV26" s="800">
        <f t="shared" si="8"/>
        <v>884.38</v>
      </c>
      <c r="AW26" s="800">
        <f t="shared" si="8"/>
        <v>864.64</v>
      </c>
    </row>
    <row r="27" spans="1:50" x14ac:dyDescent="0.2">
      <c r="C27" s="771" t="s">
        <v>1002</v>
      </c>
      <c r="I27" s="807"/>
      <c r="J27" s="807"/>
      <c r="K27" s="807"/>
      <c r="L27" s="807"/>
      <c r="M27" s="807"/>
      <c r="N27" s="807"/>
      <c r="S27" s="787" t="s">
        <v>988</v>
      </c>
      <c r="T27" s="810">
        <f>SUM(T25:T26)</f>
        <v>1054.92</v>
      </c>
      <c r="U27" s="810">
        <f t="shared" ref="U27:AE27" si="9">SUM(U25:U26)</f>
        <v>960.49</v>
      </c>
      <c r="V27" s="810">
        <f t="shared" si="9"/>
        <v>905.45</v>
      </c>
      <c r="W27" s="810">
        <f t="shared" si="9"/>
        <v>1021.89</v>
      </c>
      <c r="X27" s="810">
        <f t="shared" si="9"/>
        <v>862.75</v>
      </c>
      <c r="Y27" s="810">
        <f t="shared" si="9"/>
        <v>919.68</v>
      </c>
      <c r="Z27" s="810">
        <f t="shared" si="9"/>
        <v>853.93</v>
      </c>
      <c r="AA27" s="810">
        <f t="shared" si="9"/>
        <v>884.76</v>
      </c>
      <c r="AB27" s="810">
        <f t="shared" si="9"/>
        <v>914.27</v>
      </c>
      <c r="AC27" s="810">
        <f t="shared" si="9"/>
        <v>892.22</v>
      </c>
      <c r="AD27" s="810">
        <f t="shared" si="9"/>
        <v>886.02</v>
      </c>
      <c r="AE27" s="810">
        <f t="shared" si="9"/>
        <v>898.41</v>
      </c>
      <c r="AF27" s="810">
        <f>SUM(T27:AE27)</f>
        <v>11054.79</v>
      </c>
      <c r="AK27" s="787" t="s">
        <v>999</v>
      </c>
      <c r="AL27" s="810">
        <f t="shared" ref="AL27:AW27" si="10">SUM(AL25:AL26)</f>
        <v>1312.87</v>
      </c>
      <c r="AM27" s="810">
        <f t="shared" si="10"/>
        <v>969.64</v>
      </c>
      <c r="AN27" s="810">
        <f t="shared" si="10"/>
        <v>1131.28</v>
      </c>
      <c r="AO27" s="810">
        <f t="shared" si="10"/>
        <v>1081.5700000000002</v>
      </c>
      <c r="AP27" s="810">
        <f t="shared" si="10"/>
        <v>1036.81</v>
      </c>
      <c r="AQ27" s="810">
        <f t="shared" si="10"/>
        <v>1104.1500000000001</v>
      </c>
      <c r="AR27" s="810">
        <f t="shared" si="10"/>
        <v>1035.69</v>
      </c>
      <c r="AS27" s="810">
        <f t="shared" si="10"/>
        <v>1146.03</v>
      </c>
      <c r="AT27" s="810">
        <f t="shared" si="10"/>
        <v>1088.75</v>
      </c>
      <c r="AU27" s="810">
        <f t="shared" si="10"/>
        <v>1124.44</v>
      </c>
      <c r="AV27" s="810">
        <f t="shared" si="10"/>
        <v>1114.3800000000001</v>
      </c>
      <c r="AW27" s="810">
        <f t="shared" si="10"/>
        <v>1094.6399999999999</v>
      </c>
      <c r="AX27" s="810">
        <f>SUM(AL27:AW27)</f>
        <v>13240.25</v>
      </c>
    </row>
    <row r="28" spans="1:50" x14ac:dyDescent="0.2">
      <c r="I28" s="807"/>
      <c r="J28" s="807"/>
      <c r="K28" s="807"/>
      <c r="L28" s="807"/>
      <c r="M28" s="807"/>
      <c r="N28" s="807"/>
    </row>
    <row r="29" spans="1:50" x14ac:dyDescent="0.2">
      <c r="A29" s="775"/>
      <c r="C29" s="773" t="s">
        <v>1001</v>
      </c>
      <c r="E29" s="791">
        <v>12</v>
      </c>
      <c r="G29" s="803">
        <f>+$AL$15</f>
        <v>170</v>
      </c>
      <c r="H29" s="771" t="s">
        <v>1013</v>
      </c>
      <c r="I29" s="793">
        <f>+E29*G29</f>
        <v>2040</v>
      </c>
      <c r="S29" s="773" t="s">
        <v>996</v>
      </c>
      <c r="T29" s="798">
        <f>+T17+T27</f>
        <v>3160.77</v>
      </c>
      <c r="U29" s="798">
        <f t="shared" ref="U29:AE29" si="11">+U17+U27</f>
        <v>2851.42</v>
      </c>
      <c r="V29" s="798">
        <f t="shared" si="11"/>
        <v>2744.7</v>
      </c>
      <c r="W29" s="798">
        <f t="shared" si="11"/>
        <v>2639.06</v>
      </c>
      <c r="X29" s="798">
        <f t="shared" si="11"/>
        <v>2353.96</v>
      </c>
      <c r="Y29" s="798">
        <f t="shared" si="11"/>
        <v>2551.67</v>
      </c>
      <c r="Z29" s="798">
        <f t="shared" si="11"/>
        <v>2284.21</v>
      </c>
      <c r="AA29" s="798">
        <f t="shared" si="11"/>
        <v>2408.4899999999998</v>
      </c>
      <c r="AB29" s="798">
        <f t="shared" si="11"/>
        <v>2495.3599999999997</v>
      </c>
      <c r="AC29" s="798">
        <f t="shared" si="11"/>
        <v>2444.7600000000002</v>
      </c>
      <c r="AD29" s="798">
        <f t="shared" si="11"/>
        <v>2833.3</v>
      </c>
      <c r="AE29" s="798">
        <f t="shared" si="11"/>
        <v>2955.59</v>
      </c>
      <c r="AF29" s="798">
        <f>+AF17+AF27</f>
        <v>31723.29</v>
      </c>
    </row>
    <row r="30" spans="1:50" ht="13.5" thickBot="1" x14ac:dyDescent="0.25">
      <c r="B30" s="775"/>
      <c r="C30" s="773" t="s">
        <v>1000</v>
      </c>
      <c r="E30" s="788">
        <f>SUM(AL8:AW8)</f>
        <v>11642.599999999999</v>
      </c>
      <c r="F30" s="771" t="s">
        <v>408</v>
      </c>
      <c r="G30" s="805">
        <f>+$AL$12</f>
        <v>1.9021999999999999</v>
      </c>
      <c r="H30" s="771" t="s">
        <v>473</v>
      </c>
      <c r="I30" s="793">
        <f>ROUND(+E30*G30,2)</f>
        <v>22146.55</v>
      </c>
      <c r="K30" s="795">
        <f>+$AL$23</f>
        <v>0.43</v>
      </c>
      <c r="L30" s="771" t="s">
        <v>473</v>
      </c>
      <c r="M30" s="793">
        <f>ROUND(+E30*K30,2)</f>
        <v>5006.32</v>
      </c>
      <c r="AK30" s="773" t="s">
        <v>998</v>
      </c>
      <c r="AL30" s="810">
        <f>+AL27-AL18</f>
        <v>-3800.4400000000005</v>
      </c>
      <c r="AM30" s="810">
        <f t="shared" ref="AM30:AW30" si="12">+AM27-AM18</f>
        <v>-2625.33</v>
      </c>
      <c r="AN30" s="810">
        <f t="shared" si="12"/>
        <v>-3178.7300000000005</v>
      </c>
      <c r="AO30" s="810">
        <f t="shared" si="12"/>
        <v>-2118.35</v>
      </c>
      <c r="AP30" s="810">
        <f t="shared" si="12"/>
        <v>-2017.1399999999999</v>
      </c>
      <c r="AQ30" s="810">
        <f t="shared" si="12"/>
        <v>-2169.38</v>
      </c>
      <c r="AR30" s="810">
        <f t="shared" si="12"/>
        <v>-1984.96</v>
      </c>
      <c r="AS30" s="810">
        <f t="shared" si="12"/>
        <v>-2264.08</v>
      </c>
      <c r="AT30" s="810">
        <f t="shared" si="12"/>
        <v>-2084.58</v>
      </c>
      <c r="AU30" s="810">
        <f t="shared" si="12"/>
        <v>-2215.2799999999997</v>
      </c>
      <c r="AV30" s="810">
        <f t="shared" si="12"/>
        <v>-3120.87</v>
      </c>
      <c r="AW30" s="810">
        <f t="shared" si="12"/>
        <v>-3053.3000000000006</v>
      </c>
      <c r="AX30" s="811">
        <f>SUM(AL30:AW30)</f>
        <v>-30632.439999999995</v>
      </c>
    </row>
    <row r="31" spans="1:50" ht="13.5" thickTop="1" x14ac:dyDescent="0.2">
      <c r="C31" s="773" t="s">
        <v>1018</v>
      </c>
      <c r="E31" s="788">
        <f>SUM(AL9:AW9)</f>
        <v>12730.100000000002</v>
      </c>
      <c r="F31" s="771" t="s">
        <v>408</v>
      </c>
      <c r="G31" s="805">
        <f>+$AO$13</f>
        <v>1.4021999999999999</v>
      </c>
      <c r="H31" s="771" t="s">
        <v>473</v>
      </c>
      <c r="I31" s="793">
        <f>ROUND(+E31*G31,2)</f>
        <v>17850.150000000001</v>
      </c>
      <c r="K31" s="795">
        <f>+$AL$23</f>
        <v>0.43</v>
      </c>
      <c r="L31" s="771" t="s">
        <v>473</v>
      </c>
      <c r="M31" s="793">
        <f>ROUND(+E31*K31,2)</f>
        <v>5473.94</v>
      </c>
      <c r="Q31" s="792"/>
      <c r="R31" s="792"/>
    </row>
    <row r="32" spans="1:50" x14ac:dyDescent="0.2">
      <c r="C32" s="773"/>
      <c r="E32" s="791"/>
      <c r="G32" s="812"/>
      <c r="I32" s="794"/>
      <c r="K32" s="792"/>
      <c r="M32" s="792"/>
      <c r="S32" s="773" t="s">
        <v>989</v>
      </c>
      <c r="AI32" s="792"/>
      <c r="AJ32" s="792"/>
    </row>
    <row r="33" spans="1:34" x14ac:dyDescent="0.2">
      <c r="C33" s="773" t="s">
        <v>660</v>
      </c>
      <c r="E33" s="791">
        <v>12</v>
      </c>
      <c r="G33" s="803">
        <f>+$AL$16</f>
        <v>153</v>
      </c>
      <c r="H33" s="771" t="s">
        <v>1013</v>
      </c>
      <c r="I33" s="802">
        <f>+E33*G33</f>
        <v>1836</v>
      </c>
      <c r="K33" s="803">
        <f>+$AL$25</f>
        <v>230</v>
      </c>
      <c r="L33" s="771" t="s">
        <v>1013</v>
      </c>
      <c r="M33" s="802">
        <f>+K33*E33</f>
        <v>2760</v>
      </c>
      <c r="Q33" s="792"/>
      <c r="R33" s="792"/>
      <c r="S33" s="787" t="s">
        <v>243</v>
      </c>
      <c r="T33" s="788">
        <f>+T10+T21</f>
        <v>2519</v>
      </c>
      <c r="U33" s="788">
        <f t="shared" ref="U33:AE33" si="13">+U10+U21</f>
        <v>2224.4</v>
      </c>
      <c r="V33" s="788">
        <f t="shared" si="13"/>
        <v>2092</v>
      </c>
      <c r="W33" s="788">
        <f t="shared" si="13"/>
        <v>2440.3000000000002</v>
      </c>
      <c r="X33" s="788">
        <f t="shared" si="13"/>
        <v>2045.5</v>
      </c>
      <c r="Y33" s="788">
        <f t="shared" si="13"/>
        <v>2256.5</v>
      </c>
      <c r="Z33" s="788">
        <f t="shared" si="13"/>
        <v>1984.3</v>
      </c>
      <c r="AA33" s="788">
        <f t="shared" si="13"/>
        <v>2111.1</v>
      </c>
      <c r="AB33" s="788">
        <f t="shared" si="13"/>
        <v>2209.1</v>
      </c>
      <c r="AC33" s="788">
        <f t="shared" si="13"/>
        <v>2146.3000000000002</v>
      </c>
      <c r="AD33" s="788">
        <f t="shared" si="13"/>
        <v>2112.6999999999998</v>
      </c>
      <c r="AE33" s="788">
        <f t="shared" si="13"/>
        <v>2195</v>
      </c>
      <c r="AF33" s="790">
        <f>SUM(T33:AE33)</f>
        <v>26336.199999999997</v>
      </c>
    </row>
    <row r="34" spans="1:34" x14ac:dyDescent="0.2">
      <c r="C34" s="773"/>
      <c r="E34" s="791"/>
      <c r="G34" s="792"/>
      <c r="I34" s="794"/>
      <c r="S34" s="787" t="s">
        <v>987</v>
      </c>
      <c r="T34" s="795">
        <f>+'Retail Rates'!$H$48</f>
        <v>0.43</v>
      </c>
      <c r="U34" s="795">
        <f>+'Retail Rates'!$H$48</f>
        <v>0.43</v>
      </c>
      <c r="V34" s="795">
        <f>+'Retail Rates'!$H$48</f>
        <v>0.43</v>
      </c>
      <c r="W34" s="795">
        <f>+'Retail Rates'!$H$48</f>
        <v>0.43</v>
      </c>
      <c r="X34" s="795">
        <f>+'Retail Rates'!$H$48</f>
        <v>0.43</v>
      </c>
      <c r="Y34" s="795">
        <f>+'Retail Rates'!$H$48</f>
        <v>0.43</v>
      </c>
      <c r="Z34" s="795">
        <f>+'Retail Rates'!$H$48</f>
        <v>0.43</v>
      </c>
      <c r="AA34" s="795">
        <f>+'Retail Rates'!$H$48</f>
        <v>0.43</v>
      </c>
      <c r="AB34" s="795">
        <f>+'Retail Rates'!$H$48</f>
        <v>0.43</v>
      </c>
      <c r="AC34" s="795">
        <f>+'Retail Rates'!$H$48</f>
        <v>0.43</v>
      </c>
      <c r="AD34" s="795">
        <f>+'Retail Rates'!$H$48</f>
        <v>0.43</v>
      </c>
      <c r="AE34" s="795">
        <f>+'Retail Rates'!$H$48</f>
        <v>0.43</v>
      </c>
    </row>
    <row r="35" spans="1:34" x14ac:dyDescent="0.2">
      <c r="C35" s="773"/>
      <c r="E35" s="791"/>
      <c r="G35" s="792"/>
      <c r="I35" s="794"/>
      <c r="K35" s="813"/>
      <c r="M35" s="813"/>
      <c r="S35" s="787"/>
      <c r="T35" s="771"/>
    </row>
    <row r="36" spans="1:34" x14ac:dyDescent="0.2">
      <c r="C36" s="773" t="s">
        <v>980</v>
      </c>
      <c r="E36" s="791"/>
      <c r="G36" s="792"/>
      <c r="I36" s="793">
        <f>SUM(I29:I33)</f>
        <v>43872.7</v>
      </c>
      <c r="K36" s="792"/>
      <c r="M36" s="793">
        <f>SUM(M29:M33)</f>
        <v>13240.259999999998</v>
      </c>
      <c r="O36" s="797">
        <f>M36-I36</f>
        <v>-30632.44</v>
      </c>
      <c r="S36" s="787" t="s">
        <v>990</v>
      </c>
      <c r="T36" s="798">
        <f>+'Retail Rates'!$F$48</f>
        <v>230</v>
      </c>
      <c r="U36" s="798">
        <f>+'Retail Rates'!$F$48</f>
        <v>230</v>
      </c>
      <c r="V36" s="798">
        <f>+'Retail Rates'!$F$48</f>
        <v>230</v>
      </c>
      <c r="W36" s="798">
        <f>+'Retail Rates'!$F$48</f>
        <v>230</v>
      </c>
      <c r="X36" s="798">
        <f>+'Retail Rates'!$F$48</f>
        <v>230</v>
      </c>
      <c r="Y36" s="798">
        <f>+'Retail Rates'!$F$48</f>
        <v>230</v>
      </c>
      <c r="Z36" s="798">
        <f>+'Retail Rates'!$F$48</f>
        <v>230</v>
      </c>
      <c r="AA36" s="798">
        <f>+'Retail Rates'!$F$48</f>
        <v>230</v>
      </c>
      <c r="AB36" s="798">
        <f>+'Retail Rates'!$F$48</f>
        <v>230</v>
      </c>
      <c r="AC36" s="798">
        <f>+'Retail Rates'!$F$48</f>
        <v>230</v>
      </c>
      <c r="AD36" s="798">
        <f>+'Retail Rates'!$F$48</f>
        <v>230</v>
      </c>
      <c r="AE36" s="798">
        <f>+'Retail Rates'!$F$48</f>
        <v>230</v>
      </c>
      <c r="AF36" s="810"/>
    </row>
    <row r="37" spans="1:34" x14ac:dyDescent="0.2">
      <c r="C37" s="773"/>
      <c r="E37" s="791"/>
      <c r="G37" s="812"/>
      <c r="I37" s="794"/>
      <c r="S37" s="787" t="s">
        <v>6</v>
      </c>
      <c r="T37" s="800">
        <f>ROUND((T33*T34),2)</f>
        <v>1083.17</v>
      </c>
      <c r="U37" s="800">
        <f t="shared" ref="U37:AE37" si="14">ROUND((U33*U34),2)</f>
        <v>956.49</v>
      </c>
      <c r="V37" s="800">
        <f t="shared" si="14"/>
        <v>899.56</v>
      </c>
      <c r="W37" s="800">
        <f t="shared" si="14"/>
        <v>1049.33</v>
      </c>
      <c r="X37" s="800">
        <f t="shared" si="14"/>
        <v>879.57</v>
      </c>
      <c r="Y37" s="800">
        <f t="shared" si="14"/>
        <v>970.3</v>
      </c>
      <c r="Z37" s="800">
        <f t="shared" si="14"/>
        <v>853.25</v>
      </c>
      <c r="AA37" s="800">
        <f t="shared" si="14"/>
        <v>907.77</v>
      </c>
      <c r="AB37" s="800">
        <f t="shared" si="14"/>
        <v>949.91</v>
      </c>
      <c r="AC37" s="800">
        <f t="shared" si="14"/>
        <v>922.91</v>
      </c>
      <c r="AD37" s="800">
        <f t="shared" si="14"/>
        <v>908.46</v>
      </c>
      <c r="AE37" s="800">
        <f t="shared" si="14"/>
        <v>943.85</v>
      </c>
      <c r="AF37" s="810"/>
    </row>
    <row r="38" spans="1:34" x14ac:dyDescent="0.2">
      <c r="C38" s="773"/>
      <c r="S38" s="787" t="s">
        <v>999</v>
      </c>
      <c r="T38" s="810">
        <f>SUM(T36:T37)</f>
        <v>1313.17</v>
      </c>
      <c r="U38" s="810">
        <f t="shared" ref="U38:AE38" si="15">SUM(U36:U37)</f>
        <v>1186.49</v>
      </c>
      <c r="V38" s="810">
        <f t="shared" si="15"/>
        <v>1129.56</v>
      </c>
      <c r="W38" s="810">
        <f t="shared" si="15"/>
        <v>1279.33</v>
      </c>
      <c r="X38" s="810">
        <f t="shared" si="15"/>
        <v>1109.5700000000002</v>
      </c>
      <c r="Y38" s="810">
        <f t="shared" si="15"/>
        <v>1200.3</v>
      </c>
      <c r="Z38" s="810">
        <f t="shared" si="15"/>
        <v>1083.25</v>
      </c>
      <c r="AA38" s="810">
        <f t="shared" si="15"/>
        <v>1137.77</v>
      </c>
      <c r="AB38" s="810">
        <f t="shared" si="15"/>
        <v>1179.9099999999999</v>
      </c>
      <c r="AC38" s="810">
        <f t="shared" si="15"/>
        <v>1152.9099999999999</v>
      </c>
      <c r="AD38" s="810">
        <f t="shared" si="15"/>
        <v>1138.46</v>
      </c>
      <c r="AE38" s="810">
        <f t="shared" si="15"/>
        <v>1173.8499999999999</v>
      </c>
      <c r="AF38" s="810">
        <f>SUM(T38:AE38)</f>
        <v>14084.569999999998</v>
      </c>
    </row>
    <row r="39" spans="1:34" x14ac:dyDescent="0.2">
      <c r="C39" s="773"/>
      <c r="G39" s="805"/>
      <c r="I39" s="792"/>
      <c r="K39" s="814"/>
      <c r="M39" s="792"/>
    </row>
    <row r="40" spans="1:34" x14ac:dyDescent="0.2">
      <c r="A40" s="775"/>
      <c r="C40" s="773"/>
      <c r="E40" s="806"/>
      <c r="F40" s="807"/>
      <c r="G40" s="815"/>
      <c r="H40" s="807"/>
      <c r="I40" s="809"/>
      <c r="J40" s="807"/>
      <c r="K40" s="816"/>
      <c r="L40" s="807"/>
      <c r="M40" s="809"/>
    </row>
    <row r="41" spans="1:34" ht="13.5" thickBot="1" x14ac:dyDescent="0.25">
      <c r="C41" s="773" t="s">
        <v>981</v>
      </c>
      <c r="I41" s="792"/>
      <c r="O41" s="817">
        <f>SUM(O22:O39)</f>
        <v>-48271.17</v>
      </c>
      <c r="S41" s="773" t="s">
        <v>998</v>
      </c>
      <c r="T41" s="810">
        <f>+T38-T29</f>
        <v>-1847.6</v>
      </c>
      <c r="U41" s="810">
        <f t="shared" ref="U41:AE41" si="16">+U38-U29</f>
        <v>-1664.93</v>
      </c>
      <c r="V41" s="810">
        <f t="shared" si="16"/>
        <v>-1615.1399999999999</v>
      </c>
      <c r="W41" s="810">
        <f t="shared" si="16"/>
        <v>-1359.73</v>
      </c>
      <c r="X41" s="810">
        <f t="shared" si="16"/>
        <v>-1244.3899999999999</v>
      </c>
      <c r="Y41" s="810">
        <f t="shared" si="16"/>
        <v>-1351.3700000000001</v>
      </c>
      <c r="Z41" s="810">
        <f t="shared" si="16"/>
        <v>-1200.96</v>
      </c>
      <c r="AA41" s="810">
        <f t="shared" si="16"/>
        <v>-1270.7199999999998</v>
      </c>
      <c r="AB41" s="810">
        <f t="shared" si="16"/>
        <v>-1315.4499999999998</v>
      </c>
      <c r="AC41" s="810">
        <f t="shared" si="16"/>
        <v>-1291.8500000000004</v>
      </c>
      <c r="AD41" s="810">
        <f t="shared" si="16"/>
        <v>-1694.8400000000001</v>
      </c>
      <c r="AE41" s="810">
        <f t="shared" si="16"/>
        <v>-1781.7400000000002</v>
      </c>
      <c r="AF41" s="811">
        <f>SUM(T41:AE41)</f>
        <v>-17638.719999999998</v>
      </c>
    </row>
    <row r="42" spans="1:34" ht="13.5" thickTop="1" x14ac:dyDescent="0.2">
      <c r="C42" s="773"/>
      <c r="G42" s="812"/>
      <c r="K42" s="814"/>
      <c r="M42" s="792"/>
    </row>
    <row r="43" spans="1:34" x14ac:dyDescent="0.2">
      <c r="C43" s="773"/>
    </row>
    <row r="44" spans="1:34" x14ac:dyDescent="0.2">
      <c r="M44" s="792"/>
      <c r="O44" s="792"/>
      <c r="P44" s="792"/>
    </row>
    <row r="45" spans="1:34" x14ac:dyDescent="0.2">
      <c r="AH45" s="792"/>
    </row>
    <row r="48" spans="1:34" x14ac:dyDescent="0.2">
      <c r="O48" s="792"/>
      <c r="P48" s="792"/>
    </row>
    <row r="49" spans="17:52" x14ac:dyDescent="0.2">
      <c r="AH49" s="792"/>
      <c r="AL49" s="790"/>
      <c r="AM49" s="790"/>
      <c r="AN49" s="790"/>
      <c r="AO49" s="790"/>
      <c r="AP49" s="790"/>
      <c r="AQ49" s="790"/>
      <c r="AR49" s="790"/>
      <c r="AS49" s="790"/>
      <c r="AT49" s="790"/>
      <c r="AU49" s="790"/>
      <c r="AV49" s="790"/>
      <c r="AW49" s="790"/>
      <c r="AX49" s="790"/>
      <c r="AY49" s="790"/>
      <c r="AZ49" s="790"/>
    </row>
    <row r="51" spans="17:52" x14ac:dyDescent="0.2">
      <c r="Q51" s="792"/>
      <c r="R51" s="792"/>
    </row>
    <row r="52" spans="17:52" x14ac:dyDescent="0.2">
      <c r="AI52" s="792"/>
      <c r="AJ52" s="792"/>
    </row>
    <row r="55" spans="17:52" x14ac:dyDescent="0.2">
      <c r="Q55" s="792"/>
      <c r="R55" s="792"/>
    </row>
    <row r="56" spans="17:52" x14ac:dyDescent="0.2">
      <c r="AI56" s="792"/>
      <c r="AJ56" s="792"/>
    </row>
  </sheetData>
  <mergeCells count="2">
    <mergeCell ref="G1:I1"/>
    <mergeCell ref="K1:M1"/>
  </mergeCells>
  <pageMargins left="0.7" right="0.7" top="1.5" bottom="0.75" header="1" footer="0.55000000000000004"/>
  <pageSetup scale="65" fitToWidth="3" orientation="landscape" r:id="rId1"/>
  <headerFooter>
    <oddHeader xml:space="preserve">&amp;L&amp;"Times New Roman,Bold"&amp;12Louisville Gas and Electric Company
Adjustment to Reflect Rate Switching
For 12-months Ended March 31, 2012
</oddHeader>
    <oddFooter>&amp;R&amp;"Times New Roman,Bold"&amp;12Conroy Exhibit P10
Page &amp;P of &amp;N</oddFooter>
  </headerFooter>
  <colBreaks count="2" manualBreakCount="2">
    <brk id="15" max="45" man="1"/>
    <brk id="33" max="4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39997558519241921"/>
  </sheetPr>
  <dimension ref="A1:AE88"/>
  <sheetViews>
    <sheetView zoomScaleNormal="100" zoomScaleSheetLayoutView="90" workbookViewId="0"/>
  </sheetViews>
  <sheetFormatPr defaultRowHeight="15" x14ac:dyDescent="0.25"/>
  <cols>
    <col min="1" max="1" width="4.5703125" style="419" customWidth="1"/>
    <col min="2" max="2" width="3.85546875" style="419" customWidth="1"/>
    <col min="3" max="3" width="9.140625" style="419"/>
    <col min="4" max="4" width="36" style="419" customWidth="1"/>
    <col min="5" max="5" width="16.7109375" style="419" customWidth="1"/>
    <col min="6" max="6" width="15.140625" style="419" bestFit="1" customWidth="1"/>
    <col min="7" max="7" width="14.7109375" style="419" bestFit="1" customWidth="1"/>
    <col min="8" max="8" width="14.85546875" style="419" bestFit="1" customWidth="1"/>
    <col min="9" max="9" width="15" style="419" bestFit="1" customWidth="1"/>
    <col min="10" max="10" width="14.5703125" style="419" bestFit="1" customWidth="1"/>
    <col min="11" max="12" width="15.140625" style="419" bestFit="1" customWidth="1"/>
    <col min="13" max="13" width="16.42578125" style="419" customWidth="1"/>
    <col min="14" max="14" width="17.7109375" style="419" customWidth="1"/>
    <col min="15" max="15" width="19" style="419" customWidth="1"/>
    <col min="16" max="16" width="17.42578125" style="419" customWidth="1"/>
    <col min="17" max="17" width="15.42578125" style="419" customWidth="1"/>
    <col min="18" max="18" width="16.28515625" style="419" customWidth="1"/>
    <col min="19" max="19" width="17.85546875" style="419" customWidth="1"/>
    <col min="20" max="20" width="13.85546875" style="419" customWidth="1"/>
    <col min="21" max="21" width="15.140625" style="419" bestFit="1" customWidth="1"/>
    <col min="22" max="22" width="15" style="419" bestFit="1" customWidth="1"/>
    <col min="23" max="23" width="16.42578125" style="419" customWidth="1"/>
    <col min="24" max="24" width="16.28515625" style="419" customWidth="1"/>
    <col min="25" max="25" width="17.85546875" style="419" customWidth="1"/>
    <col min="26" max="26" width="11.7109375" style="419" customWidth="1"/>
    <col min="27" max="28" width="16.140625" style="419" customWidth="1"/>
    <col min="29" max="29" width="13.5703125" style="419" customWidth="1"/>
    <col min="30" max="30" width="15.5703125" style="419" customWidth="1"/>
    <col min="31" max="31" width="13.140625" style="419" customWidth="1"/>
    <col min="32" max="16384" width="9.140625" style="419"/>
  </cols>
  <sheetData>
    <row r="1" spans="1:31" x14ac:dyDescent="0.25">
      <c r="E1" s="313">
        <v>40909</v>
      </c>
      <c r="F1" s="313">
        <v>40940</v>
      </c>
      <c r="G1" s="313">
        <v>40940</v>
      </c>
      <c r="H1" s="313"/>
      <c r="I1" s="313">
        <v>40969</v>
      </c>
      <c r="J1" s="313">
        <v>40634</v>
      </c>
      <c r="K1" s="313">
        <v>40664</v>
      </c>
      <c r="L1" s="313">
        <v>40664</v>
      </c>
      <c r="M1" s="313"/>
      <c r="N1" s="313">
        <v>40695</v>
      </c>
      <c r="O1" s="313">
        <v>40725</v>
      </c>
      <c r="P1" s="313">
        <v>40756</v>
      </c>
      <c r="Q1" s="313">
        <v>40756</v>
      </c>
      <c r="R1" s="313"/>
      <c r="S1" s="313">
        <v>40787</v>
      </c>
      <c r="T1" s="313">
        <v>40817</v>
      </c>
      <c r="U1" s="313">
        <v>40848</v>
      </c>
      <c r="V1" s="313">
        <v>40848</v>
      </c>
      <c r="W1" s="313"/>
      <c r="X1" s="313">
        <v>40878</v>
      </c>
      <c r="Y1" s="314"/>
    </row>
    <row r="2" spans="1:31" x14ac:dyDescent="0.25">
      <c r="E2" s="313">
        <v>40909</v>
      </c>
      <c r="F2" s="629" t="s">
        <v>389</v>
      </c>
      <c r="G2" s="629" t="s">
        <v>390</v>
      </c>
      <c r="H2" s="313">
        <v>40940</v>
      </c>
      <c r="I2" s="313">
        <v>40969</v>
      </c>
      <c r="J2" s="313">
        <v>40634</v>
      </c>
      <c r="K2" s="629" t="s">
        <v>391</v>
      </c>
      <c r="L2" s="629" t="s">
        <v>391</v>
      </c>
      <c r="M2" s="313">
        <v>40664</v>
      </c>
      <c r="N2" s="313">
        <v>40695</v>
      </c>
      <c r="O2" s="313">
        <v>40725</v>
      </c>
      <c r="P2" s="629" t="s">
        <v>392</v>
      </c>
      <c r="Q2" s="629" t="s">
        <v>392</v>
      </c>
      <c r="R2" s="313">
        <v>40756</v>
      </c>
      <c r="S2" s="313">
        <v>40787</v>
      </c>
      <c r="T2" s="313">
        <v>40817</v>
      </c>
      <c r="U2" s="629" t="s">
        <v>393</v>
      </c>
      <c r="V2" s="629" t="s">
        <v>393</v>
      </c>
      <c r="W2" s="313">
        <v>40848</v>
      </c>
      <c r="X2" s="313">
        <v>40878</v>
      </c>
      <c r="Y2" s="631" t="s">
        <v>394</v>
      </c>
    </row>
    <row r="3" spans="1:31" x14ac:dyDescent="0.25">
      <c r="E3" s="630" t="s">
        <v>395</v>
      </c>
      <c r="F3" s="630" t="s">
        <v>396</v>
      </c>
      <c r="G3" s="630" t="s">
        <v>397</v>
      </c>
      <c r="H3" s="630" t="s">
        <v>395</v>
      </c>
      <c r="I3" s="630" t="s">
        <v>395</v>
      </c>
      <c r="J3" s="630" t="s">
        <v>395</v>
      </c>
      <c r="K3" s="630" t="s">
        <v>396</v>
      </c>
      <c r="L3" s="630" t="s">
        <v>397</v>
      </c>
      <c r="M3" s="630" t="s">
        <v>395</v>
      </c>
      <c r="N3" s="630" t="s">
        <v>395</v>
      </c>
      <c r="O3" s="630" t="s">
        <v>395</v>
      </c>
      <c r="P3" s="630" t="s">
        <v>396</v>
      </c>
      <c r="Q3" s="630" t="s">
        <v>397</v>
      </c>
      <c r="R3" s="630" t="s">
        <v>395</v>
      </c>
      <c r="S3" s="630" t="s">
        <v>395</v>
      </c>
      <c r="T3" s="630" t="s">
        <v>395</v>
      </c>
      <c r="U3" s="630" t="s">
        <v>396</v>
      </c>
      <c r="V3" s="630" t="s">
        <v>397</v>
      </c>
      <c r="W3" s="630" t="s">
        <v>395</v>
      </c>
      <c r="X3" s="630" t="s">
        <v>395</v>
      </c>
      <c r="Y3" s="632">
        <v>40999</v>
      </c>
    </row>
    <row r="5" spans="1:31" x14ac:dyDescent="0.25">
      <c r="D5" s="300" t="s">
        <v>353</v>
      </c>
      <c r="E5" s="417">
        <f>+'GSC-DSM Factors'!N18</f>
        <v>5.1601999999999997</v>
      </c>
      <c r="F5" s="417">
        <f>+E5</f>
        <v>5.1601999999999997</v>
      </c>
      <c r="G5" s="417">
        <f>+'GSC-DSM Factors'!N16</f>
        <v>4.7423000000000002</v>
      </c>
      <c r="H5" s="417" t="s">
        <v>399</v>
      </c>
      <c r="I5" s="417">
        <f>+'GSC-DSM Factors'!N14</f>
        <v>4.7423000000000002</v>
      </c>
      <c r="J5" s="417">
        <f>+'GSC-DSM Factors'!N36</f>
        <v>5.2720000000000002</v>
      </c>
      <c r="K5" s="417">
        <f>+J5</f>
        <v>5.2720000000000002</v>
      </c>
      <c r="L5" s="417">
        <f>+'GSC-DSM Factors'!N34</f>
        <v>5.6143000000000001</v>
      </c>
      <c r="M5" s="417" t="s">
        <v>399</v>
      </c>
      <c r="N5" s="417">
        <f>+'GSC-DSM Factors'!N32</f>
        <v>5.6143000000000001</v>
      </c>
      <c r="O5" s="417">
        <f>+'GSC-DSM Factors'!N30</f>
        <v>5.6143000000000001</v>
      </c>
      <c r="P5" s="417">
        <f>+O5</f>
        <v>5.6143000000000001</v>
      </c>
      <c r="Q5" s="417">
        <f>+'GSC-DSM Factors'!N28</f>
        <v>5.6049999999999995</v>
      </c>
      <c r="R5" s="417" t="s">
        <v>399</v>
      </c>
      <c r="S5" s="417">
        <f>+'GSC-DSM Factors'!N26</f>
        <v>5.6049999999999995</v>
      </c>
      <c r="T5" s="417">
        <f>+'GSC-DSM Factors'!N24</f>
        <v>5.6049999999999995</v>
      </c>
      <c r="U5" s="417">
        <f>+T5</f>
        <v>5.6049999999999995</v>
      </c>
      <c r="V5" s="417">
        <f>+'GSC-DSM Factors'!N22</f>
        <v>5.1601999999999997</v>
      </c>
      <c r="W5" s="417" t="s">
        <v>399</v>
      </c>
      <c r="X5" s="417">
        <f>+'GSC-DSM Factors'!N20</f>
        <v>5.1601999999999997</v>
      </c>
    </row>
    <row r="6" spans="1:31" x14ac:dyDescent="0.25">
      <c r="D6" s="300" t="s">
        <v>354</v>
      </c>
      <c r="E6" s="417">
        <v>0.82269999999999999</v>
      </c>
      <c r="F6" s="417"/>
      <c r="G6" s="417"/>
      <c r="H6" s="417">
        <v>0.87660000000000005</v>
      </c>
      <c r="I6" s="417">
        <v>0.87660000000000005</v>
      </c>
      <c r="J6" s="417">
        <v>0.88390000000000002</v>
      </c>
      <c r="K6" s="417"/>
      <c r="L6" s="417"/>
      <c r="M6" s="417">
        <v>0.88229999999999997</v>
      </c>
      <c r="N6" s="417">
        <v>0.88229999999999997</v>
      </c>
      <c r="O6" s="417">
        <v>0.88229999999999997</v>
      </c>
      <c r="P6" s="417"/>
      <c r="Q6" s="417"/>
      <c r="R6" s="417">
        <v>0.87829999999999997</v>
      </c>
      <c r="S6" s="417">
        <v>0.87829999999999997</v>
      </c>
      <c r="T6" s="417">
        <v>0.87829999999999997</v>
      </c>
      <c r="U6" s="417"/>
      <c r="V6" s="417"/>
      <c r="W6" s="417">
        <v>0.82269999999999999</v>
      </c>
      <c r="X6" s="417">
        <v>0.82269999999999999</v>
      </c>
    </row>
    <row r="7" spans="1:31" x14ac:dyDescent="0.25">
      <c r="D7" s="300" t="s">
        <v>355</v>
      </c>
      <c r="E7" s="417">
        <v>0.17199999999999999</v>
      </c>
      <c r="F7" s="417"/>
      <c r="G7" s="417"/>
      <c r="H7" s="417">
        <v>0.17219999999999999</v>
      </c>
      <c r="I7" s="417">
        <v>0.17219999999999999</v>
      </c>
      <c r="J7" s="417">
        <v>0.1847</v>
      </c>
      <c r="K7" s="417"/>
      <c r="L7" s="417"/>
      <c r="M7" s="417">
        <v>0.185</v>
      </c>
      <c r="N7" s="417">
        <v>0.185</v>
      </c>
      <c r="O7" s="417">
        <v>0.185</v>
      </c>
      <c r="P7" s="417"/>
      <c r="Q7" s="417"/>
      <c r="R7" s="417">
        <v>0.18459999999999999</v>
      </c>
      <c r="S7" s="417">
        <v>0.18459999999999999</v>
      </c>
      <c r="T7" s="417">
        <v>0.18459999999999999</v>
      </c>
      <c r="U7" s="417"/>
      <c r="V7" s="417"/>
      <c r="W7" s="417">
        <v>0.17199999999999999</v>
      </c>
      <c r="X7" s="417">
        <v>0.17199999999999999</v>
      </c>
    </row>
    <row r="8" spans="1:31" x14ac:dyDescent="0.25">
      <c r="A8" s="623"/>
      <c r="B8" s="624"/>
      <c r="D8" s="300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  <c r="U8" s="417"/>
      <c r="V8" s="417"/>
      <c r="W8" s="417"/>
      <c r="X8" s="417"/>
    </row>
    <row r="9" spans="1:31" x14ac:dyDescent="0.25">
      <c r="A9" s="623"/>
      <c r="B9" s="624"/>
      <c r="D9" s="300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417"/>
      <c r="Q9" s="417"/>
      <c r="R9" s="417"/>
      <c r="S9" s="417"/>
      <c r="T9" s="417"/>
      <c r="U9" s="417"/>
      <c r="V9" s="417"/>
      <c r="W9" s="417"/>
      <c r="X9" s="417"/>
    </row>
    <row r="10" spans="1:31" x14ac:dyDescent="0.25">
      <c r="A10" s="623"/>
      <c r="B10" s="624"/>
      <c r="D10" s="300"/>
      <c r="E10" s="428"/>
      <c r="H10" s="428"/>
      <c r="I10" s="428"/>
      <c r="J10" s="428"/>
      <c r="M10" s="428"/>
      <c r="N10" s="428"/>
      <c r="O10" s="428"/>
      <c r="R10" s="428"/>
      <c r="S10" s="428"/>
      <c r="T10" s="428"/>
      <c r="W10" s="428"/>
      <c r="X10" s="428"/>
      <c r="Y10" s="428"/>
    </row>
    <row r="11" spans="1:31" x14ac:dyDescent="0.25">
      <c r="A11" s="623"/>
      <c r="B11" s="624"/>
      <c r="D11" s="301" t="s">
        <v>356</v>
      </c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31" x14ac:dyDescent="0.25">
      <c r="A12" s="623"/>
      <c r="B12" s="624"/>
      <c r="D12" s="625" t="s">
        <v>379</v>
      </c>
      <c r="E12" s="427">
        <f>+E$5*E49+854.19</f>
        <v>17786843.71872</v>
      </c>
      <c r="F12" s="427">
        <f>+F$5*F49-17426.54</f>
        <v>9121676.7390800007</v>
      </c>
      <c r="G12" s="427">
        <f>+G$5*G49+226.1</f>
        <v>7229519.1074800007</v>
      </c>
      <c r="H12" s="427">
        <f>+F12+G12</f>
        <v>16351195.846560001</v>
      </c>
      <c r="I12" s="427">
        <f>+I$5*I49+280.03</f>
        <v>10607435.553760001</v>
      </c>
      <c r="J12" s="427">
        <f>+J$5*J49+681.8</f>
        <v>9290368.6144000012</v>
      </c>
      <c r="K12" s="427">
        <f>+K$5*K49+1150.72</f>
        <v>2438151.6992000001</v>
      </c>
      <c r="L12" s="427">
        <f>+L$5*L49-230.49</f>
        <v>2245743.8377899998</v>
      </c>
      <c r="M12" s="427">
        <f>+K12+L12</f>
        <v>4683895.5369899999</v>
      </c>
      <c r="N12" s="427">
        <f>+N$5*N49+615.59</f>
        <v>3050957.9773799996</v>
      </c>
      <c r="O12" s="427">
        <f>+O$5*O49+358.43</f>
        <v>2155269.3732200004</v>
      </c>
      <c r="P12" s="427">
        <f>+P$5*P49+65.15</f>
        <v>999111.30781000014</v>
      </c>
      <c r="Q12" s="427">
        <f>+Q$5*Q49-167.74</f>
        <v>1014992.4844999999</v>
      </c>
      <c r="R12" s="427">
        <f>+P12+Q12</f>
        <v>2014103.7923099999</v>
      </c>
      <c r="S12" s="427">
        <f>+S$5*S49-79.29</f>
        <v>2198759.9679999999</v>
      </c>
      <c r="T12" s="427">
        <f>+T$5*T49+197.18</f>
        <v>3220061.1740000001</v>
      </c>
      <c r="U12" s="427">
        <f>+U$5*U49-2956.57</f>
        <v>3596105.2915000003</v>
      </c>
      <c r="V12" s="427">
        <f>+V$5*V49-160.02</f>
        <v>3386914.24486</v>
      </c>
      <c r="W12" s="427">
        <f>+U12+V12</f>
        <v>6983019.5363600003</v>
      </c>
      <c r="X12" s="427">
        <f>+X$5*X49+2231.55</f>
        <v>11872575.53902</v>
      </c>
      <c r="Y12" s="427">
        <f t="shared" ref="Y12:Y33" si="0">+E12+H12+I12+J12+M12+N12+O12+R12+S12+T12+W12+X12</f>
        <v>90214486.63071999</v>
      </c>
      <c r="AA12" s="428"/>
    </row>
    <row r="13" spans="1:31" x14ac:dyDescent="0.25">
      <c r="A13" s="623"/>
      <c r="B13" s="624"/>
      <c r="D13" s="303" t="s">
        <v>357</v>
      </c>
      <c r="E13" s="424">
        <f t="shared" ref="E13:X13" si="1">+E12</f>
        <v>17786843.71872</v>
      </c>
      <c r="F13" s="424">
        <f t="shared" si="1"/>
        <v>9121676.7390800007</v>
      </c>
      <c r="G13" s="424">
        <f t="shared" si="1"/>
        <v>7229519.1074800007</v>
      </c>
      <c r="H13" s="424">
        <f t="shared" si="1"/>
        <v>16351195.846560001</v>
      </c>
      <c r="I13" s="424">
        <f t="shared" si="1"/>
        <v>10607435.553760001</v>
      </c>
      <c r="J13" s="424">
        <f t="shared" si="1"/>
        <v>9290368.6144000012</v>
      </c>
      <c r="K13" s="424">
        <f t="shared" si="1"/>
        <v>2438151.6992000001</v>
      </c>
      <c r="L13" s="424">
        <f t="shared" si="1"/>
        <v>2245743.8377899998</v>
      </c>
      <c r="M13" s="424">
        <f t="shared" si="1"/>
        <v>4683895.5369899999</v>
      </c>
      <c r="N13" s="424">
        <f t="shared" si="1"/>
        <v>3050957.9773799996</v>
      </c>
      <c r="O13" s="424">
        <f t="shared" si="1"/>
        <v>2155269.3732200004</v>
      </c>
      <c r="P13" s="424">
        <f t="shared" si="1"/>
        <v>999111.30781000014</v>
      </c>
      <c r="Q13" s="424">
        <f t="shared" si="1"/>
        <v>1014992.4844999999</v>
      </c>
      <c r="R13" s="424">
        <f t="shared" si="1"/>
        <v>2014103.7923099999</v>
      </c>
      <c r="S13" s="424">
        <f t="shared" si="1"/>
        <v>2198759.9679999999</v>
      </c>
      <c r="T13" s="424">
        <f t="shared" si="1"/>
        <v>3220061.1740000001</v>
      </c>
      <c r="U13" s="424">
        <f t="shared" si="1"/>
        <v>3596105.2915000003</v>
      </c>
      <c r="V13" s="424">
        <f t="shared" si="1"/>
        <v>3386914.24486</v>
      </c>
      <c r="W13" s="424">
        <f t="shared" si="1"/>
        <v>6983019.5363600003</v>
      </c>
      <c r="X13" s="424">
        <f t="shared" si="1"/>
        <v>11872575.53902</v>
      </c>
      <c r="Y13" s="427">
        <f t="shared" si="0"/>
        <v>90214486.63071999</v>
      </c>
      <c r="AB13" s="428"/>
      <c r="AC13" s="429"/>
      <c r="AD13" s="428"/>
      <c r="AE13" s="428"/>
    </row>
    <row r="14" spans="1:31" x14ac:dyDescent="0.25">
      <c r="A14" s="623"/>
      <c r="B14" s="624"/>
      <c r="D14" s="302" t="s">
        <v>358</v>
      </c>
      <c r="E14" s="430">
        <f>+E$5*E51-29.61</f>
        <v>8377135.5657399986</v>
      </c>
      <c r="F14" s="430">
        <f>+F$5*F51-1537.35</f>
        <v>4213447.6591800004</v>
      </c>
      <c r="G14" s="430">
        <f>+G$5*G51+270.43</f>
        <v>3328824.4078000002</v>
      </c>
      <c r="H14" s="430">
        <f>+F14+G14</f>
        <v>7542272.0669800006</v>
      </c>
      <c r="I14" s="430">
        <f>+I$5*I51+4286.38</f>
        <v>5305663.2404500004</v>
      </c>
      <c r="J14" s="430">
        <f>+J$5*J51-122.05</f>
        <v>4612382.3820000002</v>
      </c>
      <c r="K14" s="430">
        <f>+K$5*K51+100.46</f>
        <v>1407272.6495999999</v>
      </c>
      <c r="L14" s="430">
        <f>+L$5*L51-20.14</f>
        <v>1191115.3623000002</v>
      </c>
      <c r="M14" s="430">
        <f>+K14+L14</f>
        <v>2598388.0119000003</v>
      </c>
      <c r="N14" s="430">
        <f>+N$5*N51-384.11</f>
        <v>1908811.9408499999</v>
      </c>
      <c r="O14" s="430">
        <f>+O$5*O51-469.07</f>
        <v>1539171.2976499998</v>
      </c>
      <c r="P14" s="430">
        <f>+P$5*P51+122.23</f>
        <v>779882.25125999993</v>
      </c>
      <c r="Q14" s="430">
        <f>+Q$5*Q51-4.79</f>
        <v>689311.56199999992</v>
      </c>
      <c r="R14" s="430">
        <f>+P14+Q14</f>
        <v>1469193.8132599997</v>
      </c>
      <c r="S14" s="430">
        <f>+S$5*S51-119.12</f>
        <v>1727577.2899999998</v>
      </c>
      <c r="T14" s="430">
        <f>+T$5*T51-293.47</f>
        <v>2096443.987</v>
      </c>
      <c r="U14" s="430">
        <f>+U$5*U51-8730.76</f>
        <v>1705239.0049999999</v>
      </c>
      <c r="V14" s="430">
        <f>+V$5*V51-5440.66</f>
        <v>1467969.3067000001</v>
      </c>
      <c r="W14" s="430">
        <f>+U14+V14</f>
        <v>3173208.3117</v>
      </c>
      <c r="X14" s="430">
        <f>+X$5*X51+2911.31</f>
        <v>5564136.2529999996</v>
      </c>
      <c r="Y14" s="430">
        <f t="shared" si="0"/>
        <v>45914384.160530001</v>
      </c>
      <c r="AB14" s="428"/>
      <c r="AC14" s="429"/>
      <c r="AD14" s="428"/>
    </row>
    <row r="15" spans="1:31" x14ac:dyDescent="0.25">
      <c r="A15" s="623"/>
      <c r="B15" s="624"/>
      <c r="D15" s="304" t="s">
        <v>359</v>
      </c>
      <c r="E15" s="425">
        <f>+E52*E$6</f>
        <v>0</v>
      </c>
      <c r="F15" s="425"/>
      <c r="G15" s="425"/>
      <c r="H15" s="425">
        <f>+H52*H$6</f>
        <v>0</v>
      </c>
      <c r="I15" s="425">
        <f>+I52*I$6</f>
        <v>0</v>
      </c>
      <c r="J15" s="425">
        <f>+J52*J$6</f>
        <v>0</v>
      </c>
      <c r="K15" s="425"/>
      <c r="L15" s="425"/>
      <c r="M15" s="425">
        <f>+M52*M$6</f>
        <v>0</v>
      </c>
      <c r="N15" s="425">
        <f>+N52*N$6</f>
        <v>0</v>
      </c>
      <c r="O15" s="425">
        <f>+O52*O$6</f>
        <v>0</v>
      </c>
      <c r="P15" s="425"/>
      <c r="Q15" s="425"/>
      <c r="R15" s="425">
        <f>+R52*R$6</f>
        <v>0</v>
      </c>
      <c r="S15" s="425">
        <f>+S52*S$6</f>
        <v>0</v>
      </c>
      <c r="T15" s="425">
        <f>+T52*T$6</f>
        <v>0</v>
      </c>
      <c r="U15" s="425"/>
      <c r="V15" s="425"/>
      <c r="W15" s="425">
        <f>+W52*W$6</f>
        <v>0</v>
      </c>
      <c r="X15" s="425">
        <f>+X52*X$6</f>
        <v>0</v>
      </c>
      <c r="Y15" s="427">
        <f t="shared" si="0"/>
        <v>0</v>
      </c>
      <c r="AB15" s="428"/>
      <c r="AC15" s="431"/>
      <c r="AD15" s="428"/>
      <c r="AE15" s="428"/>
    </row>
    <row r="16" spans="1:31" x14ac:dyDescent="0.25">
      <c r="A16" s="623"/>
      <c r="B16" s="624"/>
      <c r="D16" s="303" t="s">
        <v>360</v>
      </c>
      <c r="E16" s="424">
        <f>+E14+E15</f>
        <v>8377135.5657399986</v>
      </c>
      <c r="F16" s="424">
        <f t="shared" ref="F16:X16" si="2">+F14+F15</f>
        <v>4213447.6591800004</v>
      </c>
      <c r="G16" s="424">
        <f t="shared" si="2"/>
        <v>3328824.4078000002</v>
      </c>
      <c r="H16" s="424">
        <f t="shared" si="2"/>
        <v>7542272.0669800006</v>
      </c>
      <c r="I16" s="424">
        <f t="shared" si="2"/>
        <v>5305663.2404500004</v>
      </c>
      <c r="J16" s="424">
        <f t="shared" si="2"/>
        <v>4612382.3820000002</v>
      </c>
      <c r="K16" s="424">
        <f t="shared" si="2"/>
        <v>1407272.6495999999</v>
      </c>
      <c r="L16" s="424">
        <f t="shared" si="2"/>
        <v>1191115.3623000002</v>
      </c>
      <c r="M16" s="424">
        <f t="shared" si="2"/>
        <v>2598388.0119000003</v>
      </c>
      <c r="N16" s="424">
        <f t="shared" si="2"/>
        <v>1908811.9408499999</v>
      </c>
      <c r="O16" s="424">
        <f t="shared" si="2"/>
        <v>1539171.2976499998</v>
      </c>
      <c r="P16" s="424">
        <f t="shared" si="2"/>
        <v>779882.25125999993</v>
      </c>
      <c r="Q16" s="424">
        <f t="shared" si="2"/>
        <v>689311.56199999992</v>
      </c>
      <c r="R16" s="424">
        <f t="shared" si="2"/>
        <v>1469193.8132599997</v>
      </c>
      <c r="S16" s="424">
        <f t="shared" si="2"/>
        <v>1727577.2899999998</v>
      </c>
      <c r="T16" s="424">
        <f t="shared" si="2"/>
        <v>2096443.987</v>
      </c>
      <c r="U16" s="424">
        <f t="shared" si="2"/>
        <v>1705239.0049999999</v>
      </c>
      <c r="V16" s="424">
        <f t="shared" si="2"/>
        <v>1467969.3067000001</v>
      </c>
      <c r="W16" s="424">
        <f t="shared" si="2"/>
        <v>3173208.3117</v>
      </c>
      <c r="X16" s="424">
        <f t="shared" si="2"/>
        <v>5564136.2529999996</v>
      </c>
      <c r="Y16" s="427">
        <f t="shared" si="0"/>
        <v>45914384.160530001</v>
      </c>
      <c r="AB16" s="428"/>
      <c r="AC16" s="429"/>
      <c r="AD16" s="428"/>
    </row>
    <row r="17" spans="1:31" x14ac:dyDescent="0.25">
      <c r="A17" s="623"/>
      <c r="B17" s="624"/>
      <c r="D17" s="302" t="s">
        <v>361</v>
      </c>
      <c r="E17" s="430">
        <f>+E$5*E54</f>
        <v>574890.65772000002</v>
      </c>
      <c r="F17" s="430">
        <f>+F$5*F54</f>
        <v>223111.05137999999</v>
      </c>
      <c r="G17" s="430">
        <f>+G$5*G54+536.4</f>
        <v>309446.97662000003</v>
      </c>
      <c r="H17" s="430">
        <f>+F17+G17</f>
        <v>532558.02800000005</v>
      </c>
      <c r="I17" s="430">
        <f>+I$5*I54-444.03</f>
        <v>393979.22599000001</v>
      </c>
      <c r="J17" s="430">
        <f>+J$5*J54-124.37</f>
        <v>369789.20040000003</v>
      </c>
      <c r="K17" s="430">
        <f>+K$5*K54</f>
        <v>109945.97840000001</v>
      </c>
      <c r="L17" s="430">
        <f>+L$5*L54</f>
        <v>154136.11505999998</v>
      </c>
      <c r="M17" s="430">
        <f>+K17+L17</f>
        <v>264082.09346</v>
      </c>
      <c r="N17" s="430">
        <f>+N$5*N54-151.71</f>
        <v>301816.22265000001</v>
      </c>
      <c r="O17" s="430">
        <f>+O$5*O54</f>
        <v>192541.29563999997</v>
      </c>
      <c r="P17" s="430">
        <f>+P$5*P54</f>
        <v>121915.64736</v>
      </c>
      <c r="Q17" s="430">
        <f>+Q$5*Q54</f>
        <v>127101.78249999999</v>
      </c>
      <c r="R17" s="430">
        <f>+P17+Q17</f>
        <v>249017.42985999997</v>
      </c>
      <c r="S17" s="430">
        <f>+S$5*S54</f>
        <v>241322.15400000001</v>
      </c>
      <c r="T17" s="430">
        <f>+T$5*T54+2.67</f>
        <v>290432.47099999996</v>
      </c>
      <c r="U17" s="430">
        <f>+U$5*U54-267.67</f>
        <v>154965.60749999998</v>
      </c>
      <c r="V17" s="430">
        <f>+V$5*V54</f>
        <v>184863.13296000002</v>
      </c>
      <c r="W17" s="430">
        <f>+U17+V17</f>
        <v>339828.74046</v>
      </c>
      <c r="X17" s="430">
        <f>+X$5*X54+8.9</f>
        <v>412536.96083999996</v>
      </c>
      <c r="Y17" s="430">
        <f t="shared" si="0"/>
        <v>4162794.4800199997</v>
      </c>
      <c r="AB17" s="428"/>
      <c r="AC17" s="431"/>
      <c r="AD17" s="428"/>
      <c r="AE17" s="428"/>
    </row>
    <row r="18" spans="1:31" x14ac:dyDescent="0.25">
      <c r="A18" s="623"/>
      <c r="B18" s="624"/>
      <c r="D18" s="304" t="s">
        <v>362</v>
      </c>
      <c r="E18" s="425">
        <f>+'Apr11-Mar12 FT-TS-Cashout-LG&amp;E'!H174</f>
        <v>1893.86</v>
      </c>
      <c r="F18" s="432"/>
      <c r="G18" s="432"/>
      <c r="H18" s="425">
        <f>+'Apr11-Mar12 FT-TS-Cashout-LG&amp;E'!I174</f>
        <v>3364.84</v>
      </c>
      <c r="I18" s="425">
        <f>+'Apr11-Mar12 FT-TS-Cashout-LG&amp;E'!J174</f>
        <v>4824.13</v>
      </c>
      <c r="J18" s="425">
        <f>+'Apr11-Mar12 FT-TS-Cashout-LG&amp;E'!K174</f>
        <v>1826.23</v>
      </c>
      <c r="K18" s="432"/>
      <c r="L18" s="432"/>
      <c r="M18" s="425">
        <f>+'Apr11-Mar12 FT-TS-Cashout-LG&amp;E'!L174</f>
        <v>1841.55</v>
      </c>
      <c r="N18" s="425">
        <f>+'Apr11-Mar12 FT-TS-Cashout-LG&amp;E'!M174</f>
        <v>5243.08</v>
      </c>
      <c r="O18" s="425">
        <f>+'Apr11-Mar12 FT-TS-Cashout-LG&amp;E'!N174</f>
        <v>4780.4799999999996</v>
      </c>
      <c r="P18" s="432"/>
      <c r="Q18" s="432"/>
      <c r="R18" s="425">
        <f>+'Apr11-Mar12 FT-TS-Cashout-LG&amp;E'!O174</f>
        <v>3069.97</v>
      </c>
      <c r="S18" s="425">
        <f>+'Apr11-Mar12 FT-TS-Cashout-LG&amp;E'!P174</f>
        <v>3942.95</v>
      </c>
      <c r="T18" s="425">
        <f>+'Apr11-Mar12 FT-TS-Cashout-LG&amp;E'!Q174</f>
        <v>4042.82</v>
      </c>
      <c r="U18" s="432"/>
      <c r="V18" s="432"/>
      <c r="W18" s="425">
        <f>+'Apr11-Mar12 FT-TS-Cashout-LG&amp;E'!R174</f>
        <v>5019.72</v>
      </c>
      <c r="X18" s="425">
        <f>+'Apr11-Mar12 FT-TS-Cashout-LG&amp;E'!S174</f>
        <v>2975.88</v>
      </c>
      <c r="Y18" s="427">
        <f t="shared" si="0"/>
        <v>42825.51</v>
      </c>
      <c r="AB18" s="428"/>
      <c r="AC18" s="429"/>
      <c r="AD18" s="428"/>
      <c r="AE18" s="428"/>
    </row>
    <row r="19" spans="1:31" x14ac:dyDescent="0.25">
      <c r="A19" s="623"/>
      <c r="B19" s="624"/>
      <c r="D19" s="303" t="s">
        <v>363</v>
      </c>
      <c r="E19" s="424">
        <f t="shared" ref="E19:X19" si="3">+E17+E18</f>
        <v>576784.51772</v>
      </c>
      <c r="F19" s="424">
        <f t="shared" si="3"/>
        <v>223111.05137999999</v>
      </c>
      <c r="G19" s="424">
        <f t="shared" si="3"/>
        <v>309446.97662000003</v>
      </c>
      <c r="H19" s="424">
        <f t="shared" si="3"/>
        <v>535922.86800000002</v>
      </c>
      <c r="I19" s="424">
        <f t="shared" si="3"/>
        <v>398803.35599000001</v>
      </c>
      <c r="J19" s="424">
        <f t="shared" si="3"/>
        <v>371615.43040000001</v>
      </c>
      <c r="K19" s="424">
        <f t="shared" si="3"/>
        <v>109945.97840000001</v>
      </c>
      <c r="L19" s="424">
        <f t="shared" si="3"/>
        <v>154136.11505999998</v>
      </c>
      <c r="M19" s="424">
        <f t="shared" si="3"/>
        <v>265923.64345999999</v>
      </c>
      <c r="N19" s="424">
        <f t="shared" si="3"/>
        <v>307059.30265000003</v>
      </c>
      <c r="O19" s="424">
        <f t="shared" si="3"/>
        <v>197321.77563999998</v>
      </c>
      <c r="P19" s="424">
        <f t="shared" si="3"/>
        <v>121915.64736</v>
      </c>
      <c r="Q19" s="424">
        <f t="shared" si="3"/>
        <v>127101.78249999999</v>
      </c>
      <c r="R19" s="424">
        <f t="shared" si="3"/>
        <v>252087.39985999998</v>
      </c>
      <c r="S19" s="424">
        <f t="shared" si="3"/>
        <v>245265.10400000002</v>
      </c>
      <c r="T19" s="424">
        <f t="shared" si="3"/>
        <v>294475.29099999997</v>
      </c>
      <c r="U19" s="424">
        <f t="shared" si="3"/>
        <v>154965.60749999998</v>
      </c>
      <c r="V19" s="424">
        <f t="shared" si="3"/>
        <v>184863.13296000002</v>
      </c>
      <c r="W19" s="424">
        <f t="shared" si="3"/>
        <v>344848.46045999997</v>
      </c>
      <c r="X19" s="424">
        <f t="shared" si="3"/>
        <v>415512.84083999996</v>
      </c>
      <c r="Y19" s="427">
        <f t="shared" si="0"/>
        <v>4205619.9900199994</v>
      </c>
      <c r="AB19" s="428"/>
      <c r="AC19" s="429"/>
      <c r="AD19" s="428"/>
    </row>
    <row r="20" spans="1:31" x14ac:dyDescent="0.25">
      <c r="B20" s="596"/>
      <c r="D20" s="302" t="s">
        <v>364</v>
      </c>
      <c r="E20" s="430">
        <f>+E$5*E57</f>
        <v>53622.734319999996</v>
      </c>
      <c r="F20" s="430">
        <f>+F$5*F57</f>
        <v>27944.547079999997</v>
      </c>
      <c r="G20" s="430">
        <f>+G$5*G57</f>
        <v>36566.45261</v>
      </c>
      <c r="H20" s="430">
        <f>+F20+G20</f>
        <v>64510.999689999997</v>
      </c>
      <c r="I20" s="430">
        <f>+I$5*I57</f>
        <v>49488.745880000002</v>
      </c>
      <c r="J20" s="430">
        <f>+J$5*J57-34.02</f>
        <v>52795.637600000002</v>
      </c>
      <c r="K20" s="430">
        <f>+K$5*K57</f>
        <v>10536.619199999999</v>
      </c>
      <c r="L20" s="430">
        <f>+L$5*L57</f>
        <v>5356.6036300000005</v>
      </c>
      <c r="M20" s="430">
        <f>+K20+L20</f>
        <v>15893.222829999999</v>
      </c>
      <c r="N20" s="430">
        <f>+N$5*N57-325.7</f>
        <v>80804.865010000009</v>
      </c>
      <c r="O20" s="430">
        <f>+O$5*O57</f>
        <v>33805.946019999996</v>
      </c>
      <c r="P20" s="430">
        <f>+P$5*P57</f>
        <v>15037.341120000001</v>
      </c>
      <c r="Q20" s="430">
        <f>+Q$5*Q57</f>
        <v>26711.187999999998</v>
      </c>
      <c r="R20" s="430">
        <f>+P20+Q20</f>
        <v>41748.529119999999</v>
      </c>
      <c r="S20" s="430">
        <f>+S$5*S57</f>
        <v>49256.74</v>
      </c>
      <c r="T20" s="430">
        <f>+T$5*T57</f>
        <v>49657.497499999998</v>
      </c>
      <c r="U20" s="430">
        <f>+U$5*U57+30.24</f>
        <v>205700.11</v>
      </c>
      <c r="V20" s="430">
        <f>+V$5*V57+99.63</f>
        <v>33901.520099999994</v>
      </c>
      <c r="W20" s="430">
        <f>+U20+V20</f>
        <v>239601.63009999998</v>
      </c>
      <c r="X20" s="430">
        <f>+X$5*X57+460.09</f>
        <v>117290.11411999998</v>
      </c>
      <c r="Y20" s="430">
        <f t="shared" si="0"/>
        <v>848476.66218999983</v>
      </c>
      <c r="AC20" s="428"/>
      <c r="AD20" s="428"/>
      <c r="AE20" s="428"/>
    </row>
    <row r="21" spans="1:31" x14ac:dyDescent="0.25">
      <c r="D21" s="306" t="s">
        <v>400</v>
      </c>
      <c r="Y21" s="425">
        <f t="shared" si="0"/>
        <v>0</v>
      </c>
      <c r="AB21" s="428"/>
    </row>
    <row r="22" spans="1:31" x14ac:dyDescent="0.25">
      <c r="D22" s="302" t="s">
        <v>366</v>
      </c>
      <c r="E22" s="425">
        <f>+E$5*E59</f>
        <v>96677.895059999995</v>
      </c>
      <c r="F22" s="425">
        <f>+F$5*F59</f>
        <v>19663.458119999999</v>
      </c>
      <c r="G22" s="425">
        <f>+G$5*G59</f>
        <v>70544.08365</v>
      </c>
      <c r="H22" s="425">
        <f>+F22+G22</f>
        <v>90207.541769999996</v>
      </c>
      <c r="I22" s="425">
        <f>+I$5*I59</f>
        <v>90027.823199999999</v>
      </c>
      <c r="J22" s="425">
        <f>+J$5*J59</f>
        <v>90978.90400000001</v>
      </c>
      <c r="K22" s="425">
        <f>+K$5*K59</f>
        <v>34969.175999999999</v>
      </c>
      <c r="L22" s="425">
        <f>+L$5*L59</f>
        <v>84906.181760000007</v>
      </c>
      <c r="M22" s="425">
        <f>+K22+L22</f>
        <v>119875.35776000001</v>
      </c>
      <c r="N22" s="425">
        <f>+N$5*N59-324.16</f>
        <v>95658.474229999993</v>
      </c>
      <c r="O22" s="425">
        <f>+O$5*O59</f>
        <v>64636.313039999994</v>
      </c>
      <c r="P22" s="425">
        <f>+P$5*P59</f>
        <v>21789.659729999999</v>
      </c>
      <c r="Q22" s="425">
        <f>+Q$5*Q59</f>
        <v>34939.328000000001</v>
      </c>
      <c r="R22" s="425">
        <f>+P22+Q22</f>
        <v>56728.987730000001</v>
      </c>
      <c r="S22" s="425">
        <f>+S$5*S59</f>
        <v>35054.790999999997</v>
      </c>
      <c r="T22" s="425">
        <f>+T$5*T59</f>
        <v>94146.063999999984</v>
      </c>
      <c r="U22" s="425">
        <f>+U$5*U59</f>
        <v>19094.553499999998</v>
      </c>
      <c r="V22" s="425">
        <f>+V$5*V59</f>
        <v>53897.256959999992</v>
      </c>
      <c r="W22" s="425">
        <f>+U22+V22</f>
        <v>72991.810459999993</v>
      </c>
      <c r="X22" s="425">
        <f>+X$5*X59+9.79</f>
        <v>75042.710139999996</v>
      </c>
      <c r="Y22" s="425">
        <f t="shared" si="0"/>
        <v>982026.67238999996</v>
      </c>
      <c r="AB22" s="428"/>
    </row>
    <row r="23" spans="1:31" x14ac:dyDescent="0.25">
      <c r="D23" s="306" t="s">
        <v>401</v>
      </c>
      <c r="E23" s="432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27">
        <f t="shared" si="0"/>
        <v>0</v>
      </c>
    </row>
    <row r="24" spans="1:31" x14ac:dyDescent="0.25">
      <c r="B24" s="595"/>
      <c r="D24" s="303" t="s">
        <v>368</v>
      </c>
      <c r="E24" s="424">
        <f>SUM(E20:E23)</f>
        <v>150300.62938</v>
      </c>
      <c r="F24" s="424">
        <f t="shared" ref="F24:X24" si="4">SUM(F20:F23)</f>
        <v>47608.0052</v>
      </c>
      <c r="G24" s="424">
        <f t="shared" si="4"/>
        <v>107110.53625999999</v>
      </c>
      <c r="H24" s="424">
        <f t="shared" si="4"/>
        <v>154718.54145999998</v>
      </c>
      <c r="I24" s="424">
        <f t="shared" si="4"/>
        <v>139516.56907999999</v>
      </c>
      <c r="J24" s="424">
        <f t="shared" si="4"/>
        <v>143774.5416</v>
      </c>
      <c r="K24" s="424">
        <f t="shared" si="4"/>
        <v>45505.7952</v>
      </c>
      <c r="L24" s="424">
        <f t="shared" si="4"/>
        <v>90262.785390000005</v>
      </c>
      <c r="M24" s="424">
        <f t="shared" si="4"/>
        <v>135768.58059000003</v>
      </c>
      <c r="N24" s="424">
        <f t="shared" si="4"/>
        <v>176463.33924</v>
      </c>
      <c r="O24" s="424">
        <f t="shared" si="4"/>
        <v>98442.259059999982</v>
      </c>
      <c r="P24" s="424">
        <f t="shared" si="4"/>
        <v>36827.000849999997</v>
      </c>
      <c r="Q24" s="424">
        <f t="shared" si="4"/>
        <v>61650.516000000003</v>
      </c>
      <c r="R24" s="424">
        <f t="shared" si="4"/>
        <v>98477.51685</v>
      </c>
      <c r="S24" s="424">
        <f t="shared" si="4"/>
        <v>84311.530999999988</v>
      </c>
      <c r="T24" s="424">
        <f t="shared" si="4"/>
        <v>143803.56149999998</v>
      </c>
      <c r="U24" s="424">
        <f t="shared" si="4"/>
        <v>224794.6635</v>
      </c>
      <c r="V24" s="424">
        <f t="shared" si="4"/>
        <v>87798.777059999993</v>
      </c>
      <c r="W24" s="424">
        <f t="shared" si="4"/>
        <v>312593.44055999996</v>
      </c>
      <c r="X24" s="424">
        <f t="shared" si="4"/>
        <v>192332.82425999996</v>
      </c>
      <c r="Y24" s="427">
        <f t="shared" si="0"/>
        <v>1830503.3345799998</v>
      </c>
    </row>
    <row r="25" spans="1:31" x14ac:dyDescent="0.25">
      <c r="D25" s="302" t="s">
        <v>369</v>
      </c>
      <c r="E25" s="430">
        <f>+'Apr11-Mar12 FT-TS-Cashout-LG&amp;E'!H449</f>
        <v>201394.35</v>
      </c>
      <c r="F25" s="430"/>
      <c r="G25" s="430"/>
      <c r="H25" s="430">
        <f>+'Apr11-Mar12 FT-TS-Cashout-LG&amp;E'!I449</f>
        <v>141585.16</v>
      </c>
      <c r="I25" s="430">
        <f>+'Apr11-Mar12 FT-TS-Cashout-LG&amp;E'!J449</f>
        <v>272384.43</v>
      </c>
      <c r="J25" s="430">
        <v>495934.4</v>
      </c>
      <c r="K25" s="430"/>
      <c r="L25" s="430"/>
      <c r="M25" s="430">
        <f>+'Apr11-Mar12 FT-TS-Cashout-LG&amp;E'!L449-J25</f>
        <v>250700.95999999996</v>
      </c>
      <c r="N25" s="430">
        <f>+'Apr11-Mar12 FT-TS-Cashout-LG&amp;E'!M449</f>
        <v>383900.22</v>
      </c>
      <c r="O25" s="430">
        <f>+'Apr11-Mar12 FT-TS-Cashout-LG&amp;E'!N449</f>
        <v>345582.62</v>
      </c>
      <c r="P25" s="430"/>
      <c r="Q25" s="430"/>
      <c r="R25" s="430">
        <f>+'Apr11-Mar12 FT-TS-Cashout-LG&amp;E'!O449</f>
        <v>492185.7</v>
      </c>
      <c r="S25" s="430">
        <f>+'Apr11-Mar12 FT-TS-Cashout-LG&amp;E'!P449</f>
        <v>221897.46</v>
      </c>
      <c r="T25" s="430">
        <f>+'Apr11-Mar12 FT-TS-Cashout-LG&amp;E'!Q449</f>
        <v>307609.69</v>
      </c>
      <c r="U25" s="430"/>
      <c r="V25" s="430"/>
      <c r="W25" s="430">
        <f>+'Apr11-Mar12 FT-TS-Cashout-LG&amp;E'!R449</f>
        <v>235226.69</v>
      </c>
      <c r="X25" s="430">
        <f>+'Apr11-Mar12 FT-TS-Cashout-LG&amp;E'!S449</f>
        <v>255147.64</v>
      </c>
      <c r="Y25" s="425">
        <f t="shared" si="0"/>
        <v>3603549.32</v>
      </c>
    </row>
    <row r="26" spans="1:31" x14ac:dyDescent="0.25">
      <c r="A26" s="619" t="s">
        <v>967</v>
      </c>
      <c r="B26" s="619"/>
      <c r="D26" s="625" t="s">
        <v>964</v>
      </c>
      <c r="E26" s="430">
        <f>+'Apr11-Mar12 FT-TS-Cashout-LG&amp;E'!H432+SUM('Apr11-Mar12 FT-TS-Cashout-LG&amp;E'!H411:H411)</f>
        <v>3099.2212</v>
      </c>
      <c r="F26" s="430"/>
      <c r="G26" s="430"/>
      <c r="H26" s="430">
        <f>+'Apr11-Mar12 FT-TS-Cashout-LG&amp;E'!I432+'Apr11-Mar12 FT-TS-Cashout-LG&amp;E'!I411</f>
        <v>-131.78190000000001</v>
      </c>
      <c r="I26" s="430">
        <f>+'Apr11-Mar12 FT-TS-Cashout-LG&amp;E'!J432</f>
        <v>0</v>
      </c>
      <c r="J26" s="430">
        <f>+'Apr11-Mar12 FT-TS-Cashout-LG&amp;E'!K432+'Apr11-Mar12 FT-TS-Cashout-LG&amp;E'!K411</f>
        <v>2677.1341499999999</v>
      </c>
      <c r="K26" s="430"/>
      <c r="L26" s="430"/>
      <c r="M26" s="430">
        <f>+'Apr11-Mar12 FT-TS-Cashout-LG&amp;E'!L432+'Apr11-Mar12 FT-TS-Cashout-LG&amp;E'!L411</f>
        <v>605.505</v>
      </c>
      <c r="N26" s="430">
        <f>+'Apr11-Mar12 FT-TS-Cashout-LG&amp;E'!M432+'Apr11-Mar12 FT-TS-Cashout-LG&amp;E'!M411</f>
        <v>478.42849999999999</v>
      </c>
      <c r="O26" s="430">
        <f>+'Apr11-Mar12 FT-TS-Cashout-LG&amp;E'!N432+'Apr11-Mar12 FT-TS-Cashout-LG&amp;E'!N411</f>
        <v>25863.060500000003</v>
      </c>
      <c r="P26" s="430"/>
      <c r="Q26" s="430"/>
      <c r="R26" s="430">
        <f>+'Apr11-Mar12 FT-TS-Cashout-LG&amp;E'!O432+'Apr11-Mar12 FT-TS-Cashout-LG&amp;E'!O411</f>
        <v>21367.094560000001</v>
      </c>
      <c r="S26" s="430">
        <f>+'Apr11-Mar12 FT-TS-Cashout-LG&amp;E'!P432+'Apr11-Mar12 FT-TS-Cashout-LG&amp;E'!P411</f>
        <v>-17234.88624</v>
      </c>
      <c r="T26" s="430">
        <f>+'Apr11-Mar12 FT-TS-Cashout-LG&amp;E'!Q432+'Apr11-Mar12 FT-TS-Cashout-LG&amp;E'!Q411</f>
        <v>0</v>
      </c>
      <c r="U26" s="430"/>
      <c r="V26" s="430"/>
      <c r="W26" s="430">
        <f>+'Apr11-Mar12 FT-TS-Cashout-LG&amp;E'!R432+'Apr11-Mar12 FT-TS-Cashout-LG&amp;E'!R411</f>
        <v>80.7072</v>
      </c>
      <c r="X26" s="430">
        <f>+'Apr11-Mar12 FT-TS-Cashout-LG&amp;E'!S432+'Apr11-Mar12 FT-TS-Cashout-LG&amp;E'!S411</f>
        <v>6733.3307999999997</v>
      </c>
      <c r="Y26" s="427">
        <f>+E26+H26+I26+J26+M26+N26+O26+R26+S26+T26+W26+X26</f>
        <v>43537.813769999993</v>
      </c>
    </row>
    <row r="27" spans="1:31" x14ac:dyDescent="0.25">
      <c r="B27" s="618"/>
      <c r="D27" s="303" t="s">
        <v>371</v>
      </c>
      <c r="E27" s="424">
        <f>+E25+E26</f>
        <v>204493.57120000001</v>
      </c>
      <c r="F27" s="424"/>
      <c r="G27" s="424"/>
      <c r="H27" s="424">
        <f t="shared" ref="H27:X27" si="5">+H25+H26</f>
        <v>141453.3781</v>
      </c>
      <c r="I27" s="424">
        <f t="shared" si="5"/>
        <v>272384.43</v>
      </c>
      <c r="J27" s="424">
        <f t="shared" si="5"/>
        <v>498611.53415000002</v>
      </c>
      <c r="K27" s="424">
        <f t="shared" si="5"/>
        <v>0</v>
      </c>
      <c r="L27" s="424">
        <f t="shared" si="5"/>
        <v>0</v>
      </c>
      <c r="M27" s="424">
        <f t="shared" si="5"/>
        <v>251306.46499999997</v>
      </c>
      <c r="N27" s="424">
        <f t="shared" si="5"/>
        <v>384378.64849999995</v>
      </c>
      <c r="O27" s="424">
        <f t="shared" si="5"/>
        <v>371445.68050000002</v>
      </c>
      <c r="P27" s="424">
        <f t="shared" si="5"/>
        <v>0</v>
      </c>
      <c r="Q27" s="424">
        <f t="shared" si="5"/>
        <v>0</v>
      </c>
      <c r="R27" s="424">
        <f t="shared" si="5"/>
        <v>513552.79456000001</v>
      </c>
      <c r="S27" s="424">
        <f t="shared" si="5"/>
        <v>204662.57376</v>
      </c>
      <c r="T27" s="424">
        <f t="shared" si="5"/>
        <v>307609.69</v>
      </c>
      <c r="U27" s="424">
        <f t="shared" si="5"/>
        <v>0</v>
      </c>
      <c r="V27" s="424">
        <f t="shared" si="5"/>
        <v>0</v>
      </c>
      <c r="W27" s="424">
        <f t="shared" si="5"/>
        <v>235307.39720000001</v>
      </c>
      <c r="X27" s="424">
        <f t="shared" si="5"/>
        <v>261880.97080000001</v>
      </c>
      <c r="Y27" s="427">
        <f t="shared" si="0"/>
        <v>3647087.1337699993</v>
      </c>
      <c r="AA27" s="428"/>
      <c r="AB27" s="428"/>
    </row>
    <row r="28" spans="1:31" x14ac:dyDescent="0.25">
      <c r="B28" s="433"/>
      <c r="D28" s="302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>
        <f t="shared" si="0"/>
        <v>0</v>
      </c>
    </row>
    <row r="29" spans="1:31" x14ac:dyDescent="0.25">
      <c r="A29" s="620" t="s">
        <v>680</v>
      </c>
      <c r="B29" s="433"/>
      <c r="D29" s="625" t="s">
        <v>772</v>
      </c>
      <c r="E29" s="425">
        <f>+'Apr11-Mar12 FT-TS-Cashout-LG&amp;E'!H265</f>
        <v>35617.29</v>
      </c>
      <c r="F29" s="430"/>
      <c r="G29" s="430"/>
      <c r="H29" s="425">
        <f>+'Apr11-Mar12 FT-TS-Cashout-LG&amp;E'!I265</f>
        <v>1072.79</v>
      </c>
      <c r="I29" s="425">
        <f>+'Apr11-Mar12 FT-TS-Cashout-LG&amp;E'!J265+1</f>
        <v>2777.7</v>
      </c>
      <c r="J29" s="425">
        <f>+'Apr11-Mar12 FT-TS-Cashout-LG&amp;E'!K265</f>
        <v>53887.700000000004</v>
      </c>
      <c r="K29" s="425"/>
      <c r="L29" s="425"/>
      <c r="M29" s="425">
        <f>+'Apr11-Mar12 FT-TS-Cashout-LG&amp;E'!L265</f>
        <v>27231.620000000003</v>
      </c>
      <c r="N29" s="425">
        <f>+'Apr11-Mar12 FT-TS-Cashout-LG&amp;E'!M265</f>
        <v>4245.7</v>
      </c>
      <c r="O29" s="425">
        <f>+'Apr11-Mar12 FT-TS-Cashout-LG&amp;E'!N265</f>
        <v>36379.94</v>
      </c>
      <c r="P29" s="425"/>
      <c r="Q29" s="425"/>
      <c r="R29" s="425">
        <f>+'Apr11-Mar12 FT-TS-Cashout-LG&amp;E'!O265</f>
        <v>59556.34</v>
      </c>
      <c r="S29" s="425">
        <f>+'Apr11-Mar12 FT-TS-Cashout-LG&amp;E'!P265</f>
        <v>2402.8300000000004</v>
      </c>
      <c r="T29" s="425">
        <f>+'Apr11-Mar12 FT-TS-Cashout-LG&amp;E'!Q265</f>
        <v>42185.120000000003</v>
      </c>
      <c r="U29" s="425"/>
      <c r="V29" s="425"/>
      <c r="W29" s="425">
        <f>+'Apr11-Mar12 FT-TS-Cashout-LG&amp;E'!R265</f>
        <v>68786.58</v>
      </c>
      <c r="X29" s="425">
        <f>+'Apr11-Mar12 FT-TS-Cashout-LG&amp;E'!S265</f>
        <v>38025.24</v>
      </c>
      <c r="Y29" s="425">
        <f>+E29+H29+I29+J29+M29+N29+O29+R29+S29+T29+W29+X29</f>
        <v>372168.85</v>
      </c>
    </row>
    <row r="30" spans="1:31" x14ac:dyDescent="0.25">
      <c r="A30" s="622" t="s">
        <v>968</v>
      </c>
      <c r="B30" s="433"/>
      <c r="D30" s="302" t="s">
        <v>372</v>
      </c>
      <c r="E30" s="430">
        <f>+'Apr11-Mar12 FT-TS-Cashout-LG&amp;E'!H65+'Apr11-Mar12 FT-TS-Cashout-LG&amp;E'!H92+'Apr11-Mar12 FT-TS-Cashout-LG&amp;E'!H118-3.89+264.26</f>
        <v>23091.649999999998</v>
      </c>
      <c r="F30" s="430"/>
      <c r="G30" s="430"/>
      <c r="H30" s="430">
        <f>+'Apr11-Mar12 FT-TS-Cashout-LG&amp;E'!I65+'Apr11-Mar12 FT-TS-Cashout-LG&amp;E'!I92+'Apr11-Mar12 FT-TS-Cashout-LG&amp;E'!I118-264.26</f>
        <v>8908.8233434599133</v>
      </c>
      <c r="I30" s="430">
        <f>+'Apr11-Mar12 FT-TS-Cashout-LG&amp;E'!J65+'Apr11-Mar12 FT-TS-Cashout-LG&amp;E'!J92+'Apr11-Mar12 FT-TS-Cashout-LG&amp;E'!J118+59.65</f>
        <v>12550.432514767934</v>
      </c>
      <c r="J30" s="430">
        <f>+'Apr11-Mar12 FT-TS-Cashout-LG&amp;E'!K65+'Apr11-Mar12 FT-TS-Cashout-LG&amp;E'!K92+'Apr11-Mar12 FT-TS-Cashout-LG&amp;E'!K118</f>
        <v>17505.847530000003</v>
      </c>
      <c r="K30" s="430"/>
      <c r="L30" s="430"/>
      <c r="M30" s="430">
        <f>+'Apr11-Mar12 FT-TS-Cashout-LG&amp;E'!L65+'Apr11-Mar12 FT-TS-Cashout-LG&amp;E'!L92+'Apr11-Mar12 FT-TS-Cashout-LG&amp;E'!L118</f>
        <v>16518.779500000001</v>
      </c>
      <c r="N30" s="430">
        <f>+'Apr11-Mar12 FT-TS-Cashout-LG&amp;E'!M65+'Apr11-Mar12 FT-TS-Cashout-LG&amp;E'!M92+'Apr11-Mar12 FT-TS-Cashout-LG&amp;E'!M118</f>
        <v>10885.862499999999</v>
      </c>
      <c r="O30" s="430">
        <f>+'Apr11-Mar12 FT-TS-Cashout-LG&amp;E'!N65+'Apr11-Mar12 FT-TS-Cashout-LG&amp;E'!N92+'Apr11-Mar12 FT-TS-Cashout-LG&amp;E'!N118</f>
        <v>13171.815000000001</v>
      </c>
      <c r="P30" s="430"/>
      <c r="Q30" s="430"/>
      <c r="R30" s="430">
        <f>+'Apr11-Mar12 FT-TS-Cashout-LG&amp;E'!O65+'Apr11-Mar12 FT-TS-Cashout-LG&amp;E'!O92+'Apr11-Mar12 FT-TS-Cashout-LG&amp;E'!O118</f>
        <v>9266.0892999999996</v>
      </c>
      <c r="S30" s="430">
        <f>+'Apr11-Mar12 FT-TS-Cashout-LG&amp;E'!P65+'Apr11-Mar12 FT-TS-Cashout-LG&amp;E'!P92+'Apr11-Mar12 FT-TS-Cashout-LG&amp;E'!P118</f>
        <v>13749.672559999997</v>
      </c>
      <c r="T30" s="430">
        <f>+'Apr11-Mar12 FT-TS-Cashout-LG&amp;E'!Q65+'Apr11-Mar12 FT-TS-Cashout-LG&amp;E'!Q92+'Apr11-Mar12 FT-TS-Cashout-LG&amp;E'!Q118</f>
        <v>24248.889859999996</v>
      </c>
      <c r="U30" s="430"/>
      <c r="V30" s="430"/>
      <c r="W30" s="430">
        <f>+'Apr11-Mar12 FT-TS-Cashout-LG&amp;E'!R65+'Apr11-Mar12 FT-TS-Cashout-LG&amp;E'!R92+'Apr11-Mar12 FT-TS-Cashout-LG&amp;E'!R118</f>
        <v>17090.7284</v>
      </c>
      <c r="X30" s="430">
        <f>+'Apr11-Mar12 FT-TS-Cashout-LG&amp;E'!S65+'Apr11-Mar12 FT-TS-Cashout-LG&amp;E'!S92+'Apr11-Mar12 FT-TS-Cashout-LG&amp;E'!S118+3.89</f>
        <v>20699.050399999996</v>
      </c>
      <c r="Y30" s="425">
        <f t="shared" si="0"/>
        <v>187687.64090822786</v>
      </c>
    </row>
    <row r="31" spans="1:31" x14ac:dyDescent="0.25">
      <c r="B31" s="433"/>
      <c r="D31" s="302" t="s">
        <v>373</v>
      </c>
      <c r="E31" s="425">
        <v>0</v>
      </c>
      <c r="G31" s="432"/>
      <c r="H31" s="425">
        <v>0</v>
      </c>
      <c r="I31" s="425">
        <v>0</v>
      </c>
      <c r="J31" s="425">
        <v>0</v>
      </c>
      <c r="L31" s="432"/>
      <c r="M31" s="425">
        <v>0</v>
      </c>
      <c r="N31" s="425">
        <v>0</v>
      </c>
      <c r="O31" s="425">
        <v>0</v>
      </c>
      <c r="Q31" s="432"/>
      <c r="R31" s="425">
        <v>0</v>
      </c>
      <c r="S31" s="425">
        <v>0</v>
      </c>
      <c r="T31" s="425">
        <v>0</v>
      </c>
      <c r="V31" s="432"/>
      <c r="W31" s="425">
        <v>0</v>
      </c>
      <c r="X31" s="425">
        <v>0</v>
      </c>
      <c r="Y31" s="427">
        <f t="shared" si="0"/>
        <v>0</v>
      </c>
      <c r="AA31" s="428"/>
    </row>
    <row r="32" spans="1:31" x14ac:dyDescent="0.25">
      <c r="B32" s="433"/>
      <c r="D32" s="303" t="s">
        <v>374</v>
      </c>
      <c r="E32" s="424">
        <f>SUM(E28:E31)</f>
        <v>58708.94</v>
      </c>
      <c r="F32" s="424"/>
      <c r="G32" s="424"/>
      <c r="H32" s="424">
        <f>SUM(H28:H31)</f>
        <v>9981.6133434599142</v>
      </c>
      <c r="I32" s="424">
        <f>SUM(I28:I31)</f>
        <v>15328.132514767934</v>
      </c>
      <c r="J32" s="424">
        <f>SUM(J28:J31)</f>
        <v>71393.547530000011</v>
      </c>
      <c r="K32" s="424"/>
      <c r="L32" s="424"/>
      <c r="M32" s="424">
        <f>SUM(M28:M31)</f>
        <v>43750.3995</v>
      </c>
      <c r="N32" s="424">
        <f>SUM(N28:N31)</f>
        <v>15131.5625</v>
      </c>
      <c r="O32" s="424">
        <f>SUM(O28:O31)</f>
        <v>49551.755000000005</v>
      </c>
      <c r="P32" s="424"/>
      <c r="Q32" s="424"/>
      <c r="R32" s="424">
        <f>SUM(R28:R31)</f>
        <v>68822.429299999989</v>
      </c>
      <c r="S32" s="424">
        <f>SUM(S28:S31)</f>
        <v>16152.502559999997</v>
      </c>
      <c r="T32" s="424">
        <f>SUM(T28:T31)</f>
        <v>66434.009859999991</v>
      </c>
      <c r="U32" s="424"/>
      <c r="V32" s="424"/>
      <c r="W32" s="424">
        <f>SUM(W28:W31)</f>
        <v>85877.308400000009</v>
      </c>
      <c r="X32" s="424">
        <f>SUM(X28:X31)</f>
        <v>58724.290399999998</v>
      </c>
      <c r="Y32" s="427">
        <f>+E32+H32+I32+J32+M32+N32+O32+R32+S32+T32+W32+X32</f>
        <v>559856.49090822786</v>
      </c>
      <c r="AA32" s="428"/>
    </row>
    <row r="33" spans="1:29" x14ac:dyDescent="0.25">
      <c r="A33" s="621" t="s">
        <v>970</v>
      </c>
      <c r="B33" s="617"/>
      <c r="D33" s="305" t="s">
        <v>375</v>
      </c>
      <c r="E33" s="425">
        <f>+'Apr11-Mar12 FT-TS-Cashout-LG&amp;E'!H282+'Apr11-Mar12 FT-TS-Cashout-LG&amp;E'!H298</f>
        <v>1566.85</v>
      </c>
      <c r="F33" s="425"/>
      <c r="G33" s="425"/>
      <c r="H33" s="425">
        <f>+'Apr11-Mar12 FT-TS-Cashout-LG&amp;E'!I282+'Apr11-Mar12 FT-TS-Cashout-LG&amp;E'!I298</f>
        <v>4258.42</v>
      </c>
      <c r="I33" s="425">
        <f>+'Apr11-Mar12 FT-TS-Cashout-LG&amp;E'!J282+'Apr11-Mar12 FT-TS-Cashout-LG&amp;E'!J298</f>
        <v>2746.15</v>
      </c>
      <c r="J33" s="425">
        <f>+'Apr11-Mar12 FT-TS-Cashout-LG&amp;E'!K282+'Apr11-Mar12 FT-TS-Cashout-LG&amp;E'!K298</f>
        <v>4275.28</v>
      </c>
      <c r="K33" s="425"/>
      <c r="L33" s="425"/>
      <c r="M33" s="425">
        <f>+'Apr11-Mar12 FT-TS-Cashout-LG&amp;E'!L282+'Apr11-Mar12 FT-TS-Cashout-LG&amp;E'!L298</f>
        <v>0</v>
      </c>
      <c r="N33" s="425">
        <f>+'Apr11-Mar12 FT-TS-Cashout-LG&amp;E'!M282+'Apr11-Mar12 FT-TS-Cashout-LG&amp;E'!M298</f>
        <v>0</v>
      </c>
      <c r="O33" s="425">
        <f>+'Apr11-Mar12 FT-TS-Cashout-LG&amp;E'!N282+'Apr11-Mar12 FT-TS-Cashout-LG&amp;E'!N298</f>
        <v>0</v>
      </c>
      <c r="P33" s="425"/>
      <c r="Q33" s="425"/>
      <c r="R33" s="425">
        <f>+'Apr11-Mar12 FT-TS-Cashout-LG&amp;E'!O282+'Apr11-Mar12 FT-TS-Cashout-LG&amp;E'!O298</f>
        <v>907.02</v>
      </c>
      <c r="S33" s="425">
        <f>+'Apr11-Mar12 FT-TS-Cashout-LG&amp;E'!P282+'Apr11-Mar12 FT-TS-Cashout-LG&amp;E'!P298</f>
        <v>0</v>
      </c>
      <c r="T33" s="425">
        <f>+'Apr11-Mar12 FT-TS-Cashout-LG&amp;E'!Q282+'Apr11-Mar12 FT-TS-Cashout-LG&amp;E'!Q298</f>
        <v>366.01</v>
      </c>
      <c r="U33" s="425"/>
      <c r="V33" s="425"/>
      <c r="W33" s="425">
        <f>+'Apr11-Mar12 FT-TS-Cashout-LG&amp;E'!R282+'Apr11-Mar12 FT-TS-Cashout-LG&amp;E'!R298</f>
        <v>17138.38</v>
      </c>
      <c r="X33" s="425">
        <f>+'Apr11-Mar12 FT-TS-Cashout-LG&amp;E'!S282+'Apr11-Mar12 FT-TS-Cashout-LG&amp;E'!S298</f>
        <v>3157.38</v>
      </c>
      <c r="Y33" s="427">
        <f t="shared" si="0"/>
        <v>34415.49</v>
      </c>
    </row>
    <row r="34" spans="1:29" x14ac:dyDescent="0.25">
      <c r="B34" s="433"/>
      <c r="D34" s="303" t="s">
        <v>376</v>
      </c>
      <c r="E34" s="424"/>
      <c r="F34" s="424"/>
      <c r="G34" s="424"/>
      <c r="H34" s="424"/>
      <c r="I34" s="424"/>
      <c r="J34" s="424"/>
      <c r="K34" s="424"/>
      <c r="L34" s="424"/>
      <c r="M34" s="424"/>
      <c r="N34" s="424"/>
      <c r="O34" s="424"/>
      <c r="P34" s="424"/>
      <c r="Q34" s="424"/>
      <c r="R34" s="424"/>
      <c r="S34" s="424"/>
      <c r="T34" s="424"/>
      <c r="U34" s="424"/>
      <c r="V34" s="424"/>
      <c r="W34" s="424"/>
      <c r="X34" s="424"/>
      <c r="Y34" s="427">
        <f>+E34+H34+I34+J34+M34+N34+O34+R34+S34+T34+W34+X34</f>
        <v>0</v>
      </c>
    </row>
    <row r="35" spans="1:29" x14ac:dyDescent="0.25">
      <c r="B35" s="433"/>
      <c r="D35" s="303" t="s">
        <v>642</v>
      </c>
      <c r="E35" s="424"/>
      <c r="F35" s="424"/>
      <c r="G35" s="424"/>
      <c r="H35" s="424"/>
      <c r="I35" s="424"/>
      <c r="J35" s="424"/>
      <c r="K35" s="424"/>
      <c r="L35" s="424"/>
      <c r="M35" s="424"/>
      <c r="N35" s="424"/>
      <c r="O35" s="424"/>
      <c r="P35" s="424"/>
      <c r="Q35" s="424"/>
      <c r="R35" s="424"/>
      <c r="S35" s="424"/>
      <c r="T35" s="424"/>
      <c r="U35" s="424"/>
      <c r="V35" s="424"/>
      <c r="W35" s="424"/>
      <c r="X35" s="424"/>
      <c r="Y35" s="424">
        <f>+E35+H35+I35+J35+M35+N35+O35+R35+S35+T35+W35+X35</f>
        <v>0</v>
      </c>
    </row>
    <row r="36" spans="1:29" x14ac:dyDescent="0.25">
      <c r="D36" s="303"/>
      <c r="AA36" s="315"/>
      <c r="AB36" s="434"/>
    </row>
    <row r="37" spans="1:29" x14ac:dyDescent="0.25">
      <c r="D37" s="426" t="s">
        <v>377</v>
      </c>
      <c r="E37" s="423">
        <f>E13+E16+E19+E24+E27+E32+E33+E34+E35</f>
        <v>27155833.79276</v>
      </c>
      <c r="H37" s="423">
        <f>H13+H16+H19+H24+H27+H32+H33+H34+H35</f>
        <v>24739802.734443463</v>
      </c>
      <c r="I37" s="423">
        <f>I13+I16+I19+I24+I27+I32+I33+I34+I35</f>
        <v>16741877.43179477</v>
      </c>
      <c r="J37" s="423">
        <f>J13+J16+J19+J24+J27+J32+J33+J34+J35</f>
        <v>14992421.330080003</v>
      </c>
      <c r="M37" s="423">
        <f>M13+M16+M19+M24+M27+M32+M33+M34+M35</f>
        <v>7979032.6374400007</v>
      </c>
      <c r="N37" s="423">
        <f>N13+N16+N19+N24+N27+N32+N33+N34+N35</f>
        <v>5842802.7711199988</v>
      </c>
      <c r="O37" s="423">
        <f>O13+O16+O19+O24+O27+O32+O33+O34+O35</f>
        <v>4411202.1410700008</v>
      </c>
      <c r="R37" s="423">
        <f>R13+R16+R19+R24+R27+R32+R33+R34+R35</f>
        <v>4417144.766139999</v>
      </c>
      <c r="S37" s="423">
        <f>S13+S16+S19+S24+S27+S32+S33+S34+S35</f>
        <v>4476728.9693199992</v>
      </c>
      <c r="T37" s="423">
        <f>T13+T16+T19+T24+T27+T32+T33+T34+T35</f>
        <v>6129193.7233600002</v>
      </c>
      <c r="W37" s="423">
        <f>W13+W16+W19+W24+W27+W32+W33+W34+W35</f>
        <v>11151992.83468</v>
      </c>
      <c r="X37" s="423">
        <f>X13+X16+X19+X24+X27+X32+X33+X34+X35</f>
        <v>18368320.09832</v>
      </c>
      <c r="Y37" s="423">
        <f>Y13+Y16+Y19+Y24+Y27+Y32+Y33+Y34+Y35</f>
        <v>146406353.23052824</v>
      </c>
      <c r="AA37" s="423"/>
      <c r="AB37" s="434"/>
      <c r="AC37" s="428"/>
    </row>
    <row r="38" spans="1:29" x14ac:dyDescent="0.25">
      <c r="E38" s="428"/>
      <c r="H38" s="428"/>
      <c r="I38" s="428"/>
      <c r="J38" s="428"/>
      <c r="M38" s="428"/>
      <c r="N38" s="428"/>
      <c r="O38" s="428"/>
      <c r="R38" s="428"/>
      <c r="S38" s="428"/>
      <c r="T38" s="428"/>
      <c r="W38" s="428"/>
      <c r="X38" s="428"/>
      <c r="Y38" s="428"/>
      <c r="AA38" s="315"/>
      <c r="AB38" s="434"/>
    </row>
    <row r="39" spans="1:29" x14ac:dyDescent="0.25">
      <c r="A39" s="622" t="s">
        <v>969</v>
      </c>
      <c r="D39" s="625" t="s">
        <v>644</v>
      </c>
      <c r="E39" s="430">
        <f>+'Apr11-Mar12 FT-TS-Cashout-LG&amp;E'!H66+'Apr11-Mar12 FT-TS-Cashout-LG&amp;E'!H93+'Apr11-Mar12 FT-TS-Cashout-LG&amp;E'!H119-4.14+281.62</f>
        <v>24608.722000000002</v>
      </c>
      <c r="H39" s="430">
        <f>+'Apr11-Mar12 FT-TS-Cashout-LG&amp;E'!I66+'Apr11-Mar12 FT-TS-Cashout-LG&amp;E'!I93+'Apr11-Mar12 FT-TS-Cashout-LG&amp;E'!I119-281.62-46386.04</f>
        <v>-36903.280343459919</v>
      </c>
      <c r="I39" s="430">
        <f>+'Apr11-Mar12 FT-TS-Cashout-LG&amp;E'!J66+'Apr11-Mar12 FT-TS-Cashout-LG&amp;E'!J93+'Apr11-Mar12 FT-TS-Cashout-LG&amp;E'!J119+63.5</f>
        <v>13359.437485232067</v>
      </c>
      <c r="J39" s="425">
        <v>17373.15567</v>
      </c>
      <c r="M39" s="425">
        <v>16366.985310000002</v>
      </c>
      <c r="N39" s="425">
        <v>10785.830249999999</v>
      </c>
      <c r="O39" s="425">
        <v>13050.776700000002</v>
      </c>
      <c r="R39" s="425">
        <v>9200.835149999999</v>
      </c>
      <c r="S39" s="425">
        <v>13652.84388</v>
      </c>
      <c r="T39" s="425">
        <v>24078.123029999999</v>
      </c>
      <c r="W39" s="425">
        <v>18213.549510000001</v>
      </c>
      <c r="X39" s="425">
        <v>22058.924309999995</v>
      </c>
      <c r="Y39" s="425">
        <f>+E39+H39+I39+J39+M39+N39+O39+R39+S39+T39+W39+X39</f>
        <v>145845.90295177215</v>
      </c>
      <c r="AA39" s="315"/>
      <c r="AB39" s="434"/>
    </row>
    <row r="40" spans="1:29" x14ac:dyDescent="0.25">
      <c r="A40" s="622" t="s">
        <v>971</v>
      </c>
      <c r="D40" s="625" t="s">
        <v>972</v>
      </c>
      <c r="E40" s="425">
        <f>+'Apr11-Mar12 FT-TS-Cashout-LG&amp;E'!H412</f>
        <v>130.98617999999999</v>
      </c>
      <c r="H40" s="425">
        <f>+'Apr11-Mar12 FT-TS-Cashout-LG&amp;E'!I412-364.04</f>
        <v>1.9246499999999855</v>
      </c>
      <c r="I40" s="425">
        <f>+'Apr11-Mar12 FT-TS-Cashout-LG&amp;E'!J412</f>
        <v>0</v>
      </c>
      <c r="J40" s="425">
        <f>+'Apr11-Mar12 FT-TS-Cashout-LG&amp;E'!K412</f>
        <v>2656.8418499999998</v>
      </c>
      <c r="M40" s="425">
        <f>+'Apr11-Mar12 FT-TS-Cashout-LG&amp;E'!L412</f>
        <v>599.94089999999994</v>
      </c>
      <c r="N40" s="425">
        <f>+'Apr11-Mar12 FT-TS-Cashout-LG&amp;E'!M412</f>
        <v>474.03212999999994</v>
      </c>
      <c r="O40" s="425">
        <f>+'Apr11-Mar12 FT-TS-Cashout-LG&amp;E'!N412</f>
        <v>670.01648999999998</v>
      </c>
      <c r="R40" s="425">
        <f>+'Apr11-Mar12 FT-TS-Cashout-LG&amp;E'!O412</f>
        <v>413.08487999999994</v>
      </c>
      <c r="S40" s="425">
        <f>+'Apr11-Mar12 FT-TS-Cashout-LG&amp;E'!P412</f>
        <v>981.68147999999997</v>
      </c>
      <c r="T40" s="425">
        <f>+'Apr11-Mar12 FT-TS-Cashout-LG&amp;E'!Q412</f>
        <v>0</v>
      </c>
      <c r="W40" s="425">
        <f>+'Apr11-Mar12 FT-TS-Cashout-LG&amp;E'!R412</f>
        <v>2.76783</v>
      </c>
      <c r="X40" s="425">
        <f>+'Apr11-Mar12 FT-TS-Cashout-LG&amp;E'!S412</f>
        <v>233.04761999999999</v>
      </c>
      <c r="Y40" s="425">
        <f>+E40+H40+I40+J40+M40+N40+O40+R40+S40+T40+W40+X40</f>
        <v>6164.3240100000003</v>
      </c>
      <c r="AA40" s="315"/>
      <c r="AB40" s="434"/>
    </row>
    <row r="41" spans="1:29" x14ac:dyDescent="0.25">
      <c r="D41" s="304" t="s">
        <v>362</v>
      </c>
      <c r="E41" s="428">
        <f>-E18</f>
        <v>-1893.86</v>
      </c>
      <c r="F41" s="428">
        <f t="shared" ref="F41:X41" si="6">-F18</f>
        <v>0</v>
      </c>
      <c r="G41" s="428">
        <f t="shared" si="6"/>
        <v>0</v>
      </c>
      <c r="H41" s="428">
        <f t="shared" si="6"/>
        <v>-3364.84</v>
      </c>
      <c r="I41" s="428">
        <f t="shared" si="6"/>
        <v>-4824.13</v>
      </c>
      <c r="J41" s="428">
        <f t="shared" si="6"/>
        <v>-1826.23</v>
      </c>
      <c r="K41" s="428"/>
      <c r="L41" s="428"/>
      <c r="M41" s="428">
        <f t="shared" si="6"/>
        <v>-1841.55</v>
      </c>
      <c r="N41" s="428">
        <f t="shared" si="6"/>
        <v>-5243.08</v>
      </c>
      <c r="O41" s="428">
        <f t="shared" si="6"/>
        <v>-4780.4799999999996</v>
      </c>
      <c r="P41" s="428"/>
      <c r="Q41" s="428"/>
      <c r="R41" s="428">
        <f t="shared" si="6"/>
        <v>-3069.97</v>
      </c>
      <c r="S41" s="428">
        <f t="shared" si="6"/>
        <v>-3942.95</v>
      </c>
      <c r="T41" s="428">
        <f t="shared" si="6"/>
        <v>-4042.82</v>
      </c>
      <c r="U41" s="428"/>
      <c r="V41" s="428"/>
      <c r="W41" s="428">
        <f t="shared" si="6"/>
        <v>-5019.72</v>
      </c>
      <c r="X41" s="428">
        <f t="shared" si="6"/>
        <v>-2975.88</v>
      </c>
      <c r="Y41" s="425">
        <f>+E41+H41+I41+J41+M41+N41+O41+R41+S41+T41+W41+X41</f>
        <v>-42825.51</v>
      </c>
      <c r="AA41" s="315"/>
      <c r="AB41" s="434"/>
    </row>
    <row r="42" spans="1:29" x14ac:dyDescent="0.25">
      <c r="D42" s="304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5"/>
      <c r="AA42" s="315"/>
      <c r="AB42" s="434"/>
    </row>
    <row r="43" spans="1:29" x14ac:dyDescent="0.25">
      <c r="D43" s="426" t="s">
        <v>645</v>
      </c>
      <c r="E43" s="428">
        <f>SUM(E37:E41)</f>
        <v>27178679.640939999</v>
      </c>
      <c r="F43" s="428">
        <f t="shared" ref="F43:Y43" si="7">SUM(F37:F41)</f>
        <v>0</v>
      </c>
      <c r="G43" s="428">
        <f t="shared" si="7"/>
        <v>0</v>
      </c>
      <c r="H43" s="428">
        <f t="shared" si="7"/>
        <v>24699536.538750004</v>
      </c>
      <c r="I43" s="428">
        <f t="shared" si="7"/>
        <v>16750412.739280002</v>
      </c>
      <c r="J43" s="428">
        <f t="shared" si="7"/>
        <v>15010625.097600002</v>
      </c>
      <c r="K43" s="428"/>
      <c r="L43" s="428"/>
      <c r="M43" s="428">
        <f t="shared" si="7"/>
        <v>7994158.013650001</v>
      </c>
      <c r="N43" s="428">
        <f t="shared" si="7"/>
        <v>5848819.5534999985</v>
      </c>
      <c r="O43" s="428">
        <f t="shared" si="7"/>
        <v>4420142.454260001</v>
      </c>
      <c r="P43" s="428"/>
      <c r="Q43" s="428"/>
      <c r="R43" s="428">
        <f t="shared" si="7"/>
        <v>4423688.716169999</v>
      </c>
      <c r="S43" s="428">
        <f t="shared" si="7"/>
        <v>4487420.5446799984</v>
      </c>
      <c r="T43" s="428">
        <f t="shared" si="7"/>
        <v>6149229.0263900002</v>
      </c>
      <c r="U43" s="428"/>
      <c r="V43" s="428"/>
      <c r="W43" s="428">
        <f t="shared" si="7"/>
        <v>11165189.432019999</v>
      </c>
      <c r="X43" s="428">
        <f t="shared" si="7"/>
        <v>18387636.190249998</v>
      </c>
      <c r="Y43" s="428">
        <f t="shared" si="7"/>
        <v>146515537.94749004</v>
      </c>
      <c r="AA43" s="315"/>
      <c r="AB43" s="434"/>
    </row>
    <row r="44" spans="1:29" x14ac:dyDescent="0.25">
      <c r="D44" s="303"/>
      <c r="AA44" s="315">
        <v>146515537</v>
      </c>
      <c r="AB44" s="428"/>
    </row>
    <row r="45" spans="1:29" x14ac:dyDescent="0.25">
      <c r="D45" s="303" t="s">
        <v>378</v>
      </c>
      <c r="E45" s="422">
        <v>27178680</v>
      </c>
      <c r="F45" s="422"/>
      <c r="G45" s="422"/>
      <c r="H45" s="422">
        <v>24699536.43</v>
      </c>
      <c r="I45" s="422">
        <v>16750412.679999998</v>
      </c>
      <c r="J45" s="422">
        <v>15010625</v>
      </c>
      <c r="K45" s="422"/>
      <c r="L45" s="422"/>
      <c r="M45" s="422">
        <v>7994158</v>
      </c>
      <c r="N45" s="422">
        <v>5848820</v>
      </c>
      <c r="O45" s="422">
        <v>4420045</v>
      </c>
      <c r="P45" s="422"/>
      <c r="Q45" s="422"/>
      <c r="R45" s="422">
        <v>4423787</v>
      </c>
      <c r="S45" s="422">
        <v>4487420</v>
      </c>
      <c r="T45" s="422">
        <v>6149229</v>
      </c>
      <c r="U45" s="422"/>
      <c r="V45" s="422"/>
      <c r="W45" s="422">
        <v>11165056</v>
      </c>
      <c r="X45" s="422">
        <v>18387770</v>
      </c>
      <c r="Y45" s="422">
        <v>146515539.11000001</v>
      </c>
      <c r="AA45" s="315"/>
    </row>
    <row r="46" spans="1:29" x14ac:dyDescent="0.25">
      <c r="D46" s="303" t="s">
        <v>643</v>
      </c>
      <c r="E46" s="428">
        <f>+E43-E45</f>
        <v>-0.35906000062823296</v>
      </c>
      <c r="F46" s="428">
        <f t="shared" ref="F46:Y46" si="8">+F43-F45</f>
        <v>0</v>
      </c>
      <c r="G46" s="428">
        <f t="shared" si="8"/>
        <v>0</v>
      </c>
      <c r="H46" s="428">
        <f t="shared" si="8"/>
        <v>0.10875000432133675</v>
      </c>
      <c r="I46" s="428">
        <f t="shared" si="8"/>
        <v>5.9280004352331161E-2</v>
      </c>
      <c r="J46" s="428">
        <f t="shared" si="8"/>
        <v>9.7600001841783524E-2</v>
      </c>
      <c r="K46" s="428"/>
      <c r="L46" s="428"/>
      <c r="M46" s="428">
        <f t="shared" si="8"/>
        <v>1.3650001026690006E-2</v>
      </c>
      <c r="N46" s="428">
        <f t="shared" si="8"/>
        <v>-0.44650000147521496</v>
      </c>
      <c r="O46" s="428">
        <f t="shared" si="8"/>
        <v>97.454260000959039</v>
      </c>
      <c r="P46" s="428"/>
      <c r="Q46" s="428"/>
      <c r="R46" s="428">
        <f t="shared" si="8"/>
        <v>-98.283830001018941</v>
      </c>
      <c r="S46" s="428">
        <f t="shared" si="8"/>
        <v>0.54467999842017889</v>
      </c>
      <c r="T46" s="428">
        <f t="shared" si="8"/>
        <v>2.6390000246465206E-2</v>
      </c>
      <c r="U46" s="428"/>
      <c r="V46" s="428"/>
      <c r="W46" s="428">
        <f t="shared" si="8"/>
        <v>133.43201999925077</v>
      </c>
      <c r="X46" s="428">
        <f t="shared" si="8"/>
        <v>-133.80975000187755</v>
      </c>
      <c r="Y46" s="428">
        <f t="shared" si="8"/>
        <v>-1.1625099778175354</v>
      </c>
      <c r="Z46" s="428"/>
      <c r="AA46" s="315">
        <f>+AA44-Y37-Y39-Y41-Y40</f>
        <v>-0.94749000758383772</v>
      </c>
      <c r="AB46" s="419" t="s">
        <v>386</v>
      </c>
    </row>
    <row r="47" spans="1:29" x14ac:dyDescent="0.25">
      <c r="D47" s="303"/>
      <c r="E47" s="428"/>
      <c r="F47" s="428"/>
      <c r="G47" s="428"/>
      <c r="H47" s="428"/>
      <c r="I47" s="428"/>
      <c r="J47" s="428"/>
      <c r="K47" s="428"/>
      <c r="L47" s="428"/>
      <c r="M47" s="428"/>
      <c r="N47" s="428"/>
      <c r="O47" s="428"/>
      <c r="P47" s="428"/>
      <c r="Q47" s="428"/>
      <c r="R47" s="428"/>
      <c r="S47" s="428"/>
      <c r="T47" s="428"/>
      <c r="U47" s="428"/>
      <c r="V47" s="428"/>
      <c r="W47" s="428"/>
      <c r="X47" s="428"/>
      <c r="Y47" s="428"/>
      <c r="Z47" s="428"/>
      <c r="AA47" s="315"/>
    </row>
    <row r="48" spans="1:29" x14ac:dyDescent="0.25">
      <c r="D48" s="303" t="s">
        <v>243</v>
      </c>
    </row>
    <row r="49" spans="2:25" x14ac:dyDescent="0.25">
      <c r="B49" s="419" t="s">
        <v>205</v>
      </c>
      <c r="D49" s="302" t="s">
        <v>379</v>
      </c>
      <c r="E49" s="420">
        <f>SUMIFS('GSC Support'!$L$5:$L$354,'GSC Support'!$E$5:$E$354,'Exh P11-Gas Supply Rev'!$B49,'GSC Support'!$B$5:$B$354,'Exh P11-Gas Supply Rev'!E$1)/10</f>
        <v>3446763.6</v>
      </c>
      <c r="F49" s="420">
        <f>SUMIFS('GSC Support'!$J$5:$J$354,'GSC Support'!$E$5:$E$354,'Exh P11-Gas Supply Rev'!$B49,'GSC Support'!$B$5:$B$354,'Exh P11-Gas Supply Rev'!F$1)/10</f>
        <v>1771075.4</v>
      </c>
      <c r="G49" s="420">
        <f>SUMIFS('GSC Support'!$I$5:$I$354,'GSC Support'!$E$5:$E$354,'Exh P11-Gas Supply Rev'!$B49,'GSC Support'!$B$5:$B$354,'Exh P11-Gas Supply Rev'!G$1)/10</f>
        <v>1524427.6</v>
      </c>
      <c r="H49" s="421">
        <f>+F49+G49</f>
        <v>3295503</v>
      </c>
      <c r="I49" s="420">
        <f>SUMIFS('GSC Support'!$L$5:$L$354,'GSC Support'!$E$5:$E$354,'Exh P11-Gas Supply Rev'!$B49,'GSC Support'!$B$5:$B$354,'Exh P11-Gas Supply Rev'!I$1)/10</f>
        <v>2236711.2000000002</v>
      </c>
      <c r="J49" s="420">
        <f>SUMIFS('GSC Support'!$L$5:$L$354,'GSC Support'!$E$5:$E$354,'Exh P11-Gas Supply Rev'!$B49,'GSC Support'!$B$5:$B$354,'Exh P11-Gas Supply Rev'!J$1)/10</f>
        <v>1762080.2</v>
      </c>
      <c r="K49" s="420">
        <f>SUMIFS('GSC Support'!$J$5:$J$354,'GSC Support'!$E$5:$E$354,'Exh P11-Gas Supply Rev'!$B49,'GSC Support'!$B$5:$B$354,'Exh P11-Gas Supply Rev'!K$1)/10</f>
        <v>462253.6</v>
      </c>
      <c r="L49" s="420">
        <f>SUMIFS('GSC Support'!$I$5:$I$354,'GSC Support'!$E$5:$E$354,'Exh P11-Gas Supply Rev'!$B49,'GSC Support'!$B$5:$B$354,'Exh P11-Gas Supply Rev'!L$1)/10</f>
        <v>400045.3</v>
      </c>
      <c r="M49" s="421">
        <f>+K49+L49</f>
        <v>862298.89999999991</v>
      </c>
      <c r="N49" s="420">
        <f>SUMIFS('GSC Support'!$L$5:$L$354,'GSC Support'!$E$5:$E$354,'Exh P11-Gas Supply Rev'!$B49,'GSC Support'!$B$5:$B$354,'Exh P11-Gas Supply Rev'!N$1)/10</f>
        <v>543316.6</v>
      </c>
      <c r="O49" s="420">
        <f>SUMIFS('GSC Support'!$L$5:$L$354,'GSC Support'!$E$5:$E$354,'Exh P11-Gas Supply Rev'!$B49,'GSC Support'!$B$5:$B$354,'Exh P11-Gas Supply Rev'!O$1)/10</f>
        <v>383825.4</v>
      </c>
      <c r="P49" s="420">
        <f>SUMIFS('GSC Support'!$J$5:$J$354,'GSC Support'!$E$5:$E$354,'Exh P11-Gas Supply Rev'!$B49,'GSC Support'!$B$5:$B$354,'Exh P11-Gas Supply Rev'!P$1)/10</f>
        <v>177946.7</v>
      </c>
      <c r="Q49" s="420">
        <f>SUMIFS('GSC Support'!$I$5:$I$354,'GSC Support'!$E$5:$E$354,'Exh P11-Gas Supply Rev'!$B49,'GSC Support'!$B$5:$B$354,'Exh P11-Gas Supply Rev'!Q$1)/10</f>
        <v>181116.9</v>
      </c>
      <c r="R49" s="421">
        <f>+P49+Q49</f>
        <v>359063.6</v>
      </c>
      <c r="S49" s="420">
        <f>SUMIFS('GSC Support'!$L$5:$L$354,'GSC Support'!$E$5:$E$354,'Exh P11-Gas Supply Rev'!$B49,'GSC Support'!$B$5:$B$354,'Exh P11-Gas Supply Rev'!S$1)/10</f>
        <v>392299.6</v>
      </c>
      <c r="T49" s="420">
        <f>SUMIFS('GSC Support'!$L$5:$L$354,'GSC Support'!$E$5:$E$354,'Exh P11-Gas Supply Rev'!$B49,'GSC Support'!$B$5:$B$354,'Exh P11-Gas Supply Rev'!T$1)/10</f>
        <v>574462.80000000005</v>
      </c>
      <c r="U49" s="420">
        <f>SUMIFS('GSC Support'!$J$5:$J$354,'GSC Support'!$E$5:$E$354,'Exh P11-Gas Supply Rev'!$B49,'GSC Support'!$B$5:$B$354,'Exh P11-Gas Supply Rev'!U$1)/10</f>
        <v>642116.30000000005</v>
      </c>
      <c r="V49" s="420">
        <f>SUMIFS('GSC Support'!$I$5:$I$354,'GSC Support'!$E$5:$E$354,'Exh P11-Gas Supply Rev'!$B49,'GSC Support'!$B$5:$B$354,'Exh P11-Gas Supply Rev'!V$1)/10</f>
        <v>656384.30000000005</v>
      </c>
      <c r="W49" s="421">
        <f>+U49+V49</f>
        <v>1298500.6000000001</v>
      </c>
      <c r="X49" s="420">
        <f>SUMIFS('GSC Support'!$L$5:$L$354,'GSC Support'!$E$5:$E$354,'Exh P11-Gas Supply Rev'!$B49,'GSC Support'!$B$5:$B$354,'Exh P11-Gas Supply Rev'!X$1)/10</f>
        <v>2300365.1</v>
      </c>
      <c r="Y49" s="421">
        <f>+E49+H49+I49+J49+M49+N49+O49+R49+S49+T49+W49+X49</f>
        <v>17455190.600000001</v>
      </c>
    </row>
    <row r="50" spans="2:25" x14ac:dyDescent="0.25">
      <c r="B50" s="419" t="s">
        <v>183</v>
      </c>
      <c r="D50" s="303" t="s">
        <v>357</v>
      </c>
      <c r="E50" s="627">
        <f>+E49</f>
        <v>3446763.6</v>
      </c>
      <c r="F50" s="627">
        <f t="shared" ref="F50:X50" si="9">+F49</f>
        <v>1771075.4</v>
      </c>
      <c r="G50" s="627">
        <f t="shared" si="9"/>
        <v>1524427.6</v>
      </c>
      <c r="H50" s="627">
        <f t="shared" si="9"/>
        <v>3295503</v>
      </c>
      <c r="I50" s="627">
        <f t="shared" si="9"/>
        <v>2236711.2000000002</v>
      </c>
      <c r="J50" s="627">
        <f t="shared" si="9"/>
        <v>1762080.2</v>
      </c>
      <c r="K50" s="627">
        <f t="shared" si="9"/>
        <v>462253.6</v>
      </c>
      <c r="L50" s="627">
        <f t="shared" si="9"/>
        <v>400045.3</v>
      </c>
      <c r="M50" s="627">
        <f t="shared" si="9"/>
        <v>862298.89999999991</v>
      </c>
      <c r="N50" s="627">
        <f t="shared" si="9"/>
        <v>543316.6</v>
      </c>
      <c r="O50" s="627">
        <f t="shared" si="9"/>
        <v>383825.4</v>
      </c>
      <c r="P50" s="627">
        <f t="shared" si="9"/>
        <v>177946.7</v>
      </c>
      <c r="Q50" s="627">
        <f t="shared" si="9"/>
        <v>181116.9</v>
      </c>
      <c r="R50" s="627">
        <f t="shared" si="9"/>
        <v>359063.6</v>
      </c>
      <c r="S50" s="627">
        <f t="shared" si="9"/>
        <v>392299.6</v>
      </c>
      <c r="T50" s="627">
        <f t="shared" si="9"/>
        <v>574462.80000000005</v>
      </c>
      <c r="U50" s="627">
        <f t="shared" si="9"/>
        <v>642116.30000000005</v>
      </c>
      <c r="V50" s="627">
        <f t="shared" si="9"/>
        <v>656384.30000000005</v>
      </c>
      <c r="W50" s="627">
        <f t="shared" si="9"/>
        <v>1298500.6000000001</v>
      </c>
      <c r="X50" s="627">
        <f t="shared" si="9"/>
        <v>2300365.1</v>
      </c>
    </row>
    <row r="51" spans="2:25" x14ac:dyDescent="0.25">
      <c r="B51" s="419" t="s">
        <v>180</v>
      </c>
      <c r="D51" s="302" t="s">
        <v>1177</v>
      </c>
      <c r="E51" s="420">
        <f>SUMIFS('GSC Support'!$L$5:$L$354,'GSC Support'!$E$5:$E$354,'Exh P11-Gas Supply Rev'!$B51,'GSC Support'!$B$5:$B$354,'Exh P11-Gas Supply Rev'!E$1)/10+SUMIFS('GSC Support'!$L$5:$L$354,'GSC Support'!$E$5:$E$354,'Exh P11-Gas Supply Rev'!$B50,'GSC Support'!$B$5:$B$354,'Exh P11-Gas Supply Rev'!E$1)/10</f>
        <v>1623418.7</v>
      </c>
      <c r="F51" s="420">
        <f>SUMIFS('GSC Support'!$J$5:$J$354,'GSC Support'!$E$5:$E$354,'Exh P11-Gas Supply Rev'!$B51,'GSC Support'!$B$5:$B$354,'Exh P11-Gas Supply Rev'!F$1)/10+SUMIFS('GSC Support'!$J$5:$J$354,'GSC Support'!$E$5:$E$354,'Exh P11-Gas Supply Rev'!$B50,'GSC Support'!$B$5:$B$354,'Exh P11-Gas Supply Rev'!F$1)/10</f>
        <v>816825.9</v>
      </c>
      <c r="G51" s="420">
        <f>SUMIFS('GSC Support'!$I$5:$I$354,'GSC Support'!$E$5:$E$354,'Exh P11-Gas Supply Rev'!$B51,'GSC Support'!$B$5:$B$354,'Exh P11-Gas Supply Rev'!G$1)/10+SUMIFS('GSC Support'!$I$5:$I$354,'GSC Support'!$E$5:$E$354,'Exh P11-Gas Supply Rev'!$B50,'GSC Support'!$B$5:$B$354,'Exh P11-Gas Supply Rev'!G$1)/10</f>
        <v>701886</v>
      </c>
      <c r="H51" s="421">
        <f>+F51+G51</f>
        <v>1518711.9</v>
      </c>
      <c r="I51" s="420">
        <f>SUMIFS('GSC Support'!$L$5:$L$354,'GSC Support'!$E$5:$E$354,'Exh P11-Gas Supply Rev'!$B51,'GSC Support'!$B$5:$B$354,'Exh P11-Gas Supply Rev'!I$1)/10+SUMIFS('GSC Support'!$L$5:$L$354,'GSC Support'!$E$5:$E$354,'Exh P11-Gas Supply Rev'!$B50,'GSC Support'!$B$5:$B$354,'Exh P11-Gas Supply Rev'!I$1)/10</f>
        <v>1117891.5</v>
      </c>
      <c r="J51" s="420">
        <f>SUMIFS('GSC Support'!$L$5:$L$354,'GSC Support'!$E$5:$E$354,'Exh P11-Gas Supply Rev'!$B51,'GSC Support'!$B$5:$B$354,'Exh P11-Gas Supply Rev'!J$1)/10+SUMIFS('GSC Support'!$L$5:$L$354,'GSC Support'!$E$5:$E$354,'Exh P11-Gas Supply Rev'!$B50,'GSC Support'!$B$5:$B$354,'Exh P11-Gas Supply Rev'!J$1)/10</f>
        <v>874906</v>
      </c>
      <c r="K51" s="420">
        <f>SUMIFS('GSC Support'!$J$5:$J$354,'GSC Support'!$E$5:$E$354,'Exh P11-Gas Supply Rev'!$B51,'GSC Support'!$B$5:$B$354,'Exh P11-Gas Supply Rev'!K$1)/10+SUMIFS('GSC Support'!$J$5:$J$354,'GSC Support'!$E$5:$E$354,'Exh P11-Gas Supply Rev'!$B50,'GSC Support'!$B$5:$B$354,'Exh P11-Gas Supply Rev'!K$1)/10</f>
        <v>266914.3</v>
      </c>
      <c r="L51" s="420">
        <f>SUMIFS('GSC Support'!$I$5:$I$354,'GSC Support'!$E$5:$E$354,'Exh P11-Gas Supply Rev'!$B51,'GSC Support'!$B$5:$B$354,'Exh P11-Gas Supply Rev'!L$1)/10+SUMIFS('GSC Support'!$I$5:$I$354,'GSC Support'!$E$5:$E$354,'Exh P11-Gas Supply Rev'!$B50,'GSC Support'!$B$5:$B$354,'Exh P11-Gas Supply Rev'!L$1)/10</f>
        <v>212161</v>
      </c>
      <c r="M51" s="421">
        <f>+K51+L51</f>
        <v>479075.3</v>
      </c>
      <c r="N51" s="420">
        <f>SUMIFS('GSC Support'!$L$5:$L$354,'GSC Support'!$E$5:$E$354,'Exh P11-Gas Supply Rev'!$B51,'GSC Support'!$B$5:$B$354,'Exh P11-Gas Supply Rev'!N$1)/10+SUMIFS('GSC Support'!$L$5:$L$354,'GSC Support'!$E$5:$E$354,'Exh P11-Gas Supply Rev'!$B50,'GSC Support'!$B$5:$B$354,'Exh P11-Gas Supply Rev'!N$1)/10</f>
        <v>340059.5</v>
      </c>
      <c r="O51" s="420">
        <f>SUMIFS('GSC Support'!$L$5:$L$354,'GSC Support'!$E$5:$E$354,'Exh P11-Gas Supply Rev'!$B51,'GSC Support'!$B$5:$B$354,'Exh P11-Gas Supply Rev'!O$1)/10+SUMIFS('GSC Support'!$L$5:$L$354,'GSC Support'!$E$5:$E$354,'Exh P11-Gas Supply Rev'!$B50,'GSC Support'!$B$5:$B$354,'Exh P11-Gas Supply Rev'!O$1)/10</f>
        <v>274235.5</v>
      </c>
      <c r="P51" s="420">
        <f>SUMIFS('GSC Support'!$J$5:$J$354,'GSC Support'!$E$5:$E$354,'Exh P11-Gas Supply Rev'!$B51,'GSC Support'!$B$5:$B$354,'Exh P11-Gas Supply Rev'!P$1)/10+SUMIFS('GSC Support'!$J$5:$J$354,'GSC Support'!$E$5:$E$354,'Exh P11-Gas Supply Rev'!$B50,'GSC Support'!$B$5:$B$354,'Exh P11-Gas Supply Rev'!P$1)/10</f>
        <v>138888.19999999998</v>
      </c>
      <c r="Q51" s="420">
        <f>SUMIFS('GSC Support'!$I$5:$I$354,'GSC Support'!$E$5:$E$354,'Exh P11-Gas Supply Rev'!$B51,'GSC Support'!$B$5:$B$354,'Exh P11-Gas Supply Rev'!Q$1)/10+SUMIFS('GSC Support'!$I$5:$I$354,'GSC Support'!$E$5:$E$354,'Exh P11-Gas Supply Rev'!$B50,'GSC Support'!$B$5:$B$354,'Exh P11-Gas Supply Rev'!Q$1)/10</f>
        <v>122982.40000000001</v>
      </c>
      <c r="R51" s="421">
        <f>+P51+Q51</f>
        <v>261870.59999999998</v>
      </c>
      <c r="S51" s="420">
        <f>SUMIFS('GSC Support'!$L$5:$L$354,'GSC Support'!$E$5:$E$354,'Exh P11-Gas Supply Rev'!$B51,'GSC Support'!$B$5:$B$354,'Exh P11-Gas Supply Rev'!S$1)/10+SUMIFS('GSC Support'!$L$5:$L$354,'GSC Support'!$E$5:$E$354,'Exh P11-Gas Supply Rev'!$B50,'GSC Support'!$B$5:$B$354,'Exh P11-Gas Supply Rev'!S$1)/10</f>
        <v>308242</v>
      </c>
      <c r="T51" s="420">
        <f>SUMIFS('GSC Support'!$L$5:$L$354,'GSC Support'!$E$5:$E$354,'Exh P11-Gas Supply Rev'!$B51,'GSC Support'!$B$5:$B$354,'Exh P11-Gas Supply Rev'!T$1)/10+SUMIFS('GSC Support'!$L$5:$L$354,'GSC Support'!$E$5:$E$354,'Exh P11-Gas Supply Rev'!$B50,'GSC Support'!$B$5:$B$354,'Exh P11-Gas Supply Rev'!T$1)/10</f>
        <v>374083.4</v>
      </c>
      <c r="U51" s="420">
        <f>SUMIFS('GSC Support'!$J$5:$J$354,'GSC Support'!$E$5:$E$354,'Exh P11-Gas Supply Rev'!$B51,'GSC Support'!$B$5:$B$354,'Exh P11-Gas Supply Rev'!U$1)/10+SUMIFS('GSC Support'!$J$5:$J$354,'GSC Support'!$E$5:$E$354,'Exh P11-Gas Supply Rev'!$B50,'GSC Support'!$B$5:$B$354,'Exh P11-Gas Supply Rev'!U$1)/10</f>
        <v>305793</v>
      </c>
      <c r="V51" s="420">
        <f>SUMIFS('GSC Support'!$I$5:$I$354,'GSC Support'!$E$5:$E$354,'Exh P11-Gas Supply Rev'!$B51,'GSC Support'!$B$5:$B$354,'Exh P11-Gas Supply Rev'!V$1)/10+SUMIFS('GSC Support'!$I$5:$I$354,'GSC Support'!$E$5:$E$354,'Exh P11-Gas Supply Rev'!$B50,'GSC Support'!$B$5:$B$354,'Exh P11-Gas Supply Rev'!V$1)/10</f>
        <v>285533.5</v>
      </c>
      <c r="W51" s="421">
        <f>+U51+V51</f>
        <v>591326.5</v>
      </c>
      <c r="X51" s="420">
        <f>SUMIFS('GSC Support'!$L$5:$L$354,'GSC Support'!$E$5:$E$354,'Exh P11-Gas Supply Rev'!$B51,'GSC Support'!$B$5:$B$354,'Exh P11-Gas Supply Rev'!X$1)/10+SUMIFS('GSC Support'!$L$5:$L$354,'GSC Support'!$E$5:$E$354,'Exh P11-Gas Supply Rev'!$B50,'GSC Support'!$B$5:$B$354,'Exh P11-Gas Supply Rev'!X$1)/10</f>
        <v>1077715</v>
      </c>
      <c r="Y51" s="421">
        <f>+E51+H51+I51+J51+M51+N51+O51+R51+S51+T51+W51+X51</f>
        <v>8841535.8999999985</v>
      </c>
    </row>
    <row r="52" spans="2:25" x14ac:dyDescent="0.25">
      <c r="B52" s="419" t="s">
        <v>183</v>
      </c>
      <c r="D52" s="304" t="s">
        <v>359</v>
      </c>
      <c r="E52" s="419">
        <f>+SBR!Z52</f>
        <v>0</v>
      </c>
      <c r="H52" s="419">
        <f>+SBR!AA52</f>
        <v>0</v>
      </c>
      <c r="I52" s="419">
        <f>+SBR!AB52</f>
        <v>0</v>
      </c>
      <c r="J52" s="419">
        <f>+SBR!AC52</f>
        <v>0</v>
      </c>
      <c r="M52" s="419">
        <f>+SBR!AD52</f>
        <v>0</v>
      </c>
      <c r="N52" s="419">
        <f>+SBR!AE52</f>
        <v>0</v>
      </c>
      <c r="O52" s="419">
        <f>+SBR!AF52</f>
        <v>0</v>
      </c>
      <c r="R52" s="419">
        <f>+SBR!AG52</f>
        <v>0</v>
      </c>
      <c r="S52" s="419">
        <f>+SBR!AH52</f>
        <v>0</v>
      </c>
      <c r="T52" s="419">
        <f>+SBR!AI52</f>
        <v>0</v>
      </c>
      <c r="W52" s="419">
        <f>+SBR!AJ52</f>
        <v>0</v>
      </c>
      <c r="X52" s="419">
        <f>+SBR!AK52</f>
        <v>0</v>
      </c>
      <c r="Y52" s="421">
        <f>+E52+H52+I52+J52+M52+N52+O52+R52+S52+T52+W52+X52</f>
        <v>0</v>
      </c>
    </row>
    <row r="53" spans="2:25" x14ac:dyDescent="0.25">
      <c r="B53" s="419" t="s">
        <v>192</v>
      </c>
      <c r="D53" s="303" t="s">
        <v>360</v>
      </c>
      <c r="E53" s="627">
        <f t="shared" ref="E53:X53" si="10">+E51+E52</f>
        <v>1623418.7</v>
      </c>
      <c r="F53" s="627">
        <f t="shared" si="10"/>
        <v>816825.9</v>
      </c>
      <c r="G53" s="627">
        <f t="shared" si="10"/>
        <v>701886</v>
      </c>
      <c r="H53" s="627">
        <f t="shared" si="10"/>
        <v>1518711.9</v>
      </c>
      <c r="I53" s="627">
        <f t="shared" si="10"/>
        <v>1117891.5</v>
      </c>
      <c r="J53" s="627">
        <f t="shared" si="10"/>
        <v>874906</v>
      </c>
      <c r="K53" s="627">
        <f t="shared" si="10"/>
        <v>266914.3</v>
      </c>
      <c r="L53" s="627">
        <f t="shared" si="10"/>
        <v>212161</v>
      </c>
      <c r="M53" s="627">
        <f t="shared" si="10"/>
        <v>479075.3</v>
      </c>
      <c r="N53" s="627">
        <f t="shared" si="10"/>
        <v>340059.5</v>
      </c>
      <c r="O53" s="627">
        <f t="shared" si="10"/>
        <v>274235.5</v>
      </c>
      <c r="P53" s="627">
        <f t="shared" si="10"/>
        <v>138888.19999999998</v>
      </c>
      <c r="Q53" s="627">
        <f t="shared" si="10"/>
        <v>122982.40000000001</v>
      </c>
      <c r="R53" s="627">
        <f t="shared" si="10"/>
        <v>261870.59999999998</v>
      </c>
      <c r="S53" s="627">
        <f t="shared" si="10"/>
        <v>308242</v>
      </c>
      <c r="T53" s="627">
        <f t="shared" si="10"/>
        <v>374083.4</v>
      </c>
      <c r="U53" s="627">
        <f t="shared" si="10"/>
        <v>305793</v>
      </c>
      <c r="V53" s="627">
        <f t="shared" si="10"/>
        <v>285533.5</v>
      </c>
      <c r="W53" s="627">
        <f t="shared" si="10"/>
        <v>591326.5</v>
      </c>
      <c r="X53" s="627">
        <f t="shared" si="10"/>
        <v>1077715</v>
      </c>
    </row>
    <row r="54" spans="2:25" x14ac:dyDescent="0.25">
      <c r="B54" s="419" t="s">
        <v>190</v>
      </c>
      <c r="D54" s="302" t="s">
        <v>1178</v>
      </c>
      <c r="E54" s="420">
        <f>SUMIFS('GSC Support'!$L$5:$L$354,'GSC Support'!$E$5:$E$354,'Exh P11-Gas Supply Rev'!$B54,'GSC Support'!$B$5:$B$354,'Exh P11-Gas Supply Rev'!E$1)/10+SUMIFS('GSC Support'!$L$5:$L$354,'GSC Support'!$E$5:$E$354,'Exh P11-Gas Supply Rev'!$B53,'GSC Support'!$B$5:$B$354,'Exh P11-Gas Supply Rev'!E$1)/10</f>
        <v>111408.6</v>
      </c>
      <c r="F54" s="420">
        <f>SUMIFS('GSC Support'!$J$5:$J$354,'GSC Support'!$E$5:$E$354,'Exh P11-Gas Supply Rev'!$B54,'GSC Support'!$B$5:$B$354,'Exh P11-Gas Supply Rev'!F$1)/10</f>
        <v>43236.9</v>
      </c>
      <c r="G54" s="420">
        <f>SUMIFS('GSC Support'!$I$5:$I$354,'GSC Support'!$E$5:$E$354,'Exh P11-Gas Supply Rev'!$B54,'GSC Support'!$B$5:$B$354,'Exh P11-Gas Supply Rev'!G$1)/10</f>
        <v>65139.4</v>
      </c>
      <c r="H54" s="421">
        <f>+F54+G54</f>
        <v>108376.3</v>
      </c>
      <c r="I54" s="420">
        <f>SUMIFS('GSC Support'!$L$5:$L$354,'GSC Support'!$E$5:$E$354,'Exh P11-Gas Supply Rev'!$B54,'GSC Support'!$B$5:$B$354,'Exh P11-Gas Supply Rev'!I$1)/10+SUMIFS('GSC Support'!$L$5:$L$354,'GSC Support'!$E$5:$E$354,'Exh P11-Gas Supply Rev'!$B53,'GSC Support'!$B$5:$B$354,'Exh P11-Gas Supply Rev'!I$1)/10</f>
        <v>83171.3</v>
      </c>
      <c r="J54" s="420">
        <f>SUMIFS('GSC Support'!$L$5:$L$354,'GSC Support'!$E$5:$E$354,'Exh P11-Gas Supply Rev'!$B54,'GSC Support'!$B$5:$B$354,'Exh P11-Gas Supply Rev'!J$1)/10+SUMIFS('GSC Support'!$L$5:$L$354,'GSC Support'!$E$5:$E$354,'Exh P11-Gas Supply Rev'!$B53,'GSC Support'!$B$5:$B$354,'Exh P11-Gas Supply Rev'!J$1)/10</f>
        <v>70165.7</v>
      </c>
      <c r="K54" s="420">
        <f>SUMIFS('GSC Support'!$J$5:$J$354,'GSC Support'!$E$5:$E$354,'Exh P11-Gas Supply Rev'!$B54,'GSC Support'!$B$5:$B$354,'Exh P11-Gas Supply Rev'!K$1)/10+SUMIFS('GSC Support'!$J$5:$J$354,'GSC Support'!$E$5:$E$354,'Exh P11-Gas Supply Rev'!$B53,'GSC Support'!$B$5:$B$354,'Exh P11-Gas Supply Rev'!K$1)/10</f>
        <v>20854.7</v>
      </c>
      <c r="L54" s="420">
        <f>SUMIFS('GSC Support'!$I$5:$I$354,'GSC Support'!$E$5:$E$354,'Exh P11-Gas Supply Rev'!$B54,'GSC Support'!$B$5:$B$354,'Exh P11-Gas Supply Rev'!L$1)/10+SUMIFS('GSC Support'!$I$5:$I$354,'GSC Support'!$E$5:$E$354,'Exh P11-Gas Supply Rev'!$B53,'GSC Support'!$B$5:$B$354,'Exh P11-Gas Supply Rev'!L$1)/10</f>
        <v>27454.199999999997</v>
      </c>
      <c r="M54" s="421">
        <f>+K54+L54</f>
        <v>48308.899999999994</v>
      </c>
      <c r="N54" s="420">
        <f>SUMIFS('GSC Support'!$L$5:$L$354,'GSC Support'!$E$5:$E$354,'Exh P11-Gas Supply Rev'!$B54,'GSC Support'!$B$5:$B$354,'Exh P11-Gas Supply Rev'!N$1)/10+SUMIFS('GSC Support'!$L$5:$L$354,'GSC Support'!$E$5:$E$354,'Exh P11-Gas Supply Rev'!$B53,'GSC Support'!$B$5:$B$354,'Exh P11-Gas Supply Rev'!N$1)/10</f>
        <v>53785.5</v>
      </c>
      <c r="O54" s="420">
        <f>SUMIFS('GSC Support'!$L$5:$L$354,'GSC Support'!$E$5:$E$354,'Exh P11-Gas Supply Rev'!$B54,'GSC Support'!$B$5:$B$354,'Exh P11-Gas Supply Rev'!O$1)/10+SUMIFS('GSC Support'!$L$5:$L$354,'GSC Support'!$E$5:$E$354,'Exh P11-Gas Supply Rev'!$B53,'GSC Support'!$B$5:$B$354,'Exh P11-Gas Supply Rev'!O$1)/10</f>
        <v>34294.799999999996</v>
      </c>
      <c r="P54" s="420">
        <f>SUMIFS('GSC Support'!$J$5:$J$354,'GSC Support'!$E$5:$E$354,'Exh P11-Gas Supply Rev'!$B54,'GSC Support'!$B$5:$B$354,'Exh P11-Gas Supply Rev'!P$1)/10+SUMIFS('GSC Support'!$J$5:$J$354,'GSC Support'!$E$5:$E$354,'Exh P11-Gas Supply Rev'!$B53,'GSC Support'!$B$5:$B$354,'Exh P11-Gas Supply Rev'!P$1)/10</f>
        <v>21715.200000000001</v>
      </c>
      <c r="Q54" s="420">
        <f>SUMIFS('GSC Support'!$I$5:$I$354,'GSC Support'!$E$5:$E$354,'Exh P11-Gas Supply Rev'!$B54,'GSC Support'!$B$5:$B$354,'Exh P11-Gas Supply Rev'!Q$1)/10+SUMIFS('GSC Support'!$I$5:$I$354,'GSC Support'!$E$5:$E$354,'Exh P11-Gas Supply Rev'!$B53,'GSC Support'!$B$5:$B$354,'Exh P11-Gas Supply Rev'!Q$1)/10</f>
        <v>22676.5</v>
      </c>
      <c r="R54" s="421">
        <f>+P54+Q54</f>
        <v>44391.7</v>
      </c>
      <c r="S54" s="420">
        <f>SUMIFS('GSC Support'!$L$5:$L$354,'GSC Support'!$E$5:$E$354,'Exh P11-Gas Supply Rev'!$B54,'GSC Support'!$B$5:$B$354,'Exh P11-Gas Supply Rev'!S$1)/10+SUMIFS('GSC Support'!$L$5:$L$354,'GSC Support'!$E$5:$E$354,'Exh P11-Gas Supply Rev'!$B53,'GSC Support'!$B$5:$B$354,'Exh P11-Gas Supply Rev'!S$1)/10</f>
        <v>43054.8</v>
      </c>
      <c r="T54" s="420">
        <f>SUMIFS('GSC Support'!$L$5:$L$354,'GSC Support'!$E$5:$E$354,'Exh P11-Gas Supply Rev'!$B54,'GSC Support'!$B$5:$B$354,'Exh P11-Gas Supply Rev'!T$1)/10+SUMIFS('GSC Support'!$L$5:$L$354,'GSC Support'!$E$5:$E$354,'Exh P11-Gas Supply Rev'!$B53,'GSC Support'!$B$5:$B$354,'Exh P11-Gas Supply Rev'!T$1)/10</f>
        <v>51816.200000000004</v>
      </c>
      <c r="U54" s="420">
        <f>SUMIFS('GSC Support'!$J$5:$J$354,'GSC Support'!$E$5:$E$354,'Exh P11-Gas Supply Rev'!$B54,'GSC Support'!$B$5:$B$354,'Exh P11-Gas Supply Rev'!U$1)/10+SUMIFS('GSC Support'!$J$5:$J$354,'GSC Support'!$E$5:$E$354,'Exh P11-Gas Supply Rev'!$B53,'GSC Support'!$B$5:$B$354,'Exh P11-Gas Supply Rev'!U$1)/10</f>
        <v>27695.5</v>
      </c>
      <c r="V54" s="420">
        <f>SUMIFS('GSC Support'!$I$5:$I$354,'GSC Support'!$E$5:$E$354,'Exh P11-Gas Supply Rev'!$B54,'GSC Support'!$B$5:$B$354,'Exh P11-Gas Supply Rev'!V$1)/10+SUMIFS('GSC Support'!$I$5:$I$354,'GSC Support'!$E$5:$E$354,'Exh P11-Gas Supply Rev'!$B53,'GSC Support'!$B$5:$B$354,'Exh P11-Gas Supply Rev'!V$1)/10</f>
        <v>35824.800000000003</v>
      </c>
      <c r="W54" s="421">
        <f>+U54+V54</f>
        <v>63520.3</v>
      </c>
      <c r="X54" s="420">
        <f>SUMIFS('GSC Support'!$L$5:$L$354,'GSC Support'!$E$5:$E$354,'Exh P11-Gas Supply Rev'!$B54,'GSC Support'!$B$5:$B$354,'Exh P11-Gas Supply Rev'!X$1)/10+SUMIFS('GSC Support'!$L$5:$L$354,'GSC Support'!$E$5:$E$354,'Exh P11-Gas Supply Rev'!$B53,'GSC Support'!$B$5:$B$354,'Exh P11-Gas Supply Rev'!X$1)/10</f>
        <v>79944.2</v>
      </c>
      <c r="Y54" s="421">
        <f>+E54+H54+I54+J54+M54+N54+O54+R54+S54+T54+W54+X54</f>
        <v>792238.3</v>
      </c>
    </row>
    <row r="55" spans="2:25" x14ac:dyDescent="0.25">
      <c r="B55" s="419" t="s">
        <v>192</v>
      </c>
      <c r="D55" s="306" t="s">
        <v>380</v>
      </c>
      <c r="E55" s="420">
        <f>+SBR!Z53</f>
        <v>2302</v>
      </c>
      <c r="F55" s="420"/>
      <c r="G55" s="420"/>
      <c r="H55" s="420">
        <f>+SBR!AA53</f>
        <v>3728.3</v>
      </c>
      <c r="I55" s="420">
        <f>+SBR!AB53</f>
        <v>5635</v>
      </c>
      <c r="J55" s="420">
        <f>+SBR!AC53</f>
        <v>2291.1999999999998</v>
      </c>
      <c r="K55" s="420"/>
      <c r="L55" s="420"/>
      <c r="M55" s="420">
        <f>+SBR!AD53</f>
        <v>1861.7</v>
      </c>
      <c r="N55" s="420">
        <f>+SBR!AE53</f>
        <v>5942.3</v>
      </c>
      <c r="O55" s="420">
        <f>+SBR!AF53</f>
        <v>5418.2</v>
      </c>
      <c r="P55" s="420"/>
      <c r="Q55" s="420"/>
      <c r="R55" s="420">
        <f>+SBR!AG53</f>
        <v>3492.8</v>
      </c>
      <c r="S55" s="420">
        <f>+SBR!AH53</f>
        <v>4489.3</v>
      </c>
      <c r="T55" s="420">
        <f>+SBR!AI53</f>
        <v>4603</v>
      </c>
      <c r="U55" s="420"/>
      <c r="V55" s="420"/>
      <c r="W55" s="420">
        <f>+SBR!AJ53</f>
        <v>6032</v>
      </c>
      <c r="X55" s="420">
        <f>+SBR!AK53</f>
        <v>3617.2</v>
      </c>
      <c r="Y55" s="421">
        <f>+E55+H55+I55+J55+M55+N55+O55+R55+S55+T55+W55+X55</f>
        <v>49413</v>
      </c>
    </row>
    <row r="56" spans="2:25" x14ac:dyDescent="0.25">
      <c r="D56" s="303" t="s">
        <v>363</v>
      </c>
      <c r="E56" s="627">
        <f t="shared" ref="E56:X56" si="11">+E54+E55</f>
        <v>113710.6</v>
      </c>
      <c r="F56" s="627">
        <f t="shared" si="11"/>
        <v>43236.9</v>
      </c>
      <c r="G56" s="627">
        <f t="shared" si="11"/>
        <v>65139.4</v>
      </c>
      <c r="H56" s="627">
        <f t="shared" si="11"/>
        <v>112104.6</v>
      </c>
      <c r="I56" s="627">
        <f t="shared" si="11"/>
        <v>88806.3</v>
      </c>
      <c r="J56" s="627">
        <f t="shared" si="11"/>
        <v>72456.899999999994</v>
      </c>
      <c r="K56" s="627">
        <f t="shared" si="11"/>
        <v>20854.7</v>
      </c>
      <c r="L56" s="627">
        <f t="shared" si="11"/>
        <v>27454.199999999997</v>
      </c>
      <c r="M56" s="627">
        <f t="shared" si="11"/>
        <v>50170.599999999991</v>
      </c>
      <c r="N56" s="627">
        <f t="shared" si="11"/>
        <v>59727.8</v>
      </c>
      <c r="O56" s="627">
        <f t="shared" si="11"/>
        <v>39712.999999999993</v>
      </c>
      <c r="P56" s="627">
        <f t="shared" si="11"/>
        <v>21715.200000000001</v>
      </c>
      <c r="Q56" s="627">
        <f t="shared" si="11"/>
        <v>22676.5</v>
      </c>
      <c r="R56" s="627">
        <f t="shared" si="11"/>
        <v>47884.5</v>
      </c>
      <c r="S56" s="627">
        <f t="shared" si="11"/>
        <v>47544.100000000006</v>
      </c>
      <c r="T56" s="627">
        <f t="shared" si="11"/>
        <v>56419.200000000004</v>
      </c>
      <c r="U56" s="627">
        <f t="shared" si="11"/>
        <v>27695.5</v>
      </c>
      <c r="V56" s="627">
        <f t="shared" si="11"/>
        <v>35824.800000000003</v>
      </c>
      <c r="W56" s="627">
        <f t="shared" si="11"/>
        <v>69552.3</v>
      </c>
      <c r="X56" s="627">
        <f t="shared" si="11"/>
        <v>83561.399999999994</v>
      </c>
    </row>
    <row r="57" spans="2:25" x14ac:dyDescent="0.25">
      <c r="B57" s="419" t="s">
        <v>181</v>
      </c>
      <c r="D57" s="302" t="s">
        <v>364</v>
      </c>
      <c r="E57" s="420">
        <f>SUMIFS('GSC Support'!$L$5:$L$354,'GSC Support'!$E$5:$E$354,'Exh P11-Gas Supply Rev'!$B57,'GSC Support'!$B$5:$B$354,'Exh P11-Gas Supply Rev'!E$1)/10</f>
        <v>10391.6</v>
      </c>
      <c r="F57" s="420">
        <f>SUMIFS('GSC Support'!$J$5:$J$354,'GSC Support'!$E$5:$E$354,'Exh P11-Gas Supply Rev'!$B57,'GSC Support'!$B$5:$B$354,'Exh P11-Gas Supply Rev'!F$1)/10</f>
        <v>5415.4</v>
      </c>
      <c r="G57" s="420">
        <f>SUMIFS('GSC Support'!$I$5:$I$354,'GSC Support'!$E$5:$E$354,'Exh P11-Gas Supply Rev'!$B57,'GSC Support'!$B$5:$B$354,'Exh P11-Gas Supply Rev'!G$1)/10</f>
        <v>7710.7</v>
      </c>
      <c r="H57" s="421">
        <f>+F57+G57</f>
        <v>13126.099999999999</v>
      </c>
      <c r="I57" s="420">
        <f>SUMIFS('GSC Support'!$L$5:$L$354,'GSC Support'!$E$5:$E$354,'Exh P11-Gas Supply Rev'!$B57,'GSC Support'!$B$5:$B$354,'Exh P11-Gas Supply Rev'!I$1)/10</f>
        <v>10435.6</v>
      </c>
      <c r="J57" s="420">
        <f>SUMIFS('GSC Support'!$L$5:$L$354,'GSC Support'!$E$5:$E$354,'Exh P11-Gas Supply Rev'!$B57,'GSC Support'!$B$5:$B$354,'Exh P11-Gas Supply Rev'!J$1)/10</f>
        <v>10020.799999999999</v>
      </c>
      <c r="K57" s="420">
        <f>SUMIFS('GSC Support'!$J$5:$J$354,'GSC Support'!$E$5:$E$354,'Exh P11-Gas Supply Rev'!$B57,'GSC Support'!$B$5:$B$354,'Exh P11-Gas Supply Rev'!K$1)/10</f>
        <v>1998.6</v>
      </c>
      <c r="L57" s="420">
        <f>SUMIFS('GSC Support'!$I$5:$I$354,'GSC Support'!$E$5:$E$354,'Exh P11-Gas Supply Rev'!$B57,'GSC Support'!$B$5:$B$354,'Exh P11-Gas Supply Rev'!L$1)/10</f>
        <v>954.1</v>
      </c>
      <c r="M57" s="421">
        <f>+K57+L57</f>
        <v>2952.7</v>
      </c>
      <c r="N57" s="420">
        <f>SUMIFS('GSC Support'!$H$5:$H$354,'GSC Support'!$E$5:$E$354,'Exh P11-Gas Supply Rev'!$B57,'GSC Support'!$B$5:$B$354,'Exh P11-Gas Supply Rev'!N$1)/10</f>
        <v>14450.7</v>
      </c>
      <c r="O57" s="420">
        <f>SUMIFS('GSC Support'!$L$5:$L$354,'GSC Support'!$E$5:$E$354,'Exh P11-Gas Supply Rev'!$B57,'GSC Support'!$B$5:$B$354,'Exh P11-Gas Supply Rev'!O$1)/10</f>
        <v>6021.4</v>
      </c>
      <c r="P57" s="420">
        <f>SUMIFS('GSC Support'!$J$5:$J$354,'GSC Support'!$E$5:$E$354,'Exh P11-Gas Supply Rev'!$B57,'GSC Support'!$B$5:$B$354,'Exh P11-Gas Supply Rev'!P$1)/10</f>
        <v>2678.4</v>
      </c>
      <c r="Q57" s="420">
        <f>SUMIFS('GSC Support'!$I$5:$I$354,'GSC Support'!$E$5:$E$354,'Exh P11-Gas Supply Rev'!$B57,'GSC Support'!$B$5:$B$354,'Exh P11-Gas Supply Rev'!Q$1)/10</f>
        <v>4765.6000000000004</v>
      </c>
      <c r="R57" s="421">
        <f>+P57+Q57</f>
        <v>7444</v>
      </c>
      <c r="S57" s="420">
        <f>SUMIFS('GSC Support'!$L$5:$L$354,'GSC Support'!$E$5:$E$354,'Exh P11-Gas Supply Rev'!$B57,'GSC Support'!$B$5:$B$354,'Exh P11-Gas Supply Rev'!S$1)/10</f>
        <v>8788</v>
      </c>
      <c r="T57" s="420">
        <f>SUMIFS('GSC Support'!$L$5:$L$354,'GSC Support'!$E$5:$E$354,'Exh P11-Gas Supply Rev'!$B57,'GSC Support'!$B$5:$B$354,'Exh P11-Gas Supply Rev'!T$1)/10</f>
        <v>8859.5</v>
      </c>
      <c r="U57" s="420">
        <f>SUMIFS('GSC Support'!$J$5:$J$354,'GSC Support'!$E$5:$E$354,'Exh P11-Gas Supply Rev'!$B57,'GSC Support'!$B$5:$B$354,'Exh P11-Gas Supply Rev'!U$1)/10</f>
        <v>36694</v>
      </c>
      <c r="V57" s="420">
        <f>SUMIFS('GSC Support'!$I$5:$I$354,'GSC Support'!$E$5:$E$354,'Exh P11-Gas Supply Rev'!$B57,'GSC Support'!$B$5:$B$354,'Exh P11-Gas Supply Rev'!V$1)/10</f>
        <v>6550.5</v>
      </c>
      <c r="W57" s="421">
        <f>+U57+V57</f>
        <v>43244.5</v>
      </c>
      <c r="X57" s="420">
        <f>SUMIFS('GSC Support'!$L$5:$L$354,'GSC Support'!$E$5:$E$354,'Exh P11-Gas Supply Rev'!$B57,'GSC Support'!$B$5:$B$354,'Exh P11-Gas Supply Rev'!X$1)/10</f>
        <v>22640.6</v>
      </c>
      <c r="Y57" s="421">
        <f>+E57+H57+I57+J57+M57+N57+O57+R57+S57+T57+W57+X57</f>
        <v>158375.49999999997</v>
      </c>
    </row>
    <row r="58" spans="2:25" x14ac:dyDescent="0.25">
      <c r="B58" s="419" t="s">
        <v>185</v>
      </c>
      <c r="D58" s="304" t="s">
        <v>365</v>
      </c>
    </row>
    <row r="59" spans="2:25" x14ac:dyDescent="0.25">
      <c r="B59" s="418" t="s">
        <v>191</v>
      </c>
      <c r="D59" s="302" t="s">
        <v>366</v>
      </c>
      <c r="E59" s="420">
        <f>SUMIFS('GSC Support'!$L$5:$L$354,'GSC Support'!$E$5:$E$354,'Exh P11-Gas Supply Rev'!$B59,'GSC Support'!$B$5:$B$354,'Exh P11-Gas Supply Rev'!E$1)/10</f>
        <v>18735.3</v>
      </c>
      <c r="F59" s="420">
        <f>SUMIFS('GSC Support'!$J$5:$J$354,'GSC Support'!$E$5:$E$354,'Exh P11-Gas Supply Rev'!$B59,'GSC Support'!$B$5:$B$354,'Exh P11-Gas Supply Rev'!F$1)/10</f>
        <v>3810.6</v>
      </c>
      <c r="G59" s="420">
        <f>SUMIFS('GSC Support'!$I$5:$I$354,'GSC Support'!$E$5:$E$354,'Exh P11-Gas Supply Rev'!$B59,'GSC Support'!$B$5:$B$354,'Exh P11-Gas Supply Rev'!G$1)/10</f>
        <v>14875.5</v>
      </c>
      <c r="H59" s="421">
        <f>+F59+G59</f>
        <v>18686.099999999999</v>
      </c>
      <c r="I59" s="420">
        <f>SUMIFS('GSC Support'!$L$5:$L$354,'GSC Support'!$E$5:$E$354,'Exh P11-Gas Supply Rev'!$B59,'GSC Support'!$B$5:$B$354,'Exh P11-Gas Supply Rev'!I$1)/10</f>
        <v>18984</v>
      </c>
      <c r="J59" s="420">
        <f>SUMIFS('GSC Support'!$L$5:$L$354,'GSC Support'!$E$5:$E$354,'Exh P11-Gas Supply Rev'!$B59,'GSC Support'!$B$5:$B$354,'Exh P11-Gas Supply Rev'!J$1)/10</f>
        <v>17257</v>
      </c>
      <c r="K59" s="420">
        <f>SUMIFS('GSC Support'!$J$5:$J$354,'GSC Support'!$E$5:$E$354,'Exh P11-Gas Supply Rev'!$B59,'GSC Support'!$B$5:$B$354,'Exh P11-Gas Supply Rev'!K$1)/10</f>
        <v>6633</v>
      </c>
      <c r="L59" s="420">
        <f>SUMIFS('GSC Support'!$I$5:$I$354,'GSC Support'!$E$5:$E$354,'Exh P11-Gas Supply Rev'!$B59,'GSC Support'!$B$5:$B$354,'Exh P11-Gas Supply Rev'!L$1)/10</f>
        <v>15123.2</v>
      </c>
      <c r="M59" s="421">
        <f>+K59+L59</f>
        <v>21756.2</v>
      </c>
      <c r="N59" s="420">
        <f>SUMIFS('GSC Support'!$H$5:$H$354,'GSC Support'!$E$5:$E$354,'Exh P11-Gas Supply Rev'!$B59,'GSC Support'!$B$5:$B$354,'Exh P11-Gas Supply Rev'!N$1)/10</f>
        <v>17096.099999999999</v>
      </c>
      <c r="O59" s="420">
        <f>SUMIFS('GSC Support'!$L$5:$L$354,'GSC Support'!$E$5:$E$354,'Exh P11-Gas Supply Rev'!$B59,'GSC Support'!$B$5:$B$354,'Exh P11-Gas Supply Rev'!O$1)/10</f>
        <v>11512.8</v>
      </c>
      <c r="P59" s="420">
        <f>SUMIFS('GSC Support'!$J$5:$J$354,'GSC Support'!$E$5:$E$354,'Exh P11-Gas Supply Rev'!$B59,'GSC Support'!$B$5:$B$354,'Exh P11-Gas Supply Rev'!P$1)/10</f>
        <v>3881.1</v>
      </c>
      <c r="Q59" s="420">
        <f>SUMIFS('GSC Support'!$I$5:$I$354,'GSC Support'!$E$5:$E$354,'Exh P11-Gas Supply Rev'!$B59,'GSC Support'!$B$5:$B$354,'Exh P11-Gas Supply Rev'!Q$1)/10</f>
        <v>6233.6</v>
      </c>
      <c r="R59" s="421">
        <f>+P59+Q59</f>
        <v>10114.700000000001</v>
      </c>
      <c r="S59" s="420">
        <f>SUMIFS('GSC Support'!$L$5:$L$354,'GSC Support'!$E$5:$E$354,'Exh P11-Gas Supply Rev'!$B59,'GSC Support'!$B$5:$B$354,'Exh P11-Gas Supply Rev'!S$1)/10</f>
        <v>6254.2</v>
      </c>
      <c r="T59" s="420">
        <f>SUMIFS('GSC Support'!$L$5:$L$354,'GSC Support'!$E$5:$E$354,'Exh P11-Gas Supply Rev'!$B59,'GSC Support'!$B$5:$B$354,'Exh P11-Gas Supply Rev'!T$1)/10</f>
        <v>16796.8</v>
      </c>
      <c r="U59" s="420">
        <f>SUMIFS('GSC Support'!$J$5:$J$354,'GSC Support'!$E$5:$E$354,'Exh P11-Gas Supply Rev'!$B59,'GSC Support'!$B$5:$B$354,'Exh P11-Gas Supply Rev'!U$1)/10</f>
        <v>3406.7</v>
      </c>
      <c r="V59" s="420">
        <f>SUMIFS('GSC Support'!$I$5:$I$354,'GSC Support'!$E$5:$E$354,'Exh P11-Gas Supply Rev'!$B59,'GSC Support'!$B$5:$B$354,'Exh P11-Gas Supply Rev'!V$1)/10</f>
        <v>10444.799999999999</v>
      </c>
      <c r="W59" s="421">
        <f>+U59+V59</f>
        <v>13851.5</v>
      </c>
      <c r="X59" s="420">
        <f>SUMIFS('GSC Support'!$L$5:$L$354,'GSC Support'!$E$5:$E$354,'Exh P11-Gas Supply Rev'!$B59,'GSC Support'!$B$5:$B$354,'Exh P11-Gas Supply Rev'!X$1)/10</f>
        <v>14540.7</v>
      </c>
      <c r="Y59" s="421">
        <f>+E59+H59+I59+J59+M59+N59+O59+R59+S59+T59+W59+X59</f>
        <v>185585.4</v>
      </c>
    </row>
    <row r="60" spans="2:25" x14ac:dyDescent="0.25">
      <c r="B60" s="434" t="s">
        <v>194</v>
      </c>
      <c r="D60" s="304" t="s">
        <v>367</v>
      </c>
    </row>
    <row r="61" spans="2:25" x14ac:dyDescent="0.25">
      <c r="D61" s="303" t="s">
        <v>368</v>
      </c>
      <c r="E61" s="627">
        <f>SUM(E57:E60)</f>
        <v>29126.9</v>
      </c>
      <c r="F61" s="627">
        <f t="shared" ref="F61:X61" si="12">SUM(F57:F60)</f>
        <v>9226</v>
      </c>
      <c r="G61" s="627">
        <f t="shared" si="12"/>
        <v>22586.2</v>
      </c>
      <c r="H61" s="627">
        <f t="shared" si="12"/>
        <v>31812.199999999997</v>
      </c>
      <c r="I61" s="627">
        <f t="shared" si="12"/>
        <v>29419.599999999999</v>
      </c>
      <c r="J61" s="627">
        <f t="shared" si="12"/>
        <v>27277.8</v>
      </c>
      <c r="K61" s="627">
        <f>SUM(K57:K60)</f>
        <v>8631.6</v>
      </c>
      <c r="L61" s="627">
        <f>SUM(L57:L60)</f>
        <v>16077.300000000001</v>
      </c>
      <c r="M61" s="627">
        <f t="shared" si="12"/>
        <v>24708.9</v>
      </c>
      <c r="N61" s="627">
        <f t="shared" si="12"/>
        <v>31546.799999999999</v>
      </c>
      <c r="O61" s="627">
        <f t="shared" si="12"/>
        <v>17534.199999999997</v>
      </c>
      <c r="P61" s="627">
        <f>SUM(P57:P60)</f>
        <v>6559.5</v>
      </c>
      <c r="Q61" s="627">
        <f>SUM(Q57:Q60)</f>
        <v>10999.2</v>
      </c>
      <c r="R61" s="627">
        <f t="shared" si="12"/>
        <v>17558.7</v>
      </c>
      <c r="S61" s="627">
        <f t="shared" si="12"/>
        <v>15042.2</v>
      </c>
      <c r="T61" s="627">
        <f t="shared" si="12"/>
        <v>25656.3</v>
      </c>
      <c r="U61" s="627">
        <f>SUM(U57:U60)</f>
        <v>40100.699999999997</v>
      </c>
      <c r="V61" s="627">
        <f>SUM(V57:V60)</f>
        <v>16995.3</v>
      </c>
      <c r="W61" s="627">
        <f t="shared" si="12"/>
        <v>57096</v>
      </c>
      <c r="X61" s="627">
        <f t="shared" si="12"/>
        <v>37181.300000000003</v>
      </c>
    </row>
    <row r="62" spans="2:25" x14ac:dyDescent="0.25">
      <c r="B62" s="418" t="s">
        <v>203</v>
      </c>
      <c r="D62" s="302" t="s">
        <v>369</v>
      </c>
      <c r="E62" s="420">
        <f>SUMIFS('GSC Support'!$L$5:$L$354,'GSC Support'!$E$5:$E$354,'Exh P11-Gas Supply Rev'!$B62,'GSC Support'!$B$5:$B$354,'Exh P11-Gas Supply Rev'!E$1)/10</f>
        <v>39028.400000000001</v>
      </c>
      <c r="F62" s="420">
        <f>SUMIFS('GSC Support'!$J$5:$J$354,'GSC Support'!$E$5:$E$354,'Exh P11-Gas Supply Rev'!$B62,'GSC Support'!$B$5:$B$354,'Exh P11-Gas Supply Rev'!F$1)/10</f>
        <v>0</v>
      </c>
      <c r="G62" s="420">
        <f>SUMIFS('GSC Support'!$I$5:$I$354,'GSC Support'!$E$5:$E$354,'Exh P11-Gas Supply Rev'!$B62,'GSC Support'!$B$5:$B$354,'Exh P11-Gas Supply Rev'!G$1)/10</f>
        <v>29855.8</v>
      </c>
      <c r="H62" s="421">
        <f>+F62+G62</f>
        <v>29855.8</v>
      </c>
      <c r="I62" s="420">
        <f>SUMIFS('GSC Support'!$L$5:$L$354,'GSC Support'!$E$5:$E$354,'Exh P11-Gas Supply Rev'!$B62,'GSC Support'!$B$5:$B$354,'Exh P11-Gas Supply Rev'!I$1)/10</f>
        <v>57437.2</v>
      </c>
      <c r="J62" s="420">
        <f>SUMIFS('GSC Support'!$L$5:$L$354,'GSC Support'!$E$5:$E$354,'Exh P11-Gas Supply Rev'!$B62,'GSC Support'!$B$5:$B$354,'Exh P11-Gas Supply Rev'!J$1)/10</f>
        <v>94069.5</v>
      </c>
      <c r="K62" s="420">
        <f>SUMIFS('GSC Support'!$J$5:$J$354,'GSC Support'!$E$5:$E$354,'Exh P11-Gas Supply Rev'!$B62,'GSC Support'!$B$5:$B$354,'Exh P11-Gas Supply Rev'!K$1)/10</f>
        <v>94069.5</v>
      </c>
      <c r="L62" s="420">
        <f>SUMIFS('GSC Support'!$I$5:$I$354,'GSC Support'!$E$5:$E$354,'Exh P11-Gas Supply Rev'!$B62,'GSC Support'!$B$5:$B$354,'Exh P11-Gas Supply Rev'!L$1)/10</f>
        <v>44654</v>
      </c>
      <c r="M62" s="421">
        <f>+K62+L62</f>
        <v>138723.5</v>
      </c>
      <c r="N62" s="420">
        <f>SUMIFS('GSC Support'!$L$5:$L$354,'GSC Support'!$E$5:$E$354,'Exh P11-Gas Supply Rev'!$B62,'GSC Support'!$B$5:$B$354,'Exh P11-Gas Supply Rev'!N$1)/10</f>
        <v>68379</v>
      </c>
      <c r="O62" s="420">
        <f>SUMIFS('GSC Support'!$L$5:$L$354,'GSC Support'!$E$5:$E$354,'Exh P11-Gas Supply Rev'!$B62,'GSC Support'!$B$5:$B$354,'Exh P11-Gas Supply Rev'!O$1)/10</f>
        <v>61554</v>
      </c>
      <c r="P62" s="420">
        <f>SUMIFS('GSC Support'!$J$5:$J$354,'GSC Support'!$E$5:$E$354,'Exh P11-Gas Supply Rev'!$B62,'GSC Support'!$B$5:$B$354,'Exh P11-Gas Supply Rev'!P$1)/10</f>
        <v>0</v>
      </c>
      <c r="Q62" s="420">
        <f>SUMIFS('GSC Support'!$I$5:$I$354,'GSC Support'!$E$5:$E$354,'Exh P11-Gas Supply Rev'!$B62,'GSC Support'!$B$5:$B$354,'Exh P11-Gas Supply Rev'!Q$1)/10</f>
        <v>87811.9</v>
      </c>
      <c r="R62" s="421">
        <f>+P62+Q62</f>
        <v>87811.9</v>
      </c>
      <c r="S62" s="420">
        <f>SUMIFS('GSC Support'!$L$5:$L$354,'GSC Support'!$E$5:$E$354,'Exh P11-Gas Supply Rev'!$B62,'GSC Support'!$B$5:$B$354,'Exh P11-Gas Supply Rev'!S$1)/10</f>
        <v>39589.199999999997</v>
      </c>
      <c r="T62" s="420">
        <f>SUMIFS('GSC Support'!$L$5:$L$354,'GSC Support'!$E$5:$E$354,'Exh P11-Gas Supply Rev'!$B62,'GSC Support'!$B$5:$B$354,'Exh P11-Gas Supply Rev'!T$1)/10</f>
        <v>54881.3</v>
      </c>
      <c r="U62" s="420">
        <f>SUMIFS('GSC Support'!$J$5:$J$354,'GSC Support'!$E$5:$E$354,'Exh P11-Gas Supply Rev'!$B62,'GSC Support'!$B$5:$B$354,'Exh P11-Gas Supply Rev'!U$1)/10</f>
        <v>0</v>
      </c>
      <c r="V62" s="420">
        <f>SUMIFS('GSC Support'!$I$5:$I$354,'GSC Support'!$E$5:$E$354,'Exh P11-Gas Supply Rev'!$B62,'GSC Support'!$B$5:$B$354,'Exh P11-Gas Supply Rev'!V$1)/10</f>
        <v>45584.800000000003</v>
      </c>
      <c r="W62" s="421">
        <f>+U62+V62</f>
        <v>45584.800000000003</v>
      </c>
      <c r="X62" s="420">
        <f>SUMIFS('GSC Support'!$L$5:$L$354,'GSC Support'!$E$5:$E$354,'Exh P11-Gas Supply Rev'!$B62,'GSC Support'!$B$5:$B$354,'Exh P11-Gas Supply Rev'!X$1)/10</f>
        <v>49445.3</v>
      </c>
      <c r="Y62" s="421">
        <f>+E62+H62+I62+J62+M62+N62+O62+R62+S62+T62+W62+X62</f>
        <v>766359.90000000014</v>
      </c>
    </row>
    <row r="63" spans="2:25" x14ac:dyDescent="0.25">
      <c r="B63" s="418" t="s">
        <v>204</v>
      </c>
      <c r="D63" s="302" t="s">
        <v>370</v>
      </c>
      <c r="E63" s="420">
        <f>SUMIFS('GSC Support'!$L$5:$L$354,'GSC Support'!$E$5:$E$354,'Exh P11-Gas Supply Rev'!$B63,'GSC Support'!$B$5:$B$354,'Exh P11-Gas Supply Rev'!E$1)/10</f>
        <v>0</v>
      </c>
      <c r="F63" s="420">
        <f>SUMIFS('GSC Support'!$J$5:$J$354,'GSC Support'!$E$5:$E$354,'Exh P11-Gas Supply Rev'!$B63,'GSC Support'!$B$5:$B$354,'Exh P11-Gas Supply Rev'!F$1)/10</f>
        <v>0</v>
      </c>
      <c r="G63" s="420">
        <f>SUMIFS('GSC Support'!$I$5:$I$354,'GSC Support'!$E$5:$E$354,'Exh P11-Gas Supply Rev'!$B63,'GSC Support'!$B$5:$B$354,'Exh P11-Gas Supply Rev'!G$1)/10</f>
        <v>0</v>
      </c>
      <c r="H63" s="421">
        <f>+F63+G63</f>
        <v>0</v>
      </c>
      <c r="I63" s="420">
        <f>SUMIFS('GSC Support'!$L$5:$L$354,'GSC Support'!$E$5:$E$354,'Exh P11-Gas Supply Rev'!$B63,'GSC Support'!$B$5:$B$354,'Exh P11-Gas Supply Rev'!I$1)/10</f>
        <v>0</v>
      </c>
      <c r="J63" s="420">
        <f>SUMIFS('GSC Support'!$L$5:$L$354,'GSC Support'!$E$5:$E$354,'Exh P11-Gas Supply Rev'!$B63,'GSC Support'!$B$5:$B$354,'Exh P11-Gas Supply Rev'!J$1)/10</f>
        <v>0</v>
      </c>
      <c r="K63" s="420">
        <f>SUMIFS('GSC Support'!$J$5:$J$354,'GSC Support'!$E$5:$E$354,'Exh P11-Gas Supply Rev'!$B63,'GSC Support'!$B$5:$B$354,'Exh P11-Gas Supply Rev'!K$1)/10</f>
        <v>0</v>
      </c>
      <c r="L63" s="420">
        <f>SUMIFS('GSC Support'!$I$5:$I$354,'GSC Support'!$E$5:$E$354,'Exh P11-Gas Supply Rev'!$B63,'GSC Support'!$B$5:$B$354,'Exh P11-Gas Supply Rev'!L$1)/10</f>
        <v>0</v>
      </c>
      <c r="M63" s="421">
        <f>+K63+L63</f>
        <v>0</v>
      </c>
      <c r="N63" s="420">
        <f>SUMIFS('GSC Support'!$L$5:$L$354,'GSC Support'!$E$5:$E$354,'Exh P11-Gas Supply Rev'!$B63,'GSC Support'!$B$5:$B$354,'Exh P11-Gas Supply Rev'!N$1)/10</f>
        <v>0</v>
      </c>
      <c r="O63" s="420">
        <f>SUMIFS('GSC Support'!$L$5:$L$354,'GSC Support'!$E$5:$E$354,'Exh P11-Gas Supply Rev'!$B63,'GSC Support'!$B$5:$B$354,'Exh P11-Gas Supply Rev'!O$1)/10</f>
        <v>0</v>
      </c>
      <c r="P63" s="420">
        <f>SUMIFS('GSC Support'!$J$5:$J$354,'GSC Support'!$E$5:$E$354,'Exh P11-Gas Supply Rev'!$B63,'GSC Support'!$B$5:$B$354,'Exh P11-Gas Supply Rev'!P$1)/10</f>
        <v>0</v>
      </c>
      <c r="Q63" s="420">
        <f>SUMIFS('GSC Support'!$I$5:$I$354,'GSC Support'!$E$5:$E$354,'Exh P11-Gas Supply Rev'!$B63,'GSC Support'!$B$5:$B$354,'Exh P11-Gas Supply Rev'!Q$1)/10</f>
        <v>0</v>
      </c>
      <c r="R63" s="421">
        <f>+P63+Q63</f>
        <v>0</v>
      </c>
      <c r="S63" s="420">
        <f>SUMIFS('GSC Support'!$L$5:$L$354,'GSC Support'!$E$5:$E$354,'Exh P11-Gas Supply Rev'!$B63,'GSC Support'!$B$5:$B$354,'Exh P11-Gas Supply Rev'!S$1)/10</f>
        <v>0</v>
      </c>
      <c r="T63" s="420">
        <f>SUMIFS('GSC Support'!$L$5:$L$354,'GSC Support'!$E$5:$E$354,'Exh P11-Gas Supply Rev'!$B63,'GSC Support'!$B$5:$B$354,'Exh P11-Gas Supply Rev'!T$1)/10</f>
        <v>0</v>
      </c>
      <c r="U63" s="420">
        <f>SUMIFS('GSC Support'!$J$5:$J$354,'GSC Support'!$E$5:$E$354,'Exh P11-Gas Supply Rev'!$B63,'GSC Support'!$B$5:$B$354,'Exh P11-Gas Supply Rev'!U$1)/10</f>
        <v>0</v>
      </c>
      <c r="V63" s="420">
        <f>SUMIFS('GSC Support'!$I$5:$I$354,'GSC Support'!$E$5:$E$354,'Exh P11-Gas Supply Rev'!$B63,'GSC Support'!$B$5:$B$354,'Exh P11-Gas Supply Rev'!V$1)/10</f>
        <v>0</v>
      </c>
      <c r="W63" s="421">
        <f>+U63+V63</f>
        <v>0</v>
      </c>
      <c r="X63" s="420">
        <f>SUMIFS('GSC Support'!$L$5:$L$354,'GSC Support'!$E$5:$E$354,'Exh P11-Gas Supply Rev'!$B63,'GSC Support'!$B$5:$B$354,'Exh P11-Gas Supply Rev'!X$1)/10</f>
        <v>0</v>
      </c>
      <c r="Y63" s="421">
        <f>+E63+H63+I63+J63+M63+N63+O63+R63+S63+T63+W63+X63</f>
        <v>0</v>
      </c>
    </row>
    <row r="64" spans="2:25" x14ac:dyDescent="0.25">
      <c r="D64" s="303" t="s">
        <v>371</v>
      </c>
      <c r="E64" s="627">
        <f t="shared" ref="E64:X64" si="13">+E62+E63</f>
        <v>39028.400000000001</v>
      </c>
      <c r="F64" s="627">
        <f t="shared" si="13"/>
        <v>0</v>
      </c>
      <c r="G64" s="627">
        <f t="shared" si="13"/>
        <v>29855.8</v>
      </c>
      <c r="H64" s="627">
        <f t="shared" si="13"/>
        <v>29855.8</v>
      </c>
      <c r="I64" s="627">
        <f t="shared" si="13"/>
        <v>57437.2</v>
      </c>
      <c r="J64" s="627">
        <f t="shared" si="13"/>
        <v>94069.5</v>
      </c>
      <c r="K64" s="627">
        <f t="shared" si="13"/>
        <v>94069.5</v>
      </c>
      <c r="L64" s="627">
        <f t="shared" si="13"/>
        <v>44654</v>
      </c>
      <c r="M64" s="627">
        <f t="shared" si="13"/>
        <v>138723.5</v>
      </c>
      <c r="N64" s="627">
        <f t="shared" si="13"/>
        <v>68379</v>
      </c>
      <c r="O64" s="627">
        <f t="shared" si="13"/>
        <v>61554</v>
      </c>
      <c r="P64" s="627">
        <f t="shared" si="13"/>
        <v>0</v>
      </c>
      <c r="Q64" s="627">
        <f t="shared" si="13"/>
        <v>87811.9</v>
      </c>
      <c r="R64" s="627">
        <f t="shared" si="13"/>
        <v>87811.9</v>
      </c>
      <c r="S64" s="627">
        <f t="shared" si="13"/>
        <v>39589.199999999997</v>
      </c>
      <c r="T64" s="627">
        <f t="shared" si="13"/>
        <v>54881.3</v>
      </c>
      <c r="U64" s="627">
        <f t="shared" si="13"/>
        <v>0</v>
      </c>
      <c r="V64" s="627">
        <f t="shared" si="13"/>
        <v>45584.800000000003</v>
      </c>
      <c r="W64" s="627">
        <f t="shared" si="13"/>
        <v>45584.800000000003</v>
      </c>
      <c r="X64" s="627">
        <f t="shared" si="13"/>
        <v>49445.3</v>
      </c>
      <c r="Y64" s="421">
        <f>+E64+H64+I64+J64+M64+N64+O64+R64+S64+T64+W64+X64</f>
        <v>766359.90000000014</v>
      </c>
    </row>
    <row r="65" spans="2:25" x14ac:dyDescent="0.25">
      <c r="B65" s="419" t="s">
        <v>443</v>
      </c>
      <c r="D65" s="302" t="s">
        <v>1179</v>
      </c>
      <c r="Y65" s="421"/>
    </row>
    <row r="66" spans="2:25" x14ac:dyDescent="0.25">
      <c r="B66" s="419" t="s">
        <v>445</v>
      </c>
      <c r="D66" s="302" t="s">
        <v>1180</v>
      </c>
      <c r="E66" s="420">
        <f>+SBR!Z21</f>
        <v>361</v>
      </c>
      <c r="F66" s="420"/>
      <c r="G66" s="420"/>
      <c r="H66" s="420">
        <f>+SBR!AA21</f>
        <v>9732</v>
      </c>
      <c r="I66" s="420">
        <f>+SBR!AB21</f>
        <v>0</v>
      </c>
      <c r="J66" s="420">
        <f>+SBR!AC21</f>
        <v>80.7</v>
      </c>
      <c r="K66" s="420"/>
      <c r="L66" s="420"/>
      <c r="M66" s="420">
        <f>+SBR!AD21</f>
        <v>653.9</v>
      </c>
      <c r="N66" s="420">
        <f>+SBR!AE21</f>
        <v>24.5</v>
      </c>
      <c r="O66" s="420">
        <f>+SBR!AF21</f>
        <v>45.3</v>
      </c>
      <c r="P66" s="420"/>
      <c r="Q66" s="420"/>
      <c r="R66" s="420">
        <f>+SBR!AG21</f>
        <v>0</v>
      </c>
      <c r="S66" s="420">
        <f>+SBR!AH21</f>
        <v>21.4</v>
      </c>
      <c r="T66" s="420">
        <f>+SBR!AI21</f>
        <v>289.39999999999998</v>
      </c>
      <c r="U66" s="420"/>
      <c r="V66" s="420"/>
      <c r="W66" s="420">
        <f>+SBR!AJ21</f>
        <v>2229.2999999999997</v>
      </c>
      <c r="X66" s="420">
        <f>+SBR!AK21</f>
        <v>668.5</v>
      </c>
      <c r="Y66" s="421">
        <f>+E66+H66+I66+J66+M66+N66+O66+R66+S66+T66+W66+X66</f>
        <v>14105.999999999998</v>
      </c>
    </row>
    <row r="67" spans="2:25" x14ac:dyDescent="0.25">
      <c r="B67" s="419" t="s">
        <v>187</v>
      </c>
      <c r="D67" s="302" t="s">
        <v>381</v>
      </c>
    </row>
    <row r="68" spans="2:25" x14ac:dyDescent="0.25">
      <c r="B68" s="419" t="s">
        <v>196</v>
      </c>
      <c r="D68" s="304" t="s">
        <v>382</v>
      </c>
    </row>
    <row r="69" spans="2:25" x14ac:dyDescent="0.25">
      <c r="D69" s="303" t="s">
        <v>374</v>
      </c>
    </row>
    <row r="70" spans="2:25" x14ac:dyDescent="0.25">
      <c r="D70" s="307"/>
    </row>
    <row r="71" spans="2:25" x14ac:dyDescent="0.25">
      <c r="D71" s="308"/>
    </row>
    <row r="72" spans="2:25" x14ac:dyDescent="0.25">
      <c r="D72" s="305"/>
    </row>
    <row r="73" spans="2:25" x14ac:dyDescent="0.25">
      <c r="D73" s="307"/>
    </row>
    <row r="74" spans="2:25" x14ac:dyDescent="0.25">
      <c r="D74" s="308"/>
    </row>
    <row r="75" spans="2:25" x14ac:dyDescent="0.25">
      <c r="D75" s="305"/>
    </row>
    <row r="76" spans="2:25" x14ac:dyDescent="0.25">
      <c r="D76" s="307"/>
    </row>
    <row r="77" spans="2:25" x14ac:dyDescent="0.25">
      <c r="D77" s="308"/>
    </row>
    <row r="78" spans="2:25" x14ac:dyDescent="0.25">
      <c r="D78" s="305"/>
    </row>
    <row r="79" spans="2:25" x14ac:dyDescent="0.25">
      <c r="D79" s="307"/>
    </row>
    <row r="80" spans="2:25" x14ac:dyDescent="0.25">
      <c r="D80" s="308"/>
    </row>
    <row r="81" spans="4:24" x14ac:dyDescent="0.25">
      <c r="D81" s="305" t="s">
        <v>375</v>
      </c>
      <c r="E81" s="420">
        <v>158777</v>
      </c>
      <c r="H81" s="420">
        <v>121668.3</v>
      </c>
      <c r="I81" s="420">
        <v>100677</v>
      </c>
      <c r="J81" s="420">
        <v>60091.7</v>
      </c>
      <c r="M81" s="420">
        <v>60786.9</v>
      </c>
      <c r="N81" s="420">
        <v>48718.9</v>
      </c>
      <c r="O81" s="420">
        <v>49607.8</v>
      </c>
      <c r="R81" s="420">
        <v>49169.7</v>
      </c>
      <c r="S81" s="420">
        <v>42842.8</v>
      </c>
      <c r="T81" s="420">
        <v>43388</v>
      </c>
      <c r="W81" s="420">
        <v>79333</v>
      </c>
      <c r="X81" s="420">
        <v>95006.2</v>
      </c>
    </row>
    <row r="82" spans="4:24" x14ac:dyDescent="0.25">
      <c r="D82" s="303" t="s">
        <v>376</v>
      </c>
    </row>
    <row r="83" spans="4:24" x14ac:dyDescent="0.25">
      <c r="D83" s="303"/>
    </row>
    <row r="84" spans="4:24" x14ac:dyDescent="0.25">
      <c r="D84" s="303" t="s">
        <v>383</v>
      </c>
    </row>
    <row r="85" spans="4:24" x14ac:dyDescent="0.25">
      <c r="D85" s="303" t="s">
        <v>384</v>
      </c>
    </row>
    <row r="86" spans="4:24" x14ac:dyDescent="0.25">
      <c r="D86" s="303" t="s">
        <v>385</v>
      </c>
    </row>
    <row r="87" spans="4:24" x14ac:dyDescent="0.25">
      <c r="D87" s="303"/>
      <c r="T87" s="628" t="s">
        <v>488</v>
      </c>
    </row>
    <row r="88" spans="4:24" x14ac:dyDescent="0.25">
      <c r="D88" s="303"/>
    </row>
  </sheetData>
  <sortState ref="S91:T102">
    <sortCondition ref="S91"/>
  </sortState>
  <pageMargins left="0.5" right="0.5" top="1.5" bottom="0.75" header="0.75" footer="0.55000000000000004"/>
  <pageSetup scale="60" fitToWidth="2" orientation="landscape" r:id="rId1"/>
  <headerFooter>
    <oddHeader>&amp;C&amp;"Times New Roman,Bold"&amp;14Louisville Gas and Electric Company
Gas Supply Revenues by Month
For the 12-months Ended March 31, 2012</oddHeader>
    <oddFooter>&amp;R&amp;"Times New Roman,Bold"&amp;12Conroy Exhibit P11
Page &amp;P of &amp;N</oddFooter>
  </headerFooter>
  <colBreaks count="1" manualBreakCount="1">
    <brk id="15" max="3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 tint="0.39997558519241921"/>
  </sheetPr>
  <dimension ref="A1:E30"/>
  <sheetViews>
    <sheetView zoomScaleNormal="100" zoomScaleSheetLayoutView="90" workbookViewId="0"/>
  </sheetViews>
  <sheetFormatPr defaultRowHeight="15" x14ac:dyDescent="0.25"/>
  <cols>
    <col min="1" max="1" width="44.85546875" customWidth="1"/>
    <col min="3" max="3" width="6.7109375" customWidth="1"/>
    <col min="4" max="4" width="18.140625" bestFit="1" customWidth="1"/>
  </cols>
  <sheetData>
    <row r="1" spans="1:5" ht="15.75" x14ac:dyDescent="0.25">
      <c r="A1" s="890"/>
      <c r="B1" s="891"/>
      <c r="C1" s="891"/>
      <c r="D1" s="891"/>
      <c r="E1" s="289"/>
    </row>
    <row r="2" spans="1:5" ht="15.75" x14ac:dyDescent="0.25">
      <c r="A2" s="891"/>
      <c r="B2" s="891"/>
      <c r="C2" s="891"/>
      <c r="D2" s="891"/>
      <c r="E2" s="289"/>
    </row>
    <row r="3" spans="1:5" ht="15.75" x14ac:dyDescent="0.25">
      <c r="A3" s="891"/>
      <c r="B3" s="891"/>
      <c r="C3" s="891"/>
      <c r="D3" s="892" t="s">
        <v>334</v>
      </c>
      <c r="E3" s="289"/>
    </row>
    <row r="4" spans="1:5" ht="15.75" x14ac:dyDescent="0.25">
      <c r="A4" s="890"/>
      <c r="B4" s="890"/>
      <c r="C4" s="890"/>
      <c r="D4" s="892" t="s">
        <v>335</v>
      </c>
      <c r="E4" s="290"/>
    </row>
    <row r="5" spans="1:5" ht="15.75" x14ac:dyDescent="0.25">
      <c r="A5" s="893" t="s">
        <v>336</v>
      </c>
      <c r="B5" s="891"/>
      <c r="C5" s="891"/>
      <c r="D5" s="894" t="s">
        <v>949</v>
      </c>
      <c r="E5" s="291"/>
    </row>
    <row r="6" spans="1:5" ht="15.75" x14ac:dyDescent="0.25">
      <c r="A6" s="895"/>
      <c r="B6" s="891"/>
      <c r="C6" s="891"/>
      <c r="D6" s="895"/>
      <c r="E6" s="292"/>
    </row>
    <row r="7" spans="1:5" ht="15.75" x14ac:dyDescent="0.25">
      <c r="A7" s="891" t="s">
        <v>337</v>
      </c>
      <c r="B7" s="891"/>
      <c r="C7" s="891"/>
      <c r="D7" s="683">
        <v>139626468.71000001</v>
      </c>
      <c r="E7" s="293"/>
    </row>
    <row r="8" spans="1:5" ht="15.75" x14ac:dyDescent="0.25">
      <c r="A8" s="891" t="s">
        <v>338</v>
      </c>
      <c r="B8" s="891"/>
      <c r="C8" s="891"/>
      <c r="D8" s="1344">
        <v>-55617356.82</v>
      </c>
      <c r="E8" s="294"/>
    </row>
    <row r="9" spans="1:5" ht="15.75" x14ac:dyDescent="0.25">
      <c r="A9" s="891" t="s">
        <v>339</v>
      </c>
      <c r="B9" s="891"/>
      <c r="C9" s="891"/>
      <c r="D9" s="1344">
        <v>52696260.560000002</v>
      </c>
      <c r="E9" s="294"/>
    </row>
    <row r="10" spans="1:5" ht="15.75" x14ac:dyDescent="0.25">
      <c r="A10" s="896" t="s">
        <v>340</v>
      </c>
      <c r="B10" s="891"/>
      <c r="C10" s="891"/>
      <c r="D10" s="1344">
        <v>36723.620000000003</v>
      </c>
      <c r="E10" s="294"/>
    </row>
    <row r="11" spans="1:5" ht="18" x14ac:dyDescent="0.4">
      <c r="A11" s="897" t="s">
        <v>341</v>
      </c>
      <c r="B11" s="891"/>
      <c r="C11" s="891"/>
      <c r="D11" s="1345">
        <v>-57228.32</v>
      </c>
      <c r="E11" s="294"/>
    </row>
    <row r="12" spans="1:5" ht="15.75" x14ac:dyDescent="0.25">
      <c r="A12" s="898" t="s">
        <v>342</v>
      </c>
      <c r="B12" s="891"/>
      <c r="C12" s="891"/>
      <c r="D12" s="698">
        <f>SUM(D7:D11)</f>
        <v>136684867.75000003</v>
      </c>
      <c r="E12" s="294"/>
    </row>
    <row r="13" spans="1:5" ht="15.75" x14ac:dyDescent="0.25">
      <c r="A13" s="899" t="s">
        <v>343</v>
      </c>
      <c r="B13" s="891"/>
      <c r="C13" s="891"/>
      <c r="D13" s="698">
        <v>0</v>
      </c>
      <c r="E13" s="294"/>
    </row>
    <row r="14" spans="1:5" ht="15.75" x14ac:dyDescent="0.25">
      <c r="A14" s="899" t="s">
        <v>344</v>
      </c>
      <c r="B14" s="891"/>
      <c r="C14" s="891"/>
      <c r="D14" s="698">
        <v>0</v>
      </c>
      <c r="E14" s="294"/>
    </row>
    <row r="15" spans="1:5" ht="15.75" x14ac:dyDescent="0.25">
      <c r="A15" s="899" t="s">
        <v>345</v>
      </c>
      <c r="B15" s="900"/>
      <c r="C15" s="900"/>
      <c r="D15" s="1344">
        <v>-3169374</v>
      </c>
      <c r="E15" s="294"/>
    </row>
    <row r="16" spans="1:5" ht="15.75" x14ac:dyDescent="0.25">
      <c r="A16" s="899" t="s">
        <v>346</v>
      </c>
      <c r="B16" s="891"/>
      <c r="C16" s="891"/>
      <c r="D16" s="1344">
        <v>1944477.55</v>
      </c>
      <c r="E16" s="294"/>
    </row>
    <row r="17" spans="1:5" ht="15.75" x14ac:dyDescent="0.25">
      <c r="A17" s="899" t="s">
        <v>347</v>
      </c>
      <c r="B17" s="891"/>
      <c r="C17" s="891"/>
      <c r="D17" s="1344">
        <v>-653302.37</v>
      </c>
      <c r="E17" s="294"/>
    </row>
    <row r="18" spans="1:5" ht="15.75" x14ac:dyDescent="0.25">
      <c r="A18" s="899" t="s">
        <v>348</v>
      </c>
      <c r="B18" s="891"/>
      <c r="C18" s="891"/>
      <c r="D18" s="1344">
        <v>-385325.36</v>
      </c>
      <c r="E18" s="294"/>
    </row>
    <row r="19" spans="1:5" ht="15.75" x14ac:dyDescent="0.25">
      <c r="A19" s="899" t="s">
        <v>349</v>
      </c>
      <c r="B19" s="891"/>
      <c r="C19" s="891"/>
      <c r="D19" s="1344">
        <v>-359017.06</v>
      </c>
      <c r="E19" s="294"/>
    </row>
    <row r="20" spans="1:5" ht="15.75" x14ac:dyDescent="0.25">
      <c r="A20" s="899" t="s">
        <v>350</v>
      </c>
      <c r="B20" s="891"/>
      <c r="C20" s="891"/>
      <c r="D20" s="1344">
        <v>145592.82</v>
      </c>
      <c r="E20" s="294"/>
    </row>
    <row r="21" spans="1:5" ht="15.75" x14ac:dyDescent="0.25">
      <c r="A21" s="899" t="s">
        <v>775</v>
      </c>
      <c r="B21" s="891"/>
      <c r="C21" s="891"/>
      <c r="D21" s="698">
        <v>2211437.71</v>
      </c>
      <c r="E21" s="294"/>
    </row>
    <row r="22" spans="1:5" ht="16.5" thickBot="1" x14ac:dyDescent="0.3">
      <c r="A22" s="901" t="s">
        <v>351</v>
      </c>
      <c r="B22" s="891"/>
      <c r="C22" s="891"/>
      <c r="D22" s="902">
        <f>SUM(D12:D21)</f>
        <v>136419357.04000002</v>
      </c>
      <c r="E22" s="295"/>
    </row>
    <row r="23" spans="1:5" ht="16.5" thickTop="1" x14ac:dyDescent="0.25">
      <c r="A23" s="899"/>
      <c r="B23" s="899"/>
      <c r="C23" s="899"/>
      <c r="D23" s="903"/>
      <c r="E23" s="297"/>
    </row>
    <row r="24" spans="1:5" ht="15.75" x14ac:dyDescent="0.25">
      <c r="A24" s="899"/>
      <c r="B24" s="899"/>
      <c r="C24" s="899"/>
      <c r="D24" s="899"/>
      <c r="E24" s="297"/>
    </row>
    <row r="25" spans="1:5" ht="15.75" x14ac:dyDescent="0.25">
      <c r="A25" s="899"/>
      <c r="B25" s="899"/>
      <c r="C25" s="899"/>
      <c r="D25" s="899"/>
      <c r="E25" s="297"/>
    </row>
    <row r="26" spans="1:5" ht="15.75" x14ac:dyDescent="0.25">
      <c r="A26" s="899"/>
      <c r="B26" s="899"/>
      <c r="C26" s="899"/>
      <c r="D26" s="904"/>
      <c r="E26" s="298"/>
    </row>
    <row r="27" spans="1:5" ht="15.75" x14ac:dyDescent="0.25">
      <c r="A27" s="905"/>
      <c r="B27" s="899"/>
      <c r="C27" s="899"/>
      <c r="D27" s="899"/>
      <c r="E27" s="297"/>
    </row>
    <row r="28" spans="1:5" ht="15.75" x14ac:dyDescent="0.25">
      <c r="A28" s="906" t="s">
        <v>452</v>
      </c>
      <c r="B28" s="899"/>
      <c r="C28" s="899"/>
      <c r="D28" s="907"/>
      <c r="E28" s="299"/>
    </row>
    <row r="29" spans="1:5" ht="15.75" x14ac:dyDescent="0.25">
      <c r="A29" s="899" t="s">
        <v>352</v>
      </c>
      <c r="B29" s="899"/>
      <c r="C29" s="899"/>
      <c r="D29" s="899"/>
      <c r="E29" s="297"/>
    </row>
    <row r="30" spans="1:5" x14ac:dyDescent="0.25">
      <c r="A30" s="296"/>
      <c r="B30" s="296"/>
      <c r="C30" s="296"/>
      <c r="D30" s="296"/>
      <c r="E30" s="297"/>
    </row>
  </sheetData>
  <pageMargins left="1.2" right="0.7" top="1" bottom="0.75" header="0.55000000000000004" footer="0.55000000000000004"/>
  <pageSetup orientation="portrait" r:id="rId1"/>
  <headerFooter>
    <oddHeader>&amp;R&amp;"Times New Roman,Bold"&amp;12Conroy Exhibit P11
Page 3 of 3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6" tint="0.39997558519241921"/>
  </sheetPr>
  <dimension ref="A1:AY65"/>
  <sheetViews>
    <sheetView zoomScale="70" zoomScaleNormal="70" zoomScaleSheetLayoutView="70" workbookViewId="0"/>
  </sheetViews>
  <sheetFormatPr defaultRowHeight="15.75" x14ac:dyDescent="0.25"/>
  <cols>
    <col min="1" max="1" width="56.85546875" style="747" customWidth="1"/>
    <col min="2" max="2" width="15.7109375" style="747" customWidth="1"/>
    <col min="3" max="3" width="10.5703125" style="747" customWidth="1"/>
    <col min="4" max="6" width="16.28515625" style="747" customWidth="1"/>
    <col min="7" max="7" width="12.7109375" style="747" customWidth="1"/>
    <col min="8" max="8" width="25.85546875" style="747" customWidth="1"/>
    <col min="9" max="9" width="14.140625" style="747" customWidth="1"/>
    <col min="10" max="11" width="13.42578125" style="747" bestFit="1" customWidth="1"/>
    <col min="12" max="12" width="13.85546875" style="747" bestFit="1" customWidth="1"/>
    <col min="13" max="13" width="11.42578125" style="747" customWidth="1"/>
    <col min="14" max="14" width="14.5703125" style="747" customWidth="1"/>
    <col min="15" max="15" width="10.7109375" style="747" customWidth="1"/>
    <col min="16" max="16" width="12.28515625" style="747" customWidth="1"/>
    <col min="17" max="17" width="13.28515625" style="747" customWidth="1"/>
    <col min="18" max="18" width="10.5703125" style="747" customWidth="1"/>
    <col min="19" max="19" width="14.42578125" style="747" customWidth="1"/>
    <col min="20" max="20" width="9.140625" style="747"/>
    <col min="21" max="21" width="29.5703125" style="747" customWidth="1"/>
    <col min="22" max="26" width="15.5703125" style="747" customWidth="1"/>
    <col min="27" max="27" width="11.42578125" style="860" customWidth="1"/>
    <col min="28" max="28" width="15.42578125" style="747" customWidth="1"/>
    <col min="29" max="30" width="9.140625" style="747"/>
    <col min="31" max="31" width="48.28515625" style="747" customWidth="1"/>
    <col min="32" max="38" width="17.7109375" style="840" customWidth="1"/>
    <col min="39" max="39" width="14.42578125" style="818" customWidth="1"/>
    <col min="40" max="40" width="23" style="747" customWidth="1"/>
    <col min="41" max="41" width="18.7109375" style="747" customWidth="1"/>
    <col min="42" max="42" width="14" style="747" customWidth="1"/>
    <col min="43" max="43" width="14.42578125" style="747" bestFit="1" customWidth="1"/>
    <col min="44" max="44" width="16.85546875" style="747" customWidth="1"/>
    <col min="45" max="45" width="11.42578125" style="747" customWidth="1"/>
    <col min="46" max="46" width="12.85546875" style="747" customWidth="1"/>
    <col min="47" max="47" width="10.7109375" style="747" customWidth="1"/>
    <col min="48" max="48" width="16.5703125" style="747" customWidth="1"/>
    <col min="49" max="49" width="16.42578125" style="747" customWidth="1"/>
    <col min="50" max="50" width="11.7109375" style="747" customWidth="1"/>
    <col min="51" max="51" width="14.42578125" style="747" customWidth="1"/>
    <col min="52" max="254" width="9.140625" style="747"/>
    <col min="255" max="255" width="56.85546875" style="747" customWidth="1"/>
    <col min="256" max="256" width="15.7109375" style="747" customWidth="1"/>
    <col min="257" max="257" width="10.5703125" style="747" customWidth="1"/>
    <col min="258" max="260" width="16.28515625" style="747" customWidth="1"/>
    <col min="261" max="261" width="12.7109375" style="747" customWidth="1"/>
    <col min="262" max="263" width="9.140625" style="747"/>
    <col min="264" max="264" width="25.85546875" style="747" customWidth="1"/>
    <col min="265" max="265" width="13.140625" style="747" customWidth="1"/>
    <col min="266" max="267" width="13.42578125" style="747" bestFit="1" customWidth="1"/>
    <col min="268" max="268" width="13.85546875" style="747" bestFit="1" customWidth="1"/>
    <col min="269" max="269" width="11.42578125" style="747" customWidth="1"/>
    <col min="270" max="270" width="14.5703125" style="747" customWidth="1"/>
    <col min="271" max="271" width="10.7109375" style="747" customWidth="1"/>
    <col min="272" max="272" width="12.28515625" style="747" customWidth="1"/>
    <col min="273" max="273" width="13.28515625" style="747" customWidth="1"/>
    <col min="274" max="274" width="10.5703125" style="747" customWidth="1"/>
    <col min="275" max="275" width="14.42578125" style="747" customWidth="1"/>
    <col min="276" max="276" width="9.140625" style="747"/>
    <col min="277" max="277" width="29.5703125" style="747" customWidth="1"/>
    <col min="278" max="282" width="15.5703125" style="747" customWidth="1"/>
    <col min="283" max="283" width="11.42578125" style="747" customWidth="1"/>
    <col min="284" max="284" width="15.42578125" style="747" customWidth="1"/>
    <col min="285" max="286" width="9.140625" style="747"/>
    <col min="287" max="287" width="48.28515625" style="747" customWidth="1"/>
    <col min="288" max="294" width="17.7109375" style="747" customWidth="1"/>
    <col min="295" max="295" width="9.140625" style="747"/>
    <col min="296" max="296" width="26.85546875" style="747" bestFit="1" customWidth="1"/>
    <col min="297" max="297" width="18.7109375" style="747" customWidth="1"/>
    <col min="298" max="298" width="14" style="747" customWidth="1"/>
    <col min="299" max="299" width="14.42578125" style="747" bestFit="1" customWidth="1"/>
    <col min="300" max="300" width="16.85546875" style="747" customWidth="1"/>
    <col min="301" max="301" width="11.42578125" style="747" customWidth="1"/>
    <col min="302" max="302" width="12.85546875" style="747" customWidth="1"/>
    <col min="303" max="303" width="10.7109375" style="747" customWidth="1"/>
    <col min="304" max="304" width="16.5703125" style="747" customWidth="1"/>
    <col min="305" max="305" width="16.42578125" style="747" customWidth="1"/>
    <col min="306" max="306" width="11.7109375" style="747" customWidth="1"/>
    <col min="307" max="307" width="14.42578125" style="747" customWidth="1"/>
    <col min="308" max="510" width="9.140625" style="747"/>
    <col min="511" max="511" width="56.85546875" style="747" customWidth="1"/>
    <col min="512" max="512" width="15.7109375" style="747" customWidth="1"/>
    <col min="513" max="513" width="10.5703125" style="747" customWidth="1"/>
    <col min="514" max="516" width="16.28515625" style="747" customWidth="1"/>
    <col min="517" max="517" width="12.7109375" style="747" customWidth="1"/>
    <col min="518" max="519" width="9.140625" style="747"/>
    <col min="520" max="520" width="25.85546875" style="747" customWidth="1"/>
    <col min="521" max="521" width="13.140625" style="747" customWidth="1"/>
    <col min="522" max="523" width="13.42578125" style="747" bestFit="1" customWidth="1"/>
    <col min="524" max="524" width="13.85546875" style="747" bestFit="1" customWidth="1"/>
    <col min="525" max="525" width="11.42578125" style="747" customWidth="1"/>
    <col min="526" max="526" width="14.5703125" style="747" customWidth="1"/>
    <col min="527" max="527" width="10.7109375" style="747" customWidth="1"/>
    <col min="528" max="528" width="12.28515625" style="747" customWidth="1"/>
    <col min="529" max="529" width="13.28515625" style="747" customWidth="1"/>
    <col min="530" max="530" width="10.5703125" style="747" customWidth="1"/>
    <col min="531" max="531" width="14.42578125" style="747" customWidth="1"/>
    <col min="532" max="532" width="9.140625" style="747"/>
    <col min="533" max="533" width="29.5703125" style="747" customWidth="1"/>
    <col min="534" max="538" width="15.5703125" style="747" customWidth="1"/>
    <col min="539" max="539" width="11.42578125" style="747" customWidth="1"/>
    <col min="540" max="540" width="15.42578125" style="747" customWidth="1"/>
    <col min="541" max="542" width="9.140625" style="747"/>
    <col min="543" max="543" width="48.28515625" style="747" customWidth="1"/>
    <col min="544" max="550" width="17.7109375" style="747" customWidth="1"/>
    <col min="551" max="551" width="9.140625" style="747"/>
    <col min="552" max="552" width="26.85546875" style="747" bestFit="1" customWidth="1"/>
    <col min="553" max="553" width="18.7109375" style="747" customWidth="1"/>
    <col min="554" max="554" width="14" style="747" customWidth="1"/>
    <col min="555" max="555" width="14.42578125" style="747" bestFit="1" customWidth="1"/>
    <col min="556" max="556" width="16.85546875" style="747" customWidth="1"/>
    <col min="557" max="557" width="11.42578125" style="747" customWidth="1"/>
    <col min="558" max="558" width="12.85546875" style="747" customWidth="1"/>
    <col min="559" max="559" width="10.7109375" style="747" customWidth="1"/>
    <col min="560" max="560" width="16.5703125" style="747" customWidth="1"/>
    <col min="561" max="561" width="16.42578125" style="747" customWidth="1"/>
    <col min="562" max="562" width="11.7109375" style="747" customWidth="1"/>
    <col min="563" max="563" width="14.42578125" style="747" customWidth="1"/>
    <col min="564" max="766" width="9.140625" style="747"/>
    <col min="767" max="767" width="56.85546875" style="747" customWidth="1"/>
    <col min="768" max="768" width="15.7109375" style="747" customWidth="1"/>
    <col min="769" max="769" width="10.5703125" style="747" customWidth="1"/>
    <col min="770" max="772" width="16.28515625" style="747" customWidth="1"/>
    <col min="773" max="773" width="12.7109375" style="747" customWidth="1"/>
    <col min="774" max="775" width="9.140625" style="747"/>
    <col min="776" max="776" width="25.85546875" style="747" customWidth="1"/>
    <col min="777" max="777" width="13.140625" style="747" customWidth="1"/>
    <col min="778" max="779" width="13.42578125" style="747" bestFit="1" customWidth="1"/>
    <col min="780" max="780" width="13.85546875" style="747" bestFit="1" customWidth="1"/>
    <col min="781" max="781" width="11.42578125" style="747" customWidth="1"/>
    <col min="782" max="782" width="14.5703125" style="747" customWidth="1"/>
    <col min="783" max="783" width="10.7109375" style="747" customWidth="1"/>
    <col min="784" max="784" width="12.28515625" style="747" customWidth="1"/>
    <col min="785" max="785" width="13.28515625" style="747" customWidth="1"/>
    <col min="786" max="786" width="10.5703125" style="747" customWidth="1"/>
    <col min="787" max="787" width="14.42578125" style="747" customWidth="1"/>
    <col min="788" max="788" width="9.140625" style="747"/>
    <col min="789" max="789" width="29.5703125" style="747" customWidth="1"/>
    <col min="790" max="794" width="15.5703125" style="747" customWidth="1"/>
    <col min="795" max="795" width="11.42578125" style="747" customWidth="1"/>
    <col min="796" max="796" width="15.42578125" style="747" customWidth="1"/>
    <col min="797" max="798" width="9.140625" style="747"/>
    <col min="799" max="799" width="48.28515625" style="747" customWidth="1"/>
    <col min="800" max="806" width="17.7109375" style="747" customWidth="1"/>
    <col min="807" max="807" width="9.140625" style="747"/>
    <col min="808" max="808" width="26.85546875" style="747" bestFit="1" customWidth="1"/>
    <col min="809" max="809" width="18.7109375" style="747" customWidth="1"/>
    <col min="810" max="810" width="14" style="747" customWidth="1"/>
    <col min="811" max="811" width="14.42578125" style="747" bestFit="1" customWidth="1"/>
    <col min="812" max="812" width="16.85546875" style="747" customWidth="1"/>
    <col min="813" max="813" width="11.42578125" style="747" customWidth="1"/>
    <col min="814" max="814" width="12.85546875" style="747" customWidth="1"/>
    <col min="815" max="815" width="10.7109375" style="747" customWidth="1"/>
    <col min="816" max="816" width="16.5703125" style="747" customWidth="1"/>
    <col min="817" max="817" width="16.42578125" style="747" customWidth="1"/>
    <col min="818" max="818" width="11.7109375" style="747" customWidth="1"/>
    <col min="819" max="819" width="14.42578125" style="747" customWidth="1"/>
    <col min="820" max="1022" width="9.140625" style="747"/>
    <col min="1023" max="1023" width="56.85546875" style="747" customWidth="1"/>
    <col min="1024" max="1024" width="15.7109375" style="747" customWidth="1"/>
    <col min="1025" max="1025" width="10.5703125" style="747" customWidth="1"/>
    <col min="1026" max="1028" width="16.28515625" style="747" customWidth="1"/>
    <col min="1029" max="1029" width="12.7109375" style="747" customWidth="1"/>
    <col min="1030" max="1031" width="9.140625" style="747"/>
    <col min="1032" max="1032" width="25.85546875" style="747" customWidth="1"/>
    <col min="1033" max="1033" width="13.140625" style="747" customWidth="1"/>
    <col min="1034" max="1035" width="13.42578125" style="747" bestFit="1" customWidth="1"/>
    <col min="1036" max="1036" width="13.85546875" style="747" bestFit="1" customWidth="1"/>
    <col min="1037" max="1037" width="11.42578125" style="747" customWidth="1"/>
    <col min="1038" max="1038" width="14.5703125" style="747" customWidth="1"/>
    <col min="1039" max="1039" width="10.7109375" style="747" customWidth="1"/>
    <col min="1040" max="1040" width="12.28515625" style="747" customWidth="1"/>
    <col min="1041" max="1041" width="13.28515625" style="747" customWidth="1"/>
    <col min="1042" max="1042" width="10.5703125" style="747" customWidth="1"/>
    <col min="1043" max="1043" width="14.42578125" style="747" customWidth="1"/>
    <col min="1044" max="1044" width="9.140625" style="747"/>
    <col min="1045" max="1045" width="29.5703125" style="747" customWidth="1"/>
    <col min="1046" max="1050" width="15.5703125" style="747" customWidth="1"/>
    <col min="1051" max="1051" width="11.42578125" style="747" customWidth="1"/>
    <col min="1052" max="1052" width="15.42578125" style="747" customWidth="1"/>
    <col min="1053" max="1054" width="9.140625" style="747"/>
    <col min="1055" max="1055" width="48.28515625" style="747" customWidth="1"/>
    <col min="1056" max="1062" width="17.7109375" style="747" customWidth="1"/>
    <col min="1063" max="1063" width="9.140625" style="747"/>
    <col min="1064" max="1064" width="26.85546875" style="747" bestFit="1" customWidth="1"/>
    <col min="1065" max="1065" width="18.7109375" style="747" customWidth="1"/>
    <col min="1066" max="1066" width="14" style="747" customWidth="1"/>
    <col min="1067" max="1067" width="14.42578125" style="747" bestFit="1" customWidth="1"/>
    <col min="1068" max="1068" width="16.85546875" style="747" customWidth="1"/>
    <col min="1069" max="1069" width="11.42578125" style="747" customWidth="1"/>
    <col min="1070" max="1070" width="12.85546875" style="747" customWidth="1"/>
    <col min="1071" max="1071" width="10.7109375" style="747" customWidth="1"/>
    <col min="1072" max="1072" width="16.5703125" style="747" customWidth="1"/>
    <col min="1073" max="1073" width="16.42578125" style="747" customWidth="1"/>
    <col min="1074" max="1074" width="11.7109375" style="747" customWidth="1"/>
    <col min="1075" max="1075" width="14.42578125" style="747" customWidth="1"/>
    <col min="1076" max="1278" width="9.140625" style="747"/>
    <col min="1279" max="1279" width="56.85546875" style="747" customWidth="1"/>
    <col min="1280" max="1280" width="15.7109375" style="747" customWidth="1"/>
    <col min="1281" max="1281" width="10.5703125" style="747" customWidth="1"/>
    <col min="1282" max="1284" width="16.28515625" style="747" customWidth="1"/>
    <col min="1285" max="1285" width="12.7109375" style="747" customWidth="1"/>
    <col min="1286" max="1287" width="9.140625" style="747"/>
    <col min="1288" max="1288" width="25.85546875" style="747" customWidth="1"/>
    <col min="1289" max="1289" width="13.140625" style="747" customWidth="1"/>
    <col min="1290" max="1291" width="13.42578125" style="747" bestFit="1" customWidth="1"/>
    <col min="1292" max="1292" width="13.85546875" style="747" bestFit="1" customWidth="1"/>
    <col min="1293" max="1293" width="11.42578125" style="747" customWidth="1"/>
    <col min="1294" max="1294" width="14.5703125" style="747" customWidth="1"/>
    <col min="1295" max="1295" width="10.7109375" style="747" customWidth="1"/>
    <col min="1296" max="1296" width="12.28515625" style="747" customWidth="1"/>
    <col min="1297" max="1297" width="13.28515625" style="747" customWidth="1"/>
    <col min="1298" max="1298" width="10.5703125" style="747" customWidth="1"/>
    <col min="1299" max="1299" width="14.42578125" style="747" customWidth="1"/>
    <col min="1300" max="1300" width="9.140625" style="747"/>
    <col min="1301" max="1301" width="29.5703125" style="747" customWidth="1"/>
    <col min="1302" max="1306" width="15.5703125" style="747" customWidth="1"/>
    <col min="1307" max="1307" width="11.42578125" style="747" customWidth="1"/>
    <col min="1308" max="1308" width="15.42578125" style="747" customWidth="1"/>
    <col min="1309" max="1310" width="9.140625" style="747"/>
    <col min="1311" max="1311" width="48.28515625" style="747" customWidth="1"/>
    <col min="1312" max="1318" width="17.7109375" style="747" customWidth="1"/>
    <col min="1319" max="1319" width="9.140625" style="747"/>
    <col min="1320" max="1320" width="26.85546875" style="747" bestFit="1" customWidth="1"/>
    <col min="1321" max="1321" width="18.7109375" style="747" customWidth="1"/>
    <col min="1322" max="1322" width="14" style="747" customWidth="1"/>
    <col min="1323" max="1323" width="14.42578125" style="747" bestFit="1" customWidth="1"/>
    <col min="1324" max="1324" width="16.85546875" style="747" customWidth="1"/>
    <col min="1325" max="1325" width="11.42578125" style="747" customWidth="1"/>
    <col min="1326" max="1326" width="12.85546875" style="747" customWidth="1"/>
    <col min="1327" max="1327" width="10.7109375" style="747" customWidth="1"/>
    <col min="1328" max="1328" width="16.5703125" style="747" customWidth="1"/>
    <col min="1329" max="1329" width="16.42578125" style="747" customWidth="1"/>
    <col min="1330" max="1330" width="11.7109375" style="747" customWidth="1"/>
    <col min="1331" max="1331" width="14.42578125" style="747" customWidth="1"/>
    <col min="1332" max="1534" width="9.140625" style="747"/>
    <col min="1535" max="1535" width="56.85546875" style="747" customWidth="1"/>
    <col min="1536" max="1536" width="15.7109375" style="747" customWidth="1"/>
    <col min="1537" max="1537" width="10.5703125" style="747" customWidth="1"/>
    <col min="1538" max="1540" width="16.28515625" style="747" customWidth="1"/>
    <col min="1541" max="1541" width="12.7109375" style="747" customWidth="1"/>
    <col min="1542" max="1543" width="9.140625" style="747"/>
    <col min="1544" max="1544" width="25.85546875" style="747" customWidth="1"/>
    <col min="1545" max="1545" width="13.140625" style="747" customWidth="1"/>
    <col min="1546" max="1547" width="13.42578125" style="747" bestFit="1" customWidth="1"/>
    <col min="1548" max="1548" width="13.85546875" style="747" bestFit="1" customWidth="1"/>
    <col min="1549" max="1549" width="11.42578125" style="747" customWidth="1"/>
    <col min="1550" max="1550" width="14.5703125" style="747" customWidth="1"/>
    <col min="1551" max="1551" width="10.7109375" style="747" customWidth="1"/>
    <col min="1552" max="1552" width="12.28515625" style="747" customWidth="1"/>
    <col min="1553" max="1553" width="13.28515625" style="747" customWidth="1"/>
    <col min="1554" max="1554" width="10.5703125" style="747" customWidth="1"/>
    <col min="1555" max="1555" width="14.42578125" style="747" customWidth="1"/>
    <col min="1556" max="1556" width="9.140625" style="747"/>
    <col min="1557" max="1557" width="29.5703125" style="747" customWidth="1"/>
    <col min="1558" max="1562" width="15.5703125" style="747" customWidth="1"/>
    <col min="1563" max="1563" width="11.42578125" style="747" customWidth="1"/>
    <col min="1564" max="1564" width="15.42578125" style="747" customWidth="1"/>
    <col min="1565" max="1566" width="9.140625" style="747"/>
    <col min="1567" max="1567" width="48.28515625" style="747" customWidth="1"/>
    <col min="1568" max="1574" width="17.7109375" style="747" customWidth="1"/>
    <col min="1575" max="1575" width="9.140625" style="747"/>
    <col min="1576" max="1576" width="26.85546875" style="747" bestFit="1" customWidth="1"/>
    <col min="1577" max="1577" width="18.7109375" style="747" customWidth="1"/>
    <col min="1578" max="1578" width="14" style="747" customWidth="1"/>
    <col min="1579" max="1579" width="14.42578125" style="747" bestFit="1" customWidth="1"/>
    <col min="1580" max="1580" width="16.85546875" style="747" customWidth="1"/>
    <col min="1581" max="1581" width="11.42578125" style="747" customWidth="1"/>
    <col min="1582" max="1582" width="12.85546875" style="747" customWidth="1"/>
    <col min="1583" max="1583" width="10.7109375" style="747" customWidth="1"/>
    <col min="1584" max="1584" width="16.5703125" style="747" customWidth="1"/>
    <col min="1585" max="1585" width="16.42578125" style="747" customWidth="1"/>
    <col min="1586" max="1586" width="11.7109375" style="747" customWidth="1"/>
    <col min="1587" max="1587" width="14.42578125" style="747" customWidth="1"/>
    <col min="1588" max="1790" width="9.140625" style="747"/>
    <col min="1791" max="1791" width="56.85546875" style="747" customWidth="1"/>
    <col min="1792" max="1792" width="15.7109375" style="747" customWidth="1"/>
    <col min="1793" max="1793" width="10.5703125" style="747" customWidth="1"/>
    <col min="1794" max="1796" width="16.28515625" style="747" customWidth="1"/>
    <col min="1797" max="1797" width="12.7109375" style="747" customWidth="1"/>
    <col min="1798" max="1799" width="9.140625" style="747"/>
    <col min="1800" max="1800" width="25.85546875" style="747" customWidth="1"/>
    <col min="1801" max="1801" width="13.140625" style="747" customWidth="1"/>
    <col min="1802" max="1803" width="13.42578125" style="747" bestFit="1" customWidth="1"/>
    <col min="1804" max="1804" width="13.85546875" style="747" bestFit="1" customWidth="1"/>
    <col min="1805" max="1805" width="11.42578125" style="747" customWidth="1"/>
    <col min="1806" max="1806" width="14.5703125" style="747" customWidth="1"/>
    <col min="1807" max="1807" width="10.7109375" style="747" customWidth="1"/>
    <col min="1808" max="1808" width="12.28515625" style="747" customWidth="1"/>
    <col min="1809" max="1809" width="13.28515625" style="747" customWidth="1"/>
    <col min="1810" max="1810" width="10.5703125" style="747" customWidth="1"/>
    <col min="1811" max="1811" width="14.42578125" style="747" customWidth="1"/>
    <col min="1812" max="1812" width="9.140625" style="747"/>
    <col min="1813" max="1813" width="29.5703125" style="747" customWidth="1"/>
    <col min="1814" max="1818" width="15.5703125" style="747" customWidth="1"/>
    <col min="1819" max="1819" width="11.42578125" style="747" customWidth="1"/>
    <col min="1820" max="1820" width="15.42578125" style="747" customWidth="1"/>
    <col min="1821" max="1822" width="9.140625" style="747"/>
    <col min="1823" max="1823" width="48.28515625" style="747" customWidth="1"/>
    <col min="1824" max="1830" width="17.7109375" style="747" customWidth="1"/>
    <col min="1831" max="1831" width="9.140625" style="747"/>
    <col min="1832" max="1832" width="26.85546875" style="747" bestFit="1" customWidth="1"/>
    <col min="1833" max="1833" width="18.7109375" style="747" customWidth="1"/>
    <col min="1834" max="1834" width="14" style="747" customWidth="1"/>
    <col min="1835" max="1835" width="14.42578125" style="747" bestFit="1" customWidth="1"/>
    <col min="1836" max="1836" width="16.85546875" style="747" customWidth="1"/>
    <col min="1837" max="1837" width="11.42578125" style="747" customWidth="1"/>
    <col min="1838" max="1838" width="12.85546875" style="747" customWidth="1"/>
    <col min="1839" max="1839" width="10.7109375" style="747" customWidth="1"/>
    <col min="1840" max="1840" width="16.5703125" style="747" customWidth="1"/>
    <col min="1841" max="1841" width="16.42578125" style="747" customWidth="1"/>
    <col min="1842" max="1842" width="11.7109375" style="747" customWidth="1"/>
    <col min="1843" max="1843" width="14.42578125" style="747" customWidth="1"/>
    <col min="1844" max="2046" width="9.140625" style="747"/>
    <col min="2047" max="2047" width="56.85546875" style="747" customWidth="1"/>
    <col min="2048" max="2048" width="15.7109375" style="747" customWidth="1"/>
    <col min="2049" max="2049" width="10.5703125" style="747" customWidth="1"/>
    <col min="2050" max="2052" width="16.28515625" style="747" customWidth="1"/>
    <col min="2053" max="2053" width="12.7109375" style="747" customWidth="1"/>
    <col min="2054" max="2055" width="9.140625" style="747"/>
    <col min="2056" max="2056" width="25.85546875" style="747" customWidth="1"/>
    <col min="2057" max="2057" width="13.140625" style="747" customWidth="1"/>
    <col min="2058" max="2059" width="13.42578125" style="747" bestFit="1" customWidth="1"/>
    <col min="2060" max="2060" width="13.85546875" style="747" bestFit="1" customWidth="1"/>
    <col min="2061" max="2061" width="11.42578125" style="747" customWidth="1"/>
    <col min="2062" max="2062" width="14.5703125" style="747" customWidth="1"/>
    <col min="2063" max="2063" width="10.7109375" style="747" customWidth="1"/>
    <col min="2064" max="2064" width="12.28515625" style="747" customWidth="1"/>
    <col min="2065" max="2065" width="13.28515625" style="747" customWidth="1"/>
    <col min="2066" max="2066" width="10.5703125" style="747" customWidth="1"/>
    <col min="2067" max="2067" width="14.42578125" style="747" customWidth="1"/>
    <col min="2068" max="2068" width="9.140625" style="747"/>
    <col min="2069" max="2069" width="29.5703125" style="747" customWidth="1"/>
    <col min="2070" max="2074" width="15.5703125" style="747" customWidth="1"/>
    <col min="2075" max="2075" width="11.42578125" style="747" customWidth="1"/>
    <col min="2076" max="2076" width="15.42578125" style="747" customWidth="1"/>
    <col min="2077" max="2078" width="9.140625" style="747"/>
    <col min="2079" max="2079" width="48.28515625" style="747" customWidth="1"/>
    <col min="2080" max="2086" width="17.7109375" style="747" customWidth="1"/>
    <col min="2087" max="2087" width="9.140625" style="747"/>
    <col min="2088" max="2088" width="26.85546875" style="747" bestFit="1" customWidth="1"/>
    <col min="2089" max="2089" width="18.7109375" style="747" customWidth="1"/>
    <col min="2090" max="2090" width="14" style="747" customWidth="1"/>
    <col min="2091" max="2091" width="14.42578125" style="747" bestFit="1" customWidth="1"/>
    <col min="2092" max="2092" width="16.85546875" style="747" customWidth="1"/>
    <col min="2093" max="2093" width="11.42578125" style="747" customWidth="1"/>
    <col min="2094" max="2094" width="12.85546875" style="747" customWidth="1"/>
    <col min="2095" max="2095" width="10.7109375" style="747" customWidth="1"/>
    <col min="2096" max="2096" width="16.5703125" style="747" customWidth="1"/>
    <col min="2097" max="2097" width="16.42578125" style="747" customWidth="1"/>
    <col min="2098" max="2098" width="11.7109375" style="747" customWidth="1"/>
    <col min="2099" max="2099" width="14.42578125" style="747" customWidth="1"/>
    <col min="2100" max="2302" width="9.140625" style="747"/>
    <col min="2303" max="2303" width="56.85546875" style="747" customWidth="1"/>
    <col min="2304" max="2304" width="15.7109375" style="747" customWidth="1"/>
    <col min="2305" max="2305" width="10.5703125" style="747" customWidth="1"/>
    <col min="2306" max="2308" width="16.28515625" style="747" customWidth="1"/>
    <col min="2309" max="2309" width="12.7109375" style="747" customWidth="1"/>
    <col min="2310" max="2311" width="9.140625" style="747"/>
    <col min="2312" max="2312" width="25.85546875" style="747" customWidth="1"/>
    <col min="2313" max="2313" width="13.140625" style="747" customWidth="1"/>
    <col min="2314" max="2315" width="13.42578125" style="747" bestFit="1" customWidth="1"/>
    <col min="2316" max="2316" width="13.85546875" style="747" bestFit="1" customWidth="1"/>
    <col min="2317" max="2317" width="11.42578125" style="747" customWidth="1"/>
    <col min="2318" max="2318" width="14.5703125" style="747" customWidth="1"/>
    <col min="2319" max="2319" width="10.7109375" style="747" customWidth="1"/>
    <col min="2320" max="2320" width="12.28515625" style="747" customWidth="1"/>
    <col min="2321" max="2321" width="13.28515625" style="747" customWidth="1"/>
    <col min="2322" max="2322" width="10.5703125" style="747" customWidth="1"/>
    <col min="2323" max="2323" width="14.42578125" style="747" customWidth="1"/>
    <col min="2324" max="2324" width="9.140625" style="747"/>
    <col min="2325" max="2325" width="29.5703125" style="747" customWidth="1"/>
    <col min="2326" max="2330" width="15.5703125" style="747" customWidth="1"/>
    <col min="2331" max="2331" width="11.42578125" style="747" customWidth="1"/>
    <col min="2332" max="2332" width="15.42578125" style="747" customWidth="1"/>
    <col min="2333" max="2334" width="9.140625" style="747"/>
    <col min="2335" max="2335" width="48.28515625" style="747" customWidth="1"/>
    <col min="2336" max="2342" width="17.7109375" style="747" customWidth="1"/>
    <col min="2343" max="2343" width="9.140625" style="747"/>
    <col min="2344" max="2344" width="26.85546875" style="747" bestFit="1" customWidth="1"/>
    <col min="2345" max="2345" width="18.7109375" style="747" customWidth="1"/>
    <col min="2346" max="2346" width="14" style="747" customWidth="1"/>
    <col min="2347" max="2347" width="14.42578125" style="747" bestFit="1" customWidth="1"/>
    <col min="2348" max="2348" width="16.85546875" style="747" customWidth="1"/>
    <col min="2349" max="2349" width="11.42578125" style="747" customWidth="1"/>
    <col min="2350" max="2350" width="12.85546875" style="747" customWidth="1"/>
    <col min="2351" max="2351" width="10.7109375" style="747" customWidth="1"/>
    <col min="2352" max="2352" width="16.5703125" style="747" customWidth="1"/>
    <col min="2353" max="2353" width="16.42578125" style="747" customWidth="1"/>
    <col min="2354" max="2354" width="11.7109375" style="747" customWidth="1"/>
    <col min="2355" max="2355" width="14.42578125" style="747" customWidth="1"/>
    <col min="2356" max="2558" width="9.140625" style="747"/>
    <col min="2559" max="2559" width="56.85546875" style="747" customWidth="1"/>
    <col min="2560" max="2560" width="15.7109375" style="747" customWidth="1"/>
    <col min="2561" max="2561" width="10.5703125" style="747" customWidth="1"/>
    <col min="2562" max="2564" width="16.28515625" style="747" customWidth="1"/>
    <col min="2565" max="2565" width="12.7109375" style="747" customWidth="1"/>
    <col min="2566" max="2567" width="9.140625" style="747"/>
    <col min="2568" max="2568" width="25.85546875" style="747" customWidth="1"/>
    <col min="2569" max="2569" width="13.140625" style="747" customWidth="1"/>
    <col min="2570" max="2571" width="13.42578125" style="747" bestFit="1" customWidth="1"/>
    <col min="2572" max="2572" width="13.85546875" style="747" bestFit="1" customWidth="1"/>
    <col min="2573" max="2573" width="11.42578125" style="747" customWidth="1"/>
    <col min="2574" max="2574" width="14.5703125" style="747" customWidth="1"/>
    <col min="2575" max="2575" width="10.7109375" style="747" customWidth="1"/>
    <col min="2576" max="2576" width="12.28515625" style="747" customWidth="1"/>
    <col min="2577" max="2577" width="13.28515625" style="747" customWidth="1"/>
    <col min="2578" max="2578" width="10.5703125" style="747" customWidth="1"/>
    <col min="2579" max="2579" width="14.42578125" style="747" customWidth="1"/>
    <col min="2580" max="2580" width="9.140625" style="747"/>
    <col min="2581" max="2581" width="29.5703125" style="747" customWidth="1"/>
    <col min="2582" max="2586" width="15.5703125" style="747" customWidth="1"/>
    <col min="2587" max="2587" width="11.42578125" style="747" customWidth="1"/>
    <col min="2588" max="2588" width="15.42578125" style="747" customWidth="1"/>
    <col min="2589" max="2590" width="9.140625" style="747"/>
    <col min="2591" max="2591" width="48.28515625" style="747" customWidth="1"/>
    <col min="2592" max="2598" width="17.7109375" style="747" customWidth="1"/>
    <col min="2599" max="2599" width="9.140625" style="747"/>
    <col min="2600" max="2600" width="26.85546875" style="747" bestFit="1" customWidth="1"/>
    <col min="2601" max="2601" width="18.7109375" style="747" customWidth="1"/>
    <col min="2602" max="2602" width="14" style="747" customWidth="1"/>
    <col min="2603" max="2603" width="14.42578125" style="747" bestFit="1" customWidth="1"/>
    <col min="2604" max="2604" width="16.85546875" style="747" customWidth="1"/>
    <col min="2605" max="2605" width="11.42578125" style="747" customWidth="1"/>
    <col min="2606" max="2606" width="12.85546875" style="747" customWidth="1"/>
    <col min="2607" max="2607" width="10.7109375" style="747" customWidth="1"/>
    <col min="2608" max="2608" width="16.5703125" style="747" customWidth="1"/>
    <col min="2609" max="2609" width="16.42578125" style="747" customWidth="1"/>
    <col min="2610" max="2610" width="11.7109375" style="747" customWidth="1"/>
    <col min="2611" max="2611" width="14.42578125" style="747" customWidth="1"/>
    <col min="2612" max="2814" width="9.140625" style="747"/>
    <col min="2815" max="2815" width="56.85546875" style="747" customWidth="1"/>
    <col min="2816" max="2816" width="15.7109375" style="747" customWidth="1"/>
    <col min="2817" max="2817" width="10.5703125" style="747" customWidth="1"/>
    <col min="2818" max="2820" width="16.28515625" style="747" customWidth="1"/>
    <col min="2821" max="2821" width="12.7109375" style="747" customWidth="1"/>
    <col min="2822" max="2823" width="9.140625" style="747"/>
    <col min="2824" max="2824" width="25.85546875" style="747" customWidth="1"/>
    <col min="2825" max="2825" width="13.140625" style="747" customWidth="1"/>
    <col min="2826" max="2827" width="13.42578125" style="747" bestFit="1" customWidth="1"/>
    <col min="2828" max="2828" width="13.85546875" style="747" bestFit="1" customWidth="1"/>
    <col min="2829" max="2829" width="11.42578125" style="747" customWidth="1"/>
    <col min="2830" max="2830" width="14.5703125" style="747" customWidth="1"/>
    <col min="2831" max="2831" width="10.7109375" style="747" customWidth="1"/>
    <col min="2832" max="2832" width="12.28515625" style="747" customWidth="1"/>
    <col min="2833" max="2833" width="13.28515625" style="747" customWidth="1"/>
    <col min="2834" max="2834" width="10.5703125" style="747" customWidth="1"/>
    <col min="2835" max="2835" width="14.42578125" style="747" customWidth="1"/>
    <col min="2836" max="2836" width="9.140625" style="747"/>
    <col min="2837" max="2837" width="29.5703125" style="747" customWidth="1"/>
    <col min="2838" max="2842" width="15.5703125" style="747" customWidth="1"/>
    <col min="2843" max="2843" width="11.42578125" style="747" customWidth="1"/>
    <col min="2844" max="2844" width="15.42578125" style="747" customWidth="1"/>
    <col min="2845" max="2846" width="9.140625" style="747"/>
    <col min="2847" max="2847" width="48.28515625" style="747" customWidth="1"/>
    <col min="2848" max="2854" width="17.7109375" style="747" customWidth="1"/>
    <col min="2855" max="2855" width="9.140625" style="747"/>
    <col min="2856" max="2856" width="26.85546875" style="747" bestFit="1" customWidth="1"/>
    <col min="2857" max="2857" width="18.7109375" style="747" customWidth="1"/>
    <col min="2858" max="2858" width="14" style="747" customWidth="1"/>
    <col min="2859" max="2859" width="14.42578125" style="747" bestFit="1" customWidth="1"/>
    <col min="2860" max="2860" width="16.85546875" style="747" customWidth="1"/>
    <col min="2861" max="2861" width="11.42578125" style="747" customWidth="1"/>
    <col min="2862" max="2862" width="12.85546875" style="747" customWidth="1"/>
    <col min="2863" max="2863" width="10.7109375" style="747" customWidth="1"/>
    <col min="2864" max="2864" width="16.5703125" style="747" customWidth="1"/>
    <col min="2865" max="2865" width="16.42578125" style="747" customWidth="1"/>
    <col min="2866" max="2866" width="11.7109375" style="747" customWidth="1"/>
    <col min="2867" max="2867" width="14.42578125" style="747" customWidth="1"/>
    <col min="2868" max="3070" width="9.140625" style="747"/>
    <col min="3071" max="3071" width="56.85546875" style="747" customWidth="1"/>
    <col min="3072" max="3072" width="15.7109375" style="747" customWidth="1"/>
    <col min="3073" max="3073" width="10.5703125" style="747" customWidth="1"/>
    <col min="3074" max="3076" width="16.28515625" style="747" customWidth="1"/>
    <col min="3077" max="3077" width="12.7109375" style="747" customWidth="1"/>
    <col min="3078" max="3079" width="9.140625" style="747"/>
    <col min="3080" max="3080" width="25.85546875" style="747" customWidth="1"/>
    <col min="3081" max="3081" width="13.140625" style="747" customWidth="1"/>
    <col min="3082" max="3083" width="13.42578125" style="747" bestFit="1" customWidth="1"/>
    <col min="3084" max="3084" width="13.85546875" style="747" bestFit="1" customWidth="1"/>
    <col min="3085" max="3085" width="11.42578125" style="747" customWidth="1"/>
    <col min="3086" max="3086" width="14.5703125" style="747" customWidth="1"/>
    <col min="3087" max="3087" width="10.7109375" style="747" customWidth="1"/>
    <col min="3088" max="3088" width="12.28515625" style="747" customWidth="1"/>
    <col min="3089" max="3089" width="13.28515625" style="747" customWidth="1"/>
    <col min="3090" max="3090" width="10.5703125" style="747" customWidth="1"/>
    <col min="3091" max="3091" width="14.42578125" style="747" customWidth="1"/>
    <col min="3092" max="3092" width="9.140625" style="747"/>
    <col min="3093" max="3093" width="29.5703125" style="747" customWidth="1"/>
    <col min="3094" max="3098" width="15.5703125" style="747" customWidth="1"/>
    <col min="3099" max="3099" width="11.42578125" style="747" customWidth="1"/>
    <col min="3100" max="3100" width="15.42578125" style="747" customWidth="1"/>
    <col min="3101" max="3102" width="9.140625" style="747"/>
    <col min="3103" max="3103" width="48.28515625" style="747" customWidth="1"/>
    <col min="3104" max="3110" width="17.7109375" style="747" customWidth="1"/>
    <col min="3111" max="3111" width="9.140625" style="747"/>
    <col min="3112" max="3112" width="26.85546875" style="747" bestFit="1" customWidth="1"/>
    <col min="3113" max="3113" width="18.7109375" style="747" customWidth="1"/>
    <col min="3114" max="3114" width="14" style="747" customWidth="1"/>
    <col min="3115" max="3115" width="14.42578125" style="747" bestFit="1" customWidth="1"/>
    <col min="3116" max="3116" width="16.85546875" style="747" customWidth="1"/>
    <col min="3117" max="3117" width="11.42578125" style="747" customWidth="1"/>
    <col min="3118" max="3118" width="12.85546875" style="747" customWidth="1"/>
    <col min="3119" max="3119" width="10.7109375" style="747" customWidth="1"/>
    <col min="3120" max="3120" width="16.5703125" style="747" customWidth="1"/>
    <col min="3121" max="3121" width="16.42578125" style="747" customWidth="1"/>
    <col min="3122" max="3122" width="11.7109375" style="747" customWidth="1"/>
    <col min="3123" max="3123" width="14.42578125" style="747" customWidth="1"/>
    <col min="3124" max="3326" width="9.140625" style="747"/>
    <col min="3327" max="3327" width="56.85546875" style="747" customWidth="1"/>
    <col min="3328" max="3328" width="15.7109375" style="747" customWidth="1"/>
    <col min="3329" max="3329" width="10.5703125" style="747" customWidth="1"/>
    <col min="3330" max="3332" width="16.28515625" style="747" customWidth="1"/>
    <col min="3333" max="3333" width="12.7109375" style="747" customWidth="1"/>
    <col min="3334" max="3335" width="9.140625" style="747"/>
    <col min="3336" max="3336" width="25.85546875" style="747" customWidth="1"/>
    <col min="3337" max="3337" width="13.140625" style="747" customWidth="1"/>
    <col min="3338" max="3339" width="13.42578125" style="747" bestFit="1" customWidth="1"/>
    <col min="3340" max="3340" width="13.85546875" style="747" bestFit="1" customWidth="1"/>
    <col min="3341" max="3341" width="11.42578125" style="747" customWidth="1"/>
    <col min="3342" max="3342" width="14.5703125" style="747" customWidth="1"/>
    <col min="3343" max="3343" width="10.7109375" style="747" customWidth="1"/>
    <col min="3344" max="3344" width="12.28515625" style="747" customWidth="1"/>
    <col min="3345" max="3345" width="13.28515625" style="747" customWidth="1"/>
    <col min="3346" max="3346" width="10.5703125" style="747" customWidth="1"/>
    <col min="3347" max="3347" width="14.42578125" style="747" customWidth="1"/>
    <col min="3348" max="3348" width="9.140625" style="747"/>
    <col min="3349" max="3349" width="29.5703125" style="747" customWidth="1"/>
    <col min="3350" max="3354" width="15.5703125" style="747" customWidth="1"/>
    <col min="3355" max="3355" width="11.42578125" style="747" customWidth="1"/>
    <col min="3356" max="3356" width="15.42578125" style="747" customWidth="1"/>
    <col min="3357" max="3358" width="9.140625" style="747"/>
    <col min="3359" max="3359" width="48.28515625" style="747" customWidth="1"/>
    <col min="3360" max="3366" width="17.7109375" style="747" customWidth="1"/>
    <col min="3367" max="3367" width="9.140625" style="747"/>
    <col min="3368" max="3368" width="26.85546875" style="747" bestFit="1" customWidth="1"/>
    <col min="3369" max="3369" width="18.7109375" style="747" customWidth="1"/>
    <col min="3370" max="3370" width="14" style="747" customWidth="1"/>
    <col min="3371" max="3371" width="14.42578125" style="747" bestFit="1" customWidth="1"/>
    <col min="3372" max="3372" width="16.85546875" style="747" customWidth="1"/>
    <col min="3373" max="3373" width="11.42578125" style="747" customWidth="1"/>
    <col min="3374" max="3374" width="12.85546875" style="747" customWidth="1"/>
    <col min="3375" max="3375" width="10.7109375" style="747" customWidth="1"/>
    <col min="3376" max="3376" width="16.5703125" style="747" customWidth="1"/>
    <col min="3377" max="3377" width="16.42578125" style="747" customWidth="1"/>
    <col min="3378" max="3378" width="11.7109375" style="747" customWidth="1"/>
    <col min="3379" max="3379" width="14.42578125" style="747" customWidth="1"/>
    <col min="3380" max="3582" width="9.140625" style="747"/>
    <col min="3583" max="3583" width="56.85546875" style="747" customWidth="1"/>
    <col min="3584" max="3584" width="15.7109375" style="747" customWidth="1"/>
    <col min="3585" max="3585" width="10.5703125" style="747" customWidth="1"/>
    <col min="3586" max="3588" width="16.28515625" style="747" customWidth="1"/>
    <col min="3589" max="3589" width="12.7109375" style="747" customWidth="1"/>
    <col min="3590" max="3591" width="9.140625" style="747"/>
    <col min="3592" max="3592" width="25.85546875" style="747" customWidth="1"/>
    <col min="3593" max="3593" width="13.140625" style="747" customWidth="1"/>
    <col min="3594" max="3595" width="13.42578125" style="747" bestFit="1" customWidth="1"/>
    <col min="3596" max="3596" width="13.85546875" style="747" bestFit="1" customWidth="1"/>
    <col min="3597" max="3597" width="11.42578125" style="747" customWidth="1"/>
    <col min="3598" max="3598" width="14.5703125" style="747" customWidth="1"/>
    <col min="3599" max="3599" width="10.7109375" style="747" customWidth="1"/>
    <col min="3600" max="3600" width="12.28515625" style="747" customWidth="1"/>
    <col min="3601" max="3601" width="13.28515625" style="747" customWidth="1"/>
    <col min="3602" max="3602" width="10.5703125" style="747" customWidth="1"/>
    <col min="3603" max="3603" width="14.42578125" style="747" customWidth="1"/>
    <col min="3604" max="3604" width="9.140625" style="747"/>
    <col min="3605" max="3605" width="29.5703125" style="747" customWidth="1"/>
    <col min="3606" max="3610" width="15.5703125" style="747" customWidth="1"/>
    <col min="3611" max="3611" width="11.42578125" style="747" customWidth="1"/>
    <col min="3612" max="3612" width="15.42578125" style="747" customWidth="1"/>
    <col min="3613" max="3614" width="9.140625" style="747"/>
    <col min="3615" max="3615" width="48.28515625" style="747" customWidth="1"/>
    <col min="3616" max="3622" width="17.7109375" style="747" customWidth="1"/>
    <col min="3623" max="3623" width="9.140625" style="747"/>
    <col min="3624" max="3624" width="26.85546875" style="747" bestFit="1" customWidth="1"/>
    <col min="3625" max="3625" width="18.7109375" style="747" customWidth="1"/>
    <col min="3626" max="3626" width="14" style="747" customWidth="1"/>
    <col min="3627" max="3627" width="14.42578125" style="747" bestFit="1" customWidth="1"/>
    <col min="3628" max="3628" width="16.85546875" style="747" customWidth="1"/>
    <col min="3629" max="3629" width="11.42578125" style="747" customWidth="1"/>
    <col min="3630" max="3630" width="12.85546875" style="747" customWidth="1"/>
    <col min="3631" max="3631" width="10.7109375" style="747" customWidth="1"/>
    <col min="3632" max="3632" width="16.5703125" style="747" customWidth="1"/>
    <col min="3633" max="3633" width="16.42578125" style="747" customWidth="1"/>
    <col min="3634" max="3634" width="11.7109375" style="747" customWidth="1"/>
    <col min="3635" max="3635" width="14.42578125" style="747" customWidth="1"/>
    <col min="3636" max="3838" width="9.140625" style="747"/>
    <col min="3839" max="3839" width="56.85546875" style="747" customWidth="1"/>
    <col min="3840" max="3840" width="15.7109375" style="747" customWidth="1"/>
    <col min="3841" max="3841" width="10.5703125" style="747" customWidth="1"/>
    <col min="3842" max="3844" width="16.28515625" style="747" customWidth="1"/>
    <col min="3845" max="3845" width="12.7109375" style="747" customWidth="1"/>
    <col min="3846" max="3847" width="9.140625" style="747"/>
    <col min="3848" max="3848" width="25.85546875" style="747" customWidth="1"/>
    <col min="3849" max="3849" width="13.140625" style="747" customWidth="1"/>
    <col min="3850" max="3851" width="13.42578125" style="747" bestFit="1" customWidth="1"/>
    <col min="3852" max="3852" width="13.85546875" style="747" bestFit="1" customWidth="1"/>
    <col min="3853" max="3853" width="11.42578125" style="747" customWidth="1"/>
    <col min="3854" max="3854" width="14.5703125" style="747" customWidth="1"/>
    <col min="3855" max="3855" width="10.7109375" style="747" customWidth="1"/>
    <col min="3856" max="3856" width="12.28515625" style="747" customWidth="1"/>
    <col min="3857" max="3857" width="13.28515625" style="747" customWidth="1"/>
    <col min="3858" max="3858" width="10.5703125" style="747" customWidth="1"/>
    <col min="3859" max="3859" width="14.42578125" style="747" customWidth="1"/>
    <col min="3860" max="3860" width="9.140625" style="747"/>
    <col min="3861" max="3861" width="29.5703125" style="747" customWidth="1"/>
    <col min="3862" max="3866" width="15.5703125" style="747" customWidth="1"/>
    <col min="3867" max="3867" width="11.42578125" style="747" customWidth="1"/>
    <col min="3868" max="3868" width="15.42578125" style="747" customWidth="1"/>
    <col min="3869" max="3870" width="9.140625" style="747"/>
    <col min="3871" max="3871" width="48.28515625" style="747" customWidth="1"/>
    <col min="3872" max="3878" width="17.7109375" style="747" customWidth="1"/>
    <col min="3879" max="3879" width="9.140625" style="747"/>
    <col min="3880" max="3880" width="26.85546875" style="747" bestFit="1" customWidth="1"/>
    <col min="3881" max="3881" width="18.7109375" style="747" customWidth="1"/>
    <col min="3882" max="3882" width="14" style="747" customWidth="1"/>
    <col min="3883" max="3883" width="14.42578125" style="747" bestFit="1" customWidth="1"/>
    <col min="3884" max="3884" width="16.85546875" style="747" customWidth="1"/>
    <col min="3885" max="3885" width="11.42578125" style="747" customWidth="1"/>
    <col min="3886" max="3886" width="12.85546875" style="747" customWidth="1"/>
    <col min="3887" max="3887" width="10.7109375" style="747" customWidth="1"/>
    <col min="3888" max="3888" width="16.5703125" style="747" customWidth="1"/>
    <col min="3889" max="3889" width="16.42578125" style="747" customWidth="1"/>
    <col min="3890" max="3890" width="11.7109375" style="747" customWidth="1"/>
    <col min="3891" max="3891" width="14.42578125" style="747" customWidth="1"/>
    <col min="3892" max="4094" width="9.140625" style="747"/>
    <col min="4095" max="4095" width="56.85546875" style="747" customWidth="1"/>
    <col min="4096" max="4096" width="15.7109375" style="747" customWidth="1"/>
    <col min="4097" max="4097" width="10.5703125" style="747" customWidth="1"/>
    <col min="4098" max="4100" width="16.28515625" style="747" customWidth="1"/>
    <col min="4101" max="4101" width="12.7109375" style="747" customWidth="1"/>
    <col min="4102" max="4103" width="9.140625" style="747"/>
    <col min="4104" max="4104" width="25.85546875" style="747" customWidth="1"/>
    <col min="4105" max="4105" width="13.140625" style="747" customWidth="1"/>
    <col min="4106" max="4107" width="13.42578125" style="747" bestFit="1" customWidth="1"/>
    <col min="4108" max="4108" width="13.85546875" style="747" bestFit="1" customWidth="1"/>
    <col min="4109" max="4109" width="11.42578125" style="747" customWidth="1"/>
    <col min="4110" max="4110" width="14.5703125" style="747" customWidth="1"/>
    <col min="4111" max="4111" width="10.7109375" style="747" customWidth="1"/>
    <col min="4112" max="4112" width="12.28515625" style="747" customWidth="1"/>
    <col min="4113" max="4113" width="13.28515625" style="747" customWidth="1"/>
    <col min="4114" max="4114" width="10.5703125" style="747" customWidth="1"/>
    <col min="4115" max="4115" width="14.42578125" style="747" customWidth="1"/>
    <col min="4116" max="4116" width="9.140625" style="747"/>
    <col min="4117" max="4117" width="29.5703125" style="747" customWidth="1"/>
    <col min="4118" max="4122" width="15.5703125" style="747" customWidth="1"/>
    <col min="4123" max="4123" width="11.42578125" style="747" customWidth="1"/>
    <col min="4124" max="4124" width="15.42578125" style="747" customWidth="1"/>
    <col min="4125" max="4126" width="9.140625" style="747"/>
    <col min="4127" max="4127" width="48.28515625" style="747" customWidth="1"/>
    <col min="4128" max="4134" width="17.7109375" style="747" customWidth="1"/>
    <col min="4135" max="4135" width="9.140625" style="747"/>
    <col min="4136" max="4136" width="26.85546875" style="747" bestFit="1" customWidth="1"/>
    <col min="4137" max="4137" width="18.7109375" style="747" customWidth="1"/>
    <col min="4138" max="4138" width="14" style="747" customWidth="1"/>
    <col min="4139" max="4139" width="14.42578125" style="747" bestFit="1" customWidth="1"/>
    <col min="4140" max="4140" width="16.85546875" style="747" customWidth="1"/>
    <col min="4141" max="4141" width="11.42578125" style="747" customWidth="1"/>
    <col min="4142" max="4142" width="12.85546875" style="747" customWidth="1"/>
    <col min="4143" max="4143" width="10.7109375" style="747" customWidth="1"/>
    <col min="4144" max="4144" width="16.5703125" style="747" customWidth="1"/>
    <col min="4145" max="4145" width="16.42578125" style="747" customWidth="1"/>
    <col min="4146" max="4146" width="11.7109375" style="747" customWidth="1"/>
    <col min="4147" max="4147" width="14.42578125" style="747" customWidth="1"/>
    <col min="4148" max="4350" width="9.140625" style="747"/>
    <col min="4351" max="4351" width="56.85546875" style="747" customWidth="1"/>
    <col min="4352" max="4352" width="15.7109375" style="747" customWidth="1"/>
    <col min="4353" max="4353" width="10.5703125" style="747" customWidth="1"/>
    <col min="4354" max="4356" width="16.28515625" style="747" customWidth="1"/>
    <col min="4357" max="4357" width="12.7109375" style="747" customWidth="1"/>
    <col min="4358" max="4359" width="9.140625" style="747"/>
    <col min="4360" max="4360" width="25.85546875" style="747" customWidth="1"/>
    <col min="4361" max="4361" width="13.140625" style="747" customWidth="1"/>
    <col min="4362" max="4363" width="13.42578125" style="747" bestFit="1" customWidth="1"/>
    <col min="4364" max="4364" width="13.85546875" style="747" bestFit="1" customWidth="1"/>
    <col min="4365" max="4365" width="11.42578125" style="747" customWidth="1"/>
    <col min="4366" max="4366" width="14.5703125" style="747" customWidth="1"/>
    <col min="4367" max="4367" width="10.7109375" style="747" customWidth="1"/>
    <col min="4368" max="4368" width="12.28515625" style="747" customWidth="1"/>
    <col min="4369" max="4369" width="13.28515625" style="747" customWidth="1"/>
    <col min="4370" max="4370" width="10.5703125" style="747" customWidth="1"/>
    <col min="4371" max="4371" width="14.42578125" style="747" customWidth="1"/>
    <col min="4372" max="4372" width="9.140625" style="747"/>
    <col min="4373" max="4373" width="29.5703125" style="747" customWidth="1"/>
    <col min="4374" max="4378" width="15.5703125" style="747" customWidth="1"/>
    <col min="4379" max="4379" width="11.42578125" style="747" customWidth="1"/>
    <col min="4380" max="4380" width="15.42578125" style="747" customWidth="1"/>
    <col min="4381" max="4382" width="9.140625" style="747"/>
    <col min="4383" max="4383" width="48.28515625" style="747" customWidth="1"/>
    <col min="4384" max="4390" width="17.7109375" style="747" customWidth="1"/>
    <col min="4391" max="4391" width="9.140625" style="747"/>
    <col min="4392" max="4392" width="26.85546875" style="747" bestFit="1" customWidth="1"/>
    <col min="4393" max="4393" width="18.7109375" style="747" customWidth="1"/>
    <col min="4394" max="4394" width="14" style="747" customWidth="1"/>
    <col min="4395" max="4395" width="14.42578125" style="747" bestFit="1" customWidth="1"/>
    <col min="4396" max="4396" width="16.85546875" style="747" customWidth="1"/>
    <col min="4397" max="4397" width="11.42578125" style="747" customWidth="1"/>
    <col min="4398" max="4398" width="12.85546875" style="747" customWidth="1"/>
    <col min="4399" max="4399" width="10.7109375" style="747" customWidth="1"/>
    <col min="4400" max="4400" width="16.5703125" style="747" customWidth="1"/>
    <col min="4401" max="4401" width="16.42578125" style="747" customWidth="1"/>
    <col min="4402" max="4402" width="11.7109375" style="747" customWidth="1"/>
    <col min="4403" max="4403" width="14.42578125" style="747" customWidth="1"/>
    <col min="4404" max="4606" width="9.140625" style="747"/>
    <col min="4607" max="4607" width="56.85546875" style="747" customWidth="1"/>
    <col min="4608" max="4608" width="15.7109375" style="747" customWidth="1"/>
    <col min="4609" max="4609" width="10.5703125" style="747" customWidth="1"/>
    <col min="4610" max="4612" width="16.28515625" style="747" customWidth="1"/>
    <col min="4613" max="4613" width="12.7109375" style="747" customWidth="1"/>
    <col min="4614" max="4615" width="9.140625" style="747"/>
    <col min="4616" max="4616" width="25.85546875" style="747" customWidth="1"/>
    <col min="4617" max="4617" width="13.140625" style="747" customWidth="1"/>
    <col min="4618" max="4619" width="13.42578125" style="747" bestFit="1" customWidth="1"/>
    <col min="4620" max="4620" width="13.85546875" style="747" bestFit="1" customWidth="1"/>
    <col min="4621" max="4621" width="11.42578125" style="747" customWidth="1"/>
    <col min="4622" max="4622" width="14.5703125" style="747" customWidth="1"/>
    <col min="4623" max="4623" width="10.7109375" style="747" customWidth="1"/>
    <col min="4624" max="4624" width="12.28515625" style="747" customWidth="1"/>
    <col min="4625" max="4625" width="13.28515625" style="747" customWidth="1"/>
    <col min="4626" max="4626" width="10.5703125" style="747" customWidth="1"/>
    <col min="4627" max="4627" width="14.42578125" style="747" customWidth="1"/>
    <col min="4628" max="4628" width="9.140625" style="747"/>
    <col min="4629" max="4629" width="29.5703125" style="747" customWidth="1"/>
    <col min="4630" max="4634" width="15.5703125" style="747" customWidth="1"/>
    <col min="4635" max="4635" width="11.42578125" style="747" customWidth="1"/>
    <col min="4636" max="4636" width="15.42578125" style="747" customWidth="1"/>
    <col min="4637" max="4638" width="9.140625" style="747"/>
    <col min="4639" max="4639" width="48.28515625" style="747" customWidth="1"/>
    <col min="4640" max="4646" width="17.7109375" style="747" customWidth="1"/>
    <col min="4647" max="4647" width="9.140625" style="747"/>
    <col min="4648" max="4648" width="26.85546875" style="747" bestFit="1" customWidth="1"/>
    <col min="4649" max="4649" width="18.7109375" style="747" customWidth="1"/>
    <col min="4650" max="4650" width="14" style="747" customWidth="1"/>
    <col min="4651" max="4651" width="14.42578125" style="747" bestFit="1" customWidth="1"/>
    <col min="4652" max="4652" width="16.85546875" style="747" customWidth="1"/>
    <col min="4653" max="4653" width="11.42578125" style="747" customWidth="1"/>
    <col min="4654" max="4654" width="12.85546875" style="747" customWidth="1"/>
    <col min="4655" max="4655" width="10.7109375" style="747" customWidth="1"/>
    <col min="4656" max="4656" width="16.5703125" style="747" customWidth="1"/>
    <col min="4657" max="4657" width="16.42578125" style="747" customWidth="1"/>
    <col min="4658" max="4658" width="11.7109375" style="747" customWidth="1"/>
    <col min="4659" max="4659" width="14.42578125" style="747" customWidth="1"/>
    <col min="4660" max="4862" width="9.140625" style="747"/>
    <col min="4863" max="4863" width="56.85546875" style="747" customWidth="1"/>
    <col min="4864" max="4864" width="15.7109375" style="747" customWidth="1"/>
    <col min="4865" max="4865" width="10.5703125" style="747" customWidth="1"/>
    <col min="4866" max="4868" width="16.28515625" style="747" customWidth="1"/>
    <col min="4869" max="4869" width="12.7109375" style="747" customWidth="1"/>
    <col min="4870" max="4871" width="9.140625" style="747"/>
    <col min="4872" max="4872" width="25.85546875" style="747" customWidth="1"/>
    <col min="4873" max="4873" width="13.140625" style="747" customWidth="1"/>
    <col min="4874" max="4875" width="13.42578125" style="747" bestFit="1" customWidth="1"/>
    <col min="4876" max="4876" width="13.85546875" style="747" bestFit="1" customWidth="1"/>
    <col min="4877" max="4877" width="11.42578125" style="747" customWidth="1"/>
    <col min="4878" max="4878" width="14.5703125" style="747" customWidth="1"/>
    <col min="4879" max="4879" width="10.7109375" style="747" customWidth="1"/>
    <col min="4880" max="4880" width="12.28515625" style="747" customWidth="1"/>
    <col min="4881" max="4881" width="13.28515625" style="747" customWidth="1"/>
    <col min="4882" max="4882" width="10.5703125" style="747" customWidth="1"/>
    <col min="4883" max="4883" width="14.42578125" style="747" customWidth="1"/>
    <col min="4884" max="4884" width="9.140625" style="747"/>
    <col min="4885" max="4885" width="29.5703125" style="747" customWidth="1"/>
    <col min="4886" max="4890" width="15.5703125" style="747" customWidth="1"/>
    <col min="4891" max="4891" width="11.42578125" style="747" customWidth="1"/>
    <col min="4892" max="4892" width="15.42578125" style="747" customWidth="1"/>
    <col min="4893" max="4894" width="9.140625" style="747"/>
    <col min="4895" max="4895" width="48.28515625" style="747" customWidth="1"/>
    <col min="4896" max="4902" width="17.7109375" style="747" customWidth="1"/>
    <col min="4903" max="4903" width="9.140625" style="747"/>
    <col min="4904" max="4904" width="26.85546875" style="747" bestFit="1" customWidth="1"/>
    <col min="4905" max="4905" width="18.7109375" style="747" customWidth="1"/>
    <col min="4906" max="4906" width="14" style="747" customWidth="1"/>
    <col min="4907" max="4907" width="14.42578125" style="747" bestFit="1" customWidth="1"/>
    <col min="4908" max="4908" width="16.85546875" style="747" customWidth="1"/>
    <col min="4909" max="4909" width="11.42578125" style="747" customWidth="1"/>
    <col min="4910" max="4910" width="12.85546875" style="747" customWidth="1"/>
    <col min="4911" max="4911" width="10.7109375" style="747" customWidth="1"/>
    <col min="4912" max="4912" width="16.5703125" style="747" customWidth="1"/>
    <col min="4913" max="4913" width="16.42578125" style="747" customWidth="1"/>
    <col min="4914" max="4914" width="11.7109375" style="747" customWidth="1"/>
    <col min="4915" max="4915" width="14.42578125" style="747" customWidth="1"/>
    <col min="4916" max="5118" width="9.140625" style="747"/>
    <col min="5119" max="5119" width="56.85546875" style="747" customWidth="1"/>
    <col min="5120" max="5120" width="15.7109375" style="747" customWidth="1"/>
    <col min="5121" max="5121" width="10.5703125" style="747" customWidth="1"/>
    <col min="5122" max="5124" width="16.28515625" style="747" customWidth="1"/>
    <col min="5125" max="5125" width="12.7109375" style="747" customWidth="1"/>
    <col min="5126" max="5127" width="9.140625" style="747"/>
    <col min="5128" max="5128" width="25.85546875" style="747" customWidth="1"/>
    <col min="5129" max="5129" width="13.140625" style="747" customWidth="1"/>
    <col min="5130" max="5131" width="13.42578125" style="747" bestFit="1" customWidth="1"/>
    <col min="5132" max="5132" width="13.85546875" style="747" bestFit="1" customWidth="1"/>
    <col min="5133" max="5133" width="11.42578125" style="747" customWidth="1"/>
    <col min="5134" max="5134" width="14.5703125" style="747" customWidth="1"/>
    <col min="5135" max="5135" width="10.7109375" style="747" customWidth="1"/>
    <col min="5136" max="5136" width="12.28515625" style="747" customWidth="1"/>
    <col min="5137" max="5137" width="13.28515625" style="747" customWidth="1"/>
    <col min="5138" max="5138" width="10.5703125" style="747" customWidth="1"/>
    <col min="5139" max="5139" width="14.42578125" style="747" customWidth="1"/>
    <col min="5140" max="5140" width="9.140625" style="747"/>
    <col min="5141" max="5141" width="29.5703125" style="747" customWidth="1"/>
    <col min="5142" max="5146" width="15.5703125" style="747" customWidth="1"/>
    <col min="5147" max="5147" width="11.42578125" style="747" customWidth="1"/>
    <col min="5148" max="5148" width="15.42578125" style="747" customWidth="1"/>
    <col min="5149" max="5150" width="9.140625" style="747"/>
    <col min="5151" max="5151" width="48.28515625" style="747" customWidth="1"/>
    <col min="5152" max="5158" width="17.7109375" style="747" customWidth="1"/>
    <col min="5159" max="5159" width="9.140625" style="747"/>
    <col min="5160" max="5160" width="26.85546875" style="747" bestFit="1" customWidth="1"/>
    <col min="5161" max="5161" width="18.7109375" style="747" customWidth="1"/>
    <col min="5162" max="5162" width="14" style="747" customWidth="1"/>
    <col min="5163" max="5163" width="14.42578125" style="747" bestFit="1" customWidth="1"/>
    <col min="5164" max="5164" width="16.85546875" style="747" customWidth="1"/>
    <col min="5165" max="5165" width="11.42578125" style="747" customWidth="1"/>
    <col min="5166" max="5166" width="12.85546875" style="747" customWidth="1"/>
    <col min="5167" max="5167" width="10.7109375" style="747" customWidth="1"/>
    <col min="5168" max="5168" width="16.5703125" style="747" customWidth="1"/>
    <col min="5169" max="5169" width="16.42578125" style="747" customWidth="1"/>
    <col min="5170" max="5170" width="11.7109375" style="747" customWidth="1"/>
    <col min="5171" max="5171" width="14.42578125" style="747" customWidth="1"/>
    <col min="5172" max="5374" width="9.140625" style="747"/>
    <col min="5375" max="5375" width="56.85546875" style="747" customWidth="1"/>
    <col min="5376" max="5376" width="15.7109375" style="747" customWidth="1"/>
    <col min="5377" max="5377" width="10.5703125" style="747" customWidth="1"/>
    <col min="5378" max="5380" width="16.28515625" style="747" customWidth="1"/>
    <col min="5381" max="5381" width="12.7109375" style="747" customWidth="1"/>
    <col min="5382" max="5383" width="9.140625" style="747"/>
    <col min="5384" max="5384" width="25.85546875" style="747" customWidth="1"/>
    <col min="5385" max="5385" width="13.140625" style="747" customWidth="1"/>
    <col min="5386" max="5387" width="13.42578125" style="747" bestFit="1" customWidth="1"/>
    <col min="5388" max="5388" width="13.85546875" style="747" bestFit="1" customWidth="1"/>
    <col min="5389" max="5389" width="11.42578125" style="747" customWidth="1"/>
    <col min="5390" max="5390" width="14.5703125" style="747" customWidth="1"/>
    <col min="5391" max="5391" width="10.7109375" style="747" customWidth="1"/>
    <col min="5392" max="5392" width="12.28515625" style="747" customWidth="1"/>
    <col min="5393" max="5393" width="13.28515625" style="747" customWidth="1"/>
    <col min="5394" max="5394" width="10.5703125" style="747" customWidth="1"/>
    <col min="5395" max="5395" width="14.42578125" style="747" customWidth="1"/>
    <col min="5396" max="5396" width="9.140625" style="747"/>
    <col min="5397" max="5397" width="29.5703125" style="747" customWidth="1"/>
    <col min="5398" max="5402" width="15.5703125" style="747" customWidth="1"/>
    <col min="5403" max="5403" width="11.42578125" style="747" customWidth="1"/>
    <col min="5404" max="5404" width="15.42578125" style="747" customWidth="1"/>
    <col min="5405" max="5406" width="9.140625" style="747"/>
    <col min="5407" max="5407" width="48.28515625" style="747" customWidth="1"/>
    <col min="5408" max="5414" width="17.7109375" style="747" customWidth="1"/>
    <col min="5415" max="5415" width="9.140625" style="747"/>
    <col min="5416" max="5416" width="26.85546875" style="747" bestFit="1" customWidth="1"/>
    <col min="5417" max="5417" width="18.7109375" style="747" customWidth="1"/>
    <col min="5418" max="5418" width="14" style="747" customWidth="1"/>
    <col min="5419" max="5419" width="14.42578125" style="747" bestFit="1" customWidth="1"/>
    <col min="5420" max="5420" width="16.85546875" style="747" customWidth="1"/>
    <col min="5421" max="5421" width="11.42578125" style="747" customWidth="1"/>
    <col min="5422" max="5422" width="12.85546875" style="747" customWidth="1"/>
    <col min="5423" max="5423" width="10.7109375" style="747" customWidth="1"/>
    <col min="5424" max="5424" width="16.5703125" style="747" customWidth="1"/>
    <col min="5425" max="5425" width="16.42578125" style="747" customWidth="1"/>
    <col min="5426" max="5426" width="11.7109375" style="747" customWidth="1"/>
    <col min="5427" max="5427" width="14.42578125" style="747" customWidth="1"/>
    <col min="5428" max="5630" width="9.140625" style="747"/>
    <col min="5631" max="5631" width="56.85546875" style="747" customWidth="1"/>
    <col min="5632" max="5632" width="15.7109375" style="747" customWidth="1"/>
    <col min="5633" max="5633" width="10.5703125" style="747" customWidth="1"/>
    <col min="5634" max="5636" width="16.28515625" style="747" customWidth="1"/>
    <col min="5637" max="5637" width="12.7109375" style="747" customWidth="1"/>
    <col min="5638" max="5639" width="9.140625" style="747"/>
    <col min="5640" max="5640" width="25.85546875" style="747" customWidth="1"/>
    <col min="5641" max="5641" width="13.140625" style="747" customWidth="1"/>
    <col min="5642" max="5643" width="13.42578125" style="747" bestFit="1" customWidth="1"/>
    <col min="5644" max="5644" width="13.85546875" style="747" bestFit="1" customWidth="1"/>
    <col min="5645" max="5645" width="11.42578125" style="747" customWidth="1"/>
    <col min="5646" max="5646" width="14.5703125" style="747" customWidth="1"/>
    <col min="5647" max="5647" width="10.7109375" style="747" customWidth="1"/>
    <col min="5648" max="5648" width="12.28515625" style="747" customWidth="1"/>
    <col min="5649" max="5649" width="13.28515625" style="747" customWidth="1"/>
    <col min="5650" max="5650" width="10.5703125" style="747" customWidth="1"/>
    <col min="5651" max="5651" width="14.42578125" style="747" customWidth="1"/>
    <col min="5652" max="5652" width="9.140625" style="747"/>
    <col min="5653" max="5653" width="29.5703125" style="747" customWidth="1"/>
    <col min="5654" max="5658" width="15.5703125" style="747" customWidth="1"/>
    <col min="5659" max="5659" width="11.42578125" style="747" customWidth="1"/>
    <col min="5660" max="5660" width="15.42578125" style="747" customWidth="1"/>
    <col min="5661" max="5662" width="9.140625" style="747"/>
    <col min="5663" max="5663" width="48.28515625" style="747" customWidth="1"/>
    <col min="5664" max="5670" width="17.7109375" style="747" customWidth="1"/>
    <col min="5671" max="5671" width="9.140625" style="747"/>
    <col min="5672" max="5672" width="26.85546875" style="747" bestFit="1" customWidth="1"/>
    <col min="5673" max="5673" width="18.7109375" style="747" customWidth="1"/>
    <col min="5674" max="5674" width="14" style="747" customWidth="1"/>
    <col min="5675" max="5675" width="14.42578125" style="747" bestFit="1" customWidth="1"/>
    <col min="5676" max="5676" width="16.85546875" style="747" customWidth="1"/>
    <col min="5677" max="5677" width="11.42578125" style="747" customWidth="1"/>
    <col min="5678" max="5678" width="12.85546875" style="747" customWidth="1"/>
    <col min="5679" max="5679" width="10.7109375" style="747" customWidth="1"/>
    <col min="5680" max="5680" width="16.5703125" style="747" customWidth="1"/>
    <col min="5681" max="5681" width="16.42578125" style="747" customWidth="1"/>
    <col min="5682" max="5682" width="11.7109375" style="747" customWidth="1"/>
    <col min="5683" max="5683" width="14.42578125" style="747" customWidth="1"/>
    <col min="5684" max="5886" width="9.140625" style="747"/>
    <col min="5887" max="5887" width="56.85546875" style="747" customWidth="1"/>
    <col min="5888" max="5888" width="15.7109375" style="747" customWidth="1"/>
    <col min="5889" max="5889" width="10.5703125" style="747" customWidth="1"/>
    <col min="5890" max="5892" width="16.28515625" style="747" customWidth="1"/>
    <col min="5893" max="5893" width="12.7109375" style="747" customWidth="1"/>
    <col min="5894" max="5895" width="9.140625" style="747"/>
    <col min="5896" max="5896" width="25.85546875" style="747" customWidth="1"/>
    <col min="5897" max="5897" width="13.140625" style="747" customWidth="1"/>
    <col min="5898" max="5899" width="13.42578125" style="747" bestFit="1" customWidth="1"/>
    <col min="5900" max="5900" width="13.85546875" style="747" bestFit="1" customWidth="1"/>
    <col min="5901" max="5901" width="11.42578125" style="747" customWidth="1"/>
    <col min="5902" max="5902" width="14.5703125" style="747" customWidth="1"/>
    <col min="5903" max="5903" width="10.7109375" style="747" customWidth="1"/>
    <col min="5904" max="5904" width="12.28515625" style="747" customWidth="1"/>
    <col min="5905" max="5905" width="13.28515625" style="747" customWidth="1"/>
    <col min="5906" max="5906" width="10.5703125" style="747" customWidth="1"/>
    <col min="5907" max="5907" width="14.42578125" style="747" customWidth="1"/>
    <col min="5908" max="5908" width="9.140625" style="747"/>
    <col min="5909" max="5909" width="29.5703125" style="747" customWidth="1"/>
    <col min="5910" max="5914" width="15.5703125" style="747" customWidth="1"/>
    <col min="5915" max="5915" width="11.42578125" style="747" customWidth="1"/>
    <col min="5916" max="5916" width="15.42578125" style="747" customWidth="1"/>
    <col min="5917" max="5918" width="9.140625" style="747"/>
    <col min="5919" max="5919" width="48.28515625" style="747" customWidth="1"/>
    <col min="5920" max="5926" width="17.7109375" style="747" customWidth="1"/>
    <col min="5927" max="5927" width="9.140625" style="747"/>
    <col min="5928" max="5928" width="26.85546875" style="747" bestFit="1" customWidth="1"/>
    <col min="5929" max="5929" width="18.7109375" style="747" customWidth="1"/>
    <col min="5930" max="5930" width="14" style="747" customWidth="1"/>
    <col min="5931" max="5931" width="14.42578125" style="747" bestFit="1" customWidth="1"/>
    <col min="5932" max="5932" width="16.85546875" style="747" customWidth="1"/>
    <col min="5933" max="5933" width="11.42578125" style="747" customWidth="1"/>
    <col min="5934" max="5934" width="12.85546875" style="747" customWidth="1"/>
    <col min="5935" max="5935" width="10.7109375" style="747" customWidth="1"/>
    <col min="5936" max="5936" width="16.5703125" style="747" customWidth="1"/>
    <col min="5937" max="5937" width="16.42578125" style="747" customWidth="1"/>
    <col min="5938" max="5938" width="11.7109375" style="747" customWidth="1"/>
    <col min="5939" max="5939" width="14.42578125" style="747" customWidth="1"/>
    <col min="5940" max="6142" width="9.140625" style="747"/>
    <col min="6143" max="6143" width="56.85546875" style="747" customWidth="1"/>
    <col min="6144" max="6144" width="15.7109375" style="747" customWidth="1"/>
    <col min="6145" max="6145" width="10.5703125" style="747" customWidth="1"/>
    <col min="6146" max="6148" width="16.28515625" style="747" customWidth="1"/>
    <col min="6149" max="6149" width="12.7109375" style="747" customWidth="1"/>
    <col min="6150" max="6151" width="9.140625" style="747"/>
    <col min="6152" max="6152" width="25.85546875" style="747" customWidth="1"/>
    <col min="6153" max="6153" width="13.140625" style="747" customWidth="1"/>
    <col min="6154" max="6155" width="13.42578125" style="747" bestFit="1" customWidth="1"/>
    <col min="6156" max="6156" width="13.85546875" style="747" bestFit="1" customWidth="1"/>
    <col min="6157" max="6157" width="11.42578125" style="747" customWidth="1"/>
    <col min="6158" max="6158" width="14.5703125" style="747" customWidth="1"/>
    <col min="6159" max="6159" width="10.7109375" style="747" customWidth="1"/>
    <col min="6160" max="6160" width="12.28515625" style="747" customWidth="1"/>
    <col min="6161" max="6161" width="13.28515625" style="747" customWidth="1"/>
    <col min="6162" max="6162" width="10.5703125" style="747" customWidth="1"/>
    <col min="6163" max="6163" width="14.42578125" style="747" customWidth="1"/>
    <col min="6164" max="6164" width="9.140625" style="747"/>
    <col min="6165" max="6165" width="29.5703125" style="747" customWidth="1"/>
    <col min="6166" max="6170" width="15.5703125" style="747" customWidth="1"/>
    <col min="6171" max="6171" width="11.42578125" style="747" customWidth="1"/>
    <col min="6172" max="6172" width="15.42578125" style="747" customWidth="1"/>
    <col min="6173" max="6174" width="9.140625" style="747"/>
    <col min="6175" max="6175" width="48.28515625" style="747" customWidth="1"/>
    <col min="6176" max="6182" width="17.7109375" style="747" customWidth="1"/>
    <col min="6183" max="6183" width="9.140625" style="747"/>
    <col min="6184" max="6184" width="26.85546875" style="747" bestFit="1" customWidth="1"/>
    <col min="6185" max="6185" width="18.7109375" style="747" customWidth="1"/>
    <col min="6186" max="6186" width="14" style="747" customWidth="1"/>
    <col min="6187" max="6187" width="14.42578125" style="747" bestFit="1" customWidth="1"/>
    <col min="6188" max="6188" width="16.85546875" style="747" customWidth="1"/>
    <col min="6189" max="6189" width="11.42578125" style="747" customWidth="1"/>
    <col min="6190" max="6190" width="12.85546875" style="747" customWidth="1"/>
    <col min="6191" max="6191" width="10.7109375" style="747" customWidth="1"/>
    <col min="6192" max="6192" width="16.5703125" style="747" customWidth="1"/>
    <col min="6193" max="6193" width="16.42578125" style="747" customWidth="1"/>
    <col min="6194" max="6194" width="11.7109375" style="747" customWidth="1"/>
    <col min="6195" max="6195" width="14.42578125" style="747" customWidth="1"/>
    <col min="6196" max="6398" width="9.140625" style="747"/>
    <col min="6399" max="6399" width="56.85546875" style="747" customWidth="1"/>
    <col min="6400" max="6400" width="15.7109375" style="747" customWidth="1"/>
    <col min="6401" max="6401" width="10.5703125" style="747" customWidth="1"/>
    <col min="6402" max="6404" width="16.28515625" style="747" customWidth="1"/>
    <col min="6405" max="6405" width="12.7109375" style="747" customWidth="1"/>
    <col min="6406" max="6407" width="9.140625" style="747"/>
    <col min="6408" max="6408" width="25.85546875" style="747" customWidth="1"/>
    <col min="6409" max="6409" width="13.140625" style="747" customWidth="1"/>
    <col min="6410" max="6411" width="13.42578125" style="747" bestFit="1" customWidth="1"/>
    <col min="6412" max="6412" width="13.85546875" style="747" bestFit="1" customWidth="1"/>
    <col min="6413" max="6413" width="11.42578125" style="747" customWidth="1"/>
    <col min="6414" max="6414" width="14.5703125" style="747" customWidth="1"/>
    <col min="6415" max="6415" width="10.7109375" style="747" customWidth="1"/>
    <col min="6416" max="6416" width="12.28515625" style="747" customWidth="1"/>
    <col min="6417" max="6417" width="13.28515625" style="747" customWidth="1"/>
    <col min="6418" max="6418" width="10.5703125" style="747" customWidth="1"/>
    <col min="6419" max="6419" width="14.42578125" style="747" customWidth="1"/>
    <col min="6420" max="6420" width="9.140625" style="747"/>
    <col min="6421" max="6421" width="29.5703125" style="747" customWidth="1"/>
    <col min="6422" max="6426" width="15.5703125" style="747" customWidth="1"/>
    <col min="6427" max="6427" width="11.42578125" style="747" customWidth="1"/>
    <col min="6428" max="6428" width="15.42578125" style="747" customWidth="1"/>
    <col min="6429" max="6430" width="9.140625" style="747"/>
    <col min="6431" max="6431" width="48.28515625" style="747" customWidth="1"/>
    <col min="6432" max="6438" width="17.7109375" style="747" customWidth="1"/>
    <col min="6439" max="6439" width="9.140625" style="747"/>
    <col min="6440" max="6440" width="26.85546875" style="747" bestFit="1" customWidth="1"/>
    <col min="6441" max="6441" width="18.7109375" style="747" customWidth="1"/>
    <col min="6442" max="6442" width="14" style="747" customWidth="1"/>
    <col min="6443" max="6443" width="14.42578125" style="747" bestFit="1" customWidth="1"/>
    <col min="6444" max="6444" width="16.85546875" style="747" customWidth="1"/>
    <col min="6445" max="6445" width="11.42578125" style="747" customWidth="1"/>
    <col min="6446" max="6446" width="12.85546875" style="747" customWidth="1"/>
    <col min="6447" max="6447" width="10.7109375" style="747" customWidth="1"/>
    <col min="6448" max="6448" width="16.5703125" style="747" customWidth="1"/>
    <col min="6449" max="6449" width="16.42578125" style="747" customWidth="1"/>
    <col min="6450" max="6450" width="11.7109375" style="747" customWidth="1"/>
    <col min="6451" max="6451" width="14.42578125" style="747" customWidth="1"/>
    <col min="6452" max="6654" width="9.140625" style="747"/>
    <col min="6655" max="6655" width="56.85546875" style="747" customWidth="1"/>
    <col min="6656" max="6656" width="15.7109375" style="747" customWidth="1"/>
    <col min="6657" max="6657" width="10.5703125" style="747" customWidth="1"/>
    <col min="6658" max="6660" width="16.28515625" style="747" customWidth="1"/>
    <col min="6661" max="6661" width="12.7109375" style="747" customWidth="1"/>
    <col min="6662" max="6663" width="9.140625" style="747"/>
    <col min="6664" max="6664" width="25.85546875" style="747" customWidth="1"/>
    <col min="6665" max="6665" width="13.140625" style="747" customWidth="1"/>
    <col min="6666" max="6667" width="13.42578125" style="747" bestFit="1" customWidth="1"/>
    <col min="6668" max="6668" width="13.85546875" style="747" bestFit="1" customWidth="1"/>
    <col min="6669" max="6669" width="11.42578125" style="747" customWidth="1"/>
    <col min="6670" max="6670" width="14.5703125" style="747" customWidth="1"/>
    <col min="6671" max="6671" width="10.7109375" style="747" customWidth="1"/>
    <col min="6672" max="6672" width="12.28515625" style="747" customWidth="1"/>
    <col min="6673" max="6673" width="13.28515625" style="747" customWidth="1"/>
    <col min="6674" max="6674" width="10.5703125" style="747" customWidth="1"/>
    <col min="6675" max="6675" width="14.42578125" style="747" customWidth="1"/>
    <col min="6676" max="6676" width="9.140625" style="747"/>
    <col min="6677" max="6677" width="29.5703125" style="747" customWidth="1"/>
    <col min="6678" max="6682" width="15.5703125" style="747" customWidth="1"/>
    <col min="6683" max="6683" width="11.42578125" style="747" customWidth="1"/>
    <col min="6684" max="6684" width="15.42578125" style="747" customWidth="1"/>
    <col min="6685" max="6686" width="9.140625" style="747"/>
    <col min="6687" max="6687" width="48.28515625" style="747" customWidth="1"/>
    <col min="6688" max="6694" width="17.7109375" style="747" customWidth="1"/>
    <col min="6695" max="6695" width="9.140625" style="747"/>
    <col min="6696" max="6696" width="26.85546875" style="747" bestFit="1" customWidth="1"/>
    <col min="6697" max="6697" width="18.7109375" style="747" customWidth="1"/>
    <col min="6698" max="6698" width="14" style="747" customWidth="1"/>
    <col min="6699" max="6699" width="14.42578125" style="747" bestFit="1" customWidth="1"/>
    <col min="6700" max="6700" width="16.85546875" style="747" customWidth="1"/>
    <col min="6701" max="6701" width="11.42578125" style="747" customWidth="1"/>
    <col min="6702" max="6702" width="12.85546875" style="747" customWidth="1"/>
    <col min="6703" max="6703" width="10.7109375" style="747" customWidth="1"/>
    <col min="6704" max="6704" width="16.5703125" style="747" customWidth="1"/>
    <col min="6705" max="6705" width="16.42578125" style="747" customWidth="1"/>
    <col min="6706" max="6706" width="11.7109375" style="747" customWidth="1"/>
    <col min="6707" max="6707" width="14.42578125" style="747" customWidth="1"/>
    <col min="6708" max="6910" width="9.140625" style="747"/>
    <col min="6911" max="6911" width="56.85546875" style="747" customWidth="1"/>
    <col min="6912" max="6912" width="15.7109375" style="747" customWidth="1"/>
    <col min="6913" max="6913" width="10.5703125" style="747" customWidth="1"/>
    <col min="6914" max="6916" width="16.28515625" style="747" customWidth="1"/>
    <col min="6917" max="6917" width="12.7109375" style="747" customWidth="1"/>
    <col min="6918" max="6919" width="9.140625" style="747"/>
    <col min="6920" max="6920" width="25.85546875" style="747" customWidth="1"/>
    <col min="6921" max="6921" width="13.140625" style="747" customWidth="1"/>
    <col min="6922" max="6923" width="13.42578125" style="747" bestFit="1" customWidth="1"/>
    <col min="6924" max="6924" width="13.85546875" style="747" bestFit="1" customWidth="1"/>
    <col min="6925" max="6925" width="11.42578125" style="747" customWidth="1"/>
    <col min="6926" max="6926" width="14.5703125" style="747" customWidth="1"/>
    <col min="6927" max="6927" width="10.7109375" style="747" customWidth="1"/>
    <col min="6928" max="6928" width="12.28515625" style="747" customWidth="1"/>
    <col min="6929" max="6929" width="13.28515625" style="747" customWidth="1"/>
    <col min="6930" max="6930" width="10.5703125" style="747" customWidth="1"/>
    <col min="6931" max="6931" width="14.42578125" style="747" customWidth="1"/>
    <col min="6932" max="6932" width="9.140625" style="747"/>
    <col min="6933" max="6933" width="29.5703125" style="747" customWidth="1"/>
    <col min="6934" max="6938" width="15.5703125" style="747" customWidth="1"/>
    <col min="6939" max="6939" width="11.42578125" style="747" customWidth="1"/>
    <col min="6940" max="6940" width="15.42578125" style="747" customWidth="1"/>
    <col min="6941" max="6942" width="9.140625" style="747"/>
    <col min="6943" max="6943" width="48.28515625" style="747" customWidth="1"/>
    <col min="6944" max="6950" width="17.7109375" style="747" customWidth="1"/>
    <col min="6951" max="6951" width="9.140625" style="747"/>
    <col min="6952" max="6952" width="26.85546875" style="747" bestFit="1" customWidth="1"/>
    <col min="6953" max="6953" width="18.7109375" style="747" customWidth="1"/>
    <col min="6954" max="6954" width="14" style="747" customWidth="1"/>
    <col min="6955" max="6955" width="14.42578125" style="747" bestFit="1" customWidth="1"/>
    <col min="6956" max="6956" width="16.85546875" style="747" customWidth="1"/>
    <col min="6957" max="6957" width="11.42578125" style="747" customWidth="1"/>
    <col min="6958" max="6958" width="12.85546875" style="747" customWidth="1"/>
    <col min="6959" max="6959" width="10.7109375" style="747" customWidth="1"/>
    <col min="6960" max="6960" width="16.5703125" style="747" customWidth="1"/>
    <col min="6961" max="6961" width="16.42578125" style="747" customWidth="1"/>
    <col min="6962" max="6962" width="11.7109375" style="747" customWidth="1"/>
    <col min="6963" max="6963" width="14.42578125" style="747" customWidth="1"/>
    <col min="6964" max="7166" width="9.140625" style="747"/>
    <col min="7167" max="7167" width="56.85546875" style="747" customWidth="1"/>
    <col min="7168" max="7168" width="15.7109375" style="747" customWidth="1"/>
    <col min="7169" max="7169" width="10.5703125" style="747" customWidth="1"/>
    <col min="7170" max="7172" width="16.28515625" style="747" customWidth="1"/>
    <col min="7173" max="7173" width="12.7109375" style="747" customWidth="1"/>
    <col min="7174" max="7175" width="9.140625" style="747"/>
    <col min="7176" max="7176" width="25.85546875" style="747" customWidth="1"/>
    <col min="7177" max="7177" width="13.140625" style="747" customWidth="1"/>
    <col min="7178" max="7179" width="13.42578125" style="747" bestFit="1" customWidth="1"/>
    <col min="7180" max="7180" width="13.85546875" style="747" bestFit="1" customWidth="1"/>
    <col min="7181" max="7181" width="11.42578125" style="747" customWidth="1"/>
    <col min="7182" max="7182" width="14.5703125" style="747" customWidth="1"/>
    <col min="7183" max="7183" width="10.7109375" style="747" customWidth="1"/>
    <col min="7184" max="7184" width="12.28515625" style="747" customWidth="1"/>
    <col min="7185" max="7185" width="13.28515625" style="747" customWidth="1"/>
    <col min="7186" max="7186" width="10.5703125" style="747" customWidth="1"/>
    <col min="7187" max="7187" width="14.42578125" style="747" customWidth="1"/>
    <col min="7188" max="7188" width="9.140625" style="747"/>
    <col min="7189" max="7189" width="29.5703125" style="747" customWidth="1"/>
    <col min="7190" max="7194" width="15.5703125" style="747" customWidth="1"/>
    <col min="7195" max="7195" width="11.42578125" style="747" customWidth="1"/>
    <col min="7196" max="7196" width="15.42578125" style="747" customWidth="1"/>
    <col min="7197" max="7198" width="9.140625" style="747"/>
    <col min="7199" max="7199" width="48.28515625" style="747" customWidth="1"/>
    <col min="7200" max="7206" width="17.7109375" style="747" customWidth="1"/>
    <col min="7207" max="7207" width="9.140625" style="747"/>
    <col min="7208" max="7208" width="26.85546875" style="747" bestFit="1" customWidth="1"/>
    <col min="7209" max="7209" width="18.7109375" style="747" customWidth="1"/>
    <col min="7210" max="7210" width="14" style="747" customWidth="1"/>
    <col min="7211" max="7211" width="14.42578125" style="747" bestFit="1" customWidth="1"/>
    <col min="7212" max="7212" width="16.85546875" style="747" customWidth="1"/>
    <col min="7213" max="7213" width="11.42578125" style="747" customWidth="1"/>
    <col min="7214" max="7214" width="12.85546875" style="747" customWidth="1"/>
    <col min="7215" max="7215" width="10.7109375" style="747" customWidth="1"/>
    <col min="7216" max="7216" width="16.5703125" style="747" customWidth="1"/>
    <col min="7217" max="7217" width="16.42578125" style="747" customWidth="1"/>
    <col min="7218" max="7218" width="11.7109375" style="747" customWidth="1"/>
    <col min="7219" max="7219" width="14.42578125" style="747" customWidth="1"/>
    <col min="7220" max="7422" width="9.140625" style="747"/>
    <col min="7423" max="7423" width="56.85546875" style="747" customWidth="1"/>
    <col min="7424" max="7424" width="15.7109375" style="747" customWidth="1"/>
    <col min="7425" max="7425" width="10.5703125" style="747" customWidth="1"/>
    <col min="7426" max="7428" width="16.28515625" style="747" customWidth="1"/>
    <col min="7429" max="7429" width="12.7109375" style="747" customWidth="1"/>
    <col min="7430" max="7431" width="9.140625" style="747"/>
    <col min="7432" max="7432" width="25.85546875" style="747" customWidth="1"/>
    <col min="7433" max="7433" width="13.140625" style="747" customWidth="1"/>
    <col min="7434" max="7435" width="13.42578125" style="747" bestFit="1" customWidth="1"/>
    <col min="7436" max="7436" width="13.85546875" style="747" bestFit="1" customWidth="1"/>
    <col min="7437" max="7437" width="11.42578125" style="747" customWidth="1"/>
    <col min="7438" max="7438" width="14.5703125" style="747" customWidth="1"/>
    <col min="7439" max="7439" width="10.7109375" style="747" customWidth="1"/>
    <col min="7440" max="7440" width="12.28515625" style="747" customWidth="1"/>
    <col min="7441" max="7441" width="13.28515625" style="747" customWidth="1"/>
    <col min="7442" max="7442" width="10.5703125" style="747" customWidth="1"/>
    <col min="7443" max="7443" width="14.42578125" style="747" customWidth="1"/>
    <col min="7444" max="7444" width="9.140625" style="747"/>
    <col min="7445" max="7445" width="29.5703125" style="747" customWidth="1"/>
    <col min="7446" max="7450" width="15.5703125" style="747" customWidth="1"/>
    <col min="7451" max="7451" width="11.42578125" style="747" customWidth="1"/>
    <col min="7452" max="7452" width="15.42578125" style="747" customWidth="1"/>
    <col min="7453" max="7454" width="9.140625" style="747"/>
    <col min="7455" max="7455" width="48.28515625" style="747" customWidth="1"/>
    <col min="7456" max="7462" width="17.7109375" style="747" customWidth="1"/>
    <col min="7463" max="7463" width="9.140625" style="747"/>
    <col min="7464" max="7464" width="26.85546875" style="747" bestFit="1" customWidth="1"/>
    <col min="7465" max="7465" width="18.7109375" style="747" customWidth="1"/>
    <col min="7466" max="7466" width="14" style="747" customWidth="1"/>
    <col min="7467" max="7467" width="14.42578125" style="747" bestFit="1" customWidth="1"/>
    <col min="7468" max="7468" width="16.85546875" style="747" customWidth="1"/>
    <col min="7469" max="7469" width="11.42578125" style="747" customWidth="1"/>
    <col min="7470" max="7470" width="12.85546875" style="747" customWidth="1"/>
    <col min="7471" max="7471" width="10.7109375" style="747" customWidth="1"/>
    <col min="7472" max="7472" width="16.5703125" style="747" customWidth="1"/>
    <col min="7473" max="7473" width="16.42578125" style="747" customWidth="1"/>
    <col min="7474" max="7474" width="11.7109375" style="747" customWidth="1"/>
    <col min="7475" max="7475" width="14.42578125" style="747" customWidth="1"/>
    <col min="7476" max="7678" width="9.140625" style="747"/>
    <col min="7679" max="7679" width="56.85546875" style="747" customWidth="1"/>
    <col min="7680" max="7680" width="15.7109375" style="747" customWidth="1"/>
    <col min="7681" max="7681" width="10.5703125" style="747" customWidth="1"/>
    <col min="7682" max="7684" width="16.28515625" style="747" customWidth="1"/>
    <col min="7685" max="7685" width="12.7109375" style="747" customWidth="1"/>
    <col min="7686" max="7687" width="9.140625" style="747"/>
    <col min="7688" max="7688" width="25.85546875" style="747" customWidth="1"/>
    <col min="7689" max="7689" width="13.140625" style="747" customWidth="1"/>
    <col min="7690" max="7691" width="13.42578125" style="747" bestFit="1" customWidth="1"/>
    <col min="7692" max="7692" width="13.85546875" style="747" bestFit="1" customWidth="1"/>
    <col min="7693" max="7693" width="11.42578125" style="747" customWidth="1"/>
    <col min="7694" max="7694" width="14.5703125" style="747" customWidth="1"/>
    <col min="7695" max="7695" width="10.7109375" style="747" customWidth="1"/>
    <col min="7696" max="7696" width="12.28515625" style="747" customWidth="1"/>
    <col min="7697" max="7697" width="13.28515625" style="747" customWidth="1"/>
    <col min="7698" max="7698" width="10.5703125" style="747" customWidth="1"/>
    <col min="7699" max="7699" width="14.42578125" style="747" customWidth="1"/>
    <col min="7700" max="7700" width="9.140625" style="747"/>
    <col min="7701" max="7701" width="29.5703125" style="747" customWidth="1"/>
    <col min="7702" max="7706" width="15.5703125" style="747" customWidth="1"/>
    <col min="7707" max="7707" width="11.42578125" style="747" customWidth="1"/>
    <col min="7708" max="7708" width="15.42578125" style="747" customWidth="1"/>
    <col min="7709" max="7710" width="9.140625" style="747"/>
    <col min="7711" max="7711" width="48.28515625" style="747" customWidth="1"/>
    <col min="7712" max="7718" width="17.7109375" style="747" customWidth="1"/>
    <col min="7719" max="7719" width="9.140625" style="747"/>
    <col min="7720" max="7720" width="26.85546875" style="747" bestFit="1" customWidth="1"/>
    <col min="7721" max="7721" width="18.7109375" style="747" customWidth="1"/>
    <col min="7722" max="7722" width="14" style="747" customWidth="1"/>
    <col min="7723" max="7723" width="14.42578125" style="747" bestFit="1" customWidth="1"/>
    <col min="7724" max="7724" width="16.85546875" style="747" customWidth="1"/>
    <col min="7725" max="7725" width="11.42578125" style="747" customWidth="1"/>
    <col min="7726" max="7726" width="12.85546875" style="747" customWidth="1"/>
    <col min="7727" max="7727" width="10.7109375" style="747" customWidth="1"/>
    <col min="7728" max="7728" width="16.5703125" style="747" customWidth="1"/>
    <col min="7729" max="7729" width="16.42578125" style="747" customWidth="1"/>
    <col min="7730" max="7730" width="11.7109375" style="747" customWidth="1"/>
    <col min="7731" max="7731" width="14.42578125" style="747" customWidth="1"/>
    <col min="7732" max="7934" width="9.140625" style="747"/>
    <col min="7935" max="7935" width="56.85546875" style="747" customWidth="1"/>
    <col min="7936" max="7936" width="15.7109375" style="747" customWidth="1"/>
    <col min="7937" max="7937" width="10.5703125" style="747" customWidth="1"/>
    <col min="7938" max="7940" width="16.28515625" style="747" customWidth="1"/>
    <col min="7941" max="7941" width="12.7109375" style="747" customWidth="1"/>
    <col min="7942" max="7943" width="9.140625" style="747"/>
    <col min="7944" max="7944" width="25.85546875" style="747" customWidth="1"/>
    <col min="7945" max="7945" width="13.140625" style="747" customWidth="1"/>
    <col min="7946" max="7947" width="13.42578125" style="747" bestFit="1" customWidth="1"/>
    <col min="7948" max="7948" width="13.85546875" style="747" bestFit="1" customWidth="1"/>
    <col min="7949" max="7949" width="11.42578125" style="747" customWidth="1"/>
    <col min="7950" max="7950" width="14.5703125" style="747" customWidth="1"/>
    <col min="7951" max="7951" width="10.7109375" style="747" customWidth="1"/>
    <col min="7952" max="7952" width="12.28515625" style="747" customWidth="1"/>
    <col min="7953" max="7953" width="13.28515625" style="747" customWidth="1"/>
    <col min="7954" max="7954" width="10.5703125" style="747" customWidth="1"/>
    <col min="7955" max="7955" width="14.42578125" style="747" customWidth="1"/>
    <col min="7956" max="7956" width="9.140625" style="747"/>
    <col min="7957" max="7957" width="29.5703125" style="747" customWidth="1"/>
    <col min="7958" max="7962" width="15.5703125" style="747" customWidth="1"/>
    <col min="7963" max="7963" width="11.42578125" style="747" customWidth="1"/>
    <col min="7964" max="7964" width="15.42578125" style="747" customWidth="1"/>
    <col min="7965" max="7966" width="9.140625" style="747"/>
    <col min="7967" max="7967" width="48.28515625" style="747" customWidth="1"/>
    <col min="7968" max="7974" width="17.7109375" style="747" customWidth="1"/>
    <col min="7975" max="7975" width="9.140625" style="747"/>
    <col min="7976" max="7976" width="26.85546875" style="747" bestFit="1" customWidth="1"/>
    <col min="7977" max="7977" width="18.7109375" style="747" customWidth="1"/>
    <col min="7978" max="7978" width="14" style="747" customWidth="1"/>
    <col min="7979" max="7979" width="14.42578125" style="747" bestFit="1" customWidth="1"/>
    <col min="7980" max="7980" width="16.85546875" style="747" customWidth="1"/>
    <col min="7981" max="7981" width="11.42578125" style="747" customWidth="1"/>
    <col min="7982" max="7982" width="12.85546875" style="747" customWidth="1"/>
    <col min="7983" max="7983" width="10.7109375" style="747" customWidth="1"/>
    <col min="7984" max="7984" width="16.5703125" style="747" customWidth="1"/>
    <col min="7985" max="7985" width="16.42578125" style="747" customWidth="1"/>
    <col min="7986" max="7986" width="11.7109375" style="747" customWidth="1"/>
    <col min="7987" max="7987" width="14.42578125" style="747" customWidth="1"/>
    <col min="7988" max="8190" width="9.140625" style="747"/>
    <col min="8191" max="8191" width="56.85546875" style="747" customWidth="1"/>
    <col min="8192" max="8192" width="15.7109375" style="747" customWidth="1"/>
    <col min="8193" max="8193" width="10.5703125" style="747" customWidth="1"/>
    <col min="8194" max="8196" width="16.28515625" style="747" customWidth="1"/>
    <col min="8197" max="8197" width="12.7109375" style="747" customWidth="1"/>
    <col min="8198" max="8199" width="9.140625" style="747"/>
    <col min="8200" max="8200" width="25.85546875" style="747" customWidth="1"/>
    <col min="8201" max="8201" width="13.140625" style="747" customWidth="1"/>
    <col min="8202" max="8203" width="13.42578125" style="747" bestFit="1" customWidth="1"/>
    <col min="8204" max="8204" width="13.85546875" style="747" bestFit="1" customWidth="1"/>
    <col min="8205" max="8205" width="11.42578125" style="747" customWidth="1"/>
    <col min="8206" max="8206" width="14.5703125" style="747" customWidth="1"/>
    <col min="8207" max="8207" width="10.7109375" style="747" customWidth="1"/>
    <col min="8208" max="8208" width="12.28515625" style="747" customWidth="1"/>
    <col min="8209" max="8209" width="13.28515625" style="747" customWidth="1"/>
    <col min="8210" max="8210" width="10.5703125" style="747" customWidth="1"/>
    <col min="8211" max="8211" width="14.42578125" style="747" customWidth="1"/>
    <col min="8212" max="8212" width="9.140625" style="747"/>
    <col min="8213" max="8213" width="29.5703125" style="747" customWidth="1"/>
    <col min="8214" max="8218" width="15.5703125" style="747" customWidth="1"/>
    <col min="8219" max="8219" width="11.42578125" style="747" customWidth="1"/>
    <col min="8220" max="8220" width="15.42578125" style="747" customWidth="1"/>
    <col min="8221" max="8222" width="9.140625" style="747"/>
    <col min="8223" max="8223" width="48.28515625" style="747" customWidth="1"/>
    <col min="8224" max="8230" width="17.7109375" style="747" customWidth="1"/>
    <col min="8231" max="8231" width="9.140625" style="747"/>
    <col min="8232" max="8232" width="26.85546875" style="747" bestFit="1" customWidth="1"/>
    <col min="8233" max="8233" width="18.7109375" style="747" customWidth="1"/>
    <col min="8234" max="8234" width="14" style="747" customWidth="1"/>
    <col min="8235" max="8235" width="14.42578125" style="747" bestFit="1" customWidth="1"/>
    <col min="8236" max="8236" width="16.85546875" style="747" customWidth="1"/>
    <col min="8237" max="8237" width="11.42578125" style="747" customWidth="1"/>
    <col min="8238" max="8238" width="12.85546875" style="747" customWidth="1"/>
    <col min="8239" max="8239" width="10.7109375" style="747" customWidth="1"/>
    <col min="8240" max="8240" width="16.5703125" style="747" customWidth="1"/>
    <col min="8241" max="8241" width="16.42578125" style="747" customWidth="1"/>
    <col min="8242" max="8242" width="11.7109375" style="747" customWidth="1"/>
    <col min="8243" max="8243" width="14.42578125" style="747" customWidth="1"/>
    <col min="8244" max="8446" width="9.140625" style="747"/>
    <col min="8447" max="8447" width="56.85546875" style="747" customWidth="1"/>
    <col min="8448" max="8448" width="15.7109375" style="747" customWidth="1"/>
    <col min="8449" max="8449" width="10.5703125" style="747" customWidth="1"/>
    <col min="8450" max="8452" width="16.28515625" style="747" customWidth="1"/>
    <col min="8453" max="8453" width="12.7109375" style="747" customWidth="1"/>
    <col min="8454" max="8455" width="9.140625" style="747"/>
    <col min="8456" max="8456" width="25.85546875" style="747" customWidth="1"/>
    <col min="8457" max="8457" width="13.140625" style="747" customWidth="1"/>
    <col min="8458" max="8459" width="13.42578125" style="747" bestFit="1" customWidth="1"/>
    <col min="8460" max="8460" width="13.85546875" style="747" bestFit="1" customWidth="1"/>
    <col min="8461" max="8461" width="11.42578125" style="747" customWidth="1"/>
    <col min="8462" max="8462" width="14.5703125" style="747" customWidth="1"/>
    <col min="8463" max="8463" width="10.7109375" style="747" customWidth="1"/>
    <col min="8464" max="8464" width="12.28515625" style="747" customWidth="1"/>
    <col min="8465" max="8465" width="13.28515625" style="747" customWidth="1"/>
    <col min="8466" max="8466" width="10.5703125" style="747" customWidth="1"/>
    <col min="8467" max="8467" width="14.42578125" style="747" customWidth="1"/>
    <col min="8468" max="8468" width="9.140625" style="747"/>
    <col min="8469" max="8469" width="29.5703125" style="747" customWidth="1"/>
    <col min="8470" max="8474" width="15.5703125" style="747" customWidth="1"/>
    <col min="8475" max="8475" width="11.42578125" style="747" customWidth="1"/>
    <col min="8476" max="8476" width="15.42578125" style="747" customWidth="1"/>
    <col min="8477" max="8478" width="9.140625" style="747"/>
    <col min="8479" max="8479" width="48.28515625" style="747" customWidth="1"/>
    <col min="8480" max="8486" width="17.7109375" style="747" customWidth="1"/>
    <col min="8487" max="8487" width="9.140625" style="747"/>
    <col min="8488" max="8488" width="26.85546875" style="747" bestFit="1" customWidth="1"/>
    <col min="8489" max="8489" width="18.7109375" style="747" customWidth="1"/>
    <col min="8490" max="8490" width="14" style="747" customWidth="1"/>
    <col min="8491" max="8491" width="14.42578125" style="747" bestFit="1" customWidth="1"/>
    <col min="8492" max="8492" width="16.85546875" style="747" customWidth="1"/>
    <col min="8493" max="8493" width="11.42578125" style="747" customWidth="1"/>
    <col min="8494" max="8494" width="12.85546875" style="747" customWidth="1"/>
    <col min="8495" max="8495" width="10.7109375" style="747" customWidth="1"/>
    <col min="8496" max="8496" width="16.5703125" style="747" customWidth="1"/>
    <col min="8497" max="8497" width="16.42578125" style="747" customWidth="1"/>
    <col min="8498" max="8498" width="11.7109375" style="747" customWidth="1"/>
    <col min="8499" max="8499" width="14.42578125" style="747" customWidth="1"/>
    <col min="8500" max="8702" width="9.140625" style="747"/>
    <col min="8703" max="8703" width="56.85546875" style="747" customWidth="1"/>
    <col min="8704" max="8704" width="15.7109375" style="747" customWidth="1"/>
    <col min="8705" max="8705" width="10.5703125" style="747" customWidth="1"/>
    <col min="8706" max="8708" width="16.28515625" style="747" customWidth="1"/>
    <col min="8709" max="8709" width="12.7109375" style="747" customWidth="1"/>
    <col min="8710" max="8711" width="9.140625" style="747"/>
    <col min="8712" max="8712" width="25.85546875" style="747" customWidth="1"/>
    <col min="8713" max="8713" width="13.140625" style="747" customWidth="1"/>
    <col min="8714" max="8715" width="13.42578125" style="747" bestFit="1" customWidth="1"/>
    <col min="8716" max="8716" width="13.85546875" style="747" bestFit="1" customWidth="1"/>
    <col min="8717" max="8717" width="11.42578125" style="747" customWidth="1"/>
    <col min="8718" max="8718" width="14.5703125" style="747" customWidth="1"/>
    <col min="8719" max="8719" width="10.7109375" style="747" customWidth="1"/>
    <col min="8720" max="8720" width="12.28515625" style="747" customWidth="1"/>
    <col min="8721" max="8721" width="13.28515625" style="747" customWidth="1"/>
    <col min="8722" max="8722" width="10.5703125" style="747" customWidth="1"/>
    <col min="8723" max="8723" width="14.42578125" style="747" customWidth="1"/>
    <col min="8724" max="8724" width="9.140625" style="747"/>
    <col min="8725" max="8725" width="29.5703125" style="747" customWidth="1"/>
    <col min="8726" max="8730" width="15.5703125" style="747" customWidth="1"/>
    <col min="8731" max="8731" width="11.42578125" style="747" customWidth="1"/>
    <col min="8732" max="8732" width="15.42578125" style="747" customWidth="1"/>
    <col min="8733" max="8734" width="9.140625" style="747"/>
    <col min="8735" max="8735" width="48.28515625" style="747" customWidth="1"/>
    <col min="8736" max="8742" width="17.7109375" style="747" customWidth="1"/>
    <col min="8743" max="8743" width="9.140625" style="747"/>
    <col min="8744" max="8744" width="26.85546875" style="747" bestFit="1" customWidth="1"/>
    <col min="8745" max="8745" width="18.7109375" style="747" customWidth="1"/>
    <col min="8746" max="8746" width="14" style="747" customWidth="1"/>
    <col min="8747" max="8747" width="14.42578125" style="747" bestFit="1" customWidth="1"/>
    <col min="8748" max="8748" width="16.85546875" style="747" customWidth="1"/>
    <col min="8749" max="8749" width="11.42578125" style="747" customWidth="1"/>
    <col min="8750" max="8750" width="12.85546875" style="747" customWidth="1"/>
    <col min="8751" max="8751" width="10.7109375" style="747" customWidth="1"/>
    <col min="8752" max="8752" width="16.5703125" style="747" customWidth="1"/>
    <col min="8753" max="8753" width="16.42578125" style="747" customWidth="1"/>
    <col min="8754" max="8754" width="11.7109375" style="747" customWidth="1"/>
    <col min="8755" max="8755" width="14.42578125" style="747" customWidth="1"/>
    <col min="8756" max="8958" width="9.140625" style="747"/>
    <col min="8959" max="8959" width="56.85546875" style="747" customWidth="1"/>
    <col min="8960" max="8960" width="15.7109375" style="747" customWidth="1"/>
    <col min="8961" max="8961" width="10.5703125" style="747" customWidth="1"/>
    <col min="8962" max="8964" width="16.28515625" style="747" customWidth="1"/>
    <col min="8965" max="8965" width="12.7109375" style="747" customWidth="1"/>
    <col min="8966" max="8967" width="9.140625" style="747"/>
    <col min="8968" max="8968" width="25.85546875" style="747" customWidth="1"/>
    <col min="8969" max="8969" width="13.140625" style="747" customWidth="1"/>
    <col min="8970" max="8971" width="13.42578125" style="747" bestFit="1" customWidth="1"/>
    <col min="8972" max="8972" width="13.85546875" style="747" bestFit="1" customWidth="1"/>
    <col min="8973" max="8973" width="11.42578125" style="747" customWidth="1"/>
    <col min="8974" max="8974" width="14.5703125" style="747" customWidth="1"/>
    <col min="8975" max="8975" width="10.7109375" style="747" customWidth="1"/>
    <col min="8976" max="8976" width="12.28515625" style="747" customWidth="1"/>
    <col min="8977" max="8977" width="13.28515625" style="747" customWidth="1"/>
    <col min="8978" max="8978" width="10.5703125" style="747" customWidth="1"/>
    <col min="8979" max="8979" width="14.42578125" style="747" customWidth="1"/>
    <col min="8980" max="8980" width="9.140625" style="747"/>
    <col min="8981" max="8981" width="29.5703125" style="747" customWidth="1"/>
    <col min="8982" max="8986" width="15.5703125" style="747" customWidth="1"/>
    <col min="8987" max="8987" width="11.42578125" style="747" customWidth="1"/>
    <col min="8988" max="8988" width="15.42578125" style="747" customWidth="1"/>
    <col min="8989" max="8990" width="9.140625" style="747"/>
    <col min="8991" max="8991" width="48.28515625" style="747" customWidth="1"/>
    <col min="8992" max="8998" width="17.7109375" style="747" customWidth="1"/>
    <col min="8999" max="8999" width="9.140625" style="747"/>
    <col min="9000" max="9000" width="26.85546875" style="747" bestFit="1" customWidth="1"/>
    <col min="9001" max="9001" width="18.7109375" style="747" customWidth="1"/>
    <col min="9002" max="9002" width="14" style="747" customWidth="1"/>
    <col min="9003" max="9003" width="14.42578125" style="747" bestFit="1" customWidth="1"/>
    <col min="9004" max="9004" width="16.85546875" style="747" customWidth="1"/>
    <col min="9005" max="9005" width="11.42578125" style="747" customWidth="1"/>
    <col min="9006" max="9006" width="12.85546875" style="747" customWidth="1"/>
    <col min="9007" max="9007" width="10.7109375" style="747" customWidth="1"/>
    <col min="9008" max="9008" width="16.5703125" style="747" customWidth="1"/>
    <col min="9009" max="9009" width="16.42578125" style="747" customWidth="1"/>
    <col min="9010" max="9010" width="11.7109375" style="747" customWidth="1"/>
    <col min="9011" max="9011" width="14.42578125" style="747" customWidth="1"/>
    <col min="9012" max="9214" width="9.140625" style="747"/>
    <col min="9215" max="9215" width="56.85546875" style="747" customWidth="1"/>
    <col min="9216" max="9216" width="15.7109375" style="747" customWidth="1"/>
    <col min="9217" max="9217" width="10.5703125" style="747" customWidth="1"/>
    <col min="9218" max="9220" width="16.28515625" style="747" customWidth="1"/>
    <col min="9221" max="9221" width="12.7109375" style="747" customWidth="1"/>
    <col min="9222" max="9223" width="9.140625" style="747"/>
    <col min="9224" max="9224" width="25.85546875" style="747" customWidth="1"/>
    <col min="9225" max="9225" width="13.140625" style="747" customWidth="1"/>
    <col min="9226" max="9227" width="13.42578125" style="747" bestFit="1" customWidth="1"/>
    <col min="9228" max="9228" width="13.85546875" style="747" bestFit="1" customWidth="1"/>
    <col min="9229" max="9229" width="11.42578125" style="747" customWidth="1"/>
    <col min="9230" max="9230" width="14.5703125" style="747" customWidth="1"/>
    <col min="9231" max="9231" width="10.7109375" style="747" customWidth="1"/>
    <col min="9232" max="9232" width="12.28515625" style="747" customWidth="1"/>
    <col min="9233" max="9233" width="13.28515625" style="747" customWidth="1"/>
    <col min="9234" max="9234" width="10.5703125" style="747" customWidth="1"/>
    <col min="9235" max="9235" width="14.42578125" style="747" customWidth="1"/>
    <col min="9236" max="9236" width="9.140625" style="747"/>
    <col min="9237" max="9237" width="29.5703125" style="747" customWidth="1"/>
    <col min="9238" max="9242" width="15.5703125" style="747" customWidth="1"/>
    <col min="9243" max="9243" width="11.42578125" style="747" customWidth="1"/>
    <col min="9244" max="9244" width="15.42578125" style="747" customWidth="1"/>
    <col min="9245" max="9246" width="9.140625" style="747"/>
    <col min="9247" max="9247" width="48.28515625" style="747" customWidth="1"/>
    <col min="9248" max="9254" width="17.7109375" style="747" customWidth="1"/>
    <col min="9255" max="9255" width="9.140625" style="747"/>
    <col min="9256" max="9256" width="26.85546875" style="747" bestFit="1" customWidth="1"/>
    <col min="9257" max="9257" width="18.7109375" style="747" customWidth="1"/>
    <col min="9258" max="9258" width="14" style="747" customWidth="1"/>
    <col min="9259" max="9259" width="14.42578125" style="747" bestFit="1" customWidth="1"/>
    <col min="9260" max="9260" width="16.85546875" style="747" customWidth="1"/>
    <col min="9261" max="9261" width="11.42578125" style="747" customWidth="1"/>
    <col min="9262" max="9262" width="12.85546875" style="747" customWidth="1"/>
    <col min="9263" max="9263" width="10.7109375" style="747" customWidth="1"/>
    <col min="9264" max="9264" width="16.5703125" style="747" customWidth="1"/>
    <col min="9265" max="9265" width="16.42578125" style="747" customWidth="1"/>
    <col min="9266" max="9266" width="11.7109375" style="747" customWidth="1"/>
    <col min="9267" max="9267" width="14.42578125" style="747" customWidth="1"/>
    <col min="9268" max="9470" width="9.140625" style="747"/>
    <col min="9471" max="9471" width="56.85546875" style="747" customWidth="1"/>
    <col min="9472" max="9472" width="15.7109375" style="747" customWidth="1"/>
    <col min="9473" max="9473" width="10.5703125" style="747" customWidth="1"/>
    <col min="9474" max="9476" width="16.28515625" style="747" customWidth="1"/>
    <col min="9477" max="9477" width="12.7109375" style="747" customWidth="1"/>
    <col min="9478" max="9479" width="9.140625" style="747"/>
    <col min="9480" max="9480" width="25.85546875" style="747" customWidth="1"/>
    <col min="9481" max="9481" width="13.140625" style="747" customWidth="1"/>
    <col min="9482" max="9483" width="13.42578125" style="747" bestFit="1" customWidth="1"/>
    <col min="9484" max="9484" width="13.85546875" style="747" bestFit="1" customWidth="1"/>
    <col min="9485" max="9485" width="11.42578125" style="747" customWidth="1"/>
    <col min="9486" max="9486" width="14.5703125" style="747" customWidth="1"/>
    <col min="9487" max="9487" width="10.7109375" style="747" customWidth="1"/>
    <col min="9488" max="9488" width="12.28515625" style="747" customWidth="1"/>
    <col min="9489" max="9489" width="13.28515625" style="747" customWidth="1"/>
    <col min="9490" max="9490" width="10.5703125" style="747" customWidth="1"/>
    <col min="9491" max="9491" width="14.42578125" style="747" customWidth="1"/>
    <col min="9492" max="9492" width="9.140625" style="747"/>
    <col min="9493" max="9493" width="29.5703125" style="747" customWidth="1"/>
    <col min="9494" max="9498" width="15.5703125" style="747" customWidth="1"/>
    <col min="9499" max="9499" width="11.42578125" style="747" customWidth="1"/>
    <col min="9500" max="9500" width="15.42578125" style="747" customWidth="1"/>
    <col min="9501" max="9502" width="9.140625" style="747"/>
    <col min="9503" max="9503" width="48.28515625" style="747" customWidth="1"/>
    <col min="9504" max="9510" width="17.7109375" style="747" customWidth="1"/>
    <col min="9511" max="9511" width="9.140625" style="747"/>
    <col min="9512" max="9512" width="26.85546875" style="747" bestFit="1" customWidth="1"/>
    <col min="9513" max="9513" width="18.7109375" style="747" customWidth="1"/>
    <col min="9514" max="9514" width="14" style="747" customWidth="1"/>
    <col min="9515" max="9515" width="14.42578125" style="747" bestFit="1" customWidth="1"/>
    <col min="9516" max="9516" width="16.85546875" style="747" customWidth="1"/>
    <col min="9517" max="9517" width="11.42578125" style="747" customWidth="1"/>
    <col min="9518" max="9518" width="12.85546875" style="747" customWidth="1"/>
    <col min="9519" max="9519" width="10.7109375" style="747" customWidth="1"/>
    <col min="9520" max="9520" width="16.5703125" style="747" customWidth="1"/>
    <col min="9521" max="9521" width="16.42578125" style="747" customWidth="1"/>
    <col min="9522" max="9522" width="11.7109375" style="747" customWidth="1"/>
    <col min="9523" max="9523" width="14.42578125" style="747" customWidth="1"/>
    <col min="9524" max="9726" width="9.140625" style="747"/>
    <col min="9727" max="9727" width="56.85546875" style="747" customWidth="1"/>
    <col min="9728" max="9728" width="15.7109375" style="747" customWidth="1"/>
    <col min="9729" max="9729" width="10.5703125" style="747" customWidth="1"/>
    <col min="9730" max="9732" width="16.28515625" style="747" customWidth="1"/>
    <col min="9733" max="9733" width="12.7109375" style="747" customWidth="1"/>
    <col min="9734" max="9735" width="9.140625" style="747"/>
    <col min="9736" max="9736" width="25.85546875" style="747" customWidth="1"/>
    <col min="9737" max="9737" width="13.140625" style="747" customWidth="1"/>
    <col min="9738" max="9739" width="13.42578125" style="747" bestFit="1" customWidth="1"/>
    <col min="9740" max="9740" width="13.85546875" style="747" bestFit="1" customWidth="1"/>
    <col min="9741" max="9741" width="11.42578125" style="747" customWidth="1"/>
    <col min="9742" max="9742" width="14.5703125" style="747" customWidth="1"/>
    <col min="9743" max="9743" width="10.7109375" style="747" customWidth="1"/>
    <col min="9744" max="9744" width="12.28515625" style="747" customWidth="1"/>
    <col min="9745" max="9745" width="13.28515625" style="747" customWidth="1"/>
    <col min="9746" max="9746" width="10.5703125" style="747" customWidth="1"/>
    <col min="9747" max="9747" width="14.42578125" style="747" customWidth="1"/>
    <col min="9748" max="9748" width="9.140625" style="747"/>
    <col min="9749" max="9749" width="29.5703125" style="747" customWidth="1"/>
    <col min="9750" max="9754" width="15.5703125" style="747" customWidth="1"/>
    <col min="9755" max="9755" width="11.42578125" style="747" customWidth="1"/>
    <col min="9756" max="9756" width="15.42578125" style="747" customWidth="1"/>
    <col min="9757" max="9758" width="9.140625" style="747"/>
    <col min="9759" max="9759" width="48.28515625" style="747" customWidth="1"/>
    <col min="9760" max="9766" width="17.7109375" style="747" customWidth="1"/>
    <col min="9767" max="9767" width="9.140625" style="747"/>
    <col min="9768" max="9768" width="26.85546875" style="747" bestFit="1" customWidth="1"/>
    <col min="9769" max="9769" width="18.7109375" style="747" customWidth="1"/>
    <col min="9770" max="9770" width="14" style="747" customWidth="1"/>
    <col min="9771" max="9771" width="14.42578125" style="747" bestFit="1" customWidth="1"/>
    <col min="9772" max="9772" width="16.85546875" style="747" customWidth="1"/>
    <col min="9773" max="9773" width="11.42578125" style="747" customWidth="1"/>
    <col min="9774" max="9774" width="12.85546875" style="747" customWidth="1"/>
    <col min="9775" max="9775" width="10.7109375" style="747" customWidth="1"/>
    <col min="9776" max="9776" width="16.5703125" style="747" customWidth="1"/>
    <col min="9777" max="9777" width="16.42578125" style="747" customWidth="1"/>
    <col min="9778" max="9778" width="11.7109375" style="747" customWidth="1"/>
    <col min="9779" max="9779" width="14.42578125" style="747" customWidth="1"/>
    <col min="9780" max="9982" width="9.140625" style="747"/>
    <col min="9983" max="9983" width="56.85546875" style="747" customWidth="1"/>
    <col min="9984" max="9984" width="15.7109375" style="747" customWidth="1"/>
    <col min="9985" max="9985" width="10.5703125" style="747" customWidth="1"/>
    <col min="9986" max="9988" width="16.28515625" style="747" customWidth="1"/>
    <col min="9989" max="9989" width="12.7109375" style="747" customWidth="1"/>
    <col min="9990" max="9991" width="9.140625" style="747"/>
    <col min="9992" max="9992" width="25.85546875" style="747" customWidth="1"/>
    <col min="9993" max="9993" width="13.140625" style="747" customWidth="1"/>
    <col min="9994" max="9995" width="13.42578125" style="747" bestFit="1" customWidth="1"/>
    <col min="9996" max="9996" width="13.85546875" style="747" bestFit="1" customWidth="1"/>
    <col min="9997" max="9997" width="11.42578125" style="747" customWidth="1"/>
    <col min="9998" max="9998" width="14.5703125" style="747" customWidth="1"/>
    <col min="9999" max="9999" width="10.7109375" style="747" customWidth="1"/>
    <col min="10000" max="10000" width="12.28515625" style="747" customWidth="1"/>
    <col min="10001" max="10001" width="13.28515625" style="747" customWidth="1"/>
    <col min="10002" max="10002" width="10.5703125" style="747" customWidth="1"/>
    <col min="10003" max="10003" width="14.42578125" style="747" customWidth="1"/>
    <col min="10004" max="10004" width="9.140625" style="747"/>
    <col min="10005" max="10005" width="29.5703125" style="747" customWidth="1"/>
    <col min="10006" max="10010" width="15.5703125" style="747" customWidth="1"/>
    <col min="10011" max="10011" width="11.42578125" style="747" customWidth="1"/>
    <col min="10012" max="10012" width="15.42578125" style="747" customWidth="1"/>
    <col min="10013" max="10014" width="9.140625" style="747"/>
    <col min="10015" max="10015" width="48.28515625" style="747" customWidth="1"/>
    <col min="10016" max="10022" width="17.7109375" style="747" customWidth="1"/>
    <col min="10023" max="10023" width="9.140625" style="747"/>
    <col min="10024" max="10024" width="26.85546875" style="747" bestFit="1" customWidth="1"/>
    <col min="10025" max="10025" width="18.7109375" style="747" customWidth="1"/>
    <col min="10026" max="10026" width="14" style="747" customWidth="1"/>
    <col min="10027" max="10027" width="14.42578125" style="747" bestFit="1" customWidth="1"/>
    <col min="10028" max="10028" width="16.85546875" style="747" customWidth="1"/>
    <col min="10029" max="10029" width="11.42578125" style="747" customWidth="1"/>
    <col min="10030" max="10030" width="12.85546875" style="747" customWidth="1"/>
    <col min="10031" max="10031" width="10.7109375" style="747" customWidth="1"/>
    <col min="10032" max="10032" width="16.5703125" style="747" customWidth="1"/>
    <col min="10033" max="10033" width="16.42578125" style="747" customWidth="1"/>
    <col min="10034" max="10034" width="11.7109375" style="747" customWidth="1"/>
    <col min="10035" max="10035" width="14.42578125" style="747" customWidth="1"/>
    <col min="10036" max="10238" width="9.140625" style="747"/>
    <col min="10239" max="10239" width="56.85546875" style="747" customWidth="1"/>
    <col min="10240" max="10240" width="15.7109375" style="747" customWidth="1"/>
    <col min="10241" max="10241" width="10.5703125" style="747" customWidth="1"/>
    <col min="10242" max="10244" width="16.28515625" style="747" customWidth="1"/>
    <col min="10245" max="10245" width="12.7109375" style="747" customWidth="1"/>
    <col min="10246" max="10247" width="9.140625" style="747"/>
    <col min="10248" max="10248" width="25.85546875" style="747" customWidth="1"/>
    <col min="10249" max="10249" width="13.140625" style="747" customWidth="1"/>
    <col min="10250" max="10251" width="13.42578125" style="747" bestFit="1" customWidth="1"/>
    <col min="10252" max="10252" width="13.85546875" style="747" bestFit="1" customWidth="1"/>
    <col min="10253" max="10253" width="11.42578125" style="747" customWidth="1"/>
    <col min="10254" max="10254" width="14.5703125" style="747" customWidth="1"/>
    <col min="10255" max="10255" width="10.7109375" style="747" customWidth="1"/>
    <col min="10256" max="10256" width="12.28515625" style="747" customWidth="1"/>
    <col min="10257" max="10257" width="13.28515625" style="747" customWidth="1"/>
    <col min="10258" max="10258" width="10.5703125" style="747" customWidth="1"/>
    <col min="10259" max="10259" width="14.42578125" style="747" customWidth="1"/>
    <col min="10260" max="10260" width="9.140625" style="747"/>
    <col min="10261" max="10261" width="29.5703125" style="747" customWidth="1"/>
    <col min="10262" max="10266" width="15.5703125" style="747" customWidth="1"/>
    <col min="10267" max="10267" width="11.42578125" style="747" customWidth="1"/>
    <col min="10268" max="10268" width="15.42578125" style="747" customWidth="1"/>
    <col min="10269" max="10270" width="9.140625" style="747"/>
    <col min="10271" max="10271" width="48.28515625" style="747" customWidth="1"/>
    <col min="10272" max="10278" width="17.7109375" style="747" customWidth="1"/>
    <col min="10279" max="10279" width="9.140625" style="747"/>
    <col min="10280" max="10280" width="26.85546875" style="747" bestFit="1" customWidth="1"/>
    <col min="10281" max="10281" width="18.7109375" style="747" customWidth="1"/>
    <col min="10282" max="10282" width="14" style="747" customWidth="1"/>
    <col min="10283" max="10283" width="14.42578125" style="747" bestFit="1" customWidth="1"/>
    <col min="10284" max="10284" width="16.85546875" style="747" customWidth="1"/>
    <col min="10285" max="10285" width="11.42578125" style="747" customWidth="1"/>
    <col min="10286" max="10286" width="12.85546875" style="747" customWidth="1"/>
    <col min="10287" max="10287" width="10.7109375" style="747" customWidth="1"/>
    <col min="10288" max="10288" width="16.5703125" style="747" customWidth="1"/>
    <col min="10289" max="10289" width="16.42578125" style="747" customWidth="1"/>
    <col min="10290" max="10290" width="11.7109375" style="747" customWidth="1"/>
    <col min="10291" max="10291" width="14.42578125" style="747" customWidth="1"/>
    <col min="10292" max="10494" width="9.140625" style="747"/>
    <col min="10495" max="10495" width="56.85546875" style="747" customWidth="1"/>
    <col min="10496" max="10496" width="15.7109375" style="747" customWidth="1"/>
    <col min="10497" max="10497" width="10.5703125" style="747" customWidth="1"/>
    <col min="10498" max="10500" width="16.28515625" style="747" customWidth="1"/>
    <col min="10501" max="10501" width="12.7109375" style="747" customWidth="1"/>
    <col min="10502" max="10503" width="9.140625" style="747"/>
    <col min="10504" max="10504" width="25.85546875" style="747" customWidth="1"/>
    <col min="10505" max="10505" width="13.140625" style="747" customWidth="1"/>
    <col min="10506" max="10507" width="13.42578125" style="747" bestFit="1" customWidth="1"/>
    <col min="10508" max="10508" width="13.85546875" style="747" bestFit="1" customWidth="1"/>
    <col min="10509" max="10509" width="11.42578125" style="747" customWidth="1"/>
    <col min="10510" max="10510" width="14.5703125" style="747" customWidth="1"/>
    <col min="10511" max="10511" width="10.7109375" style="747" customWidth="1"/>
    <col min="10512" max="10512" width="12.28515625" style="747" customWidth="1"/>
    <col min="10513" max="10513" width="13.28515625" style="747" customWidth="1"/>
    <col min="10514" max="10514" width="10.5703125" style="747" customWidth="1"/>
    <col min="10515" max="10515" width="14.42578125" style="747" customWidth="1"/>
    <col min="10516" max="10516" width="9.140625" style="747"/>
    <col min="10517" max="10517" width="29.5703125" style="747" customWidth="1"/>
    <col min="10518" max="10522" width="15.5703125" style="747" customWidth="1"/>
    <col min="10523" max="10523" width="11.42578125" style="747" customWidth="1"/>
    <col min="10524" max="10524" width="15.42578125" style="747" customWidth="1"/>
    <col min="10525" max="10526" width="9.140625" style="747"/>
    <col min="10527" max="10527" width="48.28515625" style="747" customWidth="1"/>
    <col min="10528" max="10534" width="17.7109375" style="747" customWidth="1"/>
    <col min="10535" max="10535" width="9.140625" style="747"/>
    <col min="10536" max="10536" width="26.85546875" style="747" bestFit="1" customWidth="1"/>
    <col min="10537" max="10537" width="18.7109375" style="747" customWidth="1"/>
    <col min="10538" max="10538" width="14" style="747" customWidth="1"/>
    <col min="10539" max="10539" width="14.42578125" style="747" bestFit="1" customWidth="1"/>
    <col min="10540" max="10540" width="16.85546875" style="747" customWidth="1"/>
    <col min="10541" max="10541" width="11.42578125" style="747" customWidth="1"/>
    <col min="10542" max="10542" width="12.85546875" style="747" customWidth="1"/>
    <col min="10543" max="10543" width="10.7109375" style="747" customWidth="1"/>
    <col min="10544" max="10544" width="16.5703125" style="747" customWidth="1"/>
    <col min="10545" max="10545" width="16.42578125" style="747" customWidth="1"/>
    <col min="10546" max="10546" width="11.7109375" style="747" customWidth="1"/>
    <col min="10547" max="10547" width="14.42578125" style="747" customWidth="1"/>
    <col min="10548" max="10750" width="9.140625" style="747"/>
    <col min="10751" max="10751" width="56.85546875" style="747" customWidth="1"/>
    <col min="10752" max="10752" width="15.7109375" style="747" customWidth="1"/>
    <col min="10753" max="10753" width="10.5703125" style="747" customWidth="1"/>
    <col min="10754" max="10756" width="16.28515625" style="747" customWidth="1"/>
    <col min="10757" max="10757" width="12.7109375" style="747" customWidth="1"/>
    <col min="10758" max="10759" width="9.140625" style="747"/>
    <col min="10760" max="10760" width="25.85546875" style="747" customWidth="1"/>
    <col min="10761" max="10761" width="13.140625" style="747" customWidth="1"/>
    <col min="10762" max="10763" width="13.42578125" style="747" bestFit="1" customWidth="1"/>
    <col min="10764" max="10764" width="13.85546875" style="747" bestFit="1" customWidth="1"/>
    <col min="10765" max="10765" width="11.42578125" style="747" customWidth="1"/>
    <col min="10766" max="10766" width="14.5703125" style="747" customWidth="1"/>
    <col min="10767" max="10767" width="10.7109375" style="747" customWidth="1"/>
    <col min="10768" max="10768" width="12.28515625" style="747" customWidth="1"/>
    <col min="10769" max="10769" width="13.28515625" style="747" customWidth="1"/>
    <col min="10770" max="10770" width="10.5703125" style="747" customWidth="1"/>
    <col min="10771" max="10771" width="14.42578125" style="747" customWidth="1"/>
    <col min="10772" max="10772" width="9.140625" style="747"/>
    <col min="10773" max="10773" width="29.5703125" style="747" customWidth="1"/>
    <col min="10774" max="10778" width="15.5703125" style="747" customWidth="1"/>
    <col min="10779" max="10779" width="11.42578125" style="747" customWidth="1"/>
    <col min="10780" max="10780" width="15.42578125" style="747" customWidth="1"/>
    <col min="10781" max="10782" width="9.140625" style="747"/>
    <col min="10783" max="10783" width="48.28515625" style="747" customWidth="1"/>
    <col min="10784" max="10790" width="17.7109375" style="747" customWidth="1"/>
    <col min="10791" max="10791" width="9.140625" style="747"/>
    <col min="10792" max="10792" width="26.85546875" style="747" bestFit="1" customWidth="1"/>
    <col min="10793" max="10793" width="18.7109375" style="747" customWidth="1"/>
    <col min="10794" max="10794" width="14" style="747" customWidth="1"/>
    <col min="10795" max="10795" width="14.42578125" style="747" bestFit="1" customWidth="1"/>
    <col min="10796" max="10796" width="16.85546875" style="747" customWidth="1"/>
    <col min="10797" max="10797" width="11.42578125" style="747" customWidth="1"/>
    <col min="10798" max="10798" width="12.85546875" style="747" customWidth="1"/>
    <col min="10799" max="10799" width="10.7109375" style="747" customWidth="1"/>
    <col min="10800" max="10800" width="16.5703125" style="747" customWidth="1"/>
    <col min="10801" max="10801" width="16.42578125" style="747" customWidth="1"/>
    <col min="10802" max="10802" width="11.7109375" style="747" customWidth="1"/>
    <col min="10803" max="10803" width="14.42578125" style="747" customWidth="1"/>
    <col min="10804" max="11006" width="9.140625" style="747"/>
    <col min="11007" max="11007" width="56.85546875" style="747" customWidth="1"/>
    <col min="11008" max="11008" width="15.7109375" style="747" customWidth="1"/>
    <col min="11009" max="11009" width="10.5703125" style="747" customWidth="1"/>
    <col min="11010" max="11012" width="16.28515625" style="747" customWidth="1"/>
    <col min="11013" max="11013" width="12.7109375" style="747" customWidth="1"/>
    <col min="11014" max="11015" width="9.140625" style="747"/>
    <col min="11016" max="11016" width="25.85546875" style="747" customWidth="1"/>
    <col min="11017" max="11017" width="13.140625" style="747" customWidth="1"/>
    <col min="11018" max="11019" width="13.42578125" style="747" bestFit="1" customWidth="1"/>
    <col min="11020" max="11020" width="13.85546875" style="747" bestFit="1" customWidth="1"/>
    <col min="11021" max="11021" width="11.42578125" style="747" customWidth="1"/>
    <col min="11022" max="11022" width="14.5703125" style="747" customWidth="1"/>
    <col min="11023" max="11023" width="10.7109375" style="747" customWidth="1"/>
    <col min="11024" max="11024" width="12.28515625" style="747" customWidth="1"/>
    <col min="11025" max="11025" width="13.28515625" style="747" customWidth="1"/>
    <col min="11026" max="11026" width="10.5703125" style="747" customWidth="1"/>
    <col min="11027" max="11027" width="14.42578125" style="747" customWidth="1"/>
    <col min="11028" max="11028" width="9.140625" style="747"/>
    <col min="11029" max="11029" width="29.5703125" style="747" customWidth="1"/>
    <col min="11030" max="11034" width="15.5703125" style="747" customWidth="1"/>
    <col min="11035" max="11035" width="11.42578125" style="747" customWidth="1"/>
    <col min="11036" max="11036" width="15.42578125" style="747" customWidth="1"/>
    <col min="11037" max="11038" width="9.140625" style="747"/>
    <col min="11039" max="11039" width="48.28515625" style="747" customWidth="1"/>
    <col min="11040" max="11046" width="17.7109375" style="747" customWidth="1"/>
    <col min="11047" max="11047" width="9.140625" style="747"/>
    <col min="11048" max="11048" width="26.85546875" style="747" bestFit="1" customWidth="1"/>
    <col min="11049" max="11049" width="18.7109375" style="747" customWidth="1"/>
    <col min="11050" max="11050" width="14" style="747" customWidth="1"/>
    <col min="11051" max="11051" width="14.42578125" style="747" bestFit="1" customWidth="1"/>
    <col min="11052" max="11052" width="16.85546875" style="747" customWidth="1"/>
    <col min="11053" max="11053" width="11.42578125" style="747" customWidth="1"/>
    <col min="11054" max="11054" width="12.85546875" style="747" customWidth="1"/>
    <col min="11055" max="11055" width="10.7109375" style="747" customWidth="1"/>
    <col min="11056" max="11056" width="16.5703125" style="747" customWidth="1"/>
    <col min="11057" max="11057" width="16.42578125" style="747" customWidth="1"/>
    <col min="11058" max="11058" width="11.7109375" style="747" customWidth="1"/>
    <col min="11059" max="11059" width="14.42578125" style="747" customWidth="1"/>
    <col min="11060" max="11262" width="9.140625" style="747"/>
    <col min="11263" max="11263" width="56.85546875" style="747" customWidth="1"/>
    <col min="11264" max="11264" width="15.7109375" style="747" customWidth="1"/>
    <col min="11265" max="11265" width="10.5703125" style="747" customWidth="1"/>
    <col min="11266" max="11268" width="16.28515625" style="747" customWidth="1"/>
    <col min="11269" max="11269" width="12.7109375" style="747" customWidth="1"/>
    <col min="11270" max="11271" width="9.140625" style="747"/>
    <col min="11272" max="11272" width="25.85546875" style="747" customWidth="1"/>
    <col min="11273" max="11273" width="13.140625" style="747" customWidth="1"/>
    <col min="11274" max="11275" width="13.42578125" style="747" bestFit="1" customWidth="1"/>
    <col min="11276" max="11276" width="13.85546875" style="747" bestFit="1" customWidth="1"/>
    <col min="11277" max="11277" width="11.42578125" style="747" customWidth="1"/>
    <col min="11278" max="11278" width="14.5703125" style="747" customWidth="1"/>
    <col min="11279" max="11279" width="10.7109375" style="747" customWidth="1"/>
    <col min="11280" max="11280" width="12.28515625" style="747" customWidth="1"/>
    <col min="11281" max="11281" width="13.28515625" style="747" customWidth="1"/>
    <col min="11282" max="11282" width="10.5703125" style="747" customWidth="1"/>
    <col min="11283" max="11283" width="14.42578125" style="747" customWidth="1"/>
    <col min="11284" max="11284" width="9.140625" style="747"/>
    <col min="11285" max="11285" width="29.5703125" style="747" customWidth="1"/>
    <col min="11286" max="11290" width="15.5703125" style="747" customWidth="1"/>
    <col min="11291" max="11291" width="11.42578125" style="747" customWidth="1"/>
    <col min="11292" max="11292" width="15.42578125" style="747" customWidth="1"/>
    <col min="11293" max="11294" width="9.140625" style="747"/>
    <col min="11295" max="11295" width="48.28515625" style="747" customWidth="1"/>
    <col min="11296" max="11302" width="17.7109375" style="747" customWidth="1"/>
    <col min="11303" max="11303" width="9.140625" style="747"/>
    <col min="11304" max="11304" width="26.85546875" style="747" bestFit="1" customWidth="1"/>
    <col min="11305" max="11305" width="18.7109375" style="747" customWidth="1"/>
    <col min="11306" max="11306" width="14" style="747" customWidth="1"/>
    <col min="11307" max="11307" width="14.42578125" style="747" bestFit="1" customWidth="1"/>
    <col min="11308" max="11308" width="16.85546875" style="747" customWidth="1"/>
    <col min="11309" max="11309" width="11.42578125" style="747" customWidth="1"/>
    <col min="11310" max="11310" width="12.85546875" style="747" customWidth="1"/>
    <col min="11311" max="11311" width="10.7109375" style="747" customWidth="1"/>
    <col min="11312" max="11312" width="16.5703125" style="747" customWidth="1"/>
    <col min="11313" max="11313" width="16.42578125" style="747" customWidth="1"/>
    <col min="11314" max="11314" width="11.7109375" style="747" customWidth="1"/>
    <col min="11315" max="11315" width="14.42578125" style="747" customWidth="1"/>
    <col min="11316" max="11518" width="9.140625" style="747"/>
    <col min="11519" max="11519" width="56.85546875" style="747" customWidth="1"/>
    <col min="11520" max="11520" width="15.7109375" style="747" customWidth="1"/>
    <col min="11521" max="11521" width="10.5703125" style="747" customWidth="1"/>
    <col min="11522" max="11524" width="16.28515625" style="747" customWidth="1"/>
    <col min="11525" max="11525" width="12.7109375" style="747" customWidth="1"/>
    <col min="11526" max="11527" width="9.140625" style="747"/>
    <col min="11528" max="11528" width="25.85546875" style="747" customWidth="1"/>
    <col min="11529" max="11529" width="13.140625" style="747" customWidth="1"/>
    <col min="11530" max="11531" width="13.42578125" style="747" bestFit="1" customWidth="1"/>
    <col min="11532" max="11532" width="13.85546875" style="747" bestFit="1" customWidth="1"/>
    <col min="11533" max="11533" width="11.42578125" style="747" customWidth="1"/>
    <col min="11534" max="11534" width="14.5703125" style="747" customWidth="1"/>
    <col min="11535" max="11535" width="10.7109375" style="747" customWidth="1"/>
    <col min="11536" max="11536" width="12.28515625" style="747" customWidth="1"/>
    <col min="11537" max="11537" width="13.28515625" style="747" customWidth="1"/>
    <col min="11538" max="11538" width="10.5703125" style="747" customWidth="1"/>
    <col min="11539" max="11539" width="14.42578125" style="747" customWidth="1"/>
    <col min="11540" max="11540" width="9.140625" style="747"/>
    <col min="11541" max="11541" width="29.5703125" style="747" customWidth="1"/>
    <col min="11542" max="11546" width="15.5703125" style="747" customWidth="1"/>
    <col min="11547" max="11547" width="11.42578125" style="747" customWidth="1"/>
    <col min="11548" max="11548" width="15.42578125" style="747" customWidth="1"/>
    <col min="11549" max="11550" width="9.140625" style="747"/>
    <col min="11551" max="11551" width="48.28515625" style="747" customWidth="1"/>
    <col min="11552" max="11558" width="17.7109375" style="747" customWidth="1"/>
    <col min="11559" max="11559" width="9.140625" style="747"/>
    <col min="11560" max="11560" width="26.85546875" style="747" bestFit="1" customWidth="1"/>
    <col min="11561" max="11561" width="18.7109375" style="747" customWidth="1"/>
    <col min="11562" max="11562" width="14" style="747" customWidth="1"/>
    <col min="11563" max="11563" width="14.42578125" style="747" bestFit="1" customWidth="1"/>
    <col min="11564" max="11564" width="16.85546875" style="747" customWidth="1"/>
    <col min="11565" max="11565" width="11.42578125" style="747" customWidth="1"/>
    <col min="11566" max="11566" width="12.85546875" style="747" customWidth="1"/>
    <col min="11567" max="11567" width="10.7109375" style="747" customWidth="1"/>
    <col min="11568" max="11568" width="16.5703125" style="747" customWidth="1"/>
    <col min="11569" max="11569" width="16.42578125" style="747" customWidth="1"/>
    <col min="11570" max="11570" width="11.7109375" style="747" customWidth="1"/>
    <col min="11571" max="11571" width="14.42578125" style="747" customWidth="1"/>
    <col min="11572" max="11774" width="9.140625" style="747"/>
    <col min="11775" max="11775" width="56.85546875" style="747" customWidth="1"/>
    <col min="11776" max="11776" width="15.7109375" style="747" customWidth="1"/>
    <col min="11777" max="11777" width="10.5703125" style="747" customWidth="1"/>
    <col min="11778" max="11780" width="16.28515625" style="747" customWidth="1"/>
    <col min="11781" max="11781" width="12.7109375" style="747" customWidth="1"/>
    <col min="11782" max="11783" width="9.140625" style="747"/>
    <col min="11784" max="11784" width="25.85546875" style="747" customWidth="1"/>
    <col min="11785" max="11785" width="13.140625" style="747" customWidth="1"/>
    <col min="11786" max="11787" width="13.42578125" style="747" bestFit="1" customWidth="1"/>
    <col min="11788" max="11788" width="13.85546875" style="747" bestFit="1" customWidth="1"/>
    <col min="11789" max="11789" width="11.42578125" style="747" customWidth="1"/>
    <col min="11790" max="11790" width="14.5703125" style="747" customWidth="1"/>
    <col min="11791" max="11791" width="10.7109375" style="747" customWidth="1"/>
    <col min="11792" max="11792" width="12.28515625" style="747" customWidth="1"/>
    <col min="11793" max="11793" width="13.28515625" style="747" customWidth="1"/>
    <col min="11794" max="11794" width="10.5703125" style="747" customWidth="1"/>
    <col min="11795" max="11795" width="14.42578125" style="747" customWidth="1"/>
    <col min="11796" max="11796" width="9.140625" style="747"/>
    <col min="11797" max="11797" width="29.5703125" style="747" customWidth="1"/>
    <col min="11798" max="11802" width="15.5703125" style="747" customWidth="1"/>
    <col min="11803" max="11803" width="11.42578125" style="747" customWidth="1"/>
    <col min="11804" max="11804" width="15.42578125" style="747" customWidth="1"/>
    <col min="11805" max="11806" width="9.140625" style="747"/>
    <col min="11807" max="11807" width="48.28515625" style="747" customWidth="1"/>
    <col min="11808" max="11814" width="17.7109375" style="747" customWidth="1"/>
    <col min="11815" max="11815" width="9.140625" style="747"/>
    <col min="11816" max="11816" width="26.85546875" style="747" bestFit="1" customWidth="1"/>
    <col min="11817" max="11817" width="18.7109375" style="747" customWidth="1"/>
    <col min="11818" max="11818" width="14" style="747" customWidth="1"/>
    <col min="11819" max="11819" width="14.42578125" style="747" bestFit="1" customWidth="1"/>
    <col min="11820" max="11820" width="16.85546875" style="747" customWidth="1"/>
    <col min="11821" max="11821" width="11.42578125" style="747" customWidth="1"/>
    <col min="11822" max="11822" width="12.85546875" style="747" customWidth="1"/>
    <col min="11823" max="11823" width="10.7109375" style="747" customWidth="1"/>
    <col min="11824" max="11824" width="16.5703125" style="747" customWidth="1"/>
    <col min="11825" max="11825" width="16.42578125" style="747" customWidth="1"/>
    <col min="11826" max="11826" width="11.7109375" style="747" customWidth="1"/>
    <col min="11827" max="11827" width="14.42578125" style="747" customWidth="1"/>
    <col min="11828" max="12030" width="9.140625" style="747"/>
    <col min="12031" max="12031" width="56.85546875" style="747" customWidth="1"/>
    <col min="12032" max="12032" width="15.7109375" style="747" customWidth="1"/>
    <col min="12033" max="12033" width="10.5703125" style="747" customWidth="1"/>
    <col min="12034" max="12036" width="16.28515625" style="747" customWidth="1"/>
    <col min="12037" max="12037" width="12.7109375" style="747" customWidth="1"/>
    <col min="12038" max="12039" width="9.140625" style="747"/>
    <col min="12040" max="12040" width="25.85546875" style="747" customWidth="1"/>
    <col min="12041" max="12041" width="13.140625" style="747" customWidth="1"/>
    <col min="12042" max="12043" width="13.42578125" style="747" bestFit="1" customWidth="1"/>
    <col min="12044" max="12044" width="13.85546875" style="747" bestFit="1" customWidth="1"/>
    <col min="12045" max="12045" width="11.42578125" style="747" customWidth="1"/>
    <col min="12046" max="12046" width="14.5703125" style="747" customWidth="1"/>
    <col min="12047" max="12047" width="10.7109375" style="747" customWidth="1"/>
    <col min="12048" max="12048" width="12.28515625" style="747" customWidth="1"/>
    <col min="12049" max="12049" width="13.28515625" style="747" customWidth="1"/>
    <col min="12050" max="12050" width="10.5703125" style="747" customWidth="1"/>
    <col min="12051" max="12051" width="14.42578125" style="747" customWidth="1"/>
    <col min="12052" max="12052" width="9.140625" style="747"/>
    <col min="12053" max="12053" width="29.5703125" style="747" customWidth="1"/>
    <col min="12054" max="12058" width="15.5703125" style="747" customWidth="1"/>
    <col min="12059" max="12059" width="11.42578125" style="747" customWidth="1"/>
    <col min="12060" max="12060" width="15.42578125" style="747" customWidth="1"/>
    <col min="12061" max="12062" width="9.140625" style="747"/>
    <col min="12063" max="12063" width="48.28515625" style="747" customWidth="1"/>
    <col min="12064" max="12070" width="17.7109375" style="747" customWidth="1"/>
    <col min="12071" max="12071" width="9.140625" style="747"/>
    <col min="12072" max="12072" width="26.85546875" style="747" bestFit="1" customWidth="1"/>
    <col min="12073" max="12073" width="18.7109375" style="747" customWidth="1"/>
    <col min="12074" max="12074" width="14" style="747" customWidth="1"/>
    <col min="12075" max="12075" width="14.42578125" style="747" bestFit="1" customWidth="1"/>
    <col min="12076" max="12076" width="16.85546875" style="747" customWidth="1"/>
    <col min="12077" max="12077" width="11.42578125" style="747" customWidth="1"/>
    <col min="12078" max="12078" width="12.85546875" style="747" customWidth="1"/>
    <col min="12079" max="12079" width="10.7109375" style="747" customWidth="1"/>
    <col min="12080" max="12080" width="16.5703125" style="747" customWidth="1"/>
    <col min="12081" max="12081" width="16.42578125" style="747" customWidth="1"/>
    <col min="12082" max="12082" width="11.7109375" style="747" customWidth="1"/>
    <col min="12083" max="12083" width="14.42578125" style="747" customWidth="1"/>
    <col min="12084" max="12286" width="9.140625" style="747"/>
    <col min="12287" max="12287" width="56.85546875" style="747" customWidth="1"/>
    <col min="12288" max="12288" width="15.7109375" style="747" customWidth="1"/>
    <col min="12289" max="12289" width="10.5703125" style="747" customWidth="1"/>
    <col min="12290" max="12292" width="16.28515625" style="747" customWidth="1"/>
    <col min="12293" max="12293" width="12.7109375" style="747" customWidth="1"/>
    <col min="12294" max="12295" width="9.140625" style="747"/>
    <col min="12296" max="12296" width="25.85546875" style="747" customWidth="1"/>
    <col min="12297" max="12297" width="13.140625" style="747" customWidth="1"/>
    <col min="12298" max="12299" width="13.42578125" style="747" bestFit="1" customWidth="1"/>
    <col min="12300" max="12300" width="13.85546875" style="747" bestFit="1" customWidth="1"/>
    <col min="12301" max="12301" width="11.42578125" style="747" customWidth="1"/>
    <col min="12302" max="12302" width="14.5703125" style="747" customWidth="1"/>
    <col min="12303" max="12303" width="10.7109375" style="747" customWidth="1"/>
    <col min="12304" max="12304" width="12.28515625" style="747" customWidth="1"/>
    <col min="12305" max="12305" width="13.28515625" style="747" customWidth="1"/>
    <col min="12306" max="12306" width="10.5703125" style="747" customWidth="1"/>
    <col min="12307" max="12307" width="14.42578125" style="747" customWidth="1"/>
    <col min="12308" max="12308" width="9.140625" style="747"/>
    <col min="12309" max="12309" width="29.5703125" style="747" customWidth="1"/>
    <col min="12310" max="12314" width="15.5703125" style="747" customWidth="1"/>
    <col min="12315" max="12315" width="11.42578125" style="747" customWidth="1"/>
    <col min="12316" max="12316" width="15.42578125" style="747" customWidth="1"/>
    <col min="12317" max="12318" width="9.140625" style="747"/>
    <col min="12319" max="12319" width="48.28515625" style="747" customWidth="1"/>
    <col min="12320" max="12326" width="17.7109375" style="747" customWidth="1"/>
    <col min="12327" max="12327" width="9.140625" style="747"/>
    <col min="12328" max="12328" width="26.85546875" style="747" bestFit="1" customWidth="1"/>
    <col min="12329" max="12329" width="18.7109375" style="747" customWidth="1"/>
    <col min="12330" max="12330" width="14" style="747" customWidth="1"/>
    <col min="12331" max="12331" width="14.42578125" style="747" bestFit="1" customWidth="1"/>
    <col min="12332" max="12332" width="16.85546875" style="747" customWidth="1"/>
    <col min="12333" max="12333" width="11.42578125" style="747" customWidth="1"/>
    <col min="12334" max="12334" width="12.85546875" style="747" customWidth="1"/>
    <col min="12335" max="12335" width="10.7109375" style="747" customWidth="1"/>
    <col min="12336" max="12336" width="16.5703125" style="747" customWidth="1"/>
    <col min="12337" max="12337" width="16.42578125" style="747" customWidth="1"/>
    <col min="12338" max="12338" width="11.7109375" style="747" customWidth="1"/>
    <col min="12339" max="12339" width="14.42578125" style="747" customWidth="1"/>
    <col min="12340" max="12542" width="9.140625" style="747"/>
    <col min="12543" max="12543" width="56.85546875" style="747" customWidth="1"/>
    <col min="12544" max="12544" width="15.7109375" style="747" customWidth="1"/>
    <col min="12545" max="12545" width="10.5703125" style="747" customWidth="1"/>
    <col min="12546" max="12548" width="16.28515625" style="747" customWidth="1"/>
    <col min="12549" max="12549" width="12.7109375" style="747" customWidth="1"/>
    <col min="12550" max="12551" width="9.140625" style="747"/>
    <col min="12552" max="12552" width="25.85546875" style="747" customWidth="1"/>
    <col min="12553" max="12553" width="13.140625" style="747" customWidth="1"/>
    <col min="12554" max="12555" width="13.42578125" style="747" bestFit="1" customWidth="1"/>
    <col min="12556" max="12556" width="13.85546875" style="747" bestFit="1" customWidth="1"/>
    <col min="12557" max="12557" width="11.42578125" style="747" customWidth="1"/>
    <col min="12558" max="12558" width="14.5703125" style="747" customWidth="1"/>
    <col min="12559" max="12559" width="10.7109375" style="747" customWidth="1"/>
    <col min="12560" max="12560" width="12.28515625" style="747" customWidth="1"/>
    <col min="12561" max="12561" width="13.28515625" style="747" customWidth="1"/>
    <col min="12562" max="12562" width="10.5703125" style="747" customWidth="1"/>
    <col min="12563" max="12563" width="14.42578125" style="747" customWidth="1"/>
    <col min="12564" max="12564" width="9.140625" style="747"/>
    <col min="12565" max="12565" width="29.5703125" style="747" customWidth="1"/>
    <col min="12566" max="12570" width="15.5703125" style="747" customWidth="1"/>
    <col min="12571" max="12571" width="11.42578125" style="747" customWidth="1"/>
    <col min="12572" max="12572" width="15.42578125" style="747" customWidth="1"/>
    <col min="12573" max="12574" width="9.140625" style="747"/>
    <col min="12575" max="12575" width="48.28515625" style="747" customWidth="1"/>
    <col min="12576" max="12582" width="17.7109375" style="747" customWidth="1"/>
    <col min="12583" max="12583" width="9.140625" style="747"/>
    <col min="12584" max="12584" width="26.85546875" style="747" bestFit="1" customWidth="1"/>
    <col min="12585" max="12585" width="18.7109375" style="747" customWidth="1"/>
    <col min="12586" max="12586" width="14" style="747" customWidth="1"/>
    <col min="12587" max="12587" width="14.42578125" style="747" bestFit="1" customWidth="1"/>
    <col min="12588" max="12588" width="16.85546875" style="747" customWidth="1"/>
    <col min="12589" max="12589" width="11.42578125" style="747" customWidth="1"/>
    <col min="12590" max="12590" width="12.85546875" style="747" customWidth="1"/>
    <col min="12591" max="12591" width="10.7109375" style="747" customWidth="1"/>
    <col min="12592" max="12592" width="16.5703125" style="747" customWidth="1"/>
    <col min="12593" max="12593" width="16.42578125" style="747" customWidth="1"/>
    <col min="12594" max="12594" width="11.7109375" style="747" customWidth="1"/>
    <col min="12595" max="12595" width="14.42578125" style="747" customWidth="1"/>
    <col min="12596" max="12798" width="9.140625" style="747"/>
    <col min="12799" max="12799" width="56.85546875" style="747" customWidth="1"/>
    <col min="12800" max="12800" width="15.7109375" style="747" customWidth="1"/>
    <col min="12801" max="12801" width="10.5703125" style="747" customWidth="1"/>
    <col min="12802" max="12804" width="16.28515625" style="747" customWidth="1"/>
    <col min="12805" max="12805" width="12.7109375" style="747" customWidth="1"/>
    <col min="12806" max="12807" width="9.140625" style="747"/>
    <col min="12808" max="12808" width="25.85546875" style="747" customWidth="1"/>
    <col min="12809" max="12809" width="13.140625" style="747" customWidth="1"/>
    <col min="12810" max="12811" width="13.42578125" style="747" bestFit="1" customWidth="1"/>
    <col min="12812" max="12812" width="13.85546875" style="747" bestFit="1" customWidth="1"/>
    <col min="12813" max="12813" width="11.42578125" style="747" customWidth="1"/>
    <col min="12814" max="12814" width="14.5703125" style="747" customWidth="1"/>
    <col min="12815" max="12815" width="10.7109375" style="747" customWidth="1"/>
    <col min="12816" max="12816" width="12.28515625" style="747" customWidth="1"/>
    <col min="12817" max="12817" width="13.28515625" style="747" customWidth="1"/>
    <col min="12818" max="12818" width="10.5703125" style="747" customWidth="1"/>
    <col min="12819" max="12819" width="14.42578125" style="747" customWidth="1"/>
    <col min="12820" max="12820" width="9.140625" style="747"/>
    <col min="12821" max="12821" width="29.5703125" style="747" customWidth="1"/>
    <col min="12822" max="12826" width="15.5703125" style="747" customWidth="1"/>
    <col min="12827" max="12827" width="11.42578125" style="747" customWidth="1"/>
    <col min="12828" max="12828" width="15.42578125" style="747" customWidth="1"/>
    <col min="12829" max="12830" width="9.140625" style="747"/>
    <col min="12831" max="12831" width="48.28515625" style="747" customWidth="1"/>
    <col min="12832" max="12838" width="17.7109375" style="747" customWidth="1"/>
    <col min="12839" max="12839" width="9.140625" style="747"/>
    <col min="12840" max="12840" width="26.85546875" style="747" bestFit="1" customWidth="1"/>
    <col min="12841" max="12841" width="18.7109375" style="747" customWidth="1"/>
    <col min="12842" max="12842" width="14" style="747" customWidth="1"/>
    <col min="12843" max="12843" width="14.42578125" style="747" bestFit="1" customWidth="1"/>
    <col min="12844" max="12844" width="16.85546875" style="747" customWidth="1"/>
    <col min="12845" max="12845" width="11.42578125" style="747" customWidth="1"/>
    <col min="12846" max="12846" width="12.85546875" style="747" customWidth="1"/>
    <col min="12847" max="12847" width="10.7109375" style="747" customWidth="1"/>
    <col min="12848" max="12848" width="16.5703125" style="747" customWidth="1"/>
    <col min="12849" max="12849" width="16.42578125" style="747" customWidth="1"/>
    <col min="12850" max="12850" width="11.7109375" style="747" customWidth="1"/>
    <col min="12851" max="12851" width="14.42578125" style="747" customWidth="1"/>
    <col min="12852" max="13054" width="9.140625" style="747"/>
    <col min="13055" max="13055" width="56.85546875" style="747" customWidth="1"/>
    <col min="13056" max="13056" width="15.7109375" style="747" customWidth="1"/>
    <col min="13057" max="13057" width="10.5703125" style="747" customWidth="1"/>
    <col min="13058" max="13060" width="16.28515625" style="747" customWidth="1"/>
    <col min="13061" max="13061" width="12.7109375" style="747" customWidth="1"/>
    <col min="13062" max="13063" width="9.140625" style="747"/>
    <col min="13064" max="13064" width="25.85546875" style="747" customWidth="1"/>
    <col min="13065" max="13065" width="13.140625" style="747" customWidth="1"/>
    <col min="13066" max="13067" width="13.42578125" style="747" bestFit="1" customWidth="1"/>
    <col min="13068" max="13068" width="13.85546875" style="747" bestFit="1" customWidth="1"/>
    <col min="13069" max="13069" width="11.42578125" style="747" customWidth="1"/>
    <col min="13070" max="13070" width="14.5703125" style="747" customWidth="1"/>
    <col min="13071" max="13071" width="10.7109375" style="747" customWidth="1"/>
    <col min="13072" max="13072" width="12.28515625" style="747" customWidth="1"/>
    <col min="13073" max="13073" width="13.28515625" style="747" customWidth="1"/>
    <col min="13074" max="13074" width="10.5703125" style="747" customWidth="1"/>
    <col min="13075" max="13075" width="14.42578125" style="747" customWidth="1"/>
    <col min="13076" max="13076" width="9.140625" style="747"/>
    <col min="13077" max="13077" width="29.5703125" style="747" customWidth="1"/>
    <col min="13078" max="13082" width="15.5703125" style="747" customWidth="1"/>
    <col min="13083" max="13083" width="11.42578125" style="747" customWidth="1"/>
    <col min="13084" max="13084" width="15.42578125" style="747" customWidth="1"/>
    <col min="13085" max="13086" width="9.140625" style="747"/>
    <col min="13087" max="13087" width="48.28515625" style="747" customWidth="1"/>
    <col min="13088" max="13094" width="17.7109375" style="747" customWidth="1"/>
    <col min="13095" max="13095" width="9.140625" style="747"/>
    <col min="13096" max="13096" width="26.85546875" style="747" bestFit="1" customWidth="1"/>
    <col min="13097" max="13097" width="18.7109375" style="747" customWidth="1"/>
    <col min="13098" max="13098" width="14" style="747" customWidth="1"/>
    <col min="13099" max="13099" width="14.42578125" style="747" bestFit="1" customWidth="1"/>
    <col min="13100" max="13100" width="16.85546875" style="747" customWidth="1"/>
    <col min="13101" max="13101" width="11.42578125" style="747" customWidth="1"/>
    <col min="13102" max="13102" width="12.85546875" style="747" customWidth="1"/>
    <col min="13103" max="13103" width="10.7109375" style="747" customWidth="1"/>
    <col min="13104" max="13104" width="16.5703125" style="747" customWidth="1"/>
    <col min="13105" max="13105" width="16.42578125" style="747" customWidth="1"/>
    <col min="13106" max="13106" width="11.7109375" style="747" customWidth="1"/>
    <col min="13107" max="13107" width="14.42578125" style="747" customWidth="1"/>
    <col min="13108" max="13310" width="9.140625" style="747"/>
    <col min="13311" max="13311" width="56.85546875" style="747" customWidth="1"/>
    <col min="13312" max="13312" width="15.7109375" style="747" customWidth="1"/>
    <col min="13313" max="13313" width="10.5703125" style="747" customWidth="1"/>
    <col min="13314" max="13316" width="16.28515625" style="747" customWidth="1"/>
    <col min="13317" max="13317" width="12.7109375" style="747" customWidth="1"/>
    <col min="13318" max="13319" width="9.140625" style="747"/>
    <col min="13320" max="13320" width="25.85546875" style="747" customWidth="1"/>
    <col min="13321" max="13321" width="13.140625" style="747" customWidth="1"/>
    <col min="13322" max="13323" width="13.42578125" style="747" bestFit="1" customWidth="1"/>
    <col min="13324" max="13324" width="13.85546875" style="747" bestFit="1" customWidth="1"/>
    <col min="13325" max="13325" width="11.42578125" style="747" customWidth="1"/>
    <col min="13326" max="13326" width="14.5703125" style="747" customWidth="1"/>
    <col min="13327" max="13327" width="10.7109375" style="747" customWidth="1"/>
    <col min="13328" max="13328" width="12.28515625" style="747" customWidth="1"/>
    <col min="13329" max="13329" width="13.28515625" style="747" customWidth="1"/>
    <col min="13330" max="13330" width="10.5703125" style="747" customWidth="1"/>
    <col min="13331" max="13331" width="14.42578125" style="747" customWidth="1"/>
    <col min="13332" max="13332" width="9.140625" style="747"/>
    <col min="13333" max="13333" width="29.5703125" style="747" customWidth="1"/>
    <col min="13334" max="13338" width="15.5703125" style="747" customWidth="1"/>
    <col min="13339" max="13339" width="11.42578125" style="747" customWidth="1"/>
    <col min="13340" max="13340" width="15.42578125" style="747" customWidth="1"/>
    <col min="13341" max="13342" width="9.140625" style="747"/>
    <col min="13343" max="13343" width="48.28515625" style="747" customWidth="1"/>
    <col min="13344" max="13350" width="17.7109375" style="747" customWidth="1"/>
    <col min="13351" max="13351" width="9.140625" style="747"/>
    <col min="13352" max="13352" width="26.85546875" style="747" bestFit="1" customWidth="1"/>
    <col min="13353" max="13353" width="18.7109375" style="747" customWidth="1"/>
    <col min="13354" max="13354" width="14" style="747" customWidth="1"/>
    <col min="13355" max="13355" width="14.42578125" style="747" bestFit="1" customWidth="1"/>
    <col min="13356" max="13356" width="16.85546875" style="747" customWidth="1"/>
    <col min="13357" max="13357" width="11.42578125" style="747" customWidth="1"/>
    <col min="13358" max="13358" width="12.85546875" style="747" customWidth="1"/>
    <col min="13359" max="13359" width="10.7109375" style="747" customWidth="1"/>
    <col min="13360" max="13360" width="16.5703125" style="747" customWidth="1"/>
    <col min="13361" max="13361" width="16.42578125" style="747" customWidth="1"/>
    <col min="13362" max="13362" width="11.7109375" style="747" customWidth="1"/>
    <col min="13363" max="13363" width="14.42578125" style="747" customWidth="1"/>
    <col min="13364" max="13566" width="9.140625" style="747"/>
    <col min="13567" max="13567" width="56.85546875" style="747" customWidth="1"/>
    <col min="13568" max="13568" width="15.7109375" style="747" customWidth="1"/>
    <col min="13569" max="13569" width="10.5703125" style="747" customWidth="1"/>
    <col min="13570" max="13572" width="16.28515625" style="747" customWidth="1"/>
    <col min="13573" max="13573" width="12.7109375" style="747" customWidth="1"/>
    <col min="13574" max="13575" width="9.140625" style="747"/>
    <col min="13576" max="13576" width="25.85546875" style="747" customWidth="1"/>
    <col min="13577" max="13577" width="13.140625" style="747" customWidth="1"/>
    <col min="13578" max="13579" width="13.42578125" style="747" bestFit="1" customWidth="1"/>
    <col min="13580" max="13580" width="13.85546875" style="747" bestFit="1" customWidth="1"/>
    <col min="13581" max="13581" width="11.42578125" style="747" customWidth="1"/>
    <col min="13582" max="13582" width="14.5703125" style="747" customWidth="1"/>
    <col min="13583" max="13583" width="10.7109375" style="747" customWidth="1"/>
    <col min="13584" max="13584" width="12.28515625" style="747" customWidth="1"/>
    <col min="13585" max="13585" width="13.28515625" style="747" customWidth="1"/>
    <col min="13586" max="13586" width="10.5703125" style="747" customWidth="1"/>
    <col min="13587" max="13587" width="14.42578125" style="747" customWidth="1"/>
    <col min="13588" max="13588" width="9.140625" style="747"/>
    <col min="13589" max="13589" width="29.5703125" style="747" customWidth="1"/>
    <col min="13590" max="13594" width="15.5703125" style="747" customWidth="1"/>
    <col min="13595" max="13595" width="11.42578125" style="747" customWidth="1"/>
    <col min="13596" max="13596" width="15.42578125" style="747" customWidth="1"/>
    <col min="13597" max="13598" width="9.140625" style="747"/>
    <col min="13599" max="13599" width="48.28515625" style="747" customWidth="1"/>
    <col min="13600" max="13606" width="17.7109375" style="747" customWidth="1"/>
    <col min="13607" max="13607" width="9.140625" style="747"/>
    <col min="13608" max="13608" width="26.85546875" style="747" bestFit="1" customWidth="1"/>
    <col min="13609" max="13609" width="18.7109375" style="747" customWidth="1"/>
    <col min="13610" max="13610" width="14" style="747" customWidth="1"/>
    <col min="13611" max="13611" width="14.42578125" style="747" bestFit="1" customWidth="1"/>
    <col min="13612" max="13612" width="16.85546875" style="747" customWidth="1"/>
    <col min="13613" max="13613" width="11.42578125" style="747" customWidth="1"/>
    <col min="13614" max="13614" width="12.85546875" style="747" customWidth="1"/>
    <col min="13615" max="13615" width="10.7109375" style="747" customWidth="1"/>
    <col min="13616" max="13616" width="16.5703125" style="747" customWidth="1"/>
    <col min="13617" max="13617" width="16.42578125" style="747" customWidth="1"/>
    <col min="13618" max="13618" width="11.7109375" style="747" customWidth="1"/>
    <col min="13619" max="13619" width="14.42578125" style="747" customWidth="1"/>
    <col min="13620" max="13822" width="9.140625" style="747"/>
    <col min="13823" max="13823" width="56.85546875" style="747" customWidth="1"/>
    <col min="13824" max="13824" width="15.7109375" style="747" customWidth="1"/>
    <col min="13825" max="13825" width="10.5703125" style="747" customWidth="1"/>
    <col min="13826" max="13828" width="16.28515625" style="747" customWidth="1"/>
    <col min="13829" max="13829" width="12.7109375" style="747" customWidth="1"/>
    <col min="13830" max="13831" width="9.140625" style="747"/>
    <col min="13832" max="13832" width="25.85546875" style="747" customWidth="1"/>
    <col min="13833" max="13833" width="13.140625" style="747" customWidth="1"/>
    <col min="13834" max="13835" width="13.42578125" style="747" bestFit="1" customWidth="1"/>
    <col min="13836" max="13836" width="13.85546875" style="747" bestFit="1" customWidth="1"/>
    <col min="13837" max="13837" width="11.42578125" style="747" customWidth="1"/>
    <col min="13838" max="13838" width="14.5703125" style="747" customWidth="1"/>
    <col min="13839" max="13839" width="10.7109375" style="747" customWidth="1"/>
    <col min="13840" max="13840" width="12.28515625" style="747" customWidth="1"/>
    <col min="13841" max="13841" width="13.28515625" style="747" customWidth="1"/>
    <col min="13842" max="13842" width="10.5703125" style="747" customWidth="1"/>
    <col min="13843" max="13843" width="14.42578125" style="747" customWidth="1"/>
    <col min="13844" max="13844" width="9.140625" style="747"/>
    <col min="13845" max="13845" width="29.5703125" style="747" customWidth="1"/>
    <col min="13846" max="13850" width="15.5703125" style="747" customWidth="1"/>
    <col min="13851" max="13851" width="11.42578125" style="747" customWidth="1"/>
    <col min="13852" max="13852" width="15.42578125" style="747" customWidth="1"/>
    <col min="13853" max="13854" width="9.140625" style="747"/>
    <col min="13855" max="13855" width="48.28515625" style="747" customWidth="1"/>
    <col min="13856" max="13862" width="17.7109375" style="747" customWidth="1"/>
    <col min="13863" max="13863" width="9.140625" style="747"/>
    <col min="13864" max="13864" width="26.85546875" style="747" bestFit="1" customWidth="1"/>
    <col min="13865" max="13865" width="18.7109375" style="747" customWidth="1"/>
    <col min="13866" max="13866" width="14" style="747" customWidth="1"/>
    <col min="13867" max="13867" width="14.42578125" style="747" bestFit="1" customWidth="1"/>
    <col min="13868" max="13868" width="16.85546875" style="747" customWidth="1"/>
    <col min="13869" max="13869" width="11.42578125" style="747" customWidth="1"/>
    <col min="13870" max="13870" width="12.85546875" style="747" customWidth="1"/>
    <col min="13871" max="13871" width="10.7109375" style="747" customWidth="1"/>
    <col min="13872" max="13872" width="16.5703125" style="747" customWidth="1"/>
    <col min="13873" max="13873" width="16.42578125" style="747" customWidth="1"/>
    <col min="13874" max="13874" width="11.7109375" style="747" customWidth="1"/>
    <col min="13875" max="13875" width="14.42578125" style="747" customWidth="1"/>
    <col min="13876" max="14078" width="9.140625" style="747"/>
    <col min="14079" max="14079" width="56.85546875" style="747" customWidth="1"/>
    <col min="14080" max="14080" width="15.7109375" style="747" customWidth="1"/>
    <col min="14081" max="14081" width="10.5703125" style="747" customWidth="1"/>
    <col min="14082" max="14084" width="16.28515625" style="747" customWidth="1"/>
    <col min="14085" max="14085" width="12.7109375" style="747" customWidth="1"/>
    <col min="14086" max="14087" width="9.140625" style="747"/>
    <col min="14088" max="14088" width="25.85546875" style="747" customWidth="1"/>
    <col min="14089" max="14089" width="13.140625" style="747" customWidth="1"/>
    <col min="14090" max="14091" width="13.42578125" style="747" bestFit="1" customWidth="1"/>
    <col min="14092" max="14092" width="13.85546875" style="747" bestFit="1" customWidth="1"/>
    <col min="14093" max="14093" width="11.42578125" style="747" customWidth="1"/>
    <col min="14094" max="14094" width="14.5703125" style="747" customWidth="1"/>
    <col min="14095" max="14095" width="10.7109375" style="747" customWidth="1"/>
    <col min="14096" max="14096" width="12.28515625" style="747" customWidth="1"/>
    <col min="14097" max="14097" width="13.28515625" style="747" customWidth="1"/>
    <col min="14098" max="14098" width="10.5703125" style="747" customWidth="1"/>
    <col min="14099" max="14099" width="14.42578125" style="747" customWidth="1"/>
    <col min="14100" max="14100" width="9.140625" style="747"/>
    <col min="14101" max="14101" width="29.5703125" style="747" customWidth="1"/>
    <col min="14102" max="14106" width="15.5703125" style="747" customWidth="1"/>
    <col min="14107" max="14107" width="11.42578125" style="747" customWidth="1"/>
    <col min="14108" max="14108" width="15.42578125" style="747" customWidth="1"/>
    <col min="14109" max="14110" width="9.140625" style="747"/>
    <col min="14111" max="14111" width="48.28515625" style="747" customWidth="1"/>
    <col min="14112" max="14118" width="17.7109375" style="747" customWidth="1"/>
    <col min="14119" max="14119" width="9.140625" style="747"/>
    <col min="14120" max="14120" width="26.85546875" style="747" bestFit="1" customWidth="1"/>
    <col min="14121" max="14121" width="18.7109375" style="747" customWidth="1"/>
    <col min="14122" max="14122" width="14" style="747" customWidth="1"/>
    <col min="14123" max="14123" width="14.42578125" style="747" bestFit="1" customWidth="1"/>
    <col min="14124" max="14124" width="16.85546875" style="747" customWidth="1"/>
    <col min="14125" max="14125" width="11.42578125" style="747" customWidth="1"/>
    <col min="14126" max="14126" width="12.85546875" style="747" customWidth="1"/>
    <col min="14127" max="14127" width="10.7109375" style="747" customWidth="1"/>
    <col min="14128" max="14128" width="16.5703125" style="747" customWidth="1"/>
    <col min="14129" max="14129" width="16.42578125" style="747" customWidth="1"/>
    <col min="14130" max="14130" width="11.7109375" style="747" customWidth="1"/>
    <col min="14131" max="14131" width="14.42578125" style="747" customWidth="1"/>
    <col min="14132" max="14334" width="9.140625" style="747"/>
    <col min="14335" max="14335" width="56.85546875" style="747" customWidth="1"/>
    <col min="14336" max="14336" width="15.7109375" style="747" customWidth="1"/>
    <col min="14337" max="14337" width="10.5703125" style="747" customWidth="1"/>
    <col min="14338" max="14340" width="16.28515625" style="747" customWidth="1"/>
    <col min="14341" max="14341" width="12.7109375" style="747" customWidth="1"/>
    <col min="14342" max="14343" width="9.140625" style="747"/>
    <col min="14344" max="14344" width="25.85546875" style="747" customWidth="1"/>
    <col min="14345" max="14345" width="13.140625" style="747" customWidth="1"/>
    <col min="14346" max="14347" width="13.42578125" style="747" bestFit="1" customWidth="1"/>
    <col min="14348" max="14348" width="13.85546875" style="747" bestFit="1" customWidth="1"/>
    <col min="14349" max="14349" width="11.42578125" style="747" customWidth="1"/>
    <col min="14350" max="14350" width="14.5703125" style="747" customWidth="1"/>
    <col min="14351" max="14351" width="10.7109375" style="747" customWidth="1"/>
    <col min="14352" max="14352" width="12.28515625" style="747" customWidth="1"/>
    <col min="14353" max="14353" width="13.28515625" style="747" customWidth="1"/>
    <col min="14354" max="14354" width="10.5703125" style="747" customWidth="1"/>
    <col min="14355" max="14355" width="14.42578125" style="747" customWidth="1"/>
    <col min="14356" max="14356" width="9.140625" style="747"/>
    <col min="14357" max="14357" width="29.5703125" style="747" customWidth="1"/>
    <col min="14358" max="14362" width="15.5703125" style="747" customWidth="1"/>
    <col min="14363" max="14363" width="11.42578125" style="747" customWidth="1"/>
    <col min="14364" max="14364" width="15.42578125" style="747" customWidth="1"/>
    <col min="14365" max="14366" width="9.140625" style="747"/>
    <col min="14367" max="14367" width="48.28515625" style="747" customWidth="1"/>
    <col min="14368" max="14374" width="17.7109375" style="747" customWidth="1"/>
    <col min="14375" max="14375" width="9.140625" style="747"/>
    <col min="14376" max="14376" width="26.85546875" style="747" bestFit="1" customWidth="1"/>
    <col min="14377" max="14377" width="18.7109375" style="747" customWidth="1"/>
    <col min="14378" max="14378" width="14" style="747" customWidth="1"/>
    <col min="14379" max="14379" width="14.42578125" style="747" bestFit="1" customWidth="1"/>
    <col min="14380" max="14380" width="16.85546875" style="747" customWidth="1"/>
    <col min="14381" max="14381" width="11.42578125" style="747" customWidth="1"/>
    <col min="14382" max="14382" width="12.85546875" style="747" customWidth="1"/>
    <col min="14383" max="14383" width="10.7109375" style="747" customWidth="1"/>
    <col min="14384" max="14384" width="16.5703125" style="747" customWidth="1"/>
    <col min="14385" max="14385" width="16.42578125" style="747" customWidth="1"/>
    <col min="14386" max="14386" width="11.7109375" style="747" customWidth="1"/>
    <col min="14387" max="14387" width="14.42578125" style="747" customWidth="1"/>
    <col min="14388" max="14590" width="9.140625" style="747"/>
    <col min="14591" max="14591" width="56.85546875" style="747" customWidth="1"/>
    <col min="14592" max="14592" width="15.7109375" style="747" customWidth="1"/>
    <col min="14593" max="14593" width="10.5703125" style="747" customWidth="1"/>
    <col min="14594" max="14596" width="16.28515625" style="747" customWidth="1"/>
    <col min="14597" max="14597" width="12.7109375" style="747" customWidth="1"/>
    <col min="14598" max="14599" width="9.140625" style="747"/>
    <col min="14600" max="14600" width="25.85546875" style="747" customWidth="1"/>
    <col min="14601" max="14601" width="13.140625" style="747" customWidth="1"/>
    <col min="14602" max="14603" width="13.42578125" style="747" bestFit="1" customWidth="1"/>
    <col min="14604" max="14604" width="13.85546875" style="747" bestFit="1" customWidth="1"/>
    <col min="14605" max="14605" width="11.42578125" style="747" customWidth="1"/>
    <col min="14606" max="14606" width="14.5703125" style="747" customWidth="1"/>
    <col min="14607" max="14607" width="10.7109375" style="747" customWidth="1"/>
    <col min="14608" max="14608" width="12.28515625" style="747" customWidth="1"/>
    <col min="14609" max="14609" width="13.28515625" style="747" customWidth="1"/>
    <col min="14610" max="14610" width="10.5703125" style="747" customWidth="1"/>
    <col min="14611" max="14611" width="14.42578125" style="747" customWidth="1"/>
    <col min="14612" max="14612" width="9.140625" style="747"/>
    <col min="14613" max="14613" width="29.5703125" style="747" customWidth="1"/>
    <col min="14614" max="14618" width="15.5703125" style="747" customWidth="1"/>
    <col min="14619" max="14619" width="11.42578125" style="747" customWidth="1"/>
    <col min="14620" max="14620" width="15.42578125" style="747" customWidth="1"/>
    <col min="14621" max="14622" width="9.140625" style="747"/>
    <col min="14623" max="14623" width="48.28515625" style="747" customWidth="1"/>
    <col min="14624" max="14630" width="17.7109375" style="747" customWidth="1"/>
    <col min="14631" max="14631" width="9.140625" style="747"/>
    <col min="14632" max="14632" width="26.85546875" style="747" bestFit="1" customWidth="1"/>
    <col min="14633" max="14633" width="18.7109375" style="747" customWidth="1"/>
    <col min="14634" max="14634" width="14" style="747" customWidth="1"/>
    <col min="14635" max="14635" width="14.42578125" style="747" bestFit="1" customWidth="1"/>
    <col min="14636" max="14636" width="16.85546875" style="747" customWidth="1"/>
    <col min="14637" max="14637" width="11.42578125" style="747" customWidth="1"/>
    <col min="14638" max="14638" width="12.85546875" style="747" customWidth="1"/>
    <col min="14639" max="14639" width="10.7109375" style="747" customWidth="1"/>
    <col min="14640" max="14640" width="16.5703125" style="747" customWidth="1"/>
    <col min="14641" max="14641" width="16.42578125" style="747" customWidth="1"/>
    <col min="14642" max="14642" width="11.7109375" style="747" customWidth="1"/>
    <col min="14643" max="14643" width="14.42578125" style="747" customWidth="1"/>
    <col min="14644" max="14846" width="9.140625" style="747"/>
    <col min="14847" max="14847" width="56.85546875" style="747" customWidth="1"/>
    <col min="14848" max="14848" width="15.7109375" style="747" customWidth="1"/>
    <col min="14849" max="14849" width="10.5703125" style="747" customWidth="1"/>
    <col min="14850" max="14852" width="16.28515625" style="747" customWidth="1"/>
    <col min="14853" max="14853" width="12.7109375" style="747" customWidth="1"/>
    <col min="14854" max="14855" width="9.140625" style="747"/>
    <col min="14856" max="14856" width="25.85546875" style="747" customWidth="1"/>
    <col min="14857" max="14857" width="13.140625" style="747" customWidth="1"/>
    <col min="14858" max="14859" width="13.42578125" style="747" bestFit="1" customWidth="1"/>
    <col min="14860" max="14860" width="13.85546875" style="747" bestFit="1" customWidth="1"/>
    <col min="14861" max="14861" width="11.42578125" style="747" customWidth="1"/>
    <col min="14862" max="14862" width="14.5703125" style="747" customWidth="1"/>
    <col min="14863" max="14863" width="10.7109375" style="747" customWidth="1"/>
    <col min="14864" max="14864" width="12.28515625" style="747" customWidth="1"/>
    <col min="14865" max="14865" width="13.28515625" style="747" customWidth="1"/>
    <col min="14866" max="14866" width="10.5703125" style="747" customWidth="1"/>
    <col min="14867" max="14867" width="14.42578125" style="747" customWidth="1"/>
    <col min="14868" max="14868" width="9.140625" style="747"/>
    <col min="14869" max="14869" width="29.5703125" style="747" customWidth="1"/>
    <col min="14870" max="14874" width="15.5703125" style="747" customWidth="1"/>
    <col min="14875" max="14875" width="11.42578125" style="747" customWidth="1"/>
    <col min="14876" max="14876" width="15.42578125" style="747" customWidth="1"/>
    <col min="14877" max="14878" width="9.140625" style="747"/>
    <col min="14879" max="14879" width="48.28515625" style="747" customWidth="1"/>
    <col min="14880" max="14886" width="17.7109375" style="747" customWidth="1"/>
    <col min="14887" max="14887" width="9.140625" style="747"/>
    <col min="14888" max="14888" width="26.85546875" style="747" bestFit="1" customWidth="1"/>
    <col min="14889" max="14889" width="18.7109375" style="747" customWidth="1"/>
    <col min="14890" max="14890" width="14" style="747" customWidth="1"/>
    <col min="14891" max="14891" width="14.42578125" style="747" bestFit="1" customWidth="1"/>
    <col min="14892" max="14892" width="16.85546875" style="747" customWidth="1"/>
    <col min="14893" max="14893" width="11.42578125" style="747" customWidth="1"/>
    <col min="14894" max="14894" width="12.85546875" style="747" customWidth="1"/>
    <col min="14895" max="14895" width="10.7109375" style="747" customWidth="1"/>
    <col min="14896" max="14896" width="16.5703125" style="747" customWidth="1"/>
    <col min="14897" max="14897" width="16.42578125" style="747" customWidth="1"/>
    <col min="14898" max="14898" width="11.7109375" style="747" customWidth="1"/>
    <col min="14899" max="14899" width="14.42578125" style="747" customWidth="1"/>
    <col min="14900" max="15102" width="9.140625" style="747"/>
    <col min="15103" max="15103" width="56.85546875" style="747" customWidth="1"/>
    <col min="15104" max="15104" width="15.7109375" style="747" customWidth="1"/>
    <col min="15105" max="15105" width="10.5703125" style="747" customWidth="1"/>
    <col min="15106" max="15108" width="16.28515625" style="747" customWidth="1"/>
    <col min="15109" max="15109" width="12.7109375" style="747" customWidth="1"/>
    <col min="15110" max="15111" width="9.140625" style="747"/>
    <col min="15112" max="15112" width="25.85546875" style="747" customWidth="1"/>
    <col min="15113" max="15113" width="13.140625" style="747" customWidth="1"/>
    <col min="15114" max="15115" width="13.42578125" style="747" bestFit="1" customWidth="1"/>
    <col min="15116" max="15116" width="13.85546875" style="747" bestFit="1" customWidth="1"/>
    <col min="15117" max="15117" width="11.42578125" style="747" customWidth="1"/>
    <col min="15118" max="15118" width="14.5703125" style="747" customWidth="1"/>
    <col min="15119" max="15119" width="10.7109375" style="747" customWidth="1"/>
    <col min="15120" max="15120" width="12.28515625" style="747" customWidth="1"/>
    <col min="15121" max="15121" width="13.28515625" style="747" customWidth="1"/>
    <col min="15122" max="15122" width="10.5703125" style="747" customWidth="1"/>
    <col min="15123" max="15123" width="14.42578125" style="747" customWidth="1"/>
    <col min="15124" max="15124" width="9.140625" style="747"/>
    <col min="15125" max="15125" width="29.5703125" style="747" customWidth="1"/>
    <col min="15126" max="15130" width="15.5703125" style="747" customWidth="1"/>
    <col min="15131" max="15131" width="11.42578125" style="747" customWidth="1"/>
    <col min="15132" max="15132" width="15.42578125" style="747" customWidth="1"/>
    <col min="15133" max="15134" width="9.140625" style="747"/>
    <col min="15135" max="15135" width="48.28515625" style="747" customWidth="1"/>
    <col min="15136" max="15142" width="17.7109375" style="747" customWidth="1"/>
    <col min="15143" max="15143" width="9.140625" style="747"/>
    <col min="15144" max="15144" width="26.85546875" style="747" bestFit="1" customWidth="1"/>
    <col min="15145" max="15145" width="18.7109375" style="747" customWidth="1"/>
    <col min="15146" max="15146" width="14" style="747" customWidth="1"/>
    <col min="15147" max="15147" width="14.42578125" style="747" bestFit="1" customWidth="1"/>
    <col min="15148" max="15148" width="16.85546875" style="747" customWidth="1"/>
    <col min="15149" max="15149" width="11.42578125" style="747" customWidth="1"/>
    <col min="15150" max="15150" width="12.85546875" style="747" customWidth="1"/>
    <col min="15151" max="15151" width="10.7109375" style="747" customWidth="1"/>
    <col min="15152" max="15152" width="16.5703125" style="747" customWidth="1"/>
    <col min="15153" max="15153" width="16.42578125" style="747" customWidth="1"/>
    <col min="15154" max="15154" width="11.7109375" style="747" customWidth="1"/>
    <col min="15155" max="15155" width="14.42578125" style="747" customWidth="1"/>
    <col min="15156" max="15358" width="9.140625" style="747"/>
    <col min="15359" max="15359" width="56.85546875" style="747" customWidth="1"/>
    <col min="15360" max="15360" width="15.7109375" style="747" customWidth="1"/>
    <col min="15361" max="15361" width="10.5703125" style="747" customWidth="1"/>
    <col min="15362" max="15364" width="16.28515625" style="747" customWidth="1"/>
    <col min="15365" max="15365" width="12.7109375" style="747" customWidth="1"/>
    <col min="15366" max="15367" width="9.140625" style="747"/>
    <col min="15368" max="15368" width="25.85546875" style="747" customWidth="1"/>
    <col min="15369" max="15369" width="13.140625" style="747" customWidth="1"/>
    <col min="15370" max="15371" width="13.42578125" style="747" bestFit="1" customWidth="1"/>
    <col min="15372" max="15372" width="13.85546875" style="747" bestFit="1" customWidth="1"/>
    <col min="15373" max="15373" width="11.42578125" style="747" customWidth="1"/>
    <col min="15374" max="15374" width="14.5703125" style="747" customWidth="1"/>
    <col min="15375" max="15375" width="10.7109375" style="747" customWidth="1"/>
    <col min="15376" max="15376" width="12.28515625" style="747" customWidth="1"/>
    <col min="15377" max="15377" width="13.28515625" style="747" customWidth="1"/>
    <col min="15378" max="15378" width="10.5703125" style="747" customWidth="1"/>
    <col min="15379" max="15379" width="14.42578125" style="747" customWidth="1"/>
    <col min="15380" max="15380" width="9.140625" style="747"/>
    <col min="15381" max="15381" width="29.5703125" style="747" customWidth="1"/>
    <col min="15382" max="15386" width="15.5703125" style="747" customWidth="1"/>
    <col min="15387" max="15387" width="11.42578125" style="747" customWidth="1"/>
    <col min="15388" max="15388" width="15.42578125" style="747" customWidth="1"/>
    <col min="15389" max="15390" width="9.140625" style="747"/>
    <col min="15391" max="15391" width="48.28515625" style="747" customWidth="1"/>
    <col min="15392" max="15398" width="17.7109375" style="747" customWidth="1"/>
    <col min="15399" max="15399" width="9.140625" style="747"/>
    <col min="15400" max="15400" width="26.85546875" style="747" bestFit="1" customWidth="1"/>
    <col min="15401" max="15401" width="18.7109375" style="747" customWidth="1"/>
    <col min="15402" max="15402" width="14" style="747" customWidth="1"/>
    <col min="15403" max="15403" width="14.42578125" style="747" bestFit="1" customWidth="1"/>
    <col min="15404" max="15404" width="16.85546875" style="747" customWidth="1"/>
    <col min="15405" max="15405" width="11.42578125" style="747" customWidth="1"/>
    <col min="15406" max="15406" width="12.85546875" style="747" customWidth="1"/>
    <col min="15407" max="15407" width="10.7109375" style="747" customWidth="1"/>
    <col min="15408" max="15408" width="16.5703125" style="747" customWidth="1"/>
    <col min="15409" max="15409" width="16.42578125" style="747" customWidth="1"/>
    <col min="15410" max="15410" width="11.7109375" style="747" customWidth="1"/>
    <col min="15411" max="15411" width="14.42578125" style="747" customWidth="1"/>
    <col min="15412" max="15614" width="9.140625" style="747"/>
    <col min="15615" max="15615" width="56.85546875" style="747" customWidth="1"/>
    <col min="15616" max="15616" width="15.7109375" style="747" customWidth="1"/>
    <col min="15617" max="15617" width="10.5703125" style="747" customWidth="1"/>
    <col min="15618" max="15620" width="16.28515625" style="747" customWidth="1"/>
    <col min="15621" max="15621" width="12.7109375" style="747" customWidth="1"/>
    <col min="15622" max="15623" width="9.140625" style="747"/>
    <col min="15624" max="15624" width="25.85546875" style="747" customWidth="1"/>
    <col min="15625" max="15625" width="13.140625" style="747" customWidth="1"/>
    <col min="15626" max="15627" width="13.42578125" style="747" bestFit="1" customWidth="1"/>
    <col min="15628" max="15628" width="13.85546875" style="747" bestFit="1" customWidth="1"/>
    <col min="15629" max="15629" width="11.42578125" style="747" customWidth="1"/>
    <col min="15630" max="15630" width="14.5703125" style="747" customWidth="1"/>
    <col min="15631" max="15631" width="10.7109375" style="747" customWidth="1"/>
    <col min="15632" max="15632" width="12.28515625" style="747" customWidth="1"/>
    <col min="15633" max="15633" width="13.28515625" style="747" customWidth="1"/>
    <col min="15634" max="15634" width="10.5703125" style="747" customWidth="1"/>
    <col min="15635" max="15635" width="14.42578125" style="747" customWidth="1"/>
    <col min="15636" max="15636" width="9.140625" style="747"/>
    <col min="15637" max="15637" width="29.5703125" style="747" customWidth="1"/>
    <col min="15638" max="15642" width="15.5703125" style="747" customWidth="1"/>
    <col min="15643" max="15643" width="11.42578125" style="747" customWidth="1"/>
    <col min="15644" max="15644" width="15.42578125" style="747" customWidth="1"/>
    <col min="15645" max="15646" width="9.140625" style="747"/>
    <col min="15647" max="15647" width="48.28515625" style="747" customWidth="1"/>
    <col min="15648" max="15654" width="17.7109375" style="747" customWidth="1"/>
    <col min="15655" max="15655" width="9.140625" style="747"/>
    <col min="15656" max="15656" width="26.85546875" style="747" bestFit="1" customWidth="1"/>
    <col min="15657" max="15657" width="18.7109375" style="747" customWidth="1"/>
    <col min="15658" max="15658" width="14" style="747" customWidth="1"/>
    <col min="15659" max="15659" width="14.42578125" style="747" bestFit="1" customWidth="1"/>
    <col min="15660" max="15660" width="16.85546875" style="747" customWidth="1"/>
    <col min="15661" max="15661" width="11.42578125" style="747" customWidth="1"/>
    <col min="15662" max="15662" width="12.85546875" style="747" customWidth="1"/>
    <col min="15663" max="15663" width="10.7109375" style="747" customWidth="1"/>
    <col min="15664" max="15664" width="16.5703125" style="747" customWidth="1"/>
    <col min="15665" max="15665" width="16.42578125" style="747" customWidth="1"/>
    <col min="15666" max="15666" width="11.7109375" style="747" customWidth="1"/>
    <col min="15667" max="15667" width="14.42578125" style="747" customWidth="1"/>
    <col min="15668" max="15870" width="9.140625" style="747"/>
    <col min="15871" max="15871" width="56.85546875" style="747" customWidth="1"/>
    <col min="15872" max="15872" width="15.7109375" style="747" customWidth="1"/>
    <col min="15873" max="15873" width="10.5703125" style="747" customWidth="1"/>
    <col min="15874" max="15876" width="16.28515625" style="747" customWidth="1"/>
    <col min="15877" max="15877" width="12.7109375" style="747" customWidth="1"/>
    <col min="15878" max="15879" width="9.140625" style="747"/>
    <col min="15880" max="15880" width="25.85546875" style="747" customWidth="1"/>
    <col min="15881" max="15881" width="13.140625" style="747" customWidth="1"/>
    <col min="15882" max="15883" width="13.42578125" style="747" bestFit="1" customWidth="1"/>
    <col min="15884" max="15884" width="13.85546875" style="747" bestFit="1" customWidth="1"/>
    <col min="15885" max="15885" width="11.42578125" style="747" customWidth="1"/>
    <col min="15886" max="15886" width="14.5703125" style="747" customWidth="1"/>
    <col min="15887" max="15887" width="10.7109375" style="747" customWidth="1"/>
    <col min="15888" max="15888" width="12.28515625" style="747" customWidth="1"/>
    <col min="15889" max="15889" width="13.28515625" style="747" customWidth="1"/>
    <col min="15890" max="15890" width="10.5703125" style="747" customWidth="1"/>
    <col min="15891" max="15891" width="14.42578125" style="747" customWidth="1"/>
    <col min="15892" max="15892" width="9.140625" style="747"/>
    <col min="15893" max="15893" width="29.5703125" style="747" customWidth="1"/>
    <col min="15894" max="15898" width="15.5703125" style="747" customWidth="1"/>
    <col min="15899" max="15899" width="11.42578125" style="747" customWidth="1"/>
    <col min="15900" max="15900" width="15.42578125" style="747" customWidth="1"/>
    <col min="15901" max="15902" width="9.140625" style="747"/>
    <col min="15903" max="15903" width="48.28515625" style="747" customWidth="1"/>
    <col min="15904" max="15910" width="17.7109375" style="747" customWidth="1"/>
    <col min="15911" max="15911" width="9.140625" style="747"/>
    <col min="15912" max="15912" width="26.85546875" style="747" bestFit="1" customWidth="1"/>
    <col min="15913" max="15913" width="18.7109375" style="747" customWidth="1"/>
    <col min="15914" max="15914" width="14" style="747" customWidth="1"/>
    <col min="15915" max="15915" width="14.42578125" style="747" bestFit="1" customWidth="1"/>
    <col min="15916" max="15916" width="16.85546875" style="747" customWidth="1"/>
    <col min="15917" max="15917" width="11.42578125" style="747" customWidth="1"/>
    <col min="15918" max="15918" width="12.85546875" style="747" customWidth="1"/>
    <col min="15919" max="15919" width="10.7109375" style="747" customWidth="1"/>
    <col min="15920" max="15920" width="16.5703125" style="747" customWidth="1"/>
    <col min="15921" max="15921" width="16.42578125" style="747" customWidth="1"/>
    <col min="15922" max="15922" width="11.7109375" style="747" customWidth="1"/>
    <col min="15923" max="15923" width="14.42578125" style="747" customWidth="1"/>
    <col min="15924" max="16126" width="9.140625" style="747"/>
    <col min="16127" max="16127" width="56.85546875" style="747" customWidth="1"/>
    <col min="16128" max="16128" width="15.7109375" style="747" customWidth="1"/>
    <col min="16129" max="16129" width="10.5703125" style="747" customWidth="1"/>
    <col min="16130" max="16132" width="16.28515625" style="747" customWidth="1"/>
    <col min="16133" max="16133" width="12.7109375" style="747" customWidth="1"/>
    <col min="16134" max="16135" width="9.140625" style="747"/>
    <col min="16136" max="16136" width="25.85546875" style="747" customWidth="1"/>
    <col min="16137" max="16137" width="13.140625" style="747" customWidth="1"/>
    <col min="16138" max="16139" width="13.42578125" style="747" bestFit="1" customWidth="1"/>
    <col min="16140" max="16140" width="13.85546875" style="747" bestFit="1" customWidth="1"/>
    <col min="16141" max="16141" width="11.42578125" style="747" customWidth="1"/>
    <col min="16142" max="16142" width="14.5703125" style="747" customWidth="1"/>
    <col min="16143" max="16143" width="10.7109375" style="747" customWidth="1"/>
    <col min="16144" max="16144" width="12.28515625" style="747" customWidth="1"/>
    <col min="16145" max="16145" width="13.28515625" style="747" customWidth="1"/>
    <col min="16146" max="16146" width="10.5703125" style="747" customWidth="1"/>
    <col min="16147" max="16147" width="14.42578125" style="747" customWidth="1"/>
    <col min="16148" max="16148" width="9.140625" style="747"/>
    <col min="16149" max="16149" width="29.5703125" style="747" customWidth="1"/>
    <col min="16150" max="16154" width="15.5703125" style="747" customWidth="1"/>
    <col min="16155" max="16155" width="11.42578125" style="747" customWidth="1"/>
    <col min="16156" max="16156" width="15.42578125" style="747" customWidth="1"/>
    <col min="16157" max="16158" width="9.140625" style="747"/>
    <col min="16159" max="16159" width="48.28515625" style="747" customWidth="1"/>
    <col min="16160" max="16166" width="17.7109375" style="747" customWidth="1"/>
    <col min="16167" max="16167" width="9.140625" style="747"/>
    <col min="16168" max="16168" width="26.85546875" style="747" bestFit="1" customWidth="1"/>
    <col min="16169" max="16169" width="18.7109375" style="747" customWidth="1"/>
    <col min="16170" max="16170" width="14" style="747" customWidth="1"/>
    <col min="16171" max="16171" width="14.42578125" style="747" bestFit="1" customWidth="1"/>
    <col min="16172" max="16172" width="16.85546875" style="747" customWidth="1"/>
    <col min="16173" max="16173" width="11.42578125" style="747" customWidth="1"/>
    <col min="16174" max="16174" width="12.85546875" style="747" customWidth="1"/>
    <col min="16175" max="16175" width="10.7109375" style="747" customWidth="1"/>
    <col min="16176" max="16176" width="16.5703125" style="747" customWidth="1"/>
    <col min="16177" max="16177" width="16.42578125" style="747" customWidth="1"/>
    <col min="16178" max="16178" width="11.7109375" style="747" customWidth="1"/>
    <col min="16179" max="16179" width="14.42578125" style="747" customWidth="1"/>
    <col min="16180" max="16384" width="9.140625" style="747"/>
  </cols>
  <sheetData>
    <row r="1" spans="1:51" ht="19.5" thickBot="1" x14ac:dyDescent="0.35">
      <c r="A1" s="1359" t="s">
        <v>504</v>
      </c>
      <c r="B1" s="1360"/>
      <c r="C1" s="1360"/>
      <c r="D1" s="1360"/>
      <c r="E1" s="1360"/>
      <c r="F1" s="1361"/>
      <c r="H1" s="1359" t="s">
        <v>505</v>
      </c>
      <c r="I1" s="1360"/>
      <c r="J1" s="1360"/>
      <c r="K1" s="1360"/>
      <c r="L1" s="1360"/>
      <c r="M1" s="1360"/>
      <c r="N1" s="1360"/>
      <c r="O1" s="1360"/>
      <c r="P1" s="1360"/>
      <c r="Q1" s="1360"/>
      <c r="R1" s="1360"/>
      <c r="S1" s="1361"/>
      <c r="U1" s="1359" t="s">
        <v>506</v>
      </c>
      <c r="V1" s="1360"/>
      <c r="W1" s="1360"/>
      <c r="X1" s="1360"/>
      <c r="Y1" s="1360"/>
      <c r="Z1" s="1360"/>
      <c r="AA1" s="1360"/>
      <c r="AB1" s="1361"/>
      <c r="AE1" s="1359" t="s">
        <v>507</v>
      </c>
      <c r="AF1" s="1360"/>
      <c r="AG1" s="1360"/>
      <c r="AH1" s="1360"/>
      <c r="AI1" s="1360"/>
      <c r="AJ1" s="1360"/>
      <c r="AK1" s="1360"/>
      <c r="AL1" s="1361"/>
      <c r="AN1" s="1362"/>
      <c r="AO1" s="1362"/>
      <c r="AP1" s="1362"/>
      <c r="AQ1" s="1362"/>
      <c r="AR1" s="1362"/>
      <c r="AS1" s="1362"/>
      <c r="AT1" s="1362"/>
      <c r="AU1" s="1362"/>
      <c r="AV1" s="1362"/>
      <c r="AW1" s="1362"/>
      <c r="AX1" s="1362"/>
      <c r="AY1" s="1362"/>
    </row>
    <row r="2" spans="1:51" x14ac:dyDescent="0.25">
      <c r="A2" s="819"/>
      <c r="L2" s="820"/>
      <c r="M2" s="820"/>
      <c r="N2" s="820" t="s">
        <v>508</v>
      </c>
      <c r="Y2" s="1363"/>
      <c r="Z2" s="1363"/>
      <c r="AA2" s="821"/>
      <c r="AF2" s="822"/>
      <c r="AG2" s="822"/>
      <c r="AH2" s="822"/>
      <c r="AI2" s="822"/>
      <c r="AJ2" s="822"/>
      <c r="AK2" s="822"/>
      <c r="AL2" s="822"/>
      <c r="AN2" s="860"/>
      <c r="AO2" s="860"/>
      <c r="AP2" s="860"/>
      <c r="AQ2" s="860"/>
      <c r="AR2" s="828"/>
      <c r="AS2" s="828"/>
      <c r="AT2" s="828"/>
      <c r="AU2" s="860"/>
      <c r="AV2" s="860"/>
      <c r="AW2" s="860"/>
      <c r="AX2" s="860"/>
      <c r="AY2" s="860"/>
    </row>
    <row r="3" spans="1:51" ht="20.25" x14ac:dyDescent="0.3">
      <c r="A3" s="823"/>
      <c r="L3" s="820" t="s">
        <v>509</v>
      </c>
      <c r="M3" s="820" t="s">
        <v>510</v>
      </c>
      <c r="N3" s="820" t="s">
        <v>511</v>
      </c>
      <c r="Y3" s="1364" t="s">
        <v>512</v>
      </c>
      <c r="Z3" s="1365"/>
      <c r="AA3" s="821"/>
      <c r="AE3" s="824"/>
      <c r="AF3" s="822"/>
      <c r="AG3" s="822"/>
      <c r="AH3" s="822"/>
      <c r="AI3" s="822"/>
      <c r="AJ3" s="822"/>
      <c r="AK3" s="822"/>
      <c r="AL3" s="822"/>
      <c r="AN3" s="860"/>
      <c r="AO3" s="860"/>
      <c r="AP3" s="860"/>
      <c r="AQ3" s="860"/>
      <c r="AR3" s="828"/>
      <c r="AS3" s="828"/>
      <c r="AT3" s="828"/>
      <c r="AU3" s="860"/>
      <c r="AV3" s="860"/>
      <c r="AW3" s="860"/>
      <c r="AX3" s="860"/>
      <c r="AY3" s="860"/>
    </row>
    <row r="4" spans="1:51" x14ac:dyDescent="0.25">
      <c r="A4" s="747" t="s">
        <v>513</v>
      </c>
      <c r="E4" s="820" t="s">
        <v>514</v>
      </c>
      <c r="H4" s="819"/>
      <c r="I4" s="747" t="s">
        <v>515</v>
      </c>
      <c r="L4" s="825">
        <f>+W8</f>
        <v>3449</v>
      </c>
      <c r="M4" s="826">
        <f>X8</f>
        <v>4104</v>
      </c>
      <c r="N4" s="827">
        <f>(M4-L4)</f>
        <v>655</v>
      </c>
      <c r="W4" s="1365"/>
      <c r="X4" s="1365"/>
      <c r="Y4" s="820" t="s">
        <v>447</v>
      </c>
      <c r="Z4" s="820"/>
      <c r="AA4" s="828"/>
      <c r="AE4" s="829"/>
      <c r="AF4" s="747"/>
      <c r="AG4" s="747"/>
      <c r="AH4" s="747"/>
      <c r="AI4" s="747"/>
      <c r="AJ4" s="830"/>
      <c r="AK4" s="747"/>
      <c r="AL4" s="747"/>
      <c r="AN4" s="824"/>
      <c r="AO4" s="860"/>
      <c r="AP4" s="860"/>
      <c r="AQ4" s="860"/>
      <c r="AR4" s="841"/>
      <c r="AS4" s="841"/>
      <c r="AT4" s="860"/>
      <c r="AU4" s="860"/>
      <c r="AV4" s="860"/>
      <c r="AW4" s="860"/>
      <c r="AX4" s="860"/>
      <c r="AY4" s="860"/>
    </row>
    <row r="5" spans="1:51" x14ac:dyDescent="0.25">
      <c r="E5" s="820" t="s">
        <v>244</v>
      </c>
      <c r="H5" s="819"/>
      <c r="I5" s="747" t="s">
        <v>516</v>
      </c>
      <c r="L5" s="831">
        <v>3242</v>
      </c>
      <c r="M5" s="832">
        <v>4100</v>
      </c>
      <c r="N5" s="833">
        <f>(M5-L5)</f>
        <v>858</v>
      </c>
      <c r="W5" s="834" t="s">
        <v>509</v>
      </c>
      <c r="X5" s="834" t="s">
        <v>510</v>
      </c>
      <c r="Y5" s="834" t="s">
        <v>517</v>
      </c>
      <c r="Z5" s="834" t="s">
        <v>518</v>
      </c>
      <c r="AA5" s="828"/>
      <c r="AF5" s="835"/>
      <c r="AG5" s="835"/>
      <c r="AH5" s="835"/>
      <c r="AI5" s="835"/>
      <c r="AJ5" s="835"/>
      <c r="AK5" s="835"/>
      <c r="AL5" s="835"/>
      <c r="AN5" s="824"/>
      <c r="AO5" s="860"/>
      <c r="AP5" s="860"/>
      <c r="AQ5" s="860"/>
      <c r="AR5" s="841"/>
      <c r="AS5" s="858"/>
      <c r="AT5" s="860"/>
      <c r="AU5" s="860"/>
      <c r="AV5" s="860"/>
      <c r="AW5" s="860"/>
      <c r="AX5" s="860"/>
      <c r="AY5" s="860"/>
    </row>
    <row r="6" spans="1:51" x14ac:dyDescent="0.25">
      <c r="E6" s="820" t="s">
        <v>519</v>
      </c>
      <c r="W6" s="828"/>
      <c r="X6" s="828"/>
      <c r="Y6" s="828"/>
      <c r="Z6" s="828"/>
      <c r="AA6" s="828"/>
      <c r="AB6" s="837"/>
      <c r="AF6" s="838" t="s">
        <v>950</v>
      </c>
      <c r="AG6" s="838" t="s">
        <v>951</v>
      </c>
      <c r="AH6" s="838" t="s">
        <v>952</v>
      </c>
      <c r="AI6" s="838" t="s">
        <v>640</v>
      </c>
      <c r="AJ6" s="838" t="s">
        <v>638</v>
      </c>
      <c r="AK6" s="838" t="s">
        <v>639</v>
      </c>
      <c r="AL6" s="839" t="s">
        <v>334</v>
      </c>
      <c r="AN6" s="860"/>
      <c r="AO6" s="860"/>
      <c r="AP6" s="860"/>
      <c r="AQ6" s="860"/>
      <c r="AR6" s="860"/>
      <c r="AS6" s="860"/>
      <c r="AT6" s="860"/>
      <c r="AU6" s="860"/>
      <c r="AV6" s="860"/>
      <c r="AW6" s="860"/>
      <c r="AX6" s="860"/>
      <c r="AY6" s="860"/>
    </row>
    <row r="7" spans="1:51" x14ac:dyDescent="0.25">
      <c r="E7" s="820" t="s">
        <v>460</v>
      </c>
      <c r="F7" s="820" t="s">
        <v>520</v>
      </c>
      <c r="U7" s="820" t="s">
        <v>521</v>
      </c>
      <c r="V7" s="820"/>
      <c r="W7" s="840"/>
      <c r="X7" s="840"/>
      <c r="Z7" s="840"/>
      <c r="AA7" s="841"/>
      <c r="AN7" s="860"/>
      <c r="AO7" s="860"/>
      <c r="AP7" s="860"/>
      <c r="AQ7" s="860"/>
      <c r="AR7" s="860"/>
      <c r="AS7" s="860"/>
      <c r="AT7" s="860"/>
      <c r="AU7" s="860"/>
      <c r="AV7" s="860"/>
      <c r="AW7" s="860"/>
      <c r="AX7" s="860"/>
      <c r="AY7" s="860"/>
    </row>
    <row r="8" spans="1:51" x14ac:dyDescent="0.25">
      <c r="B8" s="1063"/>
      <c r="C8" s="1063"/>
      <c r="D8" s="820" t="s">
        <v>522</v>
      </c>
      <c r="E8" s="820" t="s">
        <v>523</v>
      </c>
      <c r="F8" s="820" t="s">
        <v>451</v>
      </c>
      <c r="I8" s="842" t="s">
        <v>524</v>
      </c>
      <c r="J8" s="842" t="s">
        <v>525</v>
      </c>
      <c r="K8" s="842" t="s">
        <v>526</v>
      </c>
      <c r="L8" s="842" t="s">
        <v>527</v>
      </c>
      <c r="M8" s="842" t="s">
        <v>528</v>
      </c>
      <c r="N8" s="842" t="s">
        <v>529</v>
      </c>
      <c r="O8" s="842" t="s">
        <v>530</v>
      </c>
      <c r="P8" s="842" t="s">
        <v>531</v>
      </c>
      <c r="Q8" s="842" t="s">
        <v>532</v>
      </c>
      <c r="R8" s="842" t="s">
        <v>533</v>
      </c>
      <c r="S8" s="842" t="s">
        <v>534</v>
      </c>
      <c r="V8" s="843" t="s">
        <v>954</v>
      </c>
      <c r="W8" s="825">
        <v>3449</v>
      </c>
      <c r="X8" s="844">
        <v>4104</v>
      </c>
      <c r="Y8" s="845"/>
      <c r="Z8" s="844">
        <f>X8-W8</f>
        <v>655</v>
      </c>
      <c r="AA8" s="841"/>
      <c r="AE8" s="846" t="s">
        <v>535</v>
      </c>
      <c r="AN8" s="860"/>
      <c r="AO8" s="1335"/>
      <c r="AP8" s="1335"/>
      <c r="AQ8" s="1335"/>
      <c r="AR8" s="1335"/>
      <c r="AS8" s="1335"/>
      <c r="AT8" s="1335"/>
      <c r="AU8" s="1335"/>
      <c r="AV8" s="1335"/>
      <c r="AW8" s="1335"/>
      <c r="AX8" s="1335"/>
      <c r="AY8" s="1335"/>
    </row>
    <row r="9" spans="1:51" ht="16.5" thickBot="1" x14ac:dyDescent="0.3">
      <c r="B9" s="847" t="s">
        <v>536</v>
      </c>
      <c r="D9" s="847" t="s">
        <v>244</v>
      </c>
      <c r="E9" s="847" t="s">
        <v>301</v>
      </c>
      <c r="F9" s="847" t="s">
        <v>537</v>
      </c>
      <c r="J9" s="820" t="s">
        <v>538</v>
      </c>
      <c r="K9" s="820" t="s">
        <v>538</v>
      </c>
      <c r="L9" s="820" t="s">
        <v>539</v>
      </c>
      <c r="R9" s="820" t="s">
        <v>540</v>
      </c>
      <c r="V9" s="843" t="s">
        <v>955</v>
      </c>
      <c r="W9" s="831">
        <v>3184</v>
      </c>
      <c r="X9" s="848">
        <v>3823</v>
      </c>
      <c r="Y9" s="849">
        <f>X9-W9</f>
        <v>639</v>
      </c>
      <c r="Z9" s="848"/>
      <c r="AA9" s="841"/>
      <c r="AE9" s="819" t="s">
        <v>1123</v>
      </c>
      <c r="AF9" s="850">
        <v>1278887.3700000001</v>
      </c>
      <c r="AG9" s="850">
        <v>950030.48</v>
      </c>
      <c r="AH9" s="850">
        <v>1302760.1599999999</v>
      </c>
      <c r="AI9" s="850">
        <v>620052</v>
      </c>
      <c r="AJ9" s="850">
        <v>186069.12</v>
      </c>
      <c r="AK9" s="850">
        <v>942091.24</v>
      </c>
      <c r="AL9" s="850">
        <f>SUM(AF9:AK9)</f>
        <v>5279890.37</v>
      </c>
      <c r="AN9" s="860"/>
      <c r="AO9" s="860"/>
      <c r="AP9" s="828"/>
      <c r="AQ9" s="828"/>
      <c r="AR9" s="828"/>
      <c r="AS9" s="860"/>
      <c r="AT9" s="860"/>
      <c r="AU9" s="860"/>
      <c r="AV9" s="860"/>
      <c r="AW9" s="860"/>
      <c r="AX9" s="828"/>
      <c r="AY9" s="860"/>
    </row>
    <row r="10" spans="1:51" x14ac:dyDescent="0.25">
      <c r="I10" s="820" t="s">
        <v>334</v>
      </c>
      <c r="J10" s="820" t="s">
        <v>541</v>
      </c>
      <c r="K10" s="820" t="s">
        <v>541</v>
      </c>
      <c r="L10" s="820" t="s">
        <v>542</v>
      </c>
      <c r="M10" s="820" t="s">
        <v>509</v>
      </c>
      <c r="N10" s="820" t="s">
        <v>461</v>
      </c>
      <c r="O10" s="820" t="s">
        <v>510</v>
      </c>
      <c r="P10" s="820" t="s">
        <v>543</v>
      </c>
      <c r="Q10" s="820" t="s">
        <v>510</v>
      </c>
      <c r="R10" s="820" t="s">
        <v>244</v>
      </c>
      <c r="S10" s="820" t="s">
        <v>544</v>
      </c>
      <c r="V10" s="820"/>
      <c r="W10" s="840"/>
      <c r="X10" s="851"/>
      <c r="Y10" s="837"/>
      <c r="Z10" s="837"/>
      <c r="AA10" s="841"/>
      <c r="AF10" s="852"/>
      <c r="AG10" s="852"/>
      <c r="AH10" s="852"/>
      <c r="AI10" s="852"/>
      <c r="AJ10" s="852"/>
      <c r="AK10" s="852"/>
      <c r="AL10" s="852"/>
      <c r="AN10" s="860"/>
      <c r="AO10" s="828"/>
      <c r="AP10" s="828"/>
      <c r="AQ10" s="828"/>
      <c r="AR10" s="828"/>
      <c r="AS10" s="828"/>
      <c r="AT10" s="828"/>
      <c r="AU10" s="828"/>
      <c r="AV10" s="828"/>
      <c r="AW10" s="828"/>
      <c r="AX10" s="828"/>
      <c r="AY10" s="828"/>
    </row>
    <row r="11" spans="1:51" x14ac:dyDescent="0.25">
      <c r="A11" s="819" t="s">
        <v>1124</v>
      </c>
      <c r="B11" s="853">
        <f>Z23</f>
        <v>2416566.9</v>
      </c>
      <c r="D11" s="636">
        <f>AB23</f>
        <v>5412143</v>
      </c>
      <c r="E11" s="636">
        <f>AB19</f>
        <v>5279890.37</v>
      </c>
      <c r="F11" s="854">
        <f>D11-E11</f>
        <v>132252.62999999989</v>
      </c>
      <c r="I11" s="820" t="s">
        <v>545</v>
      </c>
      <c r="J11" s="820" t="s">
        <v>546</v>
      </c>
      <c r="K11" s="820" t="s">
        <v>546</v>
      </c>
      <c r="L11" s="820" t="s">
        <v>547</v>
      </c>
      <c r="M11" s="820" t="s">
        <v>548</v>
      </c>
      <c r="N11" s="820" t="s">
        <v>548</v>
      </c>
      <c r="O11" s="820" t="s">
        <v>548</v>
      </c>
      <c r="P11" s="820" t="s">
        <v>549</v>
      </c>
      <c r="Q11" s="820" t="s">
        <v>539</v>
      </c>
      <c r="R11" s="820" t="s">
        <v>550</v>
      </c>
      <c r="S11" s="820" t="s">
        <v>244</v>
      </c>
      <c r="V11" s="820"/>
      <c r="W11" s="840"/>
      <c r="X11" s="840"/>
      <c r="Y11" s="855" t="s">
        <v>551</v>
      </c>
      <c r="Z11" s="856">
        <f>Z8/Y9</f>
        <v>1.0250391236306728</v>
      </c>
      <c r="AA11" s="841"/>
      <c r="AE11" s="819" t="s">
        <v>1125</v>
      </c>
      <c r="AF11" s="841">
        <v>456786.87</v>
      </c>
      <c r="AG11" s="850">
        <v>347783.10000000003</v>
      </c>
      <c r="AH11" s="857">
        <v>529398.69999999995</v>
      </c>
      <c r="AI11" s="841">
        <v>223124</v>
      </c>
      <c r="AJ11" s="850">
        <f>-12.5+50492.47+20545.32</f>
        <v>71025.290000000008</v>
      </c>
      <c r="AK11" s="850">
        <f>271131.87+61993.2</f>
        <v>333125.07</v>
      </c>
      <c r="AL11" s="841">
        <f>SUM(AF11:AK11)</f>
        <v>1961243.03</v>
      </c>
      <c r="AN11" s="860"/>
      <c r="AO11" s="828"/>
      <c r="AP11" s="828"/>
      <c r="AQ11" s="828"/>
      <c r="AR11" s="828"/>
      <c r="AS11" s="828"/>
      <c r="AT11" s="828"/>
      <c r="AU11" s="828"/>
      <c r="AV11" s="828"/>
      <c r="AW11" s="828"/>
      <c r="AX11" s="828"/>
      <c r="AY11" s="828"/>
    </row>
    <row r="12" spans="1:51" x14ac:dyDescent="0.25">
      <c r="I12" s="834" t="s">
        <v>552</v>
      </c>
      <c r="J12" s="834" t="s">
        <v>553</v>
      </c>
      <c r="K12" s="834" t="s">
        <v>554</v>
      </c>
      <c r="L12" s="834" t="s">
        <v>546</v>
      </c>
      <c r="M12" s="834" t="s">
        <v>555</v>
      </c>
      <c r="N12" s="834" t="s">
        <v>556</v>
      </c>
      <c r="O12" s="834" t="s">
        <v>555</v>
      </c>
      <c r="P12" s="834" t="s">
        <v>510</v>
      </c>
      <c r="Q12" s="834" t="s">
        <v>451</v>
      </c>
      <c r="R12" s="834" t="s">
        <v>557</v>
      </c>
      <c r="S12" s="834" t="s">
        <v>451</v>
      </c>
      <c r="V12" s="828"/>
      <c r="W12" s="841"/>
      <c r="X12" s="841"/>
      <c r="Y12" s="858"/>
      <c r="Z12" s="841"/>
      <c r="AA12" s="841"/>
      <c r="AF12" s="747"/>
      <c r="AG12" s="747"/>
      <c r="AH12" s="747"/>
      <c r="AI12" s="747"/>
      <c r="AJ12" s="747"/>
      <c r="AK12" s="747"/>
      <c r="AL12" s="747"/>
      <c r="AN12" s="860"/>
      <c r="AO12" s="828"/>
      <c r="AP12" s="828"/>
      <c r="AQ12" s="828"/>
      <c r="AR12" s="828"/>
      <c r="AS12" s="828"/>
      <c r="AT12" s="828"/>
      <c r="AU12" s="828"/>
      <c r="AV12" s="828"/>
      <c r="AW12" s="828"/>
      <c r="AX12" s="828"/>
      <c r="AY12" s="828"/>
    </row>
    <row r="13" spans="1:51" ht="16.5" thickBot="1" x14ac:dyDescent="0.3">
      <c r="A13" s="819" t="s">
        <v>1126</v>
      </c>
      <c r="B13" s="853">
        <f>Z35</f>
        <v>2010350.8</v>
      </c>
      <c r="D13" s="840">
        <f>AB35</f>
        <v>3763779</v>
      </c>
      <c r="E13" s="840">
        <f>AB31</f>
        <v>1961243.03</v>
      </c>
      <c r="F13" s="840">
        <f>D13-E13</f>
        <v>1802535.97</v>
      </c>
      <c r="K13" s="843" t="s">
        <v>558</v>
      </c>
      <c r="L13" s="843" t="s">
        <v>559</v>
      </c>
      <c r="N13" s="820" t="s">
        <v>560</v>
      </c>
      <c r="P13" s="820" t="s">
        <v>561</v>
      </c>
      <c r="Q13" s="820" t="s">
        <v>562</v>
      </c>
      <c r="S13" s="820" t="s">
        <v>563</v>
      </c>
      <c r="V13" s="828"/>
      <c r="W13" s="841"/>
      <c r="X13" s="841"/>
      <c r="Y13" s="858"/>
      <c r="Z13" s="841"/>
      <c r="AA13" s="841"/>
      <c r="AE13" s="819" t="s">
        <v>564</v>
      </c>
      <c r="AF13" s="859">
        <f t="shared" ref="AF13:AL13" si="0">AF9+AF11</f>
        <v>1735674.2400000002</v>
      </c>
      <c r="AG13" s="859">
        <f t="shared" si="0"/>
        <v>1297813.58</v>
      </c>
      <c r="AH13" s="859">
        <f>AH9+AH11</f>
        <v>1832158.8599999999</v>
      </c>
      <c r="AI13" s="859">
        <f t="shared" si="0"/>
        <v>843176</v>
      </c>
      <c r="AJ13" s="859">
        <f t="shared" si="0"/>
        <v>257094.41</v>
      </c>
      <c r="AK13" s="859">
        <f t="shared" si="0"/>
        <v>1275216.31</v>
      </c>
      <c r="AL13" s="859">
        <f t="shared" si="0"/>
        <v>7241133.4000000004</v>
      </c>
      <c r="AN13" s="860"/>
      <c r="AO13" s="860"/>
      <c r="AP13" s="860"/>
      <c r="AQ13" s="1336"/>
      <c r="AR13" s="1336"/>
      <c r="AS13" s="860"/>
      <c r="AT13" s="828"/>
      <c r="AU13" s="860"/>
      <c r="AV13" s="828"/>
      <c r="AW13" s="828"/>
      <c r="AX13" s="860"/>
      <c r="AY13" s="828"/>
    </row>
    <row r="14" spans="1:51" ht="16.5" thickTop="1" x14ac:dyDescent="0.25">
      <c r="V14" s="828"/>
      <c r="W14" s="841"/>
      <c r="X14" s="841"/>
      <c r="Y14" s="858"/>
      <c r="Z14" s="841"/>
      <c r="AA14" s="841"/>
      <c r="AF14" s="841"/>
      <c r="AG14" s="841"/>
      <c r="AH14" s="841"/>
      <c r="AI14" s="841"/>
      <c r="AJ14" s="841"/>
      <c r="AK14" s="841"/>
      <c r="AL14" s="841"/>
      <c r="AN14" s="860"/>
      <c r="AO14" s="860"/>
      <c r="AP14" s="860"/>
      <c r="AQ14" s="860"/>
      <c r="AR14" s="860"/>
      <c r="AS14" s="860"/>
      <c r="AT14" s="860"/>
      <c r="AU14" s="860"/>
      <c r="AV14" s="860"/>
      <c r="AW14" s="860"/>
      <c r="AX14" s="860"/>
      <c r="AY14" s="860"/>
    </row>
    <row r="15" spans="1:51" x14ac:dyDescent="0.25">
      <c r="A15" s="819" t="s">
        <v>1127</v>
      </c>
      <c r="B15" s="853">
        <f>Q15</f>
        <v>60045.667439837664</v>
      </c>
      <c r="D15" s="840">
        <f>S15</f>
        <v>114218.86860405921</v>
      </c>
      <c r="F15" s="840">
        <f>D15-E15</f>
        <v>114218.86860405921</v>
      </c>
      <c r="H15" s="747" t="s">
        <v>485</v>
      </c>
      <c r="I15" s="840">
        <f>+'Summary SBR-Transport'!C14</f>
        <v>841764.40000000014</v>
      </c>
      <c r="J15" s="840">
        <f>+'Summary SBR-Transport'!AB14+'Summary SBR-Transport'!AC14</f>
        <v>87597.5</v>
      </c>
      <c r="K15" s="840">
        <f>(J15*6)</f>
        <v>525585</v>
      </c>
      <c r="L15" s="837">
        <f>(I15-K15)</f>
        <v>316179.40000000014</v>
      </c>
      <c r="M15" s="840">
        <f>L4</f>
        <v>3449</v>
      </c>
      <c r="N15" s="840">
        <f>(L15/M15)</f>
        <v>91.672774717309409</v>
      </c>
      <c r="O15" s="840">
        <f>M4</f>
        <v>4104</v>
      </c>
      <c r="P15" s="837">
        <f>(O15-M15)</f>
        <v>655</v>
      </c>
      <c r="Q15" s="840">
        <f>(N15*P15)</f>
        <v>60045.667439837664</v>
      </c>
      <c r="R15" s="747">
        <f>+'Retail Rates'!H23*10</f>
        <v>1.9022000000000001</v>
      </c>
      <c r="S15" s="636">
        <f>(Q15*R15)</f>
        <v>114218.86860405921</v>
      </c>
      <c r="V15" s="828"/>
      <c r="W15" s="841"/>
      <c r="X15" s="841"/>
      <c r="Y15" s="860"/>
      <c r="Z15" s="841"/>
      <c r="AA15" s="841"/>
      <c r="AF15" s="841"/>
      <c r="AG15" s="841"/>
      <c r="AH15" s="841"/>
      <c r="AI15" s="841"/>
      <c r="AJ15" s="841"/>
      <c r="AK15" s="841"/>
      <c r="AL15" s="841"/>
      <c r="AN15" s="860"/>
      <c r="AO15" s="841"/>
      <c r="AP15" s="841"/>
      <c r="AQ15" s="841"/>
      <c r="AR15" s="858"/>
      <c r="AS15" s="841"/>
      <c r="AT15" s="841"/>
      <c r="AU15" s="841"/>
      <c r="AV15" s="858"/>
      <c r="AW15" s="841"/>
      <c r="AX15" s="860"/>
      <c r="AY15" s="841"/>
    </row>
    <row r="16" spans="1:51" x14ac:dyDescent="0.25">
      <c r="S16" s="840"/>
      <c r="U16" s="820"/>
      <c r="V16" s="840"/>
      <c r="W16" s="840"/>
      <c r="X16" s="840"/>
      <c r="Z16" s="840"/>
      <c r="AA16" s="835" t="s">
        <v>565</v>
      </c>
      <c r="AE16" s="846" t="s">
        <v>566</v>
      </c>
      <c r="AF16" s="841"/>
      <c r="AG16" s="841"/>
      <c r="AH16" s="841"/>
      <c r="AI16" s="841"/>
      <c r="AJ16" s="841"/>
      <c r="AK16" s="841"/>
      <c r="AL16" s="841"/>
      <c r="AN16" s="860"/>
      <c r="AO16" s="860"/>
      <c r="AP16" s="860"/>
      <c r="AQ16" s="860"/>
      <c r="AR16" s="860"/>
      <c r="AS16" s="860"/>
      <c r="AT16" s="860"/>
      <c r="AU16" s="860"/>
      <c r="AV16" s="860"/>
      <c r="AW16" s="860"/>
      <c r="AX16" s="860"/>
      <c r="AY16" s="841"/>
    </row>
    <row r="17" spans="1:51" x14ac:dyDescent="0.25">
      <c r="A17" s="819" t="s">
        <v>1161</v>
      </c>
      <c r="B17" s="853">
        <f>Q20</f>
        <v>35305.429673041333</v>
      </c>
      <c r="C17" s="853"/>
      <c r="D17" s="840">
        <f>S20</f>
        <v>18543.41166428131</v>
      </c>
      <c r="F17" s="840">
        <f>D17-E17</f>
        <v>18543.41166428131</v>
      </c>
      <c r="H17" s="830" t="s">
        <v>567</v>
      </c>
      <c r="S17" s="840"/>
      <c r="Z17" s="834" t="s">
        <v>568</v>
      </c>
      <c r="AA17" s="834" t="s">
        <v>569</v>
      </c>
      <c r="AB17" s="834" t="s">
        <v>244</v>
      </c>
      <c r="AE17" s="819" t="s">
        <v>1123</v>
      </c>
      <c r="AF17" s="919">
        <f>5710384/10</f>
        <v>571038.4</v>
      </c>
      <c r="AG17" s="919">
        <f>4242016/10</f>
        <v>424201.6</v>
      </c>
      <c r="AH17" s="919">
        <f>5816964/10</f>
        <v>581696.4</v>
      </c>
      <c r="AI17" s="861">
        <f>2768631/10</f>
        <v>276863.09999999998</v>
      </c>
      <c r="AJ17" s="861">
        <f>830818/10</f>
        <v>83081.8</v>
      </c>
      <c r="AK17" s="861">
        <f>4206550/10</f>
        <v>420655</v>
      </c>
      <c r="AL17" s="861">
        <f>SUM(AF17:AK17)</f>
        <v>2357536.2999999998</v>
      </c>
      <c r="AN17" s="1337"/>
      <c r="AO17" s="860"/>
      <c r="AP17" s="860"/>
      <c r="AQ17" s="860"/>
      <c r="AR17" s="860"/>
      <c r="AS17" s="860"/>
      <c r="AT17" s="860"/>
      <c r="AU17" s="860"/>
      <c r="AV17" s="860"/>
      <c r="AW17" s="860"/>
      <c r="AX17" s="860"/>
      <c r="AY17" s="841"/>
    </row>
    <row r="18" spans="1:51" x14ac:dyDescent="0.25">
      <c r="H18" s="747" t="s">
        <v>299</v>
      </c>
      <c r="I18" s="840">
        <f>+'Summary SBR-Transport'!C16</f>
        <v>146923</v>
      </c>
      <c r="J18" s="840">
        <f>+'Summary SBR-Transport'!AB16+'Summary SBR-Transport'!AC16</f>
        <v>13465.400000000001</v>
      </c>
      <c r="K18" s="840">
        <f>(J18*6)</f>
        <v>80792.400000000009</v>
      </c>
      <c r="L18" s="837">
        <f>(I18-K18)</f>
        <v>66130.599999999991</v>
      </c>
      <c r="M18" s="840">
        <f>L$5</f>
        <v>3242</v>
      </c>
      <c r="N18" s="840">
        <f>(L18/M18)</f>
        <v>20.398087600246757</v>
      </c>
      <c r="O18" s="840">
        <f>M$5</f>
        <v>4100</v>
      </c>
      <c r="P18" s="837">
        <f>(O18-M18)</f>
        <v>858</v>
      </c>
      <c r="Q18" s="840">
        <f>(N18*P18)</f>
        <v>17501.559161011719</v>
      </c>
      <c r="R18" s="862">
        <v>0.5252</v>
      </c>
      <c r="S18" s="840">
        <f>(Q18*R18)</f>
        <v>9191.8188713633554</v>
      </c>
      <c r="U18" s="846" t="s">
        <v>483</v>
      </c>
      <c r="AF18" s="919"/>
      <c r="AG18" s="919"/>
      <c r="AH18" s="919"/>
      <c r="AI18" s="841"/>
      <c r="AJ18" s="841"/>
      <c r="AK18" s="841"/>
      <c r="AL18" s="841"/>
      <c r="AN18" s="860"/>
      <c r="AO18" s="841"/>
      <c r="AP18" s="841"/>
      <c r="AQ18" s="841"/>
      <c r="AR18" s="858"/>
      <c r="AS18" s="841"/>
      <c r="AT18" s="841"/>
      <c r="AU18" s="841"/>
      <c r="AV18" s="858"/>
      <c r="AW18" s="841"/>
      <c r="AX18" s="1338"/>
      <c r="AY18" s="841"/>
    </row>
    <row r="19" spans="1:51" x14ac:dyDescent="0.25">
      <c r="A19" s="819" t="s">
        <v>1128</v>
      </c>
      <c r="B19" s="853">
        <f>Q22</f>
        <v>620932.03288093721</v>
      </c>
      <c r="D19" s="840">
        <f>S22</f>
        <v>267000.77413880301</v>
      </c>
      <c r="F19" s="840">
        <f>D19-E19</f>
        <v>267000.77413880301</v>
      </c>
      <c r="H19" s="747" t="s">
        <v>570</v>
      </c>
      <c r="I19" s="863">
        <f>+'Summary SBR-Transport'!C17</f>
        <v>197037.90000000002</v>
      </c>
      <c r="J19" s="863">
        <f>+'Summary SBR-Transport'!AB17+'Summary SBR-Transport'!AC17</f>
        <v>21627.5</v>
      </c>
      <c r="K19" s="863">
        <f>(J19*6)</f>
        <v>129765</v>
      </c>
      <c r="L19" s="836">
        <f>(I19-K19)</f>
        <v>67272.900000000023</v>
      </c>
      <c r="M19" s="863">
        <f>L$5</f>
        <v>3242</v>
      </c>
      <c r="N19" s="863">
        <f>(L19/M19)</f>
        <v>20.750431832202352</v>
      </c>
      <c r="O19" s="840">
        <f>M$5</f>
        <v>4100</v>
      </c>
      <c r="P19" s="837">
        <f>(O19-M19)</f>
        <v>858</v>
      </c>
      <c r="Q19" s="863">
        <f>(N19*P19)</f>
        <v>17803.870512029618</v>
      </c>
      <c r="R19" s="862">
        <v>0.5252</v>
      </c>
      <c r="S19" s="863">
        <f>(Q19*R19)</f>
        <v>9350.5927929179561</v>
      </c>
      <c r="U19" s="744" t="s">
        <v>571</v>
      </c>
      <c r="Z19" s="853">
        <f>+AL17</f>
        <v>2357536.2999999998</v>
      </c>
      <c r="AA19" s="861"/>
      <c r="AB19" s="636">
        <f>AL9</f>
        <v>5279890.37</v>
      </c>
      <c r="AE19" s="819" t="s">
        <v>1125</v>
      </c>
      <c r="AF19" s="919">
        <f>2439680/10</f>
        <v>243968</v>
      </c>
      <c r="AG19" s="919">
        <f>1857478/10</f>
        <v>185747.8</v>
      </c>
      <c r="AH19" s="919">
        <f>529398.7/10</f>
        <v>52939.869999999995</v>
      </c>
      <c r="AI19" s="861">
        <f>1191714/10</f>
        <v>119171.4</v>
      </c>
      <c r="AJ19" s="861">
        <f>(-67+269694+109720)/10</f>
        <v>37934.699999999997</v>
      </c>
      <c r="AK19" s="861">
        <f>(1448186+330972)/10</f>
        <v>177915.8</v>
      </c>
      <c r="AL19" s="861">
        <f>SUM(AF19:AK19)</f>
        <v>817677.56999999983</v>
      </c>
      <c r="AN19" s="860"/>
      <c r="AO19" s="841"/>
      <c r="AP19" s="841"/>
      <c r="AQ19" s="841"/>
      <c r="AR19" s="858"/>
      <c r="AS19" s="841"/>
      <c r="AT19" s="841"/>
      <c r="AU19" s="841"/>
      <c r="AV19" s="858"/>
      <c r="AW19" s="841"/>
      <c r="AX19" s="1338"/>
      <c r="AY19" s="841"/>
    </row>
    <row r="20" spans="1:51" x14ac:dyDescent="0.25">
      <c r="H20" s="747" t="s">
        <v>572</v>
      </c>
      <c r="I20" s="837">
        <f>I18+I19</f>
        <v>343960.9</v>
      </c>
      <c r="J20" s="837">
        <f>J18+J19</f>
        <v>35092.9</v>
      </c>
      <c r="K20" s="837">
        <f>K18+K19</f>
        <v>210557.40000000002</v>
      </c>
      <c r="L20" s="837">
        <f>L18+L19</f>
        <v>133403.5</v>
      </c>
      <c r="M20" s="840">
        <f>M19</f>
        <v>3242</v>
      </c>
      <c r="N20" s="840">
        <f>(L20/M20)</f>
        <v>41.148519432449106</v>
      </c>
      <c r="Q20" s="837">
        <f>Q18+Q19</f>
        <v>35305.429673041333</v>
      </c>
      <c r="S20" s="840">
        <f>S18+S19+1</f>
        <v>18543.41166428131</v>
      </c>
      <c r="U20" s="744"/>
      <c r="Z20" s="853"/>
      <c r="AA20" s="861"/>
      <c r="AB20" s="636"/>
      <c r="AE20" s="819"/>
      <c r="AF20" s="841"/>
      <c r="AG20" s="841"/>
      <c r="AH20" s="841"/>
      <c r="AI20" s="841"/>
      <c r="AJ20" s="841"/>
      <c r="AK20" s="841"/>
      <c r="AL20" s="841"/>
      <c r="AN20" s="1337"/>
      <c r="AO20" s="858"/>
      <c r="AP20" s="858"/>
      <c r="AQ20" s="858"/>
      <c r="AR20" s="858"/>
      <c r="AS20" s="841"/>
      <c r="AT20" s="841"/>
      <c r="AU20" s="860"/>
      <c r="AV20" s="860"/>
      <c r="AW20" s="858"/>
      <c r="AX20" s="860"/>
      <c r="AY20" s="841"/>
    </row>
    <row r="21" spans="1:51" ht="16.5" thickBot="1" x14ac:dyDescent="0.3">
      <c r="A21" s="819" t="s">
        <v>1129</v>
      </c>
      <c r="B21" s="864">
        <f>Q24</f>
        <v>-235494.24373843297</v>
      </c>
      <c r="C21" s="865"/>
      <c r="D21" s="863">
        <f>S24</f>
        <v>-21430.205042831571</v>
      </c>
      <c r="E21" s="865"/>
      <c r="F21" s="863">
        <f>D21-E21</f>
        <v>-21430.205042831571</v>
      </c>
      <c r="U21" s="866" t="s">
        <v>573</v>
      </c>
      <c r="Z21" s="856">
        <f>Z11</f>
        <v>1.0250391236306728</v>
      </c>
      <c r="AA21" s="867"/>
      <c r="AB21" s="868"/>
      <c r="AE21" s="819" t="s">
        <v>574</v>
      </c>
      <c r="AF21" s="869">
        <f t="shared" ref="AF21:AL21" si="1">AF17+AF19</f>
        <v>815006.4</v>
      </c>
      <c r="AG21" s="869">
        <f t="shared" si="1"/>
        <v>609949.39999999991</v>
      </c>
      <c r="AH21" s="869">
        <f t="shared" si="1"/>
        <v>634636.27</v>
      </c>
      <c r="AI21" s="869">
        <f t="shared" si="1"/>
        <v>396034.5</v>
      </c>
      <c r="AJ21" s="869">
        <f t="shared" si="1"/>
        <v>121016.5</v>
      </c>
      <c r="AK21" s="869">
        <f t="shared" si="1"/>
        <v>598570.80000000005</v>
      </c>
      <c r="AL21" s="869">
        <f t="shared" si="1"/>
        <v>3175213.8699999996</v>
      </c>
      <c r="AN21" s="860"/>
      <c r="AO21" s="860"/>
      <c r="AP21" s="860"/>
      <c r="AQ21" s="860"/>
      <c r="AR21" s="860"/>
      <c r="AS21" s="860"/>
      <c r="AT21" s="860"/>
      <c r="AU21" s="860"/>
      <c r="AV21" s="860"/>
      <c r="AW21" s="860"/>
      <c r="AX21" s="860"/>
      <c r="AY21" s="860"/>
    </row>
    <row r="22" spans="1:51" ht="16.5" thickTop="1" x14ac:dyDescent="0.25">
      <c r="B22" s="860"/>
      <c r="H22" s="747" t="s">
        <v>487</v>
      </c>
      <c r="I22" s="840">
        <f>+'Summary SBR-Transport'!C26</f>
        <v>10079083.299999999</v>
      </c>
      <c r="J22" s="840">
        <f>+'Summary SBR-Transport'!AB26+'Summary SBR-Transport'!AC26</f>
        <v>1288809.6000000001</v>
      </c>
      <c r="K22" s="840">
        <f>(J22*6)</f>
        <v>7732857.6000000006</v>
      </c>
      <c r="L22" s="837">
        <f>(I22-K22)</f>
        <v>2346225.6999999983</v>
      </c>
      <c r="M22" s="840">
        <f>L$5</f>
        <v>3242</v>
      </c>
      <c r="N22" s="840">
        <f>(L22/M22)</f>
        <v>723.69700801974034</v>
      </c>
      <c r="O22" s="840">
        <f>M$5</f>
        <v>4100</v>
      </c>
      <c r="P22" s="837">
        <f>(O22-M22)</f>
        <v>858</v>
      </c>
      <c r="Q22" s="840">
        <f>(N22*P22)</f>
        <v>620932.03288093721</v>
      </c>
      <c r="R22" s="862">
        <v>0.43</v>
      </c>
      <c r="S22" s="840">
        <f>(Q22*R22)</f>
        <v>267000.77413880301</v>
      </c>
      <c r="U22" s="866"/>
      <c r="Z22" s="868"/>
      <c r="AA22" s="867"/>
      <c r="AB22" s="868"/>
      <c r="AF22" s="841"/>
      <c r="AG22" s="841"/>
      <c r="AH22" s="841"/>
      <c r="AI22" s="841"/>
      <c r="AJ22" s="841"/>
      <c r="AK22" s="841"/>
      <c r="AL22" s="841"/>
      <c r="AN22" s="860"/>
      <c r="AO22" s="841"/>
      <c r="AP22" s="841"/>
      <c r="AQ22" s="841"/>
      <c r="AR22" s="858"/>
      <c r="AS22" s="841"/>
      <c r="AT22" s="841"/>
      <c r="AU22" s="841"/>
      <c r="AV22" s="858"/>
      <c r="AW22" s="841"/>
      <c r="AX22" s="1338"/>
      <c r="AY22" s="841"/>
    </row>
    <row r="23" spans="1:51" ht="16.5" thickBot="1" x14ac:dyDescent="0.3">
      <c r="A23" s="747" t="s">
        <v>1130</v>
      </c>
      <c r="B23" s="870">
        <f>SUM(B11:B21)</f>
        <v>4907706.5862553827</v>
      </c>
      <c r="D23" s="871">
        <f>SUM(D11:D21)</f>
        <v>9554254.8493643105</v>
      </c>
      <c r="E23" s="871">
        <f>SUM(E11:E21)</f>
        <v>7241133.4000000004</v>
      </c>
      <c r="F23" s="871">
        <f>SUM(F11:F21)</f>
        <v>2313121.4493643115</v>
      </c>
      <c r="I23" s="840"/>
      <c r="J23" s="840"/>
      <c r="K23" s="840"/>
      <c r="L23" s="837"/>
      <c r="S23" s="840"/>
      <c r="U23" s="744" t="s">
        <v>575</v>
      </c>
      <c r="V23" s="840"/>
      <c r="W23" s="840"/>
      <c r="X23" s="840"/>
      <c r="Z23" s="861">
        <f>ROUND(Z21*Z19,1)</f>
        <v>2416566.9</v>
      </c>
      <c r="AA23" s="872">
        <f>+'Retail Rates'!H26*10</f>
        <v>2.2395999999999998</v>
      </c>
      <c r="AB23" s="850">
        <f>ROUND(Z23*AA23,0)</f>
        <v>5412143</v>
      </c>
      <c r="AE23" s="824"/>
      <c r="AF23" s="850"/>
      <c r="AG23" s="850"/>
      <c r="AH23" s="850"/>
      <c r="AI23" s="850"/>
      <c r="AJ23" s="850"/>
      <c r="AK23" s="850"/>
      <c r="AL23" s="850"/>
      <c r="AN23" s="860"/>
      <c r="AO23" s="841"/>
      <c r="AP23" s="841"/>
      <c r="AQ23" s="841"/>
      <c r="AR23" s="858"/>
      <c r="AS23" s="860"/>
      <c r="AT23" s="860"/>
      <c r="AU23" s="860"/>
      <c r="AV23" s="860"/>
      <c r="AW23" s="860"/>
      <c r="AX23" s="860"/>
      <c r="AY23" s="841"/>
    </row>
    <row r="24" spans="1:51" ht="16.5" thickTop="1" x14ac:dyDescent="0.25">
      <c r="H24" s="747" t="s">
        <v>375</v>
      </c>
      <c r="I24" s="837">
        <f>SUM(I62:I65)</f>
        <v>1633473.9000000001</v>
      </c>
      <c r="J24" s="837">
        <f>SUM(J62:J65)</f>
        <v>420550.3</v>
      </c>
      <c r="K24" s="840">
        <f>(J24*6)</f>
        <v>2523301.7999999998</v>
      </c>
      <c r="L24" s="837">
        <f>(I24-K24)</f>
        <v>-889827.89999999967</v>
      </c>
      <c r="M24" s="840">
        <f>L$5</f>
        <v>3242</v>
      </c>
      <c r="N24" s="840">
        <f>(L24/M24)</f>
        <v>-274.46881554595916</v>
      </c>
      <c r="O24" s="840">
        <f>M$5</f>
        <v>4100</v>
      </c>
      <c r="P24" s="837">
        <f>(O24-M24)</f>
        <v>858</v>
      </c>
      <c r="Q24" s="840">
        <f>(N24*P24)</f>
        <v>-235494.24373843297</v>
      </c>
      <c r="R24" s="862">
        <f>SUM(S62:S65)/SUM(Q62:Q65)</f>
        <v>9.1000971839610756E-2</v>
      </c>
      <c r="S24" s="840">
        <f>(Q24*R24)</f>
        <v>-21430.205042831571</v>
      </c>
      <c r="AF24" s="852"/>
      <c r="AG24" s="852"/>
      <c r="AH24" s="852"/>
      <c r="AI24" s="852"/>
      <c r="AJ24" s="861"/>
      <c r="AK24" s="852"/>
      <c r="AL24" s="852"/>
      <c r="AN24" s="860"/>
      <c r="AO24" s="858"/>
      <c r="AP24" s="858"/>
      <c r="AQ24" s="841"/>
      <c r="AR24" s="858"/>
      <c r="AS24" s="841"/>
      <c r="AT24" s="841"/>
      <c r="AU24" s="841"/>
      <c r="AV24" s="858"/>
      <c r="AW24" s="841"/>
      <c r="AX24" s="1338"/>
      <c r="AY24" s="841"/>
    </row>
    <row r="25" spans="1:51" x14ac:dyDescent="0.25">
      <c r="U25" s="747" t="s">
        <v>576</v>
      </c>
      <c r="AB25" s="854">
        <f>AB23-AB19</f>
        <v>132252.62999999989</v>
      </c>
      <c r="AN25" s="860"/>
      <c r="AO25" s="841"/>
      <c r="AP25" s="841"/>
      <c r="AQ25" s="841"/>
      <c r="AR25" s="858"/>
      <c r="AS25" s="841"/>
      <c r="AT25" s="841"/>
      <c r="AU25" s="841"/>
      <c r="AV25" s="858"/>
      <c r="AW25" s="841"/>
      <c r="AX25" s="860"/>
      <c r="AY25" s="841"/>
    </row>
    <row r="26" spans="1:51" x14ac:dyDescent="0.25">
      <c r="U26" s="744"/>
      <c r="V26" s="840"/>
      <c r="W26" s="840"/>
      <c r="X26" s="840"/>
      <c r="Z26" s="860"/>
      <c r="AN26" s="860"/>
      <c r="AO26" s="841"/>
      <c r="AP26" s="841"/>
      <c r="AQ26" s="841"/>
      <c r="AR26" s="858"/>
      <c r="AS26" s="841"/>
      <c r="AT26" s="841"/>
      <c r="AU26" s="841"/>
      <c r="AV26" s="858"/>
      <c r="AW26" s="841"/>
      <c r="AX26" s="860"/>
      <c r="AY26" s="841"/>
    </row>
    <row r="27" spans="1:51" ht="16.5" thickBot="1" x14ac:dyDescent="0.3">
      <c r="H27" s="747" t="s">
        <v>579</v>
      </c>
      <c r="I27" s="820"/>
      <c r="J27" s="820"/>
      <c r="S27" s="859">
        <f>S15+S20+S22+S24</f>
        <v>378332.8493643119</v>
      </c>
      <c r="U27" s="873"/>
      <c r="V27" s="841"/>
      <c r="W27" s="841"/>
      <c r="X27" s="841"/>
      <c r="Y27" s="860"/>
      <c r="Z27" s="861"/>
      <c r="AA27" s="861"/>
      <c r="AB27" s="850"/>
      <c r="AF27" s="852"/>
      <c r="AG27" s="852"/>
      <c r="AN27" s="860"/>
      <c r="AO27" s="841"/>
      <c r="AP27" s="841"/>
      <c r="AQ27" s="841"/>
      <c r="AR27" s="858"/>
      <c r="AS27" s="841"/>
      <c r="AT27" s="841"/>
      <c r="AU27" s="841"/>
      <c r="AV27" s="858"/>
      <c r="AW27" s="841"/>
      <c r="AX27" s="1338"/>
      <c r="AY27" s="841"/>
    </row>
    <row r="28" spans="1:51" ht="16.5" thickTop="1" x14ac:dyDescent="0.25">
      <c r="A28" s="819"/>
      <c r="Z28" s="416"/>
      <c r="AE28" s="830" t="s">
        <v>1131</v>
      </c>
      <c r="AF28" s="874"/>
      <c r="AG28" s="874"/>
      <c r="AN28" s="860"/>
      <c r="AO28" s="860"/>
      <c r="AP28" s="860"/>
      <c r="AQ28" s="860"/>
      <c r="AR28" s="860"/>
      <c r="AS28" s="860"/>
      <c r="AT28" s="860"/>
      <c r="AU28" s="860"/>
      <c r="AV28" s="860"/>
      <c r="AW28" s="860"/>
      <c r="AX28" s="860"/>
      <c r="AY28" s="858"/>
    </row>
    <row r="29" spans="1:51" x14ac:dyDescent="0.25">
      <c r="S29" s="837"/>
      <c r="AE29" s="875"/>
      <c r="AF29" s="874"/>
      <c r="AG29" s="874"/>
      <c r="AN29" s="860"/>
      <c r="AO29" s="841"/>
      <c r="AP29" s="841"/>
      <c r="AQ29" s="841"/>
      <c r="AR29" s="858"/>
      <c r="AS29" s="841"/>
      <c r="AT29" s="841"/>
      <c r="AU29" s="858"/>
      <c r="AV29" s="858"/>
      <c r="AW29" s="841"/>
      <c r="AX29" s="1339"/>
      <c r="AY29" s="841"/>
    </row>
    <row r="30" spans="1:51" x14ac:dyDescent="0.25">
      <c r="U30" s="846" t="s">
        <v>484</v>
      </c>
      <c r="AE30" s="876"/>
      <c r="AF30" s="874"/>
      <c r="AG30" s="874"/>
      <c r="AH30" s="874"/>
      <c r="AN30" s="860"/>
      <c r="AO30" s="860"/>
      <c r="AP30" s="860"/>
      <c r="AQ30" s="860"/>
      <c r="AR30" s="860"/>
      <c r="AS30" s="860"/>
      <c r="AT30" s="860"/>
      <c r="AU30" s="860"/>
      <c r="AV30" s="860"/>
      <c r="AW30" s="860"/>
      <c r="AX30" s="860"/>
      <c r="AY30" s="860"/>
    </row>
    <row r="31" spans="1:51" x14ac:dyDescent="0.25">
      <c r="J31" s="820"/>
      <c r="U31" s="744" t="s">
        <v>580</v>
      </c>
      <c r="Z31" s="853">
        <f>+AL11</f>
        <v>1961243.03</v>
      </c>
      <c r="AB31" s="636">
        <f>AL11</f>
        <v>1961243.03</v>
      </c>
      <c r="AE31" s="877"/>
      <c r="AF31" s="874"/>
      <c r="AG31" s="874"/>
      <c r="AH31" s="874"/>
      <c r="AN31" s="860"/>
      <c r="AO31" s="841"/>
      <c r="AP31" s="841"/>
      <c r="AQ31" s="841"/>
      <c r="AR31" s="858"/>
      <c r="AS31" s="858"/>
      <c r="AT31" s="841"/>
      <c r="AU31" s="858"/>
      <c r="AV31" s="858"/>
      <c r="AW31" s="841"/>
      <c r="AX31" s="1339"/>
      <c r="AY31" s="841"/>
    </row>
    <row r="32" spans="1:51" x14ac:dyDescent="0.25">
      <c r="H32" s="878" t="s">
        <v>581</v>
      </c>
      <c r="J32" s="820"/>
      <c r="U32" s="744"/>
      <c r="Z32" s="853"/>
      <c r="AB32" s="636"/>
      <c r="AN32" s="828"/>
      <c r="AO32" s="860"/>
      <c r="AP32" s="860"/>
      <c r="AQ32" s="860"/>
      <c r="AR32" s="860"/>
      <c r="AS32" s="860"/>
      <c r="AT32" s="860"/>
      <c r="AU32" s="860"/>
      <c r="AV32" s="860"/>
      <c r="AW32" s="860"/>
      <c r="AX32" s="860"/>
      <c r="AY32" s="860"/>
    </row>
    <row r="33" spans="7:51" x14ac:dyDescent="0.25">
      <c r="H33" s="830" t="s">
        <v>582</v>
      </c>
      <c r="U33" s="866" t="s">
        <v>573</v>
      </c>
      <c r="Z33" s="856">
        <f>Z11</f>
        <v>1.0250391236306728</v>
      </c>
      <c r="AA33" s="867"/>
      <c r="AB33" s="868"/>
      <c r="AE33" s="744"/>
      <c r="AN33" s="1340"/>
      <c r="AO33" s="1341"/>
      <c r="AP33" s="824"/>
      <c r="AQ33" s="860"/>
      <c r="AR33" s="860"/>
      <c r="AS33" s="860"/>
      <c r="AT33" s="860"/>
      <c r="AU33" s="860"/>
      <c r="AV33" s="860"/>
      <c r="AW33" s="860"/>
      <c r="AX33" s="860"/>
      <c r="AY33" s="860"/>
    </row>
    <row r="34" spans="7:51" x14ac:dyDescent="0.25">
      <c r="H34" s="879"/>
      <c r="I34" s="878"/>
      <c r="U34" s="866"/>
      <c r="Z34" s="868"/>
      <c r="AA34" s="867"/>
      <c r="AB34" s="868"/>
      <c r="AE34" s="1063"/>
      <c r="AN34" s="860"/>
      <c r="AO34" s="1342"/>
      <c r="AP34" s="860"/>
      <c r="AQ34" s="860"/>
      <c r="AR34" s="860"/>
      <c r="AS34" s="860"/>
      <c r="AT34" s="860"/>
      <c r="AU34" s="860"/>
      <c r="AV34" s="860"/>
      <c r="AW34" s="860"/>
      <c r="AX34" s="860"/>
      <c r="AY34" s="860"/>
    </row>
    <row r="35" spans="7:51" x14ac:dyDescent="0.25">
      <c r="I35" s="830"/>
      <c r="U35" s="744" t="s">
        <v>575</v>
      </c>
      <c r="Z35" s="861">
        <f>ROUND(Z33*Z31,1)</f>
        <v>2010350.8</v>
      </c>
      <c r="AA35" s="872">
        <f>+'Retail Rates'!H13*10</f>
        <v>1.8721999999999999</v>
      </c>
      <c r="AB35" s="850">
        <f>ROUND(Z35*AA35,0)</f>
        <v>3763779</v>
      </c>
      <c r="AE35" s="1063"/>
      <c r="AN35" s="860"/>
      <c r="AO35" s="860"/>
      <c r="AP35" s="828"/>
      <c r="AQ35" s="860"/>
      <c r="AR35" s="860"/>
      <c r="AS35" s="860"/>
      <c r="AT35" s="860"/>
      <c r="AU35" s="860"/>
      <c r="AV35" s="860"/>
      <c r="AW35" s="860"/>
      <c r="AX35" s="860"/>
      <c r="AY35" s="860"/>
    </row>
    <row r="36" spans="7:51" x14ac:dyDescent="0.25">
      <c r="H36" s="819"/>
      <c r="AN36" s="860"/>
      <c r="AO36" s="1343"/>
      <c r="AP36" s="828"/>
      <c r="AQ36" s="860"/>
      <c r="AR36" s="860"/>
      <c r="AS36" s="860"/>
      <c r="AT36" s="860"/>
      <c r="AU36" s="860"/>
      <c r="AV36" s="860"/>
      <c r="AW36" s="860"/>
      <c r="AX36" s="860"/>
      <c r="AY36" s="860"/>
    </row>
    <row r="37" spans="7:51" x14ac:dyDescent="0.25">
      <c r="U37" s="747" t="s">
        <v>584</v>
      </c>
      <c r="AB37" s="854">
        <f>AB35-AB31</f>
        <v>1802535.97</v>
      </c>
      <c r="AE37" s="881"/>
      <c r="AN37" s="860"/>
      <c r="AO37" s="1343"/>
      <c r="AP37" s="860"/>
      <c r="AQ37" s="860"/>
      <c r="AR37" s="860"/>
      <c r="AS37" s="860"/>
      <c r="AT37" s="860"/>
      <c r="AU37" s="860"/>
      <c r="AV37" s="860"/>
      <c r="AW37" s="860"/>
      <c r="AX37" s="860"/>
      <c r="AY37" s="860"/>
    </row>
    <row r="38" spans="7:51" x14ac:dyDescent="0.25">
      <c r="Z38" s="416"/>
      <c r="AE38" s="882"/>
      <c r="AN38" s="860"/>
      <c r="AO38" s="860"/>
      <c r="AP38" s="860"/>
      <c r="AQ38" s="860"/>
      <c r="AR38" s="860"/>
      <c r="AS38" s="860"/>
      <c r="AT38" s="860"/>
      <c r="AU38" s="860"/>
      <c r="AV38" s="860"/>
      <c r="AW38" s="860"/>
      <c r="AX38" s="860"/>
      <c r="AY38" s="860"/>
    </row>
    <row r="39" spans="7:51" ht="16.5" thickBot="1" x14ac:dyDescent="0.3">
      <c r="U39" s="747" t="s">
        <v>585</v>
      </c>
      <c r="AB39" s="883">
        <f>AB25+AB37</f>
        <v>1934788.5999999999</v>
      </c>
      <c r="AE39" s="881"/>
    </row>
    <row r="40" spans="7:51" ht="16.5" thickTop="1" x14ac:dyDescent="0.25">
      <c r="U40" s="873"/>
      <c r="V40" s="841"/>
      <c r="W40" s="841"/>
      <c r="X40" s="841"/>
      <c r="Y40" s="860"/>
      <c r="Z40" s="861"/>
      <c r="AA40" s="861"/>
      <c r="AB40" s="850"/>
      <c r="AE40" s="881"/>
    </row>
    <row r="41" spans="7:51" x14ac:dyDescent="0.25">
      <c r="U41" s="744"/>
      <c r="Z41" s="884"/>
      <c r="AA41" s="885"/>
      <c r="AB41" s="841"/>
    </row>
    <row r="42" spans="7:51" x14ac:dyDescent="0.25">
      <c r="I42" s="880" t="s">
        <v>583</v>
      </c>
      <c r="U42" s="744"/>
      <c r="V42" s="837"/>
      <c r="W42" s="837"/>
      <c r="X42" s="837"/>
      <c r="Z42" s="837"/>
      <c r="AA42" s="858"/>
      <c r="AB42" s="850"/>
      <c r="AF42" s="886">
        <v>40909</v>
      </c>
      <c r="AG42" s="886">
        <v>40940</v>
      </c>
      <c r="AH42" s="886">
        <v>40969</v>
      </c>
      <c r="AI42" s="886">
        <v>40634</v>
      </c>
      <c r="AJ42" s="886">
        <v>40664</v>
      </c>
      <c r="AK42" s="886">
        <v>40695</v>
      </c>
      <c r="AL42" s="886">
        <v>40725</v>
      </c>
      <c r="AM42" s="886">
        <v>40756</v>
      </c>
      <c r="AN42" s="886">
        <v>40787</v>
      </c>
      <c r="AO42" s="886">
        <v>40817</v>
      </c>
      <c r="AP42" s="886">
        <v>40848</v>
      </c>
      <c r="AQ42" s="886">
        <v>40878</v>
      </c>
      <c r="AT42" s="886">
        <v>40725</v>
      </c>
      <c r="AU42" s="747" t="s">
        <v>205</v>
      </c>
    </row>
    <row r="43" spans="7:51" x14ac:dyDescent="0.25">
      <c r="AE43" s="747" t="s">
        <v>205</v>
      </c>
      <c r="AF43" s="840">
        <f ca="1">SUMIFS('Apr11-Mar12 Billed-RETAIL'!$AT$5:$AT$149,'Apr11-Mar12 Billed-RETAIL'!$E$5:$E$149,$AE43,'Apr11-Mar12 Billed-RETAIL'!$B$5:$B$149,AF$42)</f>
        <v>1279014.8399999999</v>
      </c>
      <c r="AG43" s="840">
        <f ca="1">SUMIFS('Apr11-Mar12 Billed-RETAIL'!$AT$5:$AT$149,'Apr11-Mar12 Billed-RETAIL'!$E$5:$E$149,$AE43,'Apr11-Mar12 Billed-RETAIL'!$B$5:$B$149,AG$42)</f>
        <v>950160.60000000009</v>
      </c>
      <c r="AH43" s="840">
        <f ca="1">SUMIFS('Apr11-Mar12 Billed-RETAIL'!$AT$5:$AT$149,'Apr11-Mar12 Billed-RETAIL'!$E$5:$E$149,$AE43,'Apr11-Mar12 Billed-RETAIL'!$B$5:$B$149,AH$42)</f>
        <v>1302933.8199999998</v>
      </c>
      <c r="AI43" s="840">
        <f ca="1">SUMIFS('Apr11-Mar12 Billed-RETAIL'!$AT$5:$AT$149,'Apr11-Mar12 Billed-RETAIL'!$E$5:$E$149,$AE43,'Apr11-Mar12 Billed-RETAIL'!$B$5:$B$149,AI$42)</f>
        <v>620072.67999999993</v>
      </c>
      <c r="AJ43" s="840">
        <f ca="1">SUMIFS('Apr11-Mar12 Billed-RETAIL'!$AT$5:$AT$149,'Apr11-Mar12 Billed-RETAIL'!$E$5:$E$149,$AE43,'Apr11-Mar12 Billed-RETAIL'!$B$5:$B$149,AJ$42)</f>
        <v>-315.42</v>
      </c>
      <c r="AK43" s="840">
        <f ca="1">SUMIFS('Apr11-Mar12 Billed-RETAIL'!$AT$5:$AT$149,'Apr11-Mar12 Billed-RETAIL'!$E$5:$E$149,$AE43,'Apr11-Mar12 Billed-RETAIL'!$B$5:$B$149,AK$42)</f>
        <v>-1028.25</v>
      </c>
      <c r="AL43" s="840">
        <f ca="1">SUMIFS('Apr11-Mar12 Billed-RETAIL'!$AT$5:$AT$149,'Apr11-Mar12 Billed-RETAIL'!$E$5:$E$149,$AE43,'Apr11-Mar12 Billed-RETAIL'!$B$5:$B$149,AL$42)</f>
        <v>-402.37</v>
      </c>
      <c r="AM43" s="840">
        <f ca="1">SUMIFS('Apr11-Mar12 Billed-RETAIL'!$AT$5:$AT$149,'Apr11-Mar12 Billed-RETAIL'!$E$5:$E$149,$AE43,'Apr11-Mar12 Billed-RETAIL'!$B$5:$B$149,AM$42)</f>
        <v>-165.82</v>
      </c>
      <c r="AN43" s="840">
        <f ca="1">SUMIFS('Apr11-Mar12 Billed-RETAIL'!$AT$5:$AT$149,'Apr11-Mar12 Billed-RETAIL'!$E$5:$E$149,$AE43,'Apr11-Mar12 Billed-RETAIL'!$B$5:$B$149,AN$42)</f>
        <v>-105.94</v>
      </c>
      <c r="AO43" s="840">
        <f ca="1">SUMIFS('Apr11-Mar12 Billed-RETAIL'!$AT$5:$AT$149,'Apr11-Mar12 Billed-RETAIL'!$E$5:$E$149,$AE43,'Apr11-Mar12 Billed-RETAIL'!$B$5:$B$149,AO$42)</f>
        <v>-47.24</v>
      </c>
      <c r="AP43" s="840">
        <f ca="1">SUMIFS('Apr11-Mar12 Billed-RETAIL'!$AT$5:$AT$149,'Apr11-Mar12 Billed-RETAIL'!$E$5:$E$149,$AE43,'Apr11-Mar12 Billed-RETAIL'!$B$5:$B$149,AP$42)</f>
        <v>186088.06</v>
      </c>
      <c r="AQ43" s="840">
        <f ca="1">SUMIFS('Apr11-Mar12 Billed-RETAIL'!$AT$5:$AT$149,'Apr11-Mar12 Billed-RETAIL'!$E$5:$E$149,$AE43,'Apr11-Mar12 Billed-RETAIL'!$B$5:$B$149,AQ$42)</f>
        <v>942248.39</v>
      </c>
      <c r="AR43" s="837">
        <f ca="1">SUM(AF43:AQ43)</f>
        <v>5278453.3499999987</v>
      </c>
      <c r="AT43" s="886">
        <v>40756</v>
      </c>
      <c r="AU43" s="747" t="s">
        <v>180</v>
      </c>
    </row>
    <row r="44" spans="7:51" x14ac:dyDescent="0.25">
      <c r="AE44" s="747" t="s">
        <v>180</v>
      </c>
      <c r="AF44" s="840">
        <f ca="1">SUMIFS('Apr11-Mar12 Billed-RETAIL'!$AT$5:$AT$149,'Apr11-Mar12 Billed-RETAIL'!$E$5:$E$149,$AE44,'Apr11-Mar12 Billed-RETAIL'!$B$5:$B$149,AF$42)</f>
        <v>456659.39999999997</v>
      </c>
      <c r="AG44" s="840">
        <f ca="1">SUMIFS('Apr11-Mar12 Billed-RETAIL'!$AT$5:$AT$149,'Apr11-Mar12 Billed-RETAIL'!$E$5:$E$149,$AE44,'Apr11-Mar12 Billed-RETAIL'!$B$5:$B$149,AG$42)</f>
        <v>347652.98</v>
      </c>
      <c r="AH44" s="840">
        <f ca="1">SUMIFS('Apr11-Mar12 Billed-RETAIL'!$AT$5:$AT$149,'Apr11-Mar12 Billed-RETAIL'!$E$5:$E$149,$AE44,'Apr11-Mar12 Billed-RETAIL'!$B$5:$B$149,AH$42)</f>
        <v>529225.04</v>
      </c>
      <c r="AI44" s="840">
        <f ca="1">SUMIFS('Apr11-Mar12 Billed-RETAIL'!$AT$5:$AT$149,'Apr11-Mar12 Billed-RETAIL'!$E$5:$E$149,$AE44,'Apr11-Mar12 Billed-RETAIL'!$B$5:$B$149,AI$42)</f>
        <v>223103.03</v>
      </c>
      <c r="AJ44" s="840">
        <f ca="1">SUMIFS('Apr11-Mar12 Billed-RETAIL'!$AT$5:$AT$149,'Apr11-Mar12 Billed-RETAIL'!$E$5:$E$149,$AE44,'Apr11-Mar12 Billed-RETAIL'!$B$5:$B$149,AJ$42)</f>
        <v>4073.41</v>
      </c>
      <c r="AK44" s="840">
        <f ca="1">SUMIFS('Apr11-Mar12 Billed-RETAIL'!$AT$5:$AT$149,'Apr11-Mar12 Billed-RETAIL'!$E$5:$E$149,$AE44,'Apr11-Mar12 Billed-RETAIL'!$B$5:$B$149,AK$42)</f>
        <v>15.23</v>
      </c>
      <c r="AL44" s="840">
        <f ca="1">SUMIFS('Apr11-Mar12 Billed-RETAIL'!$AT$5:$AT$149,'Apr11-Mar12 Billed-RETAIL'!$E$5:$E$149,$AE44,'Apr11-Mar12 Billed-RETAIL'!$B$5:$B$149,AL$42)</f>
        <v>-202.71</v>
      </c>
      <c r="AM44" s="840">
        <f ca="1">SUMIFS('Apr11-Mar12 Billed-RETAIL'!$AT$5:$AT$149,'Apr11-Mar12 Billed-RETAIL'!$E$5:$E$149,$AE44,'Apr11-Mar12 Billed-RETAIL'!$B$5:$B$149,AM$42)</f>
        <v>-157.93</v>
      </c>
      <c r="AN44" s="840">
        <f ca="1">SUMIFS('Apr11-Mar12 Billed-RETAIL'!$AT$5:$AT$149,'Apr11-Mar12 Billed-RETAIL'!$E$5:$E$149,$AE44,'Apr11-Mar12 Billed-RETAIL'!$B$5:$B$149,AN$42)</f>
        <v>4.66</v>
      </c>
      <c r="AO44" s="840">
        <f ca="1">SUMIFS('Apr11-Mar12 Billed-RETAIL'!$AT$5:$AT$149,'Apr11-Mar12 Billed-RETAIL'!$E$5:$E$149,$AE44,'Apr11-Mar12 Billed-RETAIL'!$B$5:$B$149,AO$42)</f>
        <v>-30.110000000000003</v>
      </c>
      <c r="AP44" s="840">
        <f ca="1">SUMIFS('Apr11-Mar12 Billed-RETAIL'!$AT$5:$AT$149,'Apr11-Mar12 Billed-RETAIL'!$E$5:$E$149,$AE44,'Apr11-Mar12 Billed-RETAIL'!$B$5:$B$149,AP$42)</f>
        <v>71006.350000000006</v>
      </c>
      <c r="AQ44" s="840">
        <f ca="1">SUMIFS('Apr11-Mar12 Billed-RETAIL'!$AT$5:$AT$149,'Apr11-Mar12 Billed-RETAIL'!$E$5:$E$149,$AE44,'Apr11-Mar12 Billed-RETAIL'!$B$5:$B$149,AQ$42)</f>
        <v>332967.92</v>
      </c>
      <c r="AR44" s="836">
        <f ca="1">SUM(AF44:AQ44)</f>
        <v>1964317.2699999998</v>
      </c>
      <c r="AU44" s="747" t="s">
        <v>441</v>
      </c>
    </row>
    <row r="45" spans="7:51" x14ac:dyDescent="0.25">
      <c r="AM45" s="840"/>
      <c r="AN45" s="840"/>
      <c r="AO45" s="840"/>
      <c r="AP45" s="840"/>
      <c r="AQ45" s="840"/>
      <c r="AR45" s="837">
        <f ca="1">+AR43+AR44</f>
        <v>7242770.6199999982</v>
      </c>
      <c r="AS45" s="747" t="s">
        <v>763</v>
      </c>
    </row>
    <row r="46" spans="7:51" x14ac:dyDescent="0.25">
      <c r="H46" s="747" t="s">
        <v>485</v>
      </c>
      <c r="J46" s="887" t="s">
        <v>45</v>
      </c>
      <c r="K46" s="747" t="s">
        <v>216</v>
      </c>
      <c r="L46" s="747" t="s">
        <v>190</v>
      </c>
      <c r="N46" s="886">
        <v>40725</v>
      </c>
      <c r="Q46" s="888"/>
      <c r="R46" s="889"/>
      <c r="AF46" s="840">
        <f ca="1">+AF9-AF43</f>
        <v>-127.46999999973923</v>
      </c>
      <c r="AG46" s="840">
        <f ca="1">+AG9-AG43</f>
        <v>-130.12000000011176</v>
      </c>
      <c r="AH46" s="840">
        <f ca="1">+AH9-AH43</f>
        <v>-173.65999999991618</v>
      </c>
      <c r="AI46" s="840">
        <f ca="1">+AI9-AI43</f>
        <v>-20.679999999934807</v>
      </c>
      <c r="AM46" s="840"/>
      <c r="AN46" s="840"/>
      <c r="AO46" s="840"/>
      <c r="AP46" s="840">
        <f ca="1">+AJ9-AP43</f>
        <v>-18.940000000002328</v>
      </c>
      <c r="AQ46" s="840">
        <f ca="1">+AK9-AQ43</f>
        <v>-157.15000000002328</v>
      </c>
      <c r="AR46" s="836">
        <v>7242771</v>
      </c>
      <c r="AS46" s="747" t="s">
        <v>759</v>
      </c>
    </row>
    <row r="47" spans="7:51" x14ac:dyDescent="0.25">
      <c r="G47" s="887"/>
      <c r="J47" s="887" t="s">
        <v>66</v>
      </c>
      <c r="K47" s="747" t="s">
        <v>218</v>
      </c>
      <c r="L47" s="747" t="s">
        <v>440</v>
      </c>
      <c r="N47" s="886">
        <v>40756</v>
      </c>
      <c r="Q47" s="888"/>
      <c r="R47" s="889"/>
      <c r="AF47" s="840">
        <f ca="1">+AF11-AF44</f>
        <v>127.47000000003027</v>
      </c>
      <c r="AG47" s="840">
        <f ca="1">+AG11-AG44</f>
        <v>130.12000000005355</v>
      </c>
      <c r="AH47" s="840">
        <f ca="1">+AH11-AH44</f>
        <v>173.65999999991618</v>
      </c>
      <c r="AI47" s="840">
        <f ca="1">+AI11-AI44</f>
        <v>20.970000000001164</v>
      </c>
      <c r="AM47" s="840"/>
      <c r="AN47" s="840"/>
      <c r="AO47" s="840"/>
      <c r="AP47" s="840">
        <f ca="1">+AJ11-AP44</f>
        <v>18.940000000002328</v>
      </c>
      <c r="AQ47" s="840">
        <f ca="1">+AK11-AQ44</f>
        <v>157.15000000002328</v>
      </c>
      <c r="AR47" s="837">
        <f ca="1">+AR45-AR46</f>
        <v>-0.38000000175088644</v>
      </c>
      <c r="AS47" s="747" t="s">
        <v>386</v>
      </c>
    </row>
    <row r="48" spans="7:51" x14ac:dyDescent="0.25">
      <c r="G48" s="887"/>
      <c r="H48" s="830" t="s">
        <v>567</v>
      </c>
      <c r="Q48" s="888"/>
      <c r="R48" s="889"/>
      <c r="AR48" s="836"/>
      <c r="AS48" s="830"/>
    </row>
    <row r="49" spans="8:45" x14ac:dyDescent="0.25">
      <c r="H49" s="747" t="s">
        <v>299</v>
      </c>
      <c r="J49" s="887" t="s">
        <v>23</v>
      </c>
      <c r="K49" s="747" t="s">
        <v>208</v>
      </c>
      <c r="L49" s="747" t="s">
        <v>181</v>
      </c>
      <c r="Q49" s="888"/>
      <c r="R49" s="889"/>
      <c r="AF49" s="863">
        <f ca="1">+AF46+AF47</f>
        <v>2.9103830456733704E-10</v>
      </c>
      <c r="AG49" s="863">
        <f ca="1">+AG46+AG47</f>
        <v>-5.8207660913467407E-11</v>
      </c>
      <c r="AH49" s="863">
        <f ca="1">+AH46+AH47</f>
        <v>0</v>
      </c>
      <c r="AI49" s="840">
        <f ca="1">+AI46+AI47</f>
        <v>0.29000000006635673</v>
      </c>
      <c r="AJ49" s="863">
        <f t="shared" ref="AJ49:AO49" ca="1" si="2">SUM(AJ43:AJ44)</f>
        <v>3757.99</v>
      </c>
      <c r="AK49" s="863">
        <f t="shared" ca="1" si="2"/>
        <v>-1013.02</v>
      </c>
      <c r="AL49" s="863">
        <f t="shared" ca="1" si="2"/>
        <v>-605.08000000000004</v>
      </c>
      <c r="AM49" s="863">
        <f t="shared" ca="1" si="2"/>
        <v>-323.75</v>
      </c>
      <c r="AN49" s="863">
        <f t="shared" ca="1" si="2"/>
        <v>-101.28</v>
      </c>
      <c r="AO49" s="863">
        <f t="shared" ca="1" si="2"/>
        <v>-77.350000000000009</v>
      </c>
      <c r="AP49" s="840">
        <f ca="1">+AP46+AP47</f>
        <v>0</v>
      </c>
      <c r="AQ49" s="840">
        <f ca="1">+AQ46+AQ47</f>
        <v>0</v>
      </c>
      <c r="AR49" s="837">
        <f ca="1">SUM(AR47:AR48)</f>
        <v>-0.38000000175088644</v>
      </c>
    </row>
    <row r="50" spans="8:45" x14ac:dyDescent="0.25">
      <c r="H50" s="747" t="s">
        <v>570</v>
      </c>
      <c r="J50" s="887" t="s">
        <v>29</v>
      </c>
      <c r="K50" s="747" t="s">
        <v>217</v>
      </c>
      <c r="L50" s="747" t="s">
        <v>191</v>
      </c>
      <c r="AH50" s="837">
        <f ca="1">SUM(AF49:AH49)</f>
        <v>2.3283064365386963E-10</v>
      </c>
      <c r="AI50" s="837"/>
      <c r="AO50" s="837">
        <f ca="1">SUM(AJ49:AO49)</f>
        <v>1637.51</v>
      </c>
    </row>
    <row r="51" spans="8:45" x14ac:dyDescent="0.25">
      <c r="H51" s="747" t="s">
        <v>572</v>
      </c>
      <c r="AR51" s="837">
        <f ca="1">SUM(AF43:AI44)+SUM(AP43:AQ44)</f>
        <v>7241133.1100000003</v>
      </c>
      <c r="AS51" s="747" t="s">
        <v>764</v>
      </c>
    </row>
    <row r="52" spans="8:45" x14ac:dyDescent="0.25">
      <c r="AR52" s="836">
        <f>+AL13</f>
        <v>7241133.4000000004</v>
      </c>
      <c r="AS52" s="747" t="s">
        <v>765</v>
      </c>
    </row>
    <row r="53" spans="8:45" x14ac:dyDescent="0.25">
      <c r="H53" s="747" t="s">
        <v>487</v>
      </c>
      <c r="AR53" s="837">
        <f ca="1">+AR51-AR52</f>
        <v>-0.2900000000372529</v>
      </c>
      <c r="AS53" s="747" t="s">
        <v>386</v>
      </c>
    </row>
    <row r="55" spans="8:45" x14ac:dyDescent="0.25">
      <c r="H55" s="747" t="s">
        <v>375</v>
      </c>
    </row>
    <row r="56" spans="8:45" x14ac:dyDescent="0.25">
      <c r="H56" s="747" t="s">
        <v>1167</v>
      </c>
    </row>
    <row r="57" spans="8:45" x14ac:dyDescent="0.25">
      <c r="H57" s="747" t="s">
        <v>1168</v>
      </c>
    </row>
    <row r="59" spans="8:45" x14ac:dyDescent="0.25">
      <c r="H59" s="747" t="s">
        <v>577</v>
      </c>
    </row>
    <row r="60" spans="8:45" x14ac:dyDescent="0.25">
      <c r="H60" s="747" t="s">
        <v>578</v>
      </c>
    </row>
    <row r="62" spans="8:45" x14ac:dyDescent="0.25">
      <c r="H62" s="747" t="s">
        <v>1167</v>
      </c>
      <c r="I62" s="840">
        <v>0</v>
      </c>
      <c r="J62" s="840">
        <v>0</v>
      </c>
      <c r="K62" s="840">
        <f>(J62*6)</f>
        <v>0</v>
      </c>
      <c r="L62" s="837">
        <f>(I62-K62)</f>
        <v>0</v>
      </c>
      <c r="M62" s="840">
        <f>L$5</f>
        <v>3242</v>
      </c>
      <c r="N62" s="840">
        <f>(L62/M62)</f>
        <v>0</v>
      </c>
      <c r="O62" s="840">
        <f>M$5</f>
        <v>4100</v>
      </c>
      <c r="P62" s="837">
        <f>(O62-M62)</f>
        <v>858</v>
      </c>
      <c r="Q62" s="840">
        <f>(N62*P62)</f>
        <v>0</v>
      </c>
      <c r="R62" s="747">
        <v>0</v>
      </c>
      <c r="S62" s="840">
        <f>(Q62*R62)</f>
        <v>0</v>
      </c>
    </row>
    <row r="63" spans="8:45" x14ac:dyDescent="0.25">
      <c r="H63" s="747" t="s">
        <v>1168</v>
      </c>
      <c r="I63" s="840">
        <f>+'Summary SBR-Transport'!C42</f>
        <v>619842.69999999995</v>
      </c>
      <c r="J63" s="840">
        <f>SUM('Summary SBR-Transport'!AB42:AC42)</f>
        <v>97669.4</v>
      </c>
      <c r="K63" s="840">
        <f>(J63*6)</f>
        <v>586016.39999999991</v>
      </c>
      <c r="L63" s="837">
        <f>(I63-K63)</f>
        <v>33826.300000000047</v>
      </c>
      <c r="M63" s="840">
        <f>L$5</f>
        <v>3242</v>
      </c>
      <c r="N63" s="840">
        <f>(L63/M63)</f>
        <v>10.433775447254796</v>
      </c>
      <c r="O63" s="840">
        <f>M$5</f>
        <v>4100</v>
      </c>
      <c r="P63" s="837">
        <f>(O63-M63)</f>
        <v>858</v>
      </c>
      <c r="Q63" s="840">
        <f>(N63*P63)</f>
        <v>8952.1793337446143</v>
      </c>
      <c r="R63" s="747">
        <v>0.10489999999999999</v>
      </c>
      <c r="S63" s="840">
        <f>(Q63*R63)</f>
        <v>939.08361210981002</v>
      </c>
    </row>
    <row r="64" spans="8:45" x14ac:dyDescent="0.25">
      <c r="H64" s="747" t="s">
        <v>577</v>
      </c>
      <c r="I64" s="840">
        <f>+'Summary SBR-Transport'!C30</f>
        <v>672290.40000000014</v>
      </c>
      <c r="J64" s="840">
        <f>+'Summary SBR-Transport'!AB30+'Summary SBR-Transport'!AC30</f>
        <v>149365.9</v>
      </c>
      <c r="K64" s="840">
        <f>(J64*6)</f>
        <v>896195.39999999991</v>
      </c>
      <c r="L64" s="837">
        <f>(I64-K64)</f>
        <v>-223904.99999999977</v>
      </c>
      <c r="M64" s="840">
        <f>L$5</f>
        <v>3242</v>
      </c>
      <c r="N64" s="840">
        <f>(L64/M64)</f>
        <v>-69.063849475632253</v>
      </c>
      <c r="O64" s="840">
        <f>M$5</f>
        <v>4100</v>
      </c>
      <c r="P64" s="837">
        <f>(O64-M64)</f>
        <v>858</v>
      </c>
      <c r="Q64" s="840">
        <f>(N64*P64)</f>
        <v>-59256.782850092473</v>
      </c>
      <c r="R64" s="862">
        <v>0.2253</v>
      </c>
      <c r="S64" s="840">
        <f>(Q64*R64)</f>
        <v>-13350.553176125833</v>
      </c>
    </row>
    <row r="65" spans="8:19" x14ac:dyDescent="0.25">
      <c r="H65" s="747" t="s">
        <v>578</v>
      </c>
      <c r="I65" s="840">
        <f>+'Summary SBR-Transport'!C32</f>
        <v>341340.80000000005</v>
      </c>
      <c r="J65" s="840">
        <f>+'Summary SBR-Transport'!AB32+'Summary SBR-Transport'!AC32</f>
        <v>173515</v>
      </c>
      <c r="K65" s="840">
        <f>(J65*6)</f>
        <v>1041090</v>
      </c>
      <c r="L65" s="837">
        <f>(I65-K65)</f>
        <v>-699749.2</v>
      </c>
      <c r="M65" s="840">
        <f>L$5</f>
        <v>3242</v>
      </c>
      <c r="N65" s="840">
        <f>(L65/M65)</f>
        <v>-215.83874151758172</v>
      </c>
      <c r="O65" s="840">
        <f>M$5</f>
        <v>4100</v>
      </c>
      <c r="P65" s="837">
        <f>(O65-M65)</f>
        <v>858</v>
      </c>
      <c r="Q65" s="840">
        <f>(N65*P65)</f>
        <v>-185189.64022208512</v>
      </c>
      <c r="R65" s="747">
        <v>4.87E-2</v>
      </c>
      <c r="S65" s="840">
        <f>(Q65*R65)</f>
        <v>-9018.7354788155444</v>
      </c>
    </row>
  </sheetData>
  <mergeCells count="8">
    <mergeCell ref="Y2:Z2"/>
    <mergeCell ref="Y3:Z3"/>
    <mergeCell ref="W4:X4"/>
    <mergeCell ref="A1:F1"/>
    <mergeCell ref="H1:S1"/>
    <mergeCell ref="U1:AB1"/>
    <mergeCell ref="AE1:AL1"/>
    <mergeCell ref="AN1:AY1"/>
  </mergeCells>
  <printOptions horizontalCentered="1"/>
  <pageMargins left="0.7" right="0.7" top="1.75" bottom="0.75" header="1" footer="0.55000000000000004"/>
  <pageSetup scale="63" orientation="landscape" r:id="rId1"/>
  <headerFooter>
    <oddHeader>&amp;C&amp;"Times New Roman,Bold"&amp;14Louisville Gas and Electric Company
Temperature Normalization Adjustment
For the 12-months Ended March 31, 2012</oddHeader>
    <oddFooter>&amp;R&amp;"Times New Roman,Bold"&amp;14Conroy Exhibit P12
Page &amp;P of &amp;N</oddFooter>
  </headerFooter>
  <colBreaks count="4" manualBreakCount="4">
    <brk id="7" max="39" man="1"/>
    <brk id="19" max="39" man="1"/>
    <brk id="30" max="39" man="1"/>
    <brk id="38" max="4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6" tint="0.39997558519241921"/>
  </sheetPr>
  <dimension ref="A2:J43"/>
  <sheetViews>
    <sheetView zoomScale="90" zoomScaleNormal="90" zoomScaleSheetLayoutView="80" workbookViewId="0"/>
  </sheetViews>
  <sheetFormatPr defaultRowHeight="15.75" x14ac:dyDescent="0.25"/>
  <cols>
    <col min="1" max="1" width="64.7109375" style="840" customWidth="1"/>
    <col min="2" max="2" width="16.140625" style="840" bestFit="1" customWidth="1"/>
    <col min="3" max="3" width="15.85546875" style="840" bestFit="1" customWidth="1"/>
    <col min="4" max="4" width="13.85546875" style="840" customWidth="1"/>
    <col min="5" max="5" width="13.28515625" style="840" bestFit="1" customWidth="1"/>
    <col min="6" max="6" width="15.85546875" style="840" customWidth="1"/>
    <col min="7" max="7" width="16.7109375" style="840" bestFit="1" customWidth="1"/>
    <col min="8" max="8" width="14.42578125" style="840" customWidth="1"/>
    <col min="9" max="9" width="16.5703125" style="840" customWidth="1"/>
    <col min="10" max="10" width="12.28515625" style="840" customWidth="1"/>
    <col min="11" max="246" width="9.140625" style="840"/>
    <col min="247" max="247" width="64.7109375" style="840" customWidth="1"/>
    <col min="248" max="248" width="16.140625" style="840" bestFit="1" customWidth="1"/>
    <col min="249" max="249" width="15.85546875" style="840" bestFit="1" customWidth="1"/>
    <col min="250" max="250" width="13.85546875" style="840" customWidth="1"/>
    <col min="251" max="251" width="13.28515625" style="840" bestFit="1" customWidth="1"/>
    <col min="252" max="252" width="15.85546875" style="840" customWidth="1"/>
    <col min="253" max="253" width="16.7109375" style="840" bestFit="1" customWidth="1"/>
    <col min="254" max="254" width="14.42578125" style="840" customWidth="1"/>
    <col min="255" max="255" width="16.5703125" style="840" customWidth="1"/>
    <col min="256" max="256" width="12.28515625" style="840" customWidth="1"/>
    <col min="257" max="257" width="13.42578125" style="840" customWidth="1"/>
    <col min="258" max="258" width="14" style="840" customWidth="1"/>
    <col min="259" max="259" width="14.140625" style="840" customWidth="1"/>
    <col min="260" max="260" width="13.42578125" style="840" customWidth="1"/>
    <col min="261" max="261" width="9.140625" style="840"/>
    <col min="262" max="262" width="13.140625" style="840" bestFit="1" customWidth="1"/>
    <col min="263" max="263" width="12.7109375" style="840" bestFit="1" customWidth="1"/>
    <col min="264" max="264" width="11.140625" style="840" bestFit="1" customWidth="1"/>
    <col min="265" max="265" width="12.7109375" style="840" customWidth="1"/>
    <col min="266" max="502" width="9.140625" style="840"/>
    <col min="503" max="503" width="64.7109375" style="840" customWidth="1"/>
    <col min="504" max="504" width="16.140625" style="840" bestFit="1" customWidth="1"/>
    <col min="505" max="505" width="15.85546875" style="840" bestFit="1" customWidth="1"/>
    <col min="506" max="506" width="13.85546875" style="840" customWidth="1"/>
    <col min="507" max="507" width="13.28515625" style="840" bestFit="1" customWidth="1"/>
    <col min="508" max="508" width="15.85546875" style="840" customWidth="1"/>
    <col min="509" max="509" width="16.7109375" style="840" bestFit="1" customWidth="1"/>
    <col min="510" max="510" width="14.42578125" style="840" customWidth="1"/>
    <col min="511" max="511" width="16.5703125" style="840" customWidth="1"/>
    <col min="512" max="512" width="12.28515625" style="840" customWidth="1"/>
    <col min="513" max="513" width="13.42578125" style="840" customWidth="1"/>
    <col min="514" max="514" width="14" style="840" customWidth="1"/>
    <col min="515" max="515" width="14.140625" style="840" customWidth="1"/>
    <col min="516" max="516" width="13.42578125" style="840" customWidth="1"/>
    <col min="517" max="517" width="9.140625" style="840"/>
    <col min="518" max="518" width="13.140625" style="840" bestFit="1" customWidth="1"/>
    <col min="519" max="519" width="12.7109375" style="840" bestFit="1" customWidth="1"/>
    <col min="520" max="520" width="11.140625" style="840" bestFit="1" customWidth="1"/>
    <col min="521" max="521" width="12.7109375" style="840" customWidth="1"/>
    <col min="522" max="758" width="9.140625" style="840"/>
    <col min="759" max="759" width="64.7109375" style="840" customWidth="1"/>
    <col min="760" max="760" width="16.140625" style="840" bestFit="1" customWidth="1"/>
    <col min="761" max="761" width="15.85546875" style="840" bestFit="1" customWidth="1"/>
    <col min="762" max="762" width="13.85546875" style="840" customWidth="1"/>
    <col min="763" max="763" width="13.28515625" style="840" bestFit="1" customWidth="1"/>
    <col min="764" max="764" width="15.85546875" style="840" customWidth="1"/>
    <col min="765" max="765" width="16.7109375" style="840" bestFit="1" customWidth="1"/>
    <col min="766" max="766" width="14.42578125" style="840" customWidth="1"/>
    <col min="767" max="767" width="16.5703125" style="840" customWidth="1"/>
    <col min="768" max="768" width="12.28515625" style="840" customWidth="1"/>
    <col min="769" max="769" width="13.42578125" style="840" customWidth="1"/>
    <col min="770" max="770" width="14" style="840" customWidth="1"/>
    <col min="771" max="771" width="14.140625" style="840" customWidth="1"/>
    <col min="772" max="772" width="13.42578125" style="840" customWidth="1"/>
    <col min="773" max="773" width="9.140625" style="840"/>
    <col min="774" max="774" width="13.140625" style="840" bestFit="1" customWidth="1"/>
    <col min="775" max="775" width="12.7109375" style="840" bestFit="1" customWidth="1"/>
    <col min="776" max="776" width="11.140625" style="840" bestFit="1" customWidth="1"/>
    <col min="777" max="777" width="12.7109375" style="840" customWidth="1"/>
    <col min="778" max="1014" width="9.140625" style="840"/>
    <col min="1015" max="1015" width="64.7109375" style="840" customWidth="1"/>
    <col min="1016" max="1016" width="16.140625" style="840" bestFit="1" customWidth="1"/>
    <col min="1017" max="1017" width="15.85546875" style="840" bestFit="1" customWidth="1"/>
    <col min="1018" max="1018" width="13.85546875" style="840" customWidth="1"/>
    <col min="1019" max="1019" width="13.28515625" style="840" bestFit="1" customWidth="1"/>
    <col min="1020" max="1020" width="15.85546875" style="840" customWidth="1"/>
    <col min="1021" max="1021" width="16.7109375" style="840" bestFit="1" customWidth="1"/>
    <col min="1022" max="1022" width="14.42578125" style="840" customWidth="1"/>
    <col min="1023" max="1023" width="16.5703125" style="840" customWidth="1"/>
    <col min="1024" max="1024" width="12.28515625" style="840" customWidth="1"/>
    <col min="1025" max="1025" width="13.42578125" style="840" customWidth="1"/>
    <col min="1026" max="1026" width="14" style="840" customWidth="1"/>
    <col min="1027" max="1027" width="14.140625" style="840" customWidth="1"/>
    <col min="1028" max="1028" width="13.42578125" style="840" customWidth="1"/>
    <col min="1029" max="1029" width="9.140625" style="840"/>
    <col min="1030" max="1030" width="13.140625" style="840" bestFit="1" customWidth="1"/>
    <col min="1031" max="1031" width="12.7109375" style="840" bestFit="1" customWidth="1"/>
    <col min="1032" max="1032" width="11.140625" style="840" bestFit="1" customWidth="1"/>
    <col min="1033" max="1033" width="12.7109375" style="840" customWidth="1"/>
    <col min="1034" max="1270" width="9.140625" style="840"/>
    <col min="1271" max="1271" width="64.7109375" style="840" customWidth="1"/>
    <col min="1272" max="1272" width="16.140625" style="840" bestFit="1" customWidth="1"/>
    <col min="1273" max="1273" width="15.85546875" style="840" bestFit="1" customWidth="1"/>
    <col min="1274" max="1274" width="13.85546875" style="840" customWidth="1"/>
    <col min="1275" max="1275" width="13.28515625" style="840" bestFit="1" customWidth="1"/>
    <col min="1276" max="1276" width="15.85546875" style="840" customWidth="1"/>
    <col min="1277" max="1277" width="16.7109375" style="840" bestFit="1" customWidth="1"/>
    <col min="1278" max="1278" width="14.42578125" style="840" customWidth="1"/>
    <col min="1279" max="1279" width="16.5703125" style="840" customWidth="1"/>
    <col min="1280" max="1280" width="12.28515625" style="840" customWidth="1"/>
    <col min="1281" max="1281" width="13.42578125" style="840" customWidth="1"/>
    <col min="1282" max="1282" width="14" style="840" customWidth="1"/>
    <col min="1283" max="1283" width="14.140625" style="840" customWidth="1"/>
    <col min="1284" max="1284" width="13.42578125" style="840" customWidth="1"/>
    <col min="1285" max="1285" width="9.140625" style="840"/>
    <col min="1286" max="1286" width="13.140625" style="840" bestFit="1" customWidth="1"/>
    <col min="1287" max="1287" width="12.7109375" style="840" bestFit="1" customWidth="1"/>
    <col min="1288" max="1288" width="11.140625" style="840" bestFit="1" customWidth="1"/>
    <col min="1289" max="1289" width="12.7109375" style="840" customWidth="1"/>
    <col min="1290" max="1526" width="9.140625" style="840"/>
    <col min="1527" max="1527" width="64.7109375" style="840" customWidth="1"/>
    <col min="1528" max="1528" width="16.140625" style="840" bestFit="1" customWidth="1"/>
    <col min="1529" max="1529" width="15.85546875" style="840" bestFit="1" customWidth="1"/>
    <col min="1530" max="1530" width="13.85546875" style="840" customWidth="1"/>
    <col min="1531" max="1531" width="13.28515625" style="840" bestFit="1" customWidth="1"/>
    <col min="1532" max="1532" width="15.85546875" style="840" customWidth="1"/>
    <col min="1533" max="1533" width="16.7109375" style="840" bestFit="1" customWidth="1"/>
    <col min="1534" max="1534" width="14.42578125" style="840" customWidth="1"/>
    <col min="1535" max="1535" width="16.5703125" style="840" customWidth="1"/>
    <col min="1536" max="1536" width="12.28515625" style="840" customWidth="1"/>
    <col min="1537" max="1537" width="13.42578125" style="840" customWidth="1"/>
    <col min="1538" max="1538" width="14" style="840" customWidth="1"/>
    <col min="1539" max="1539" width="14.140625" style="840" customWidth="1"/>
    <col min="1540" max="1540" width="13.42578125" style="840" customWidth="1"/>
    <col min="1541" max="1541" width="9.140625" style="840"/>
    <col min="1542" max="1542" width="13.140625" style="840" bestFit="1" customWidth="1"/>
    <col min="1543" max="1543" width="12.7109375" style="840" bestFit="1" customWidth="1"/>
    <col min="1544" max="1544" width="11.140625" style="840" bestFit="1" customWidth="1"/>
    <col min="1545" max="1545" width="12.7109375" style="840" customWidth="1"/>
    <col min="1546" max="1782" width="9.140625" style="840"/>
    <col min="1783" max="1783" width="64.7109375" style="840" customWidth="1"/>
    <col min="1784" max="1784" width="16.140625" style="840" bestFit="1" customWidth="1"/>
    <col min="1785" max="1785" width="15.85546875" style="840" bestFit="1" customWidth="1"/>
    <col min="1786" max="1786" width="13.85546875" style="840" customWidth="1"/>
    <col min="1787" max="1787" width="13.28515625" style="840" bestFit="1" customWidth="1"/>
    <col min="1788" max="1788" width="15.85546875" style="840" customWidth="1"/>
    <col min="1789" max="1789" width="16.7109375" style="840" bestFit="1" customWidth="1"/>
    <col min="1790" max="1790" width="14.42578125" style="840" customWidth="1"/>
    <col min="1791" max="1791" width="16.5703125" style="840" customWidth="1"/>
    <col min="1792" max="1792" width="12.28515625" style="840" customWidth="1"/>
    <col min="1793" max="1793" width="13.42578125" style="840" customWidth="1"/>
    <col min="1794" max="1794" width="14" style="840" customWidth="1"/>
    <col min="1795" max="1795" width="14.140625" style="840" customWidth="1"/>
    <col min="1796" max="1796" width="13.42578125" style="840" customWidth="1"/>
    <col min="1797" max="1797" width="9.140625" style="840"/>
    <col min="1798" max="1798" width="13.140625" style="840" bestFit="1" customWidth="1"/>
    <col min="1799" max="1799" width="12.7109375" style="840" bestFit="1" customWidth="1"/>
    <col min="1800" max="1800" width="11.140625" style="840" bestFit="1" customWidth="1"/>
    <col min="1801" max="1801" width="12.7109375" style="840" customWidth="1"/>
    <col min="1802" max="2038" width="9.140625" style="840"/>
    <col min="2039" max="2039" width="64.7109375" style="840" customWidth="1"/>
    <col min="2040" max="2040" width="16.140625" style="840" bestFit="1" customWidth="1"/>
    <col min="2041" max="2041" width="15.85546875" style="840" bestFit="1" customWidth="1"/>
    <col min="2042" max="2042" width="13.85546875" style="840" customWidth="1"/>
    <col min="2043" max="2043" width="13.28515625" style="840" bestFit="1" customWidth="1"/>
    <col min="2044" max="2044" width="15.85546875" style="840" customWidth="1"/>
    <col min="2045" max="2045" width="16.7109375" style="840" bestFit="1" customWidth="1"/>
    <col min="2046" max="2046" width="14.42578125" style="840" customWidth="1"/>
    <col min="2047" max="2047" width="16.5703125" style="840" customWidth="1"/>
    <col min="2048" max="2048" width="12.28515625" style="840" customWidth="1"/>
    <col min="2049" max="2049" width="13.42578125" style="840" customWidth="1"/>
    <col min="2050" max="2050" width="14" style="840" customWidth="1"/>
    <col min="2051" max="2051" width="14.140625" style="840" customWidth="1"/>
    <col min="2052" max="2052" width="13.42578125" style="840" customWidth="1"/>
    <col min="2053" max="2053" width="9.140625" style="840"/>
    <col min="2054" max="2054" width="13.140625" style="840" bestFit="1" customWidth="1"/>
    <col min="2055" max="2055" width="12.7109375" style="840" bestFit="1" customWidth="1"/>
    <col min="2056" max="2056" width="11.140625" style="840" bestFit="1" customWidth="1"/>
    <col min="2057" max="2057" width="12.7109375" style="840" customWidth="1"/>
    <col min="2058" max="2294" width="9.140625" style="840"/>
    <col min="2295" max="2295" width="64.7109375" style="840" customWidth="1"/>
    <col min="2296" max="2296" width="16.140625" style="840" bestFit="1" customWidth="1"/>
    <col min="2297" max="2297" width="15.85546875" style="840" bestFit="1" customWidth="1"/>
    <col min="2298" max="2298" width="13.85546875" style="840" customWidth="1"/>
    <col min="2299" max="2299" width="13.28515625" style="840" bestFit="1" customWidth="1"/>
    <col min="2300" max="2300" width="15.85546875" style="840" customWidth="1"/>
    <col min="2301" max="2301" width="16.7109375" style="840" bestFit="1" customWidth="1"/>
    <col min="2302" max="2302" width="14.42578125" style="840" customWidth="1"/>
    <col min="2303" max="2303" width="16.5703125" style="840" customWidth="1"/>
    <col min="2304" max="2304" width="12.28515625" style="840" customWidth="1"/>
    <col min="2305" max="2305" width="13.42578125" style="840" customWidth="1"/>
    <col min="2306" max="2306" width="14" style="840" customWidth="1"/>
    <col min="2307" max="2307" width="14.140625" style="840" customWidth="1"/>
    <col min="2308" max="2308" width="13.42578125" style="840" customWidth="1"/>
    <col min="2309" max="2309" width="9.140625" style="840"/>
    <col min="2310" max="2310" width="13.140625" style="840" bestFit="1" customWidth="1"/>
    <col min="2311" max="2311" width="12.7109375" style="840" bestFit="1" customWidth="1"/>
    <col min="2312" max="2312" width="11.140625" style="840" bestFit="1" customWidth="1"/>
    <col min="2313" max="2313" width="12.7109375" style="840" customWidth="1"/>
    <col min="2314" max="2550" width="9.140625" style="840"/>
    <col min="2551" max="2551" width="64.7109375" style="840" customWidth="1"/>
    <col min="2552" max="2552" width="16.140625" style="840" bestFit="1" customWidth="1"/>
    <col min="2553" max="2553" width="15.85546875" style="840" bestFit="1" customWidth="1"/>
    <col min="2554" max="2554" width="13.85546875" style="840" customWidth="1"/>
    <col min="2555" max="2555" width="13.28515625" style="840" bestFit="1" customWidth="1"/>
    <col min="2556" max="2556" width="15.85546875" style="840" customWidth="1"/>
    <col min="2557" max="2557" width="16.7109375" style="840" bestFit="1" customWidth="1"/>
    <col min="2558" max="2558" width="14.42578125" style="840" customWidth="1"/>
    <col min="2559" max="2559" width="16.5703125" style="840" customWidth="1"/>
    <col min="2560" max="2560" width="12.28515625" style="840" customWidth="1"/>
    <col min="2561" max="2561" width="13.42578125" style="840" customWidth="1"/>
    <col min="2562" max="2562" width="14" style="840" customWidth="1"/>
    <col min="2563" max="2563" width="14.140625" style="840" customWidth="1"/>
    <col min="2564" max="2564" width="13.42578125" style="840" customWidth="1"/>
    <col min="2565" max="2565" width="9.140625" style="840"/>
    <col min="2566" max="2566" width="13.140625" style="840" bestFit="1" customWidth="1"/>
    <col min="2567" max="2567" width="12.7109375" style="840" bestFit="1" customWidth="1"/>
    <col min="2568" max="2568" width="11.140625" style="840" bestFit="1" customWidth="1"/>
    <col min="2569" max="2569" width="12.7109375" style="840" customWidth="1"/>
    <col min="2570" max="2806" width="9.140625" style="840"/>
    <col min="2807" max="2807" width="64.7109375" style="840" customWidth="1"/>
    <col min="2808" max="2808" width="16.140625" style="840" bestFit="1" customWidth="1"/>
    <col min="2809" max="2809" width="15.85546875" style="840" bestFit="1" customWidth="1"/>
    <col min="2810" max="2810" width="13.85546875" style="840" customWidth="1"/>
    <col min="2811" max="2811" width="13.28515625" style="840" bestFit="1" customWidth="1"/>
    <col min="2812" max="2812" width="15.85546875" style="840" customWidth="1"/>
    <col min="2813" max="2813" width="16.7109375" style="840" bestFit="1" customWidth="1"/>
    <col min="2814" max="2814" width="14.42578125" style="840" customWidth="1"/>
    <col min="2815" max="2815" width="16.5703125" style="840" customWidth="1"/>
    <col min="2816" max="2816" width="12.28515625" style="840" customWidth="1"/>
    <col min="2817" max="2817" width="13.42578125" style="840" customWidth="1"/>
    <col min="2818" max="2818" width="14" style="840" customWidth="1"/>
    <col min="2819" max="2819" width="14.140625" style="840" customWidth="1"/>
    <col min="2820" max="2820" width="13.42578125" style="840" customWidth="1"/>
    <col min="2821" max="2821" width="9.140625" style="840"/>
    <col min="2822" max="2822" width="13.140625" style="840" bestFit="1" customWidth="1"/>
    <col min="2823" max="2823" width="12.7109375" style="840" bestFit="1" customWidth="1"/>
    <col min="2824" max="2824" width="11.140625" style="840" bestFit="1" customWidth="1"/>
    <col min="2825" max="2825" width="12.7109375" style="840" customWidth="1"/>
    <col min="2826" max="3062" width="9.140625" style="840"/>
    <col min="3063" max="3063" width="64.7109375" style="840" customWidth="1"/>
    <col min="3064" max="3064" width="16.140625" style="840" bestFit="1" customWidth="1"/>
    <col min="3065" max="3065" width="15.85546875" style="840" bestFit="1" customWidth="1"/>
    <col min="3066" max="3066" width="13.85546875" style="840" customWidth="1"/>
    <col min="3067" max="3067" width="13.28515625" style="840" bestFit="1" customWidth="1"/>
    <col min="3068" max="3068" width="15.85546875" style="840" customWidth="1"/>
    <col min="3069" max="3069" width="16.7109375" style="840" bestFit="1" customWidth="1"/>
    <col min="3070" max="3070" width="14.42578125" style="840" customWidth="1"/>
    <col min="3071" max="3071" width="16.5703125" style="840" customWidth="1"/>
    <col min="3072" max="3072" width="12.28515625" style="840" customWidth="1"/>
    <col min="3073" max="3073" width="13.42578125" style="840" customWidth="1"/>
    <col min="3074" max="3074" width="14" style="840" customWidth="1"/>
    <col min="3075" max="3075" width="14.140625" style="840" customWidth="1"/>
    <col min="3076" max="3076" width="13.42578125" style="840" customWidth="1"/>
    <col min="3077" max="3077" width="9.140625" style="840"/>
    <col min="3078" max="3078" width="13.140625" style="840" bestFit="1" customWidth="1"/>
    <col min="3079" max="3079" width="12.7109375" style="840" bestFit="1" customWidth="1"/>
    <col min="3080" max="3080" width="11.140625" style="840" bestFit="1" customWidth="1"/>
    <col min="3081" max="3081" width="12.7109375" style="840" customWidth="1"/>
    <col min="3082" max="3318" width="9.140625" style="840"/>
    <col min="3319" max="3319" width="64.7109375" style="840" customWidth="1"/>
    <col min="3320" max="3320" width="16.140625" style="840" bestFit="1" customWidth="1"/>
    <col min="3321" max="3321" width="15.85546875" style="840" bestFit="1" customWidth="1"/>
    <col min="3322" max="3322" width="13.85546875" style="840" customWidth="1"/>
    <col min="3323" max="3323" width="13.28515625" style="840" bestFit="1" customWidth="1"/>
    <col min="3324" max="3324" width="15.85546875" style="840" customWidth="1"/>
    <col min="3325" max="3325" width="16.7109375" style="840" bestFit="1" customWidth="1"/>
    <col min="3326" max="3326" width="14.42578125" style="840" customWidth="1"/>
    <col min="3327" max="3327" width="16.5703125" style="840" customWidth="1"/>
    <col min="3328" max="3328" width="12.28515625" style="840" customWidth="1"/>
    <col min="3329" max="3329" width="13.42578125" style="840" customWidth="1"/>
    <col min="3330" max="3330" width="14" style="840" customWidth="1"/>
    <col min="3331" max="3331" width="14.140625" style="840" customWidth="1"/>
    <col min="3332" max="3332" width="13.42578125" style="840" customWidth="1"/>
    <col min="3333" max="3333" width="9.140625" style="840"/>
    <col min="3334" max="3334" width="13.140625" style="840" bestFit="1" customWidth="1"/>
    <col min="3335" max="3335" width="12.7109375" style="840" bestFit="1" customWidth="1"/>
    <col min="3336" max="3336" width="11.140625" style="840" bestFit="1" customWidth="1"/>
    <col min="3337" max="3337" width="12.7109375" style="840" customWidth="1"/>
    <col min="3338" max="3574" width="9.140625" style="840"/>
    <col min="3575" max="3575" width="64.7109375" style="840" customWidth="1"/>
    <col min="3576" max="3576" width="16.140625" style="840" bestFit="1" customWidth="1"/>
    <col min="3577" max="3577" width="15.85546875" style="840" bestFit="1" customWidth="1"/>
    <col min="3578" max="3578" width="13.85546875" style="840" customWidth="1"/>
    <col min="3579" max="3579" width="13.28515625" style="840" bestFit="1" customWidth="1"/>
    <col min="3580" max="3580" width="15.85546875" style="840" customWidth="1"/>
    <col min="3581" max="3581" width="16.7109375" style="840" bestFit="1" customWidth="1"/>
    <col min="3582" max="3582" width="14.42578125" style="840" customWidth="1"/>
    <col min="3583" max="3583" width="16.5703125" style="840" customWidth="1"/>
    <col min="3584" max="3584" width="12.28515625" style="840" customWidth="1"/>
    <col min="3585" max="3585" width="13.42578125" style="840" customWidth="1"/>
    <col min="3586" max="3586" width="14" style="840" customWidth="1"/>
    <col min="3587" max="3587" width="14.140625" style="840" customWidth="1"/>
    <col min="3588" max="3588" width="13.42578125" style="840" customWidth="1"/>
    <col min="3589" max="3589" width="9.140625" style="840"/>
    <col min="3590" max="3590" width="13.140625" style="840" bestFit="1" customWidth="1"/>
    <col min="3591" max="3591" width="12.7109375" style="840" bestFit="1" customWidth="1"/>
    <col min="3592" max="3592" width="11.140625" style="840" bestFit="1" customWidth="1"/>
    <col min="3593" max="3593" width="12.7109375" style="840" customWidth="1"/>
    <col min="3594" max="3830" width="9.140625" style="840"/>
    <col min="3831" max="3831" width="64.7109375" style="840" customWidth="1"/>
    <col min="3832" max="3832" width="16.140625" style="840" bestFit="1" customWidth="1"/>
    <col min="3833" max="3833" width="15.85546875" style="840" bestFit="1" customWidth="1"/>
    <col min="3834" max="3834" width="13.85546875" style="840" customWidth="1"/>
    <col min="3835" max="3835" width="13.28515625" style="840" bestFit="1" customWidth="1"/>
    <col min="3836" max="3836" width="15.85546875" style="840" customWidth="1"/>
    <col min="3837" max="3837" width="16.7109375" style="840" bestFit="1" customWidth="1"/>
    <col min="3838" max="3838" width="14.42578125" style="840" customWidth="1"/>
    <col min="3839" max="3839" width="16.5703125" style="840" customWidth="1"/>
    <col min="3840" max="3840" width="12.28515625" style="840" customWidth="1"/>
    <col min="3841" max="3841" width="13.42578125" style="840" customWidth="1"/>
    <col min="3842" max="3842" width="14" style="840" customWidth="1"/>
    <col min="3843" max="3843" width="14.140625" style="840" customWidth="1"/>
    <col min="3844" max="3844" width="13.42578125" style="840" customWidth="1"/>
    <col min="3845" max="3845" width="9.140625" style="840"/>
    <col min="3846" max="3846" width="13.140625" style="840" bestFit="1" customWidth="1"/>
    <col min="3847" max="3847" width="12.7109375" style="840" bestFit="1" customWidth="1"/>
    <col min="3848" max="3848" width="11.140625" style="840" bestFit="1" customWidth="1"/>
    <col min="3849" max="3849" width="12.7109375" style="840" customWidth="1"/>
    <col min="3850" max="4086" width="9.140625" style="840"/>
    <col min="4087" max="4087" width="64.7109375" style="840" customWidth="1"/>
    <col min="4088" max="4088" width="16.140625" style="840" bestFit="1" customWidth="1"/>
    <col min="4089" max="4089" width="15.85546875" style="840" bestFit="1" customWidth="1"/>
    <col min="4090" max="4090" width="13.85546875" style="840" customWidth="1"/>
    <col min="4091" max="4091" width="13.28515625" style="840" bestFit="1" customWidth="1"/>
    <col min="4092" max="4092" width="15.85546875" style="840" customWidth="1"/>
    <col min="4093" max="4093" width="16.7109375" style="840" bestFit="1" customWidth="1"/>
    <col min="4094" max="4094" width="14.42578125" style="840" customWidth="1"/>
    <col min="4095" max="4095" width="16.5703125" style="840" customWidth="1"/>
    <col min="4096" max="4096" width="12.28515625" style="840" customWidth="1"/>
    <col min="4097" max="4097" width="13.42578125" style="840" customWidth="1"/>
    <col min="4098" max="4098" width="14" style="840" customWidth="1"/>
    <col min="4099" max="4099" width="14.140625" style="840" customWidth="1"/>
    <col min="4100" max="4100" width="13.42578125" style="840" customWidth="1"/>
    <col min="4101" max="4101" width="9.140625" style="840"/>
    <col min="4102" max="4102" width="13.140625" style="840" bestFit="1" customWidth="1"/>
    <col min="4103" max="4103" width="12.7109375" style="840" bestFit="1" customWidth="1"/>
    <col min="4104" max="4104" width="11.140625" style="840" bestFit="1" customWidth="1"/>
    <col min="4105" max="4105" width="12.7109375" style="840" customWidth="1"/>
    <col min="4106" max="4342" width="9.140625" style="840"/>
    <col min="4343" max="4343" width="64.7109375" style="840" customWidth="1"/>
    <col min="4344" max="4344" width="16.140625" style="840" bestFit="1" customWidth="1"/>
    <col min="4345" max="4345" width="15.85546875" style="840" bestFit="1" customWidth="1"/>
    <col min="4346" max="4346" width="13.85546875" style="840" customWidth="1"/>
    <col min="4347" max="4347" width="13.28515625" style="840" bestFit="1" customWidth="1"/>
    <col min="4348" max="4348" width="15.85546875" style="840" customWidth="1"/>
    <col min="4349" max="4349" width="16.7109375" style="840" bestFit="1" customWidth="1"/>
    <col min="4350" max="4350" width="14.42578125" style="840" customWidth="1"/>
    <col min="4351" max="4351" width="16.5703125" style="840" customWidth="1"/>
    <col min="4352" max="4352" width="12.28515625" style="840" customWidth="1"/>
    <col min="4353" max="4353" width="13.42578125" style="840" customWidth="1"/>
    <col min="4354" max="4354" width="14" style="840" customWidth="1"/>
    <col min="4355" max="4355" width="14.140625" style="840" customWidth="1"/>
    <col min="4356" max="4356" width="13.42578125" style="840" customWidth="1"/>
    <col min="4357" max="4357" width="9.140625" style="840"/>
    <col min="4358" max="4358" width="13.140625" style="840" bestFit="1" customWidth="1"/>
    <col min="4359" max="4359" width="12.7109375" style="840" bestFit="1" customWidth="1"/>
    <col min="4360" max="4360" width="11.140625" style="840" bestFit="1" customWidth="1"/>
    <col min="4361" max="4361" width="12.7109375" style="840" customWidth="1"/>
    <col min="4362" max="4598" width="9.140625" style="840"/>
    <col min="4599" max="4599" width="64.7109375" style="840" customWidth="1"/>
    <col min="4600" max="4600" width="16.140625" style="840" bestFit="1" customWidth="1"/>
    <col min="4601" max="4601" width="15.85546875" style="840" bestFit="1" customWidth="1"/>
    <col min="4602" max="4602" width="13.85546875" style="840" customWidth="1"/>
    <col min="4603" max="4603" width="13.28515625" style="840" bestFit="1" customWidth="1"/>
    <col min="4604" max="4604" width="15.85546875" style="840" customWidth="1"/>
    <col min="4605" max="4605" width="16.7109375" style="840" bestFit="1" customWidth="1"/>
    <col min="4606" max="4606" width="14.42578125" style="840" customWidth="1"/>
    <col min="4607" max="4607" width="16.5703125" style="840" customWidth="1"/>
    <col min="4608" max="4608" width="12.28515625" style="840" customWidth="1"/>
    <col min="4609" max="4609" width="13.42578125" style="840" customWidth="1"/>
    <col min="4610" max="4610" width="14" style="840" customWidth="1"/>
    <col min="4611" max="4611" width="14.140625" style="840" customWidth="1"/>
    <col min="4612" max="4612" width="13.42578125" style="840" customWidth="1"/>
    <col min="4613" max="4613" width="9.140625" style="840"/>
    <col min="4614" max="4614" width="13.140625" style="840" bestFit="1" customWidth="1"/>
    <col min="4615" max="4615" width="12.7109375" style="840" bestFit="1" customWidth="1"/>
    <col min="4616" max="4616" width="11.140625" style="840" bestFit="1" customWidth="1"/>
    <col min="4617" max="4617" width="12.7109375" style="840" customWidth="1"/>
    <col min="4618" max="4854" width="9.140625" style="840"/>
    <col min="4855" max="4855" width="64.7109375" style="840" customWidth="1"/>
    <col min="4856" max="4856" width="16.140625" style="840" bestFit="1" customWidth="1"/>
    <col min="4857" max="4857" width="15.85546875" style="840" bestFit="1" customWidth="1"/>
    <col min="4858" max="4858" width="13.85546875" style="840" customWidth="1"/>
    <col min="4859" max="4859" width="13.28515625" style="840" bestFit="1" customWidth="1"/>
    <col min="4860" max="4860" width="15.85546875" style="840" customWidth="1"/>
    <col min="4861" max="4861" width="16.7109375" style="840" bestFit="1" customWidth="1"/>
    <col min="4862" max="4862" width="14.42578125" style="840" customWidth="1"/>
    <col min="4863" max="4863" width="16.5703125" style="840" customWidth="1"/>
    <col min="4864" max="4864" width="12.28515625" style="840" customWidth="1"/>
    <col min="4865" max="4865" width="13.42578125" style="840" customWidth="1"/>
    <col min="4866" max="4866" width="14" style="840" customWidth="1"/>
    <col min="4867" max="4867" width="14.140625" style="840" customWidth="1"/>
    <col min="4868" max="4868" width="13.42578125" style="840" customWidth="1"/>
    <col min="4869" max="4869" width="9.140625" style="840"/>
    <col min="4870" max="4870" width="13.140625" style="840" bestFit="1" customWidth="1"/>
    <col min="4871" max="4871" width="12.7109375" style="840" bestFit="1" customWidth="1"/>
    <col min="4872" max="4872" width="11.140625" style="840" bestFit="1" customWidth="1"/>
    <col min="4873" max="4873" width="12.7109375" style="840" customWidth="1"/>
    <col min="4874" max="5110" width="9.140625" style="840"/>
    <col min="5111" max="5111" width="64.7109375" style="840" customWidth="1"/>
    <col min="5112" max="5112" width="16.140625" style="840" bestFit="1" customWidth="1"/>
    <col min="5113" max="5113" width="15.85546875" style="840" bestFit="1" customWidth="1"/>
    <col min="5114" max="5114" width="13.85546875" style="840" customWidth="1"/>
    <col min="5115" max="5115" width="13.28515625" style="840" bestFit="1" customWidth="1"/>
    <col min="5116" max="5116" width="15.85546875" style="840" customWidth="1"/>
    <col min="5117" max="5117" width="16.7109375" style="840" bestFit="1" customWidth="1"/>
    <col min="5118" max="5118" width="14.42578125" style="840" customWidth="1"/>
    <col min="5119" max="5119" width="16.5703125" style="840" customWidth="1"/>
    <col min="5120" max="5120" width="12.28515625" style="840" customWidth="1"/>
    <col min="5121" max="5121" width="13.42578125" style="840" customWidth="1"/>
    <col min="5122" max="5122" width="14" style="840" customWidth="1"/>
    <col min="5123" max="5123" width="14.140625" style="840" customWidth="1"/>
    <col min="5124" max="5124" width="13.42578125" style="840" customWidth="1"/>
    <col min="5125" max="5125" width="9.140625" style="840"/>
    <col min="5126" max="5126" width="13.140625" style="840" bestFit="1" customWidth="1"/>
    <col min="5127" max="5127" width="12.7109375" style="840" bestFit="1" customWidth="1"/>
    <col min="5128" max="5128" width="11.140625" style="840" bestFit="1" customWidth="1"/>
    <col min="5129" max="5129" width="12.7109375" style="840" customWidth="1"/>
    <col min="5130" max="5366" width="9.140625" style="840"/>
    <col min="5367" max="5367" width="64.7109375" style="840" customWidth="1"/>
    <col min="5368" max="5368" width="16.140625" style="840" bestFit="1" customWidth="1"/>
    <col min="5369" max="5369" width="15.85546875" style="840" bestFit="1" customWidth="1"/>
    <col min="5370" max="5370" width="13.85546875" style="840" customWidth="1"/>
    <col min="5371" max="5371" width="13.28515625" style="840" bestFit="1" customWidth="1"/>
    <col min="5372" max="5372" width="15.85546875" style="840" customWidth="1"/>
    <col min="5373" max="5373" width="16.7109375" style="840" bestFit="1" customWidth="1"/>
    <col min="5374" max="5374" width="14.42578125" style="840" customWidth="1"/>
    <col min="5375" max="5375" width="16.5703125" style="840" customWidth="1"/>
    <col min="5376" max="5376" width="12.28515625" style="840" customWidth="1"/>
    <col min="5377" max="5377" width="13.42578125" style="840" customWidth="1"/>
    <col min="5378" max="5378" width="14" style="840" customWidth="1"/>
    <col min="5379" max="5379" width="14.140625" style="840" customWidth="1"/>
    <col min="5380" max="5380" width="13.42578125" style="840" customWidth="1"/>
    <col min="5381" max="5381" width="9.140625" style="840"/>
    <col min="5382" max="5382" width="13.140625" style="840" bestFit="1" customWidth="1"/>
    <col min="5383" max="5383" width="12.7109375" style="840" bestFit="1" customWidth="1"/>
    <col min="5384" max="5384" width="11.140625" style="840" bestFit="1" customWidth="1"/>
    <col min="5385" max="5385" width="12.7109375" style="840" customWidth="1"/>
    <col min="5386" max="5622" width="9.140625" style="840"/>
    <col min="5623" max="5623" width="64.7109375" style="840" customWidth="1"/>
    <col min="5624" max="5624" width="16.140625" style="840" bestFit="1" customWidth="1"/>
    <col min="5625" max="5625" width="15.85546875" style="840" bestFit="1" customWidth="1"/>
    <col min="5626" max="5626" width="13.85546875" style="840" customWidth="1"/>
    <col min="5627" max="5627" width="13.28515625" style="840" bestFit="1" customWidth="1"/>
    <col min="5628" max="5628" width="15.85546875" style="840" customWidth="1"/>
    <col min="5629" max="5629" width="16.7109375" style="840" bestFit="1" customWidth="1"/>
    <col min="5630" max="5630" width="14.42578125" style="840" customWidth="1"/>
    <col min="5631" max="5631" width="16.5703125" style="840" customWidth="1"/>
    <col min="5632" max="5632" width="12.28515625" style="840" customWidth="1"/>
    <col min="5633" max="5633" width="13.42578125" style="840" customWidth="1"/>
    <col min="5634" max="5634" width="14" style="840" customWidth="1"/>
    <col min="5635" max="5635" width="14.140625" style="840" customWidth="1"/>
    <col min="5636" max="5636" width="13.42578125" style="840" customWidth="1"/>
    <col min="5637" max="5637" width="9.140625" style="840"/>
    <col min="5638" max="5638" width="13.140625" style="840" bestFit="1" customWidth="1"/>
    <col min="5639" max="5639" width="12.7109375" style="840" bestFit="1" customWidth="1"/>
    <col min="5640" max="5640" width="11.140625" style="840" bestFit="1" customWidth="1"/>
    <col min="5641" max="5641" width="12.7109375" style="840" customWidth="1"/>
    <col min="5642" max="5878" width="9.140625" style="840"/>
    <col min="5879" max="5879" width="64.7109375" style="840" customWidth="1"/>
    <col min="5880" max="5880" width="16.140625" style="840" bestFit="1" customWidth="1"/>
    <col min="5881" max="5881" width="15.85546875" style="840" bestFit="1" customWidth="1"/>
    <col min="5882" max="5882" width="13.85546875" style="840" customWidth="1"/>
    <col min="5883" max="5883" width="13.28515625" style="840" bestFit="1" customWidth="1"/>
    <col min="5884" max="5884" width="15.85546875" style="840" customWidth="1"/>
    <col min="5885" max="5885" width="16.7109375" style="840" bestFit="1" customWidth="1"/>
    <col min="5886" max="5886" width="14.42578125" style="840" customWidth="1"/>
    <col min="5887" max="5887" width="16.5703125" style="840" customWidth="1"/>
    <col min="5888" max="5888" width="12.28515625" style="840" customWidth="1"/>
    <col min="5889" max="5889" width="13.42578125" style="840" customWidth="1"/>
    <col min="5890" max="5890" width="14" style="840" customWidth="1"/>
    <col min="5891" max="5891" width="14.140625" style="840" customWidth="1"/>
    <col min="5892" max="5892" width="13.42578125" style="840" customWidth="1"/>
    <col min="5893" max="5893" width="9.140625" style="840"/>
    <col min="5894" max="5894" width="13.140625" style="840" bestFit="1" customWidth="1"/>
    <col min="5895" max="5895" width="12.7109375" style="840" bestFit="1" customWidth="1"/>
    <col min="5896" max="5896" width="11.140625" style="840" bestFit="1" customWidth="1"/>
    <col min="5897" max="5897" width="12.7109375" style="840" customWidth="1"/>
    <col min="5898" max="6134" width="9.140625" style="840"/>
    <col min="6135" max="6135" width="64.7109375" style="840" customWidth="1"/>
    <col min="6136" max="6136" width="16.140625" style="840" bestFit="1" customWidth="1"/>
    <col min="6137" max="6137" width="15.85546875" style="840" bestFit="1" customWidth="1"/>
    <col min="6138" max="6138" width="13.85546875" style="840" customWidth="1"/>
    <col min="6139" max="6139" width="13.28515625" style="840" bestFit="1" customWidth="1"/>
    <col min="6140" max="6140" width="15.85546875" style="840" customWidth="1"/>
    <col min="6141" max="6141" width="16.7109375" style="840" bestFit="1" customWidth="1"/>
    <col min="6142" max="6142" width="14.42578125" style="840" customWidth="1"/>
    <col min="6143" max="6143" width="16.5703125" style="840" customWidth="1"/>
    <col min="6144" max="6144" width="12.28515625" style="840" customWidth="1"/>
    <col min="6145" max="6145" width="13.42578125" style="840" customWidth="1"/>
    <col min="6146" max="6146" width="14" style="840" customWidth="1"/>
    <col min="6147" max="6147" width="14.140625" style="840" customWidth="1"/>
    <col min="6148" max="6148" width="13.42578125" style="840" customWidth="1"/>
    <col min="6149" max="6149" width="9.140625" style="840"/>
    <col min="6150" max="6150" width="13.140625" style="840" bestFit="1" customWidth="1"/>
    <col min="6151" max="6151" width="12.7109375" style="840" bestFit="1" customWidth="1"/>
    <col min="6152" max="6152" width="11.140625" style="840" bestFit="1" customWidth="1"/>
    <col min="6153" max="6153" width="12.7109375" style="840" customWidth="1"/>
    <col min="6154" max="6390" width="9.140625" style="840"/>
    <col min="6391" max="6391" width="64.7109375" style="840" customWidth="1"/>
    <col min="6392" max="6392" width="16.140625" style="840" bestFit="1" customWidth="1"/>
    <col min="6393" max="6393" width="15.85546875" style="840" bestFit="1" customWidth="1"/>
    <col min="6394" max="6394" width="13.85546875" style="840" customWidth="1"/>
    <col min="6395" max="6395" width="13.28515625" style="840" bestFit="1" customWidth="1"/>
    <col min="6396" max="6396" width="15.85546875" style="840" customWidth="1"/>
    <col min="6397" max="6397" width="16.7109375" style="840" bestFit="1" customWidth="1"/>
    <col min="6398" max="6398" width="14.42578125" style="840" customWidth="1"/>
    <col min="6399" max="6399" width="16.5703125" style="840" customWidth="1"/>
    <col min="6400" max="6400" width="12.28515625" style="840" customWidth="1"/>
    <col min="6401" max="6401" width="13.42578125" style="840" customWidth="1"/>
    <col min="6402" max="6402" width="14" style="840" customWidth="1"/>
    <col min="6403" max="6403" width="14.140625" style="840" customWidth="1"/>
    <col min="6404" max="6404" width="13.42578125" style="840" customWidth="1"/>
    <col min="6405" max="6405" width="9.140625" style="840"/>
    <col min="6406" max="6406" width="13.140625" style="840" bestFit="1" customWidth="1"/>
    <col min="6407" max="6407" width="12.7109375" style="840" bestFit="1" customWidth="1"/>
    <col min="6408" max="6408" width="11.140625" style="840" bestFit="1" customWidth="1"/>
    <col min="6409" max="6409" width="12.7109375" style="840" customWidth="1"/>
    <col min="6410" max="6646" width="9.140625" style="840"/>
    <col min="6647" max="6647" width="64.7109375" style="840" customWidth="1"/>
    <col min="6648" max="6648" width="16.140625" style="840" bestFit="1" customWidth="1"/>
    <col min="6649" max="6649" width="15.85546875" style="840" bestFit="1" customWidth="1"/>
    <col min="6650" max="6650" width="13.85546875" style="840" customWidth="1"/>
    <col min="6651" max="6651" width="13.28515625" style="840" bestFit="1" customWidth="1"/>
    <col min="6652" max="6652" width="15.85546875" style="840" customWidth="1"/>
    <col min="6653" max="6653" width="16.7109375" style="840" bestFit="1" customWidth="1"/>
    <col min="6654" max="6654" width="14.42578125" style="840" customWidth="1"/>
    <col min="6655" max="6655" width="16.5703125" style="840" customWidth="1"/>
    <col min="6656" max="6656" width="12.28515625" style="840" customWidth="1"/>
    <col min="6657" max="6657" width="13.42578125" style="840" customWidth="1"/>
    <col min="6658" max="6658" width="14" style="840" customWidth="1"/>
    <col min="6659" max="6659" width="14.140625" style="840" customWidth="1"/>
    <col min="6660" max="6660" width="13.42578125" style="840" customWidth="1"/>
    <col min="6661" max="6661" width="9.140625" style="840"/>
    <col min="6662" max="6662" width="13.140625" style="840" bestFit="1" customWidth="1"/>
    <col min="6663" max="6663" width="12.7109375" style="840" bestFit="1" customWidth="1"/>
    <col min="6664" max="6664" width="11.140625" style="840" bestFit="1" customWidth="1"/>
    <col min="6665" max="6665" width="12.7109375" style="840" customWidth="1"/>
    <col min="6666" max="6902" width="9.140625" style="840"/>
    <col min="6903" max="6903" width="64.7109375" style="840" customWidth="1"/>
    <col min="6904" max="6904" width="16.140625" style="840" bestFit="1" customWidth="1"/>
    <col min="6905" max="6905" width="15.85546875" style="840" bestFit="1" customWidth="1"/>
    <col min="6906" max="6906" width="13.85546875" style="840" customWidth="1"/>
    <col min="6907" max="6907" width="13.28515625" style="840" bestFit="1" customWidth="1"/>
    <col min="6908" max="6908" width="15.85546875" style="840" customWidth="1"/>
    <col min="6909" max="6909" width="16.7109375" style="840" bestFit="1" customWidth="1"/>
    <col min="6910" max="6910" width="14.42578125" style="840" customWidth="1"/>
    <col min="6911" max="6911" width="16.5703125" style="840" customWidth="1"/>
    <col min="6912" max="6912" width="12.28515625" style="840" customWidth="1"/>
    <col min="6913" max="6913" width="13.42578125" style="840" customWidth="1"/>
    <col min="6914" max="6914" width="14" style="840" customWidth="1"/>
    <col min="6915" max="6915" width="14.140625" style="840" customWidth="1"/>
    <col min="6916" max="6916" width="13.42578125" style="840" customWidth="1"/>
    <col min="6917" max="6917" width="9.140625" style="840"/>
    <col min="6918" max="6918" width="13.140625" style="840" bestFit="1" customWidth="1"/>
    <col min="6919" max="6919" width="12.7109375" style="840" bestFit="1" customWidth="1"/>
    <col min="6920" max="6920" width="11.140625" style="840" bestFit="1" customWidth="1"/>
    <col min="6921" max="6921" width="12.7109375" style="840" customWidth="1"/>
    <col min="6922" max="7158" width="9.140625" style="840"/>
    <col min="7159" max="7159" width="64.7109375" style="840" customWidth="1"/>
    <col min="7160" max="7160" width="16.140625" style="840" bestFit="1" customWidth="1"/>
    <col min="7161" max="7161" width="15.85546875" style="840" bestFit="1" customWidth="1"/>
    <col min="7162" max="7162" width="13.85546875" style="840" customWidth="1"/>
    <col min="7163" max="7163" width="13.28515625" style="840" bestFit="1" customWidth="1"/>
    <col min="7164" max="7164" width="15.85546875" style="840" customWidth="1"/>
    <col min="7165" max="7165" width="16.7109375" style="840" bestFit="1" customWidth="1"/>
    <col min="7166" max="7166" width="14.42578125" style="840" customWidth="1"/>
    <col min="7167" max="7167" width="16.5703125" style="840" customWidth="1"/>
    <col min="7168" max="7168" width="12.28515625" style="840" customWidth="1"/>
    <col min="7169" max="7169" width="13.42578125" style="840" customWidth="1"/>
    <col min="7170" max="7170" width="14" style="840" customWidth="1"/>
    <col min="7171" max="7171" width="14.140625" style="840" customWidth="1"/>
    <col min="7172" max="7172" width="13.42578125" style="840" customWidth="1"/>
    <col min="7173" max="7173" width="9.140625" style="840"/>
    <col min="7174" max="7174" width="13.140625" style="840" bestFit="1" customWidth="1"/>
    <col min="7175" max="7175" width="12.7109375" style="840" bestFit="1" customWidth="1"/>
    <col min="7176" max="7176" width="11.140625" style="840" bestFit="1" customWidth="1"/>
    <col min="7177" max="7177" width="12.7109375" style="840" customWidth="1"/>
    <col min="7178" max="7414" width="9.140625" style="840"/>
    <col min="7415" max="7415" width="64.7109375" style="840" customWidth="1"/>
    <col min="7416" max="7416" width="16.140625" style="840" bestFit="1" customWidth="1"/>
    <col min="7417" max="7417" width="15.85546875" style="840" bestFit="1" customWidth="1"/>
    <col min="7418" max="7418" width="13.85546875" style="840" customWidth="1"/>
    <col min="7419" max="7419" width="13.28515625" style="840" bestFit="1" customWidth="1"/>
    <col min="7420" max="7420" width="15.85546875" style="840" customWidth="1"/>
    <col min="7421" max="7421" width="16.7109375" style="840" bestFit="1" customWidth="1"/>
    <col min="7422" max="7422" width="14.42578125" style="840" customWidth="1"/>
    <col min="7423" max="7423" width="16.5703125" style="840" customWidth="1"/>
    <col min="7424" max="7424" width="12.28515625" style="840" customWidth="1"/>
    <col min="7425" max="7425" width="13.42578125" style="840" customWidth="1"/>
    <col min="7426" max="7426" width="14" style="840" customWidth="1"/>
    <col min="7427" max="7427" width="14.140625" style="840" customWidth="1"/>
    <col min="7428" max="7428" width="13.42578125" style="840" customWidth="1"/>
    <col min="7429" max="7429" width="9.140625" style="840"/>
    <col min="7430" max="7430" width="13.140625" style="840" bestFit="1" customWidth="1"/>
    <col min="7431" max="7431" width="12.7109375" style="840" bestFit="1" customWidth="1"/>
    <col min="7432" max="7432" width="11.140625" style="840" bestFit="1" customWidth="1"/>
    <col min="7433" max="7433" width="12.7109375" style="840" customWidth="1"/>
    <col min="7434" max="7670" width="9.140625" style="840"/>
    <col min="7671" max="7671" width="64.7109375" style="840" customWidth="1"/>
    <col min="7672" max="7672" width="16.140625" style="840" bestFit="1" customWidth="1"/>
    <col min="7673" max="7673" width="15.85546875" style="840" bestFit="1" customWidth="1"/>
    <col min="7674" max="7674" width="13.85546875" style="840" customWidth="1"/>
    <col min="7675" max="7675" width="13.28515625" style="840" bestFit="1" customWidth="1"/>
    <col min="7676" max="7676" width="15.85546875" style="840" customWidth="1"/>
    <col min="7677" max="7677" width="16.7109375" style="840" bestFit="1" customWidth="1"/>
    <col min="7678" max="7678" width="14.42578125" style="840" customWidth="1"/>
    <col min="7679" max="7679" width="16.5703125" style="840" customWidth="1"/>
    <col min="7680" max="7680" width="12.28515625" style="840" customWidth="1"/>
    <col min="7681" max="7681" width="13.42578125" style="840" customWidth="1"/>
    <col min="7682" max="7682" width="14" style="840" customWidth="1"/>
    <col min="7683" max="7683" width="14.140625" style="840" customWidth="1"/>
    <col min="7684" max="7684" width="13.42578125" style="840" customWidth="1"/>
    <col min="7685" max="7685" width="9.140625" style="840"/>
    <col min="7686" max="7686" width="13.140625" style="840" bestFit="1" customWidth="1"/>
    <col min="7687" max="7687" width="12.7109375" style="840" bestFit="1" customWidth="1"/>
    <col min="7688" max="7688" width="11.140625" style="840" bestFit="1" customWidth="1"/>
    <col min="7689" max="7689" width="12.7109375" style="840" customWidth="1"/>
    <col min="7690" max="7926" width="9.140625" style="840"/>
    <col min="7927" max="7927" width="64.7109375" style="840" customWidth="1"/>
    <col min="7928" max="7928" width="16.140625" style="840" bestFit="1" customWidth="1"/>
    <col min="7929" max="7929" width="15.85546875" style="840" bestFit="1" customWidth="1"/>
    <col min="7930" max="7930" width="13.85546875" style="840" customWidth="1"/>
    <col min="7931" max="7931" width="13.28515625" style="840" bestFit="1" customWidth="1"/>
    <col min="7932" max="7932" width="15.85546875" style="840" customWidth="1"/>
    <col min="7933" max="7933" width="16.7109375" style="840" bestFit="1" customWidth="1"/>
    <col min="7934" max="7934" width="14.42578125" style="840" customWidth="1"/>
    <col min="7935" max="7935" width="16.5703125" style="840" customWidth="1"/>
    <col min="7936" max="7936" width="12.28515625" style="840" customWidth="1"/>
    <col min="7937" max="7937" width="13.42578125" style="840" customWidth="1"/>
    <col min="7938" max="7938" width="14" style="840" customWidth="1"/>
    <col min="7939" max="7939" width="14.140625" style="840" customWidth="1"/>
    <col min="7940" max="7940" width="13.42578125" style="840" customWidth="1"/>
    <col min="7941" max="7941" width="9.140625" style="840"/>
    <col min="7942" max="7942" width="13.140625" style="840" bestFit="1" customWidth="1"/>
    <col min="7943" max="7943" width="12.7109375" style="840" bestFit="1" customWidth="1"/>
    <col min="7944" max="7944" width="11.140625" style="840" bestFit="1" customWidth="1"/>
    <col min="7945" max="7945" width="12.7109375" style="840" customWidth="1"/>
    <col min="7946" max="8182" width="9.140625" style="840"/>
    <col min="8183" max="8183" width="64.7109375" style="840" customWidth="1"/>
    <col min="8184" max="8184" width="16.140625" style="840" bestFit="1" customWidth="1"/>
    <col min="8185" max="8185" width="15.85546875" style="840" bestFit="1" customWidth="1"/>
    <col min="8186" max="8186" width="13.85546875" style="840" customWidth="1"/>
    <col min="8187" max="8187" width="13.28515625" style="840" bestFit="1" customWidth="1"/>
    <col min="8188" max="8188" width="15.85546875" style="840" customWidth="1"/>
    <col min="8189" max="8189" width="16.7109375" style="840" bestFit="1" customWidth="1"/>
    <col min="8190" max="8190" width="14.42578125" style="840" customWidth="1"/>
    <col min="8191" max="8191" width="16.5703125" style="840" customWidth="1"/>
    <col min="8192" max="8192" width="12.28515625" style="840" customWidth="1"/>
    <col min="8193" max="8193" width="13.42578125" style="840" customWidth="1"/>
    <col min="8194" max="8194" width="14" style="840" customWidth="1"/>
    <col min="8195" max="8195" width="14.140625" style="840" customWidth="1"/>
    <col min="8196" max="8196" width="13.42578125" style="840" customWidth="1"/>
    <col min="8197" max="8197" width="9.140625" style="840"/>
    <col min="8198" max="8198" width="13.140625" style="840" bestFit="1" customWidth="1"/>
    <col min="8199" max="8199" width="12.7109375" style="840" bestFit="1" customWidth="1"/>
    <col min="8200" max="8200" width="11.140625" style="840" bestFit="1" customWidth="1"/>
    <col min="8201" max="8201" width="12.7109375" style="840" customWidth="1"/>
    <col min="8202" max="8438" width="9.140625" style="840"/>
    <col min="8439" max="8439" width="64.7109375" style="840" customWidth="1"/>
    <col min="8440" max="8440" width="16.140625" style="840" bestFit="1" customWidth="1"/>
    <col min="8441" max="8441" width="15.85546875" style="840" bestFit="1" customWidth="1"/>
    <col min="8442" max="8442" width="13.85546875" style="840" customWidth="1"/>
    <col min="8443" max="8443" width="13.28515625" style="840" bestFit="1" customWidth="1"/>
    <col min="8444" max="8444" width="15.85546875" style="840" customWidth="1"/>
    <col min="8445" max="8445" width="16.7109375" style="840" bestFit="1" customWidth="1"/>
    <col min="8446" max="8446" width="14.42578125" style="840" customWidth="1"/>
    <col min="8447" max="8447" width="16.5703125" style="840" customWidth="1"/>
    <col min="8448" max="8448" width="12.28515625" style="840" customWidth="1"/>
    <col min="8449" max="8449" width="13.42578125" style="840" customWidth="1"/>
    <col min="8450" max="8450" width="14" style="840" customWidth="1"/>
    <col min="8451" max="8451" width="14.140625" style="840" customWidth="1"/>
    <col min="8452" max="8452" width="13.42578125" style="840" customWidth="1"/>
    <col min="8453" max="8453" width="9.140625" style="840"/>
    <col min="8454" max="8454" width="13.140625" style="840" bestFit="1" customWidth="1"/>
    <col min="8455" max="8455" width="12.7109375" style="840" bestFit="1" customWidth="1"/>
    <col min="8456" max="8456" width="11.140625" style="840" bestFit="1" customWidth="1"/>
    <col min="8457" max="8457" width="12.7109375" style="840" customWidth="1"/>
    <col min="8458" max="8694" width="9.140625" style="840"/>
    <col min="8695" max="8695" width="64.7109375" style="840" customWidth="1"/>
    <col min="8696" max="8696" width="16.140625" style="840" bestFit="1" customWidth="1"/>
    <col min="8697" max="8697" width="15.85546875" style="840" bestFit="1" customWidth="1"/>
    <col min="8698" max="8698" width="13.85546875" style="840" customWidth="1"/>
    <col min="8699" max="8699" width="13.28515625" style="840" bestFit="1" customWidth="1"/>
    <col min="8700" max="8700" width="15.85546875" style="840" customWidth="1"/>
    <col min="8701" max="8701" width="16.7109375" style="840" bestFit="1" customWidth="1"/>
    <col min="8702" max="8702" width="14.42578125" style="840" customWidth="1"/>
    <col min="8703" max="8703" width="16.5703125" style="840" customWidth="1"/>
    <col min="8704" max="8704" width="12.28515625" style="840" customWidth="1"/>
    <col min="8705" max="8705" width="13.42578125" style="840" customWidth="1"/>
    <col min="8706" max="8706" width="14" style="840" customWidth="1"/>
    <col min="8707" max="8707" width="14.140625" style="840" customWidth="1"/>
    <col min="8708" max="8708" width="13.42578125" style="840" customWidth="1"/>
    <col min="8709" max="8709" width="9.140625" style="840"/>
    <col min="8710" max="8710" width="13.140625" style="840" bestFit="1" customWidth="1"/>
    <col min="8711" max="8711" width="12.7109375" style="840" bestFit="1" customWidth="1"/>
    <col min="8712" max="8712" width="11.140625" style="840" bestFit="1" customWidth="1"/>
    <col min="8713" max="8713" width="12.7109375" style="840" customWidth="1"/>
    <col min="8714" max="8950" width="9.140625" style="840"/>
    <col min="8951" max="8951" width="64.7109375" style="840" customWidth="1"/>
    <col min="8952" max="8952" width="16.140625" style="840" bestFit="1" customWidth="1"/>
    <col min="8953" max="8953" width="15.85546875" style="840" bestFit="1" customWidth="1"/>
    <col min="8954" max="8954" width="13.85546875" style="840" customWidth="1"/>
    <col min="8955" max="8955" width="13.28515625" style="840" bestFit="1" customWidth="1"/>
    <col min="8956" max="8956" width="15.85546875" style="840" customWidth="1"/>
    <col min="8957" max="8957" width="16.7109375" style="840" bestFit="1" customWidth="1"/>
    <col min="8958" max="8958" width="14.42578125" style="840" customWidth="1"/>
    <col min="8959" max="8959" width="16.5703125" style="840" customWidth="1"/>
    <col min="8960" max="8960" width="12.28515625" style="840" customWidth="1"/>
    <col min="8961" max="8961" width="13.42578125" style="840" customWidth="1"/>
    <col min="8962" max="8962" width="14" style="840" customWidth="1"/>
    <col min="8963" max="8963" width="14.140625" style="840" customWidth="1"/>
    <col min="8964" max="8964" width="13.42578125" style="840" customWidth="1"/>
    <col min="8965" max="8965" width="9.140625" style="840"/>
    <col min="8966" max="8966" width="13.140625" style="840" bestFit="1" customWidth="1"/>
    <col min="8967" max="8967" width="12.7109375" style="840" bestFit="1" customWidth="1"/>
    <col min="8968" max="8968" width="11.140625" style="840" bestFit="1" customWidth="1"/>
    <col min="8969" max="8969" width="12.7109375" style="840" customWidth="1"/>
    <col min="8970" max="9206" width="9.140625" style="840"/>
    <col min="9207" max="9207" width="64.7109375" style="840" customWidth="1"/>
    <col min="9208" max="9208" width="16.140625" style="840" bestFit="1" customWidth="1"/>
    <col min="9209" max="9209" width="15.85546875" style="840" bestFit="1" customWidth="1"/>
    <col min="9210" max="9210" width="13.85546875" style="840" customWidth="1"/>
    <col min="9211" max="9211" width="13.28515625" style="840" bestFit="1" customWidth="1"/>
    <col min="9212" max="9212" width="15.85546875" style="840" customWidth="1"/>
    <col min="9213" max="9213" width="16.7109375" style="840" bestFit="1" customWidth="1"/>
    <col min="9214" max="9214" width="14.42578125" style="840" customWidth="1"/>
    <col min="9215" max="9215" width="16.5703125" style="840" customWidth="1"/>
    <col min="9216" max="9216" width="12.28515625" style="840" customWidth="1"/>
    <col min="9217" max="9217" width="13.42578125" style="840" customWidth="1"/>
    <col min="9218" max="9218" width="14" style="840" customWidth="1"/>
    <col min="9219" max="9219" width="14.140625" style="840" customWidth="1"/>
    <col min="9220" max="9220" width="13.42578125" style="840" customWidth="1"/>
    <col min="9221" max="9221" width="9.140625" style="840"/>
    <col min="9222" max="9222" width="13.140625" style="840" bestFit="1" customWidth="1"/>
    <col min="9223" max="9223" width="12.7109375" style="840" bestFit="1" customWidth="1"/>
    <col min="9224" max="9224" width="11.140625" style="840" bestFit="1" customWidth="1"/>
    <col min="9225" max="9225" width="12.7109375" style="840" customWidth="1"/>
    <col min="9226" max="9462" width="9.140625" style="840"/>
    <col min="9463" max="9463" width="64.7109375" style="840" customWidth="1"/>
    <col min="9464" max="9464" width="16.140625" style="840" bestFit="1" customWidth="1"/>
    <col min="9465" max="9465" width="15.85546875" style="840" bestFit="1" customWidth="1"/>
    <col min="9466" max="9466" width="13.85546875" style="840" customWidth="1"/>
    <col min="9467" max="9467" width="13.28515625" style="840" bestFit="1" customWidth="1"/>
    <col min="9468" max="9468" width="15.85546875" style="840" customWidth="1"/>
    <col min="9469" max="9469" width="16.7109375" style="840" bestFit="1" customWidth="1"/>
    <col min="9470" max="9470" width="14.42578125" style="840" customWidth="1"/>
    <col min="9471" max="9471" width="16.5703125" style="840" customWidth="1"/>
    <col min="9472" max="9472" width="12.28515625" style="840" customWidth="1"/>
    <col min="9473" max="9473" width="13.42578125" style="840" customWidth="1"/>
    <col min="9474" max="9474" width="14" style="840" customWidth="1"/>
    <col min="9475" max="9475" width="14.140625" style="840" customWidth="1"/>
    <col min="9476" max="9476" width="13.42578125" style="840" customWidth="1"/>
    <col min="9477" max="9477" width="9.140625" style="840"/>
    <col min="9478" max="9478" width="13.140625" style="840" bestFit="1" customWidth="1"/>
    <col min="9479" max="9479" width="12.7109375" style="840" bestFit="1" customWidth="1"/>
    <col min="9480" max="9480" width="11.140625" style="840" bestFit="1" customWidth="1"/>
    <col min="9481" max="9481" width="12.7109375" style="840" customWidth="1"/>
    <col min="9482" max="9718" width="9.140625" style="840"/>
    <col min="9719" max="9719" width="64.7109375" style="840" customWidth="1"/>
    <col min="9720" max="9720" width="16.140625" style="840" bestFit="1" customWidth="1"/>
    <col min="9721" max="9721" width="15.85546875" style="840" bestFit="1" customWidth="1"/>
    <col min="9722" max="9722" width="13.85546875" style="840" customWidth="1"/>
    <col min="9723" max="9723" width="13.28515625" style="840" bestFit="1" customWidth="1"/>
    <col min="9724" max="9724" width="15.85546875" style="840" customWidth="1"/>
    <col min="9725" max="9725" width="16.7109375" style="840" bestFit="1" customWidth="1"/>
    <col min="9726" max="9726" width="14.42578125" style="840" customWidth="1"/>
    <col min="9727" max="9727" width="16.5703125" style="840" customWidth="1"/>
    <col min="9728" max="9728" width="12.28515625" style="840" customWidth="1"/>
    <col min="9729" max="9729" width="13.42578125" style="840" customWidth="1"/>
    <col min="9730" max="9730" width="14" style="840" customWidth="1"/>
    <col min="9731" max="9731" width="14.140625" style="840" customWidth="1"/>
    <col min="9732" max="9732" width="13.42578125" style="840" customWidth="1"/>
    <col min="9733" max="9733" width="9.140625" style="840"/>
    <col min="9734" max="9734" width="13.140625" style="840" bestFit="1" customWidth="1"/>
    <col min="9735" max="9735" width="12.7109375" style="840" bestFit="1" customWidth="1"/>
    <col min="9736" max="9736" width="11.140625" style="840" bestFit="1" customWidth="1"/>
    <col min="9737" max="9737" width="12.7109375" style="840" customWidth="1"/>
    <col min="9738" max="9974" width="9.140625" style="840"/>
    <col min="9975" max="9975" width="64.7109375" style="840" customWidth="1"/>
    <col min="9976" max="9976" width="16.140625" style="840" bestFit="1" customWidth="1"/>
    <col min="9977" max="9977" width="15.85546875" style="840" bestFit="1" customWidth="1"/>
    <col min="9978" max="9978" width="13.85546875" style="840" customWidth="1"/>
    <col min="9979" max="9979" width="13.28515625" style="840" bestFit="1" customWidth="1"/>
    <col min="9980" max="9980" width="15.85546875" style="840" customWidth="1"/>
    <col min="9981" max="9981" width="16.7109375" style="840" bestFit="1" customWidth="1"/>
    <col min="9982" max="9982" width="14.42578125" style="840" customWidth="1"/>
    <col min="9983" max="9983" width="16.5703125" style="840" customWidth="1"/>
    <col min="9984" max="9984" width="12.28515625" style="840" customWidth="1"/>
    <col min="9985" max="9985" width="13.42578125" style="840" customWidth="1"/>
    <col min="9986" max="9986" width="14" style="840" customWidth="1"/>
    <col min="9987" max="9987" width="14.140625" style="840" customWidth="1"/>
    <col min="9988" max="9988" width="13.42578125" style="840" customWidth="1"/>
    <col min="9989" max="9989" width="9.140625" style="840"/>
    <col min="9990" max="9990" width="13.140625" style="840" bestFit="1" customWidth="1"/>
    <col min="9991" max="9991" width="12.7109375" style="840" bestFit="1" customWidth="1"/>
    <col min="9992" max="9992" width="11.140625" style="840" bestFit="1" customWidth="1"/>
    <col min="9993" max="9993" width="12.7109375" style="840" customWidth="1"/>
    <col min="9994" max="10230" width="9.140625" style="840"/>
    <col min="10231" max="10231" width="64.7109375" style="840" customWidth="1"/>
    <col min="10232" max="10232" width="16.140625" style="840" bestFit="1" customWidth="1"/>
    <col min="10233" max="10233" width="15.85546875" style="840" bestFit="1" customWidth="1"/>
    <col min="10234" max="10234" width="13.85546875" style="840" customWidth="1"/>
    <col min="10235" max="10235" width="13.28515625" style="840" bestFit="1" customWidth="1"/>
    <col min="10236" max="10236" width="15.85546875" style="840" customWidth="1"/>
    <col min="10237" max="10237" width="16.7109375" style="840" bestFit="1" customWidth="1"/>
    <col min="10238" max="10238" width="14.42578125" style="840" customWidth="1"/>
    <col min="10239" max="10239" width="16.5703125" style="840" customWidth="1"/>
    <col min="10240" max="10240" width="12.28515625" style="840" customWidth="1"/>
    <col min="10241" max="10241" width="13.42578125" style="840" customWidth="1"/>
    <col min="10242" max="10242" width="14" style="840" customWidth="1"/>
    <col min="10243" max="10243" width="14.140625" style="840" customWidth="1"/>
    <col min="10244" max="10244" width="13.42578125" style="840" customWidth="1"/>
    <col min="10245" max="10245" width="9.140625" style="840"/>
    <col min="10246" max="10246" width="13.140625" style="840" bestFit="1" customWidth="1"/>
    <col min="10247" max="10247" width="12.7109375" style="840" bestFit="1" customWidth="1"/>
    <col min="10248" max="10248" width="11.140625" style="840" bestFit="1" customWidth="1"/>
    <col min="10249" max="10249" width="12.7109375" style="840" customWidth="1"/>
    <col min="10250" max="10486" width="9.140625" style="840"/>
    <col min="10487" max="10487" width="64.7109375" style="840" customWidth="1"/>
    <col min="10488" max="10488" width="16.140625" style="840" bestFit="1" customWidth="1"/>
    <col min="10489" max="10489" width="15.85546875" style="840" bestFit="1" customWidth="1"/>
    <col min="10490" max="10490" width="13.85546875" style="840" customWidth="1"/>
    <col min="10491" max="10491" width="13.28515625" style="840" bestFit="1" customWidth="1"/>
    <col min="10492" max="10492" width="15.85546875" style="840" customWidth="1"/>
    <col min="10493" max="10493" width="16.7109375" style="840" bestFit="1" customWidth="1"/>
    <col min="10494" max="10494" width="14.42578125" style="840" customWidth="1"/>
    <col min="10495" max="10495" width="16.5703125" style="840" customWidth="1"/>
    <col min="10496" max="10496" width="12.28515625" style="840" customWidth="1"/>
    <col min="10497" max="10497" width="13.42578125" style="840" customWidth="1"/>
    <col min="10498" max="10498" width="14" style="840" customWidth="1"/>
    <col min="10499" max="10499" width="14.140625" style="840" customWidth="1"/>
    <col min="10500" max="10500" width="13.42578125" style="840" customWidth="1"/>
    <col min="10501" max="10501" width="9.140625" style="840"/>
    <col min="10502" max="10502" width="13.140625" style="840" bestFit="1" customWidth="1"/>
    <col min="10503" max="10503" width="12.7109375" style="840" bestFit="1" customWidth="1"/>
    <col min="10504" max="10504" width="11.140625" style="840" bestFit="1" customWidth="1"/>
    <col min="10505" max="10505" width="12.7109375" style="840" customWidth="1"/>
    <col min="10506" max="10742" width="9.140625" style="840"/>
    <col min="10743" max="10743" width="64.7109375" style="840" customWidth="1"/>
    <col min="10744" max="10744" width="16.140625" style="840" bestFit="1" customWidth="1"/>
    <col min="10745" max="10745" width="15.85546875" style="840" bestFit="1" customWidth="1"/>
    <col min="10746" max="10746" width="13.85546875" style="840" customWidth="1"/>
    <col min="10747" max="10747" width="13.28515625" style="840" bestFit="1" customWidth="1"/>
    <col min="10748" max="10748" width="15.85546875" style="840" customWidth="1"/>
    <col min="10749" max="10749" width="16.7109375" style="840" bestFit="1" customWidth="1"/>
    <col min="10750" max="10750" width="14.42578125" style="840" customWidth="1"/>
    <col min="10751" max="10751" width="16.5703125" style="840" customWidth="1"/>
    <col min="10752" max="10752" width="12.28515625" style="840" customWidth="1"/>
    <col min="10753" max="10753" width="13.42578125" style="840" customWidth="1"/>
    <col min="10754" max="10754" width="14" style="840" customWidth="1"/>
    <col min="10755" max="10755" width="14.140625" style="840" customWidth="1"/>
    <col min="10756" max="10756" width="13.42578125" style="840" customWidth="1"/>
    <col min="10757" max="10757" width="9.140625" style="840"/>
    <col min="10758" max="10758" width="13.140625" style="840" bestFit="1" customWidth="1"/>
    <col min="10759" max="10759" width="12.7109375" style="840" bestFit="1" customWidth="1"/>
    <col min="10760" max="10760" width="11.140625" style="840" bestFit="1" customWidth="1"/>
    <col min="10761" max="10761" width="12.7109375" style="840" customWidth="1"/>
    <col min="10762" max="10998" width="9.140625" style="840"/>
    <col min="10999" max="10999" width="64.7109375" style="840" customWidth="1"/>
    <col min="11000" max="11000" width="16.140625" style="840" bestFit="1" customWidth="1"/>
    <col min="11001" max="11001" width="15.85546875" style="840" bestFit="1" customWidth="1"/>
    <col min="11002" max="11002" width="13.85546875" style="840" customWidth="1"/>
    <col min="11003" max="11003" width="13.28515625" style="840" bestFit="1" customWidth="1"/>
    <col min="11004" max="11004" width="15.85546875" style="840" customWidth="1"/>
    <col min="11005" max="11005" width="16.7109375" style="840" bestFit="1" customWidth="1"/>
    <col min="11006" max="11006" width="14.42578125" style="840" customWidth="1"/>
    <col min="11007" max="11007" width="16.5703125" style="840" customWidth="1"/>
    <col min="11008" max="11008" width="12.28515625" style="840" customWidth="1"/>
    <col min="11009" max="11009" width="13.42578125" style="840" customWidth="1"/>
    <col min="11010" max="11010" width="14" style="840" customWidth="1"/>
    <col min="11011" max="11011" width="14.140625" style="840" customWidth="1"/>
    <col min="11012" max="11012" width="13.42578125" style="840" customWidth="1"/>
    <col min="11013" max="11013" width="9.140625" style="840"/>
    <col min="11014" max="11014" width="13.140625" style="840" bestFit="1" customWidth="1"/>
    <col min="11015" max="11015" width="12.7109375" style="840" bestFit="1" customWidth="1"/>
    <col min="11016" max="11016" width="11.140625" style="840" bestFit="1" customWidth="1"/>
    <col min="11017" max="11017" width="12.7109375" style="840" customWidth="1"/>
    <col min="11018" max="11254" width="9.140625" style="840"/>
    <col min="11255" max="11255" width="64.7109375" style="840" customWidth="1"/>
    <col min="11256" max="11256" width="16.140625" style="840" bestFit="1" customWidth="1"/>
    <col min="11257" max="11257" width="15.85546875" style="840" bestFit="1" customWidth="1"/>
    <col min="11258" max="11258" width="13.85546875" style="840" customWidth="1"/>
    <col min="11259" max="11259" width="13.28515625" style="840" bestFit="1" customWidth="1"/>
    <col min="11260" max="11260" width="15.85546875" style="840" customWidth="1"/>
    <col min="11261" max="11261" width="16.7109375" style="840" bestFit="1" customWidth="1"/>
    <col min="11262" max="11262" width="14.42578125" style="840" customWidth="1"/>
    <col min="11263" max="11263" width="16.5703125" style="840" customWidth="1"/>
    <col min="11264" max="11264" width="12.28515625" style="840" customWidth="1"/>
    <col min="11265" max="11265" width="13.42578125" style="840" customWidth="1"/>
    <col min="11266" max="11266" width="14" style="840" customWidth="1"/>
    <col min="11267" max="11267" width="14.140625" style="840" customWidth="1"/>
    <col min="11268" max="11268" width="13.42578125" style="840" customWidth="1"/>
    <col min="11269" max="11269" width="9.140625" style="840"/>
    <col min="11270" max="11270" width="13.140625" style="840" bestFit="1" customWidth="1"/>
    <col min="11271" max="11271" width="12.7109375" style="840" bestFit="1" customWidth="1"/>
    <col min="11272" max="11272" width="11.140625" style="840" bestFit="1" customWidth="1"/>
    <col min="11273" max="11273" width="12.7109375" style="840" customWidth="1"/>
    <col min="11274" max="11510" width="9.140625" style="840"/>
    <col min="11511" max="11511" width="64.7109375" style="840" customWidth="1"/>
    <col min="11512" max="11512" width="16.140625" style="840" bestFit="1" customWidth="1"/>
    <col min="11513" max="11513" width="15.85546875" style="840" bestFit="1" customWidth="1"/>
    <col min="11514" max="11514" width="13.85546875" style="840" customWidth="1"/>
    <col min="11515" max="11515" width="13.28515625" style="840" bestFit="1" customWidth="1"/>
    <col min="11516" max="11516" width="15.85546875" style="840" customWidth="1"/>
    <col min="11517" max="11517" width="16.7109375" style="840" bestFit="1" customWidth="1"/>
    <col min="11518" max="11518" width="14.42578125" style="840" customWidth="1"/>
    <col min="11519" max="11519" width="16.5703125" style="840" customWidth="1"/>
    <col min="11520" max="11520" width="12.28515625" style="840" customWidth="1"/>
    <col min="11521" max="11521" width="13.42578125" style="840" customWidth="1"/>
    <col min="11522" max="11522" width="14" style="840" customWidth="1"/>
    <col min="11523" max="11523" width="14.140625" style="840" customWidth="1"/>
    <col min="11524" max="11524" width="13.42578125" style="840" customWidth="1"/>
    <col min="11525" max="11525" width="9.140625" style="840"/>
    <col min="11526" max="11526" width="13.140625" style="840" bestFit="1" customWidth="1"/>
    <col min="11527" max="11527" width="12.7109375" style="840" bestFit="1" customWidth="1"/>
    <col min="11528" max="11528" width="11.140625" style="840" bestFit="1" customWidth="1"/>
    <col min="11529" max="11529" width="12.7109375" style="840" customWidth="1"/>
    <col min="11530" max="11766" width="9.140625" style="840"/>
    <col min="11767" max="11767" width="64.7109375" style="840" customWidth="1"/>
    <col min="11768" max="11768" width="16.140625" style="840" bestFit="1" customWidth="1"/>
    <col min="11769" max="11769" width="15.85546875" style="840" bestFit="1" customWidth="1"/>
    <col min="11770" max="11770" width="13.85546875" style="840" customWidth="1"/>
    <col min="11771" max="11771" width="13.28515625" style="840" bestFit="1" customWidth="1"/>
    <col min="11772" max="11772" width="15.85546875" style="840" customWidth="1"/>
    <col min="11773" max="11773" width="16.7109375" style="840" bestFit="1" customWidth="1"/>
    <col min="11774" max="11774" width="14.42578125" style="840" customWidth="1"/>
    <col min="11775" max="11775" width="16.5703125" style="840" customWidth="1"/>
    <col min="11776" max="11776" width="12.28515625" style="840" customWidth="1"/>
    <col min="11777" max="11777" width="13.42578125" style="840" customWidth="1"/>
    <col min="11778" max="11778" width="14" style="840" customWidth="1"/>
    <col min="11779" max="11779" width="14.140625" style="840" customWidth="1"/>
    <col min="11780" max="11780" width="13.42578125" style="840" customWidth="1"/>
    <col min="11781" max="11781" width="9.140625" style="840"/>
    <col min="11782" max="11782" width="13.140625" style="840" bestFit="1" customWidth="1"/>
    <col min="11783" max="11783" width="12.7109375" style="840" bestFit="1" customWidth="1"/>
    <col min="11784" max="11784" width="11.140625" style="840" bestFit="1" customWidth="1"/>
    <col min="11785" max="11785" width="12.7109375" style="840" customWidth="1"/>
    <col min="11786" max="12022" width="9.140625" style="840"/>
    <col min="12023" max="12023" width="64.7109375" style="840" customWidth="1"/>
    <col min="12024" max="12024" width="16.140625" style="840" bestFit="1" customWidth="1"/>
    <col min="12025" max="12025" width="15.85546875" style="840" bestFit="1" customWidth="1"/>
    <col min="12026" max="12026" width="13.85546875" style="840" customWidth="1"/>
    <col min="12027" max="12027" width="13.28515625" style="840" bestFit="1" customWidth="1"/>
    <col min="12028" max="12028" width="15.85546875" style="840" customWidth="1"/>
    <col min="12029" max="12029" width="16.7109375" style="840" bestFit="1" customWidth="1"/>
    <col min="12030" max="12030" width="14.42578125" style="840" customWidth="1"/>
    <col min="12031" max="12031" width="16.5703125" style="840" customWidth="1"/>
    <col min="12032" max="12032" width="12.28515625" style="840" customWidth="1"/>
    <col min="12033" max="12033" width="13.42578125" style="840" customWidth="1"/>
    <col min="12034" max="12034" width="14" style="840" customWidth="1"/>
    <col min="12035" max="12035" width="14.140625" style="840" customWidth="1"/>
    <col min="12036" max="12036" width="13.42578125" style="840" customWidth="1"/>
    <col min="12037" max="12037" width="9.140625" style="840"/>
    <col min="12038" max="12038" width="13.140625" style="840" bestFit="1" customWidth="1"/>
    <col min="12039" max="12039" width="12.7109375" style="840" bestFit="1" customWidth="1"/>
    <col min="12040" max="12040" width="11.140625" style="840" bestFit="1" customWidth="1"/>
    <col min="12041" max="12041" width="12.7109375" style="840" customWidth="1"/>
    <col min="12042" max="12278" width="9.140625" style="840"/>
    <col min="12279" max="12279" width="64.7109375" style="840" customWidth="1"/>
    <col min="12280" max="12280" width="16.140625" style="840" bestFit="1" customWidth="1"/>
    <col min="12281" max="12281" width="15.85546875" style="840" bestFit="1" customWidth="1"/>
    <col min="12282" max="12282" width="13.85546875" style="840" customWidth="1"/>
    <col min="12283" max="12283" width="13.28515625" style="840" bestFit="1" customWidth="1"/>
    <col min="12284" max="12284" width="15.85546875" style="840" customWidth="1"/>
    <col min="12285" max="12285" width="16.7109375" style="840" bestFit="1" customWidth="1"/>
    <col min="12286" max="12286" width="14.42578125" style="840" customWidth="1"/>
    <col min="12287" max="12287" width="16.5703125" style="840" customWidth="1"/>
    <col min="12288" max="12288" width="12.28515625" style="840" customWidth="1"/>
    <col min="12289" max="12289" width="13.42578125" style="840" customWidth="1"/>
    <col min="12290" max="12290" width="14" style="840" customWidth="1"/>
    <col min="12291" max="12291" width="14.140625" style="840" customWidth="1"/>
    <col min="12292" max="12292" width="13.42578125" style="840" customWidth="1"/>
    <col min="12293" max="12293" width="9.140625" style="840"/>
    <col min="12294" max="12294" width="13.140625" style="840" bestFit="1" customWidth="1"/>
    <col min="12295" max="12295" width="12.7109375" style="840" bestFit="1" customWidth="1"/>
    <col min="12296" max="12296" width="11.140625" style="840" bestFit="1" customWidth="1"/>
    <col min="12297" max="12297" width="12.7109375" style="840" customWidth="1"/>
    <col min="12298" max="12534" width="9.140625" style="840"/>
    <col min="12535" max="12535" width="64.7109375" style="840" customWidth="1"/>
    <col min="12536" max="12536" width="16.140625" style="840" bestFit="1" customWidth="1"/>
    <col min="12537" max="12537" width="15.85546875" style="840" bestFit="1" customWidth="1"/>
    <col min="12538" max="12538" width="13.85546875" style="840" customWidth="1"/>
    <col min="12539" max="12539" width="13.28515625" style="840" bestFit="1" customWidth="1"/>
    <col min="12540" max="12540" width="15.85546875" style="840" customWidth="1"/>
    <col min="12541" max="12541" width="16.7109375" style="840" bestFit="1" customWidth="1"/>
    <col min="12542" max="12542" width="14.42578125" style="840" customWidth="1"/>
    <col min="12543" max="12543" width="16.5703125" style="840" customWidth="1"/>
    <col min="12544" max="12544" width="12.28515625" style="840" customWidth="1"/>
    <col min="12545" max="12545" width="13.42578125" style="840" customWidth="1"/>
    <col min="12546" max="12546" width="14" style="840" customWidth="1"/>
    <col min="12547" max="12547" width="14.140625" style="840" customWidth="1"/>
    <col min="12548" max="12548" width="13.42578125" style="840" customWidth="1"/>
    <col min="12549" max="12549" width="9.140625" style="840"/>
    <col min="12550" max="12550" width="13.140625" style="840" bestFit="1" customWidth="1"/>
    <col min="12551" max="12551" width="12.7109375" style="840" bestFit="1" customWidth="1"/>
    <col min="12552" max="12552" width="11.140625" style="840" bestFit="1" customWidth="1"/>
    <col min="12553" max="12553" width="12.7109375" style="840" customWidth="1"/>
    <col min="12554" max="12790" width="9.140625" style="840"/>
    <col min="12791" max="12791" width="64.7109375" style="840" customWidth="1"/>
    <col min="12792" max="12792" width="16.140625" style="840" bestFit="1" customWidth="1"/>
    <col min="12793" max="12793" width="15.85546875" style="840" bestFit="1" customWidth="1"/>
    <col min="12794" max="12794" width="13.85546875" style="840" customWidth="1"/>
    <col min="12795" max="12795" width="13.28515625" style="840" bestFit="1" customWidth="1"/>
    <col min="12796" max="12796" width="15.85546875" style="840" customWidth="1"/>
    <col min="12797" max="12797" width="16.7109375" style="840" bestFit="1" customWidth="1"/>
    <col min="12798" max="12798" width="14.42578125" style="840" customWidth="1"/>
    <col min="12799" max="12799" width="16.5703125" style="840" customWidth="1"/>
    <col min="12800" max="12800" width="12.28515625" style="840" customWidth="1"/>
    <col min="12801" max="12801" width="13.42578125" style="840" customWidth="1"/>
    <col min="12802" max="12802" width="14" style="840" customWidth="1"/>
    <col min="12803" max="12803" width="14.140625" style="840" customWidth="1"/>
    <col min="12804" max="12804" width="13.42578125" style="840" customWidth="1"/>
    <col min="12805" max="12805" width="9.140625" style="840"/>
    <col min="12806" max="12806" width="13.140625" style="840" bestFit="1" customWidth="1"/>
    <col min="12807" max="12807" width="12.7109375" style="840" bestFit="1" customWidth="1"/>
    <col min="12808" max="12808" width="11.140625" style="840" bestFit="1" customWidth="1"/>
    <col min="12809" max="12809" width="12.7109375" style="840" customWidth="1"/>
    <col min="12810" max="13046" width="9.140625" style="840"/>
    <col min="13047" max="13047" width="64.7109375" style="840" customWidth="1"/>
    <col min="13048" max="13048" width="16.140625" style="840" bestFit="1" customWidth="1"/>
    <col min="13049" max="13049" width="15.85546875" style="840" bestFit="1" customWidth="1"/>
    <col min="13050" max="13050" width="13.85546875" style="840" customWidth="1"/>
    <col min="13051" max="13051" width="13.28515625" style="840" bestFit="1" customWidth="1"/>
    <col min="13052" max="13052" width="15.85546875" style="840" customWidth="1"/>
    <col min="13053" max="13053" width="16.7109375" style="840" bestFit="1" customWidth="1"/>
    <col min="13054" max="13054" width="14.42578125" style="840" customWidth="1"/>
    <col min="13055" max="13055" width="16.5703125" style="840" customWidth="1"/>
    <col min="13056" max="13056" width="12.28515625" style="840" customWidth="1"/>
    <col min="13057" max="13057" width="13.42578125" style="840" customWidth="1"/>
    <col min="13058" max="13058" width="14" style="840" customWidth="1"/>
    <col min="13059" max="13059" width="14.140625" style="840" customWidth="1"/>
    <col min="13060" max="13060" width="13.42578125" style="840" customWidth="1"/>
    <col min="13061" max="13061" width="9.140625" style="840"/>
    <col min="13062" max="13062" width="13.140625" style="840" bestFit="1" customWidth="1"/>
    <col min="13063" max="13063" width="12.7109375" style="840" bestFit="1" customWidth="1"/>
    <col min="13064" max="13064" width="11.140625" style="840" bestFit="1" customWidth="1"/>
    <col min="13065" max="13065" width="12.7109375" style="840" customWidth="1"/>
    <col min="13066" max="13302" width="9.140625" style="840"/>
    <col min="13303" max="13303" width="64.7109375" style="840" customWidth="1"/>
    <col min="13304" max="13304" width="16.140625" style="840" bestFit="1" customWidth="1"/>
    <col min="13305" max="13305" width="15.85546875" style="840" bestFit="1" customWidth="1"/>
    <col min="13306" max="13306" width="13.85546875" style="840" customWidth="1"/>
    <col min="13307" max="13307" width="13.28515625" style="840" bestFit="1" customWidth="1"/>
    <col min="13308" max="13308" width="15.85546875" style="840" customWidth="1"/>
    <col min="13309" max="13309" width="16.7109375" style="840" bestFit="1" customWidth="1"/>
    <col min="13310" max="13310" width="14.42578125" style="840" customWidth="1"/>
    <col min="13311" max="13311" width="16.5703125" style="840" customWidth="1"/>
    <col min="13312" max="13312" width="12.28515625" style="840" customWidth="1"/>
    <col min="13313" max="13313" width="13.42578125" style="840" customWidth="1"/>
    <col min="13314" max="13314" width="14" style="840" customWidth="1"/>
    <col min="13315" max="13315" width="14.140625" style="840" customWidth="1"/>
    <col min="13316" max="13316" width="13.42578125" style="840" customWidth="1"/>
    <col min="13317" max="13317" width="9.140625" style="840"/>
    <col min="13318" max="13318" width="13.140625" style="840" bestFit="1" customWidth="1"/>
    <col min="13319" max="13319" width="12.7109375" style="840" bestFit="1" customWidth="1"/>
    <col min="13320" max="13320" width="11.140625" style="840" bestFit="1" customWidth="1"/>
    <col min="13321" max="13321" width="12.7109375" style="840" customWidth="1"/>
    <col min="13322" max="13558" width="9.140625" style="840"/>
    <col min="13559" max="13559" width="64.7109375" style="840" customWidth="1"/>
    <col min="13560" max="13560" width="16.140625" style="840" bestFit="1" customWidth="1"/>
    <col min="13561" max="13561" width="15.85546875" style="840" bestFit="1" customWidth="1"/>
    <col min="13562" max="13562" width="13.85546875" style="840" customWidth="1"/>
    <col min="13563" max="13563" width="13.28515625" style="840" bestFit="1" customWidth="1"/>
    <col min="13564" max="13564" width="15.85546875" style="840" customWidth="1"/>
    <col min="13565" max="13565" width="16.7109375" style="840" bestFit="1" customWidth="1"/>
    <col min="13566" max="13566" width="14.42578125" style="840" customWidth="1"/>
    <col min="13567" max="13567" width="16.5703125" style="840" customWidth="1"/>
    <col min="13568" max="13568" width="12.28515625" style="840" customWidth="1"/>
    <col min="13569" max="13569" width="13.42578125" style="840" customWidth="1"/>
    <col min="13570" max="13570" width="14" style="840" customWidth="1"/>
    <col min="13571" max="13571" width="14.140625" style="840" customWidth="1"/>
    <col min="13572" max="13572" width="13.42578125" style="840" customWidth="1"/>
    <col min="13573" max="13573" width="9.140625" style="840"/>
    <col min="13574" max="13574" width="13.140625" style="840" bestFit="1" customWidth="1"/>
    <col min="13575" max="13575" width="12.7109375" style="840" bestFit="1" customWidth="1"/>
    <col min="13576" max="13576" width="11.140625" style="840" bestFit="1" customWidth="1"/>
    <col min="13577" max="13577" width="12.7109375" style="840" customWidth="1"/>
    <col min="13578" max="13814" width="9.140625" style="840"/>
    <col min="13815" max="13815" width="64.7109375" style="840" customWidth="1"/>
    <col min="13816" max="13816" width="16.140625" style="840" bestFit="1" customWidth="1"/>
    <col min="13817" max="13817" width="15.85546875" style="840" bestFit="1" customWidth="1"/>
    <col min="13818" max="13818" width="13.85546875" style="840" customWidth="1"/>
    <col min="13819" max="13819" width="13.28515625" style="840" bestFit="1" customWidth="1"/>
    <col min="13820" max="13820" width="15.85546875" style="840" customWidth="1"/>
    <col min="13821" max="13821" width="16.7109375" style="840" bestFit="1" customWidth="1"/>
    <col min="13822" max="13822" width="14.42578125" style="840" customWidth="1"/>
    <col min="13823" max="13823" width="16.5703125" style="840" customWidth="1"/>
    <col min="13824" max="13824" width="12.28515625" style="840" customWidth="1"/>
    <col min="13825" max="13825" width="13.42578125" style="840" customWidth="1"/>
    <col min="13826" max="13826" width="14" style="840" customWidth="1"/>
    <col min="13827" max="13827" width="14.140625" style="840" customWidth="1"/>
    <col min="13828" max="13828" width="13.42578125" style="840" customWidth="1"/>
    <col min="13829" max="13829" width="9.140625" style="840"/>
    <col min="13830" max="13830" width="13.140625" style="840" bestFit="1" customWidth="1"/>
    <col min="13831" max="13831" width="12.7109375" style="840" bestFit="1" customWidth="1"/>
    <col min="13832" max="13832" width="11.140625" style="840" bestFit="1" customWidth="1"/>
    <col min="13833" max="13833" width="12.7109375" style="840" customWidth="1"/>
    <col min="13834" max="14070" width="9.140625" style="840"/>
    <col min="14071" max="14071" width="64.7109375" style="840" customWidth="1"/>
    <col min="14072" max="14072" width="16.140625" style="840" bestFit="1" customWidth="1"/>
    <col min="14073" max="14073" width="15.85546875" style="840" bestFit="1" customWidth="1"/>
    <col min="14074" max="14074" width="13.85546875" style="840" customWidth="1"/>
    <col min="14075" max="14075" width="13.28515625" style="840" bestFit="1" customWidth="1"/>
    <col min="14076" max="14076" width="15.85546875" style="840" customWidth="1"/>
    <col min="14077" max="14077" width="16.7109375" style="840" bestFit="1" customWidth="1"/>
    <col min="14078" max="14078" width="14.42578125" style="840" customWidth="1"/>
    <col min="14079" max="14079" width="16.5703125" style="840" customWidth="1"/>
    <col min="14080" max="14080" width="12.28515625" style="840" customWidth="1"/>
    <col min="14081" max="14081" width="13.42578125" style="840" customWidth="1"/>
    <col min="14082" max="14082" width="14" style="840" customWidth="1"/>
    <col min="14083" max="14083" width="14.140625" style="840" customWidth="1"/>
    <col min="14084" max="14084" width="13.42578125" style="840" customWidth="1"/>
    <col min="14085" max="14085" width="9.140625" style="840"/>
    <col min="14086" max="14086" width="13.140625" style="840" bestFit="1" customWidth="1"/>
    <col min="14087" max="14087" width="12.7109375" style="840" bestFit="1" customWidth="1"/>
    <col min="14088" max="14088" width="11.140625" style="840" bestFit="1" customWidth="1"/>
    <col min="14089" max="14089" width="12.7109375" style="840" customWidth="1"/>
    <col min="14090" max="14326" width="9.140625" style="840"/>
    <col min="14327" max="14327" width="64.7109375" style="840" customWidth="1"/>
    <col min="14328" max="14328" width="16.140625" style="840" bestFit="1" customWidth="1"/>
    <col min="14329" max="14329" width="15.85546875" style="840" bestFit="1" customWidth="1"/>
    <col min="14330" max="14330" width="13.85546875" style="840" customWidth="1"/>
    <col min="14331" max="14331" width="13.28515625" style="840" bestFit="1" customWidth="1"/>
    <col min="14332" max="14332" width="15.85546875" style="840" customWidth="1"/>
    <col min="14333" max="14333" width="16.7109375" style="840" bestFit="1" customWidth="1"/>
    <col min="14334" max="14334" width="14.42578125" style="840" customWidth="1"/>
    <col min="14335" max="14335" width="16.5703125" style="840" customWidth="1"/>
    <col min="14336" max="14336" width="12.28515625" style="840" customWidth="1"/>
    <col min="14337" max="14337" width="13.42578125" style="840" customWidth="1"/>
    <col min="14338" max="14338" width="14" style="840" customWidth="1"/>
    <col min="14339" max="14339" width="14.140625" style="840" customWidth="1"/>
    <col min="14340" max="14340" width="13.42578125" style="840" customWidth="1"/>
    <col min="14341" max="14341" width="9.140625" style="840"/>
    <col min="14342" max="14342" width="13.140625" style="840" bestFit="1" customWidth="1"/>
    <col min="14343" max="14343" width="12.7109375" style="840" bestFit="1" customWidth="1"/>
    <col min="14344" max="14344" width="11.140625" style="840" bestFit="1" customWidth="1"/>
    <col min="14345" max="14345" width="12.7109375" style="840" customWidth="1"/>
    <col min="14346" max="14582" width="9.140625" style="840"/>
    <col min="14583" max="14583" width="64.7109375" style="840" customWidth="1"/>
    <col min="14584" max="14584" width="16.140625" style="840" bestFit="1" customWidth="1"/>
    <col min="14585" max="14585" width="15.85546875" style="840" bestFit="1" customWidth="1"/>
    <col min="14586" max="14586" width="13.85546875" style="840" customWidth="1"/>
    <col min="14587" max="14587" width="13.28515625" style="840" bestFit="1" customWidth="1"/>
    <col min="14588" max="14588" width="15.85546875" style="840" customWidth="1"/>
    <col min="14589" max="14589" width="16.7109375" style="840" bestFit="1" customWidth="1"/>
    <col min="14590" max="14590" width="14.42578125" style="840" customWidth="1"/>
    <col min="14591" max="14591" width="16.5703125" style="840" customWidth="1"/>
    <col min="14592" max="14592" width="12.28515625" style="840" customWidth="1"/>
    <col min="14593" max="14593" width="13.42578125" style="840" customWidth="1"/>
    <col min="14594" max="14594" width="14" style="840" customWidth="1"/>
    <col min="14595" max="14595" width="14.140625" style="840" customWidth="1"/>
    <col min="14596" max="14596" width="13.42578125" style="840" customWidth="1"/>
    <col min="14597" max="14597" width="9.140625" style="840"/>
    <col min="14598" max="14598" width="13.140625" style="840" bestFit="1" customWidth="1"/>
    <col min="14599" max="14599" width="12.7109375" style="840" bestFit="1" customWidth="1"/>
    <col min="14600" max="14600" width="11.140625" style="840" bestFit="1" customWidth="1"/>
    <col min="14601" max="14601" width="12.7109375" style="840" customWidth="1"/>
    <col min="14602" max="14838" width="9.140625" style="840"/>
    <col min="14839" max="14839" width="64.7109375" style="840" customWidth="1"/>
    <col min="14840" max="14840" width="16.140625" style="840" bestFit="1" customWidth="1"/>
    <col min="14841" max="14841" width="15.85546875" style="840" bestFit="1" customWidth="1"/>
    <col min="14842" max="14842" width="13.85546875" style="840" customWidth="1"/>
    <col min="14843" max="14843" width="13.28515625" style="840" bestFit="1" customWidth="1"/>
    <col min="14844" max="14844" width="15.85546875" style="840" customWidth="1"/>
    <col min="14845" max="14845" width="16.7109375" style="840" bestFit="1" customWidth="1"/>
    <col min="14846" max="14846" width="14.42578125" style="840" customWidth="1"/>
    <col min="14847" max="14847" width="16.5703125" style="840" customWidth="1"/>
    <col min="14848" max="14848" width="12.28515625" style="840" customWidth="1"/>
    <col min="14849" max="14849" width="13.42578125" style="840" customWidth="1"/>
    <col min="14850" max="14850" width="14" style="840" customWidth="1"/>
    <col min="14851" max="14851" width="14.140625" style="840" customWidth="1"/>
    <col min="14852" max="14852" width="13.42578125" style="840" customWidth="1"/>
    <col min="14853" max="14853" width="9.140625" style="840"/>
    <col min="14854" max="14854" width="13.140625" style="840" bestFit="1" customWidth="1"/>
    <col min="14855" max="14855" width="12.7109375" style="840" bestFit="1" customWidth="1"/>
    <col min="14856" max="14856" width="11.140625" style="840" bestFit="1" customWidth="1"/>
    <col min="14857" max="14857" width="12.7109375" style="840" customWidth="1"/>
    <col min="14858" max="15094" width="9.140625" style="840"/>
    <col min="15095" max="15095" width="64.7109375" style="840" customWidth="1"/>
    <col min="15096" max="15096" width="16.140625" style="840" bestFit="1" customWidth="1"/>
    <col min="15097" max="15097" width="15.85546875" style="840" bestFit="1" customWidth="1"/>
    <col min="15098" max="15098" width="13.85546875" style="840" customWidth="1"/>
    <col min="15099" max="15099" width="13.28515625" style="840" bestFit="1" customWidth="1"/>
    <col min="15100" max="15100" width="15.85546875" style="840" customWidth="1"/>
    <col min="15101" max="15101" width="16.7109375" style="840" bestFit="1" customWidth="1"/>
    <col min="15102" max="15102" width="14.42578125" style="840" customWidth="1"/>
    <col min="15103" max="15103" width="16.5703125" style="840" customWidth="1"/>
    <col min="15104" max="15104" width="12.28515625" style="840" customWidth="1"/>
    <col min="15105" max="15105" width="13.42578125" style="840" customWidth="1"/>
    <col min="15106" max="15106" width="14" style="840" customWidth="1"/>
    <col min="15107" max="15107" width="14.140625" style="840" customWidth="1"/>
    <col min="15108" max="15108" width="13.42578125" style="840" customWidth="1"/>
    <col min="15109" max="15109" width="9.140625" style="840"/>
    <col min="15110" max="15110" width="13.140625" style="840" bestFit="1" customWidth="1"/>
    <col min="15111" max="15111" width="12.7109375" style="840" bestFit="1" customWidth="1"/>
    <col min="15112" max="15112" width="11.140625" style="840" bestFit="1" customWidth="1"/>
    <col min="15113" max="15113" width="12.7109375" style="840" customWidth="1"/>
    <col min="15114" max="15350" width="9.140625" style="840"/>
    <col min="15351" max="15351" width="64.7109375" style="840" customWidth="1"/>
    <col min="15352" max="15352" width="16.140625" style="840" bestFit="1" customWidth="1"/>
    <col min="15353" max="15353" width="15.85546875" style="840" bestFit="1" customWidth="1"/>
    <col min="15354" max="15354" width="13.85546875" style="840" customWidth="1"/>
    <col min="15355" max="15355" width="13.28515625" style="840" bestFit="1" customWidth="1"/>
    <col min="15356" max="15356" width="15.85546875" style="840" customWidth="1"/>
    <col min="15357" max="15357" width="16.7109375" style="840" bestFit="1" customWidth="1"/>
    <col min="15358" max="15358" width="14.42578125" style="840" customWidth="1"/>
    <col min="15359" max="15359" width="16.5703125" style="840" customWidth="1"/>
    <col min="15360" max="15360" width="12.28515625" style="840" customWidth="1"/>
    <col min="15361" max="15361" width="13.42578125" style="840" customWidth="1"/>
    <col min="15362" max="15362" width="14" style="840" customWidth="1"/>
    <col min="15363" max="15363" width="14.140625" style="840" customWidth="1"/>
    <col min="15364" max="15364" width="13.42578125" style="840" customWidth="1"/>
    <col min="15365" max="15365" width="9.140625" style="840"/>
    <col min="15366" max="15366" width="13.140625" style="840" bestFit="1" customWidth="1"/>
    <col min="15367" max="15367" width="12.7109375" style="840" bestFit="1" customWidth="1"/>
    <col min="15368" max="15368" width="11.140625" style="840" bestFit="1" customWidth="1"/>
    <col min="15369" max="15369" width="12.7109375" style="840" customWidth="1"/>
    <col min="15370" max="15606" width="9.140625" style="840"/>
    <col min="15607" max="15607" width="64.7109375" style="840" customWidth="1"/>
    <col min="15608" max="15608" width="16.140625" style="840" bestFit="1" customWidth="1"/>
    <col min="15609" max="15609" width="15.85546875" style="840" bestFit="1" customWidth="1"/>
    <col min="15610" max="15610" width="13.85546875" style="840" customWidth="1"/>
    <col min="15611" max="15611" width="13.28515625" style="840" bestFit="1" customWidth="1"/>
    <col min="15612" max="15612" width="15.85546875" style="840" customWidth="1"/>
    <col min="15613" max="15613" width="16.7109375" style="840" bestFit="1" customWidth="1"/>
    <col min="15614" max="15614" width="14.42578125" style="840" customWidth="1"/>
    <col min="15615" max="15615" width="16.5703125" style="840" customWidth="1"/>
    <col min="15616" max="15616" width="12.28515625" style="840" customWidth="1"/>
    <col min="15617" max="15617" width="13.42578125" style="840" customWidth="1"/>
    <col min="15618" max="15618" width="14" style="840" customWidth="1"/>
    <col min="15619" max="15619" width="14.140625" style="840" customWidth="1"/>
    <col min="15620" max="15620" width="13.42578125" style="840" customWidth="1"/>
    <col min="15621" max="15621" width="9.140625" style="840"/>
    <col min="15622" max="15622" width="13.140625" style="840" bestFit="1" customWidth="1"/>
    <col min="15623" max="15623" width="12.7109375" style="840" bestFit="1" customWidth="1"/>
    <col min="15624" max="15624" width="11.140625" style="840" bestFit="1" customWidth="1"/>
    <col min="15625" max="15625" width="12.7109375" style="840" customWidth="1"/>
    <col min="15626" max="15862" width="9.140625" style="840"/>
    <col min="15863" max="15863" width="64.7109375" style="840" customWidth="1"/>
    <col min="15864" max="15864" width="16.140625" style="840" bestFit="1" customWidth="1"/>
    <col min="15865" max="15865" width="15.85546875" style="840" bestFit="1" customWidth="1"/>
    <col min="15866" max="15866" width="13.85546875" style="840" customWidth="1"/>
    <col min="15867" max="15867" width="13.28515625" style="840" bestFit="1" customWidth="1"/>
    <col min="15868" max="15868" width="15.85546875" style="840" customWidth="1"/>
    <col min="15869" max="15869" width="16.7109375" style="840" bestFit="1" customWidth="1"/>
    <col min="15870" max="15870" width="14.42578125" style="840" customWidth="1"/>
    <col min="15871" max="15871" width="16.5703125" style="840" customWidth="1"/>
    <col min="15872" max="15872" width="12.28515625" style="840" customWidth="1"/>
    <col min="15873" max="15873" width="13.42578125" style="840" customWidth="1"/>
    <col min="15874" max="15874" width="14" style="840" customWidth="1"/>
    <col min="15875" max="15875" width="14.140625" style="840" customWidth="1"/>
    <col min="15876" max="15876" width="13.42578125" style="840" customWidth="1"/>
    <col min="15877" max="15877" width="9.140625" style="840"/>
    <col min="15878" max="15878" width="13.140625" style="840" bestFit="1" customWidth="1"/>
    <col min="15879" max="15879" width="12.7109375" style="840" bestFit="1" customWidth="1"/>
    <col min="15880" max="15880" width="11.140625" style="840" bestFit="1" customWidth="1"/>
    <col min="15881" max="15881" width="12.7109375" style="840" customWidth="1"/>
    <col min="15882" max="16118" width="9.140625" style="840"/>
    <col min="16119" max="16119" width="64.7109375" style="840" customWidth="1"/>
    <col min="16120" max="16120" width="16.140625" style="840" bestFit="1" customWidth="1"/>
    <col min="16121" max="16121" width="15.85546875" style="840" bestFit="1" customWidth="1"/>
    <col min="16122" max="16122" width="13.85546875" style="840" customWidth="1"/>
    <col min="16123" max="16123" width="13.28515625" style="840" bestFit="1" customWidth="1"/>
    <col min="16124" max="16124" width="15.85546875" style="840" customWidth="1"/>
    <col min="16125" max="16125" width="16.7109375" style="840" bestFit="1" customWidth="1"/>
    <col min="16126" max="16126" width="14.42578125" style="840" customWidth="1"/>
    <col min="16127" max="16127" width="16.5703125" style="840" customWidth="1"/>
    <col min="16128" max="16128" width="12.28515625" style="840" customWidth="1"/>
    <col min="16129" max="16129" width="13.42578125" style="840" customWidth="1"/>
    <col min="16130" max="16130" width="14" style="840" customWidth="1"/>
    <col min="16131" max="16131" width="14.140625" style="840" customWidth="1"/>
    <col min="16132" max="16132" width="13.42578125" style="840" customWidth="1"/>
    <col min="16133" max="16133" width="9.140625" style="840"/>
    <col min="16134" max="16134" width="13.140625" style="840" bestFit="1" customWidth="1"/>
    <col min="16135" max="16135" width="12.7109375" style="840" bestFit="1" customWidth="1"/>
    <col min="16136" max="16136" width="11.140625" style="840" bestFit="1" customWidth="1"/>
    <col min="16137" max="16137" width="12.7109375" style="840" customWidth="1"/>
    <col min="16138" max="16384" width="9.140625" style="840"/>
  </cols>
  <sheetData>
    <row r="2" spans="1:10" x14ac:dyDescent="0.25">
      <c r="G2" s="835"/>
      <c r="J2" s="841"/>
    </row>
    <row r="3" spans="1:10" x14ac:dyDescent="0.25">
      <c r="B3" s="908" t="s">
        <v>298</v>
      </c>
      <c r="C3" s="908" t="s">
        <v>299</v>
      </c>
      <c r="D3" s="908" t="s">
        <v>570</v>
      </c>
      <c r="E3" s="908"/>
      <c r="F3" s="909"/>
      <c r="G3" s="835"/>
      <c r="H3" s="908" t="s">
        <v>928</v>
      </c>
      <c r="I3" s="908"/>
      <c r="J3" s="835"/>
    </row>
    <row r="4" spans="1:10" x14ac:dyDescent="0.25">
      <c r="B4" s="839" t="s">
        <v>929</v>
      </c>
      <c r="C4" s="839" t="s">
        <v>930</v>
      </c>
      <c r="D4" s="839" t="s">
        <v>931</v>
      </c>
      <c r="E4" s="910" t="s">
        <v>486</v>
      </c>
      <c r="F4" s="910" t="s">
        <v>932</v>
      </c>
      <c r="G4" s="910" t="s">
        <v>933</v>
      </c>
      <c r="H4" s="839" t="s">
        <v>934</v>
      </c>
      <c r="I4" s="839" t="s">
        <v>334</v>
      </c>
      <c r="J4" s="835"/>
    </row>
    <row r="5" spans="1:10" x14ac:dyDescent="0.25">
      <c r="A5" s="911" t="s">
        <v>509</v>
      </c>
      <c r="J5" s="841"/>
    </row>
    <row r="6" spans="1:10" x14ac:dyDescent="0.25">
      <c r="A6" s="912" t="s">
        <v>935</v>
      </c>
      <c r="B6" s="912">
        <f>+'Summary SBR-Transport'!C6</f>
        <v>17455190.600000001</v>
      </c>
      <c r="C6" s="912">
        <f>+'Summary SBR-Transport'!C10</f>
        <v>8841535.9000000004</v>
      </c>
      <c r="D6" s="912">
        <f>+'Summary SBR-Transport'!C14</f>
        <v>841764.40000000014</v>
      </c>
      <c r="E6" s="912">
        <f>+'Summary SBR-Transport'!C18</f>
        <v>343960.9</v>
      </c>
      <c r="F6" s="912">
        <f>+'Summary SBR-Transport'!C30</f>
        <v>672290.40000000014</v>
      </c>
      <c r="G6" s="912">
        <f>+'Summary SBR-Transport'!C26+'Summary SBR-Transport'!C32</f>
        <v>10420424.1</v>
      </c>
      <c r="H6" s="912">
        <f>+'Summary SBR-Transport'!C45</f>
        <v>815355.3</v>
      </c>
      <c r="I6" s="912">
        <f>SUM(B6:H6)</f>
        <v>39390521.599999994</v>
      </c>
      <c r="J6" s="841"/>
    </row>
    <row r="7" spans="1:10" x14ac:dyDescent="0.25">
      <c r="A7" s="840" t="s">
        <v>936</v>
      </c>
      <c r="B7" s="840">
        <f>+'Summary SBR-Transport'!AB6+'Summary SBR-Transport'!AC6</f>
        <v>742889.00000000012</v>
      </c>
      <c r="C7" s="840">
        <f>+'Summary SBR-Transport'!AB10+'Summary SBR-Transport'!AC10</f>
        <v>536106.1</v>
      </c>
      <c r="D7" s="840">
        <f>+'Summary SBR-Transport'!AB14+'Summary SBR-Transport'!AC14</f>
        <v>87597.5</v>
      </c>
      <c r="E7" s="840">
        <f>+'Summary SBR-Transport'!AB18+'Summary SBR-Transport'!AC18</f>
        <v>35092.9</v>
      </c>
      <c r="F7" s="840">
        <f>+'Summary SBR-Transport'!AB30+'Summary SBR-Transport'!AC30</f>
        <v>149365.9</v>
      </c>
      <c r="G7" s="840">
        <f>+'Summary SBR-Transport'!AB26+'Summary SBR-Transport'!AC26+'Summary SBR-Transport'!AB32+'Summary SBR-Transport'!AC32</f>
        <v>1462324.6</v>
      </c>
      <c r="H7" s="840">
        <f>+'Summary SBR-Transport'!AB45+'Summary SBR-Transport'!AC45</f>
        <v>98777.5</v>
      </c>
      <c r="I7" s="840">
        <f>SUM(B7:H7)</f>
        <v>3112153.5</v>
      </c>
      <c r="J7" s="841"/>
    </row>
    <row r="8" spans="1:10" x14ac:dyDescent="0.25">
      <c r="A8" s="840" t="s">
        <v>937</v>
      </c>
      <c r="B8" s="840">
        <f t="shared" ref="B8:H8" si="0">(B7*6)</f>
        <v>4457334.0000000009</v>
      </c>
      <c r="C8" s="840">
        <f t="shared" si="0"/>
        <v>3216636.5999999996</v>
      </c>
      <c r="D8" s="840">
        <f t="shared" si="0"/>
        <v>525585</v>
      </c>
      <c r="E8" s="840">
        <f t="shared" si="0"/>
        <v>210557.40000000002</v>
      </c>
      <c r="F8" s="840">
        <f t="shared" si="0"/>
        <v>896195.39999999991</v>
      </c>
      <c r="G8" s="840">
        <f t="shared" si="0"/>
        <v>8773947.6000000015</v>
      </c>
      <c r="H8" s="840">
        <f t="shared" si="0"/>
        <v>592665</v>
      </c>
      <c r="I8" s="840">
        <f>SUM(B8:H8)</f>
        <v>18672921</v>
      </c>
      <c r="J8" s="841"/>
    </row>
    <row r="9" spans="1:10" x14ac:dyDescent="0.25">
      <c r="A9" s="912" t="s">
        <v>938</v>
      </c>
      <c r="B9" s="912">
        <f t="shared" ref="B9:H9" si="1">(B8/365)</f>
        <v>12211.873972602742</v>
      </c>
      <c r="C9" s="912">
        <f t="shared" si="1"/>
        <v>8812.7030136986286</v>
      </c>
      <c r="D9" s="912">
        <f t="shared" si="1"/>
        <v>1439.958904109589</v>
      </c>
      <c r="E9" s="912">
        <f t="shared" si="1"/>
        <v>576.86958904109599</v>
      </c>
      <c r="F9" s="912">
        <f t="shared" si="1"/>
        <v>2455.3298630136983</v>
      </c>
      <c r="G9" s="912">
        <f t="shared" si="1"/>
        <v>24038.212602739732</v>
      </c>
      <c r="H9" s="912">
        <f t="shared" si="1"/>
        <v>1623.7397260273972</v>
      </c>
      <c r="I9" s="912">
        <f>SUM(B9:H9)</f>
        <v>51158.687671232881</v>
      </c>
      <c r="J9" s="841"/>
    </row>
    <row r="10" spans="1:10" x14ac:dyDescent="0.25">
      <c r="A10" s="840" t="s">
        <v>939</v>
      </c>
      <c r="B10" s="840">
        <f t="shared" ref="B10:I10" si="2">B6-B8</f>
        <v>12997856.600000001</v>
      </c>
      <c r="C10" s="840">
        <f t="shared" si="2"/>
        <v>5624899.3000000007</v>
      </c>
      <c r="D10" s="840">
        <f t="shared" si="2"/>
        <v>316179.40000000014</v>
      </c>
      <c r="E10" s="840">
        <f t="shared" si="2"/>
        <v>133403.5</v>
      </c>
      <c r="F10" s="840">
        <v>0</v>
      </c>
      <c r="G10" s="840">
        <f t="shared" si="2"/>
        <v>1646476.4999999981</v>
      </c>
      <c r="H10" s="840">
        <f t="shared" si="2"/>
        <v>222690.30000000005</v>
      </c>
      <c r="I10" s="840">
        <f t="shared" si="2"/>
        <v>20717600.599999994</v>
      </c>
      <c r="J10" s="841"/>
    </row>
    <row r="11" spans="1:10" x14ac:dyDescent="0.25">
      <c r="A11" s="840" t="s">
        <v>940</v>
      </c>
      <c r="B11" s="840">
        <f>+'Exh P12-Temp Adj'!$L$4</f>
        <v>3449</v>
      </c>
      <c r="C11" s="840">
        <f>+'Exh P12-Temp Adj'!$L$4</f>
        <v>3449</v>
      </c>
      <c r="D11" s="840">
        <f>+'Exh P12-Temp Adj'!$L$4</f>
        <v>3449</v>
      </c>
      <c r="E11" s="840">
        <f>+'Exh P12-Temp Adj'!$L$5</f>
        <v>3242</v>
      </c>
      <c r="F11" s="840">
        <f>+'Exh P12-Temp Adj'!$L$5</f>
        <v>3242</v>
      </c>
      <c r="G11" s="840">
        <f>+'Exh P12-Temp Adj'!$L$5</f>
        <v>3242</v>
      </c>
      <c r="H11" s="840">
        <f>+'Exh P12-Temp Adj'!$L$5</f>
        <v>3242</v>
      </c>
      <c r="J11" s="841"/>
    </row>
    <row r="12" spans="1:10" x14ac:dyDescent="0.25">
      <c r="A12" s="912" t="s">
        <v>941</v>
      </c>
      <c r="B12" s="912">
        <f t="shared" ref="B12:H12" si="3">(B10/B11)</f>
        <v>3768.5870107277474</v>
      </c>
      <c r="C12" s="912">
        <f t="shared" si="3"/>
        <v>1630.8783125543639</v>
      </c>
      <c r="D12" s="912">
        <f t="shared" si="3"/>
        <v>91.672774717309409</v>
      </c>
      <c r="E12" s="912">
        <f t="shared" si="3"/>
        <v>41.148519432449106</v>
      </c>
      <c r="F12" s="912">
        <v>0</v>
      </c>
      <c r="G12" s="912">
        <f t="shared" si="3"/>
        <v>507.85826650215859</v>
      </c>
      <c r="H12" s="912">
        <f t="shared" si="3"/>
        <v>68.689173349784099</v>
      </c>
      <c r="I12" s="912">
        <f>SUM(B12:H12)</f>
        <v>6108.8340572838115</v>
      </c>
      <c r="J12" s="841"/>
    </row>
    <row r="13" spans="1:10" ht="15.6" customHeight="1" x14ac:dyDescent="0.25">
      <c r="J13" s="841"/>
    </row>
    <row r="14" spans="1:10" ht="15.6" customHeight="1" x14ac:dyDescent="0.25">
      <c r="A14" s="911" t="s">
        <v>992</v>
      </c>
      <c r="J14" s="841"/>
    </row>
    <row r="15" spans="1:10" x14ac:dyDescent="0.25">
      <c r="A15" s="840" t="s">
        <v>943</v>
      </c>
      <c r="B15" s="840">
        <f>B9+(B12*77)</f>
        <v>302393.07379863923</v>
      </c>
      <c r="C15" s="840">
        <f t="shared" ref="C15:I15" si="4">C9+(C12*77)</f>
        <v>134390.33308038465</v>
      </c>
      <c r="D15" s="840">
        <f t="shared" si="4"/>
        <v>8498.7625573424139</v>
      </c>
      <c r="E15" s="840">
        <f t="shared" si="4"/>
        <v>3745.3055853396772</v>
      </c>
      <c r="F15" s="840">
        <f t="shared" si="4"/>
        <v>2455.3298630136983</v>
      </c>
      <c r="G15" s="840">
        <f t="shared" si="4"/>
        <v>63143.299123405945</v>
      </c>
      <c r="H15" s="840">
        <f>H9+(H12*77)</f>
        <v>6912.8060739607727</v>
      </c>
      <c r="I15" s="840">
        <f t="shared" si="4"/>
        <v>521538.91008208634</v>
      </c>
      <c r="J15" s="841"/>
    </row>
    <row r="16" spans="1:10" x14ac:dyDescent="0.25">
      <c r="A16" s="840" t="s">
        <v>944</v>
      </c>
      <c r="B16" s="700">
        <f t="shared" ref="B16:H16" si="5">B15/$I15</f>
        <v>0.57980922986368322</v>
      </c>
      <c r="C16" s="700">
        <f t="shared" si="5"/>
        <v>0.25768035803739475</v>
      </c>
      <c r="D16" s="700">
        <f t="shared" si="5"/>
        <v>1.6295548410769144E-2</v>
      </c>
      <c r="E16" s="700">
        <f t="shared" si="5"/>
        <v>7.1812582205039964E-3</v>
      </c>
      <c r="F16" s="700">
        <f t="shared" si="5"/>
        <v>4.7078555704065253E-3</v>
      </c>
      <c r="G16" s="700">
        <f t="shared" si="5"/>
        <v>0.12107111838207366</v>
      </c>
      <c r="H16" s="700">
        <f t="shared" si="5"/>
        <v>1.3254631515168732E-2</v>
      </c>
      <c r="I16" s="700">
        <f>SUM(B16:H16)</f>
        <v>1</v>
      </c>
      <c r="J16" s="913"/>
    </row>
    <row r="17" spans="1:10" x14ac:dyDescent="0.25">
      <c r="J17" s="841"/>
    </row>
    <row r="18" spans="1:10" x14ac:dyDescent="0.25">
      <c r="A18" s="840" t="s">
        <v>945</v>
      </c>
      <c r="B18" s="840">
        <f t="shared" ref="B18:H18" si="6">B15</f>
        <v>302393.07379863923</v>
      </c>
      <c r="C18" s="840">
        <f t="shared" si="6"/>
        <v>134390.33308038465</v>
      </c>
      <c r="D18" s="840">
        <f t="shared" si="6"/>
        <v>8498.7625573424139</v>
      </c>
      <c r="E18" s="840">
        <f t="shared" si="6"/>
        <v>3745.3055853396772</v>
      </c>
      <c r="F18" s="840">
        <f t="shared" si="6"/>
        <v>2455.3298630136983</v>
      </c>
      <c r="G18" s="840">
        <f t="shared" si="6"/>
        <v>63143.299123405945</v>
      </c>
      <c r="H18" s="840">
        <f t="shared" si="6"/>
        <v>6912.8060739607727</v>
      </c>
      <c r="I18" s="840">
        <f>SUM(B18:H18)</f>
        <v>521538.9100820864</v>
      </c>
      <c r="J18" s="841"/>
    </row>
    <row r="19" spans="1:10" x14ac:dyDescent="0.25">
      <c r="A19" s="840" t="s">
        <v>946</v>
      </c>
      <c r="B19" s="840">
        <f>B15</f>
        <v>302393.07379863923</v>
      </c>
      <c r="C19" s="840">
        <f>C18-174.9</f>
        <v>134215.43308038465</v>
      </c>
      <c r="D19" s="840">
        <f>D18+35.2-214.2</f>
        <v>8319.7625573424139</v>
      </c>
      <c r="E19" s="840">
        <f>E18-529.7-970.5</f>
        <v>2245.1055853396774</v>
      </c>
      <c r="F19" s="840">
        <v>0</v>
      </c>
      <c r="G19" s="840">
        <v>9250</v>
      </c>
      <c r="H19" s="840">
        <v>0</v>
      </c>
      <c r="I19" s="840">
        <f>SUM(B19:H19)</f>
        <v>456423.37502170593</v>
      </c>
      <c r="J19" s="841"/>
    </row>
    <row r="20" spans="1:10" ht="20.25" x14ac:dyDescent="0.3">
      <c r="J20" s="914"/>
    </row>
    <row r="21" spans="1:10" x14ac:dyDescent="0.25">
      <c r="A21" s="911" t="s">
        <v>947</v>
      </c>
      <c r="J21" s="841"/>
    </row>
    <row r="22" spans="1:10" x14ac:dyDescent="0.25">
      <c r="A22" s="912" t="s">
        <v>935</v>
      </c>
      <c r="B22" s="912"/>
      <c r="C22" s="912">
        <f>-'Exh P10-Rate Switch Adj'!AF10</f>
        <v>-11570.8</v>
      </c>
      <c r="D22" s="912">
        <f>-'Exh P10-Rate Switch Adj'!AX10</f>
        <v>-24372.699999999997</v>
      </c>
      <c r="E22" s="912">
        <f>-'Exh P10-Rate Switch Adj'!AF21</f>
        <v>-14765.4</v>
      </c>
      <c r="F22" s="912"/>
      <c r="G22" s="912">
        <f>+'Exh P10-Rate Switch Adj'!AF33+'Exh P10-Rate Switch Adj'!AX22</f>
        <v>50708.899999999994</v>
      </c>
      <c r="H22" s="912">
        <f>-'Summary SBR-Transport'!C44-'Summary SBR-Transport'!C43</f>
        <v>-199728.50000000003</v>
      </c>
      <c r="I22" s="912">
        <f>SUM(B22:H22)</f>
        <v>-199728.50000000003</v>
      </c>
      <c r="J22" s="841"/>
    </row>
    <row r="23" spans="1:10" x14ac:dyDescent="0.25">
      <c r="A23" s="840" t="s">
        <v>936</v>
      </c>
      <c r="C23" s="840">
        <f>-'Exh P10-Rate Switch Adj'!Z10-'Exh P10-Rate Switch Adj'!AA10</f>
        <v>-1832.1</v>
      </c>
      <c r="D23" s="840">
        <f>-'Exh P10-Rate Switch Adj'!AR10-'Exh P10-Rate Switch Adj'!AS10</f>
        <v>-4004</v>
      </c>
      <c r="E23" s="840">
        <f>-'Exh P10-Rate Switch Adj'!Z21-'Exh P10-Rate Switch Adj'!AA21</f>
        <v>-2263.3000000000002</v>
      </c>
      <c r="G23" s="840">
        <f>+'Exh P10-Rate Switch Adj'!Z33+'Exh P10-Rate Switch Adj'!AA33+'Exh P10-Rate Switch Adj'!AR22+'Exh P10-Rate Switch Adj'!AS22</f>
        <v>8099.4</v>
      </c>
      <c r="H23" s="840">
        <f>-SUM('Summary SBR-Transport'!AB43:AC44)</f>
        <v>-1262.8000000000002</v>
      </c>
      <c r="I23" s="840">
        <f>SUM(B23:H23)</f>
        <v>-1262.8000000000011</v>
      </c>
      <c r="J23" s="841"/>
    </row>
    <row r="24" spans="1:10" x14ac:dyDescent="0.25">
      <c r="A24" s="840" t="s">
        <v>937</v>
      </c>
      <c r="C24" s="840">
        <f>(C23*6)</f>
        <v>-10992.599999999999</v>
      </c>
      <c r="D24" s="840">
        <f>(D23*6)</f>
        <v>-24024</v>
      </c>
      <c r="E24" s="840">
        <f>(E23*6)</f>
        <v>-13579.800000000001</v>
      </c>
      <c r="G24" s="840">
        <f>(G23*6)</f>
        <v>48596.399999999994</v>
      </c>
      <c r="H24" s="840">
        <f>(H23*6)</f>
        <v>-7576.8000000000011</v>
      </c>
      <c r="I24" s="840">
        <f>SUM(B24:H24)</f>
        <v>-7576.8000000000084</v>
      </c>
      <c r="J24" s="841"/>
    </row>
    <row r="25" spans="1:10" x14ac:dyDescent="0.25">
      <c r="A25" s="912" t="s">
        <v>938</v>
      </c>
      <c r="B25" s="912"/>
      <c r="C25" s="912">
        <f>C24/365</f>
        <v>-30.116712328767118</v>
      </c>
      <c r="D25" s="912">
        <f>D24/365</f>
        <v>-65.819178082191783</v>
      </c>
      <c r="E25" s="912">
        <f>E24/365</f>
        <v>-37.20493150684932</v>
      </c>
      <c r="F25" s="912"/>
      <c r="G25" s="912">
        <f>G24/365</f>
        <v>133.14082191780821</v>
      </c>
      <c r="H25" s="912">
        <f>H24/365</f>
        <v>-20.758356164383564</v>
      </c>
      <c r="I25" s="912">
        <f>SUM(B25:H25)</f>
        <v>-20.758356164383592</v>
      </c>
      <c r="J25" s="841"/>
    </row>
    <row r="26" spans="1:10" x14ac:dyDescent="0.25">
      <c r="A26" s="840" t="s">
        <v>939</v>
      </c>
      <c r="C26" s="840">
        <f>C22-C24</f>
        <v>-578.20000000000073</v>
      </c>
      <c r="D26" s="840">
        <f>D22-D24</f>
        <v>-348.69999999999709</v>
      </c>
      <c r="E26" s="840">
        <f>E22-E24</f>
        <v>-1185.5999999999985</v>
      </c>
      <c r="G26" s="840">
        <f>G22-G24</f>
        <v>2112.5</v>
      </c>
      <c r="H26" s="840">
        <f>H22-H24</f>
        <v>-192151.70000000004</v>
      </c>
      <c r="I26" s="840">
        <f>I22-I24</f>
        <v>-192151.7</v>
      </c>
      <c r="J26" s="841"/>
    </row>
    <row r="27" spans="1:10" x14ac:dyDescent="0.25">
      <c r="A27" s="840" t="s">
        <v>940</v>
      </c>
      <c r="C27" s="840">
        <f>$G$11</f>
        <v>3242</v>
      </c>
      <c r="D27" s="840">
        <f>$G$11</f>
        <v>3242</v>
      </c>
      <c r="E27" s="840">
        <f>$G$11</f>
        <v>3242</v>
      </c>
      <c r="G27" s="840">
        <f>$G$11</f>
        <v>3242</v>
      </c>
      <c r="H27" s="840">
        <f>$H$11</f>
        <v>3242</v>
      </c>
      <c r="J27" s="841"/>
    </row>
    <row r="28" spans="1:10" x14ac:dyDescent="0.25">
      <c r="A28" s="912" t="s">
        <v>941</v>
      </c>
      <c r="B28" s="912"/>
      <c r="C28" s="912">
        <f>C26/C27</f>
        <v>-0.17834669956816801</v>
      </c>
      <c r="D28" s="912">
        <f>D26/D27</f>
        <v>-0.10755706354102317</v>
      </c>
      <c r="E28" s="912">
        <f>E26/E27</f>
        <v>-0.36570018507094343</v>
      </c>
      <c r="F28" s="912"/>
      <c r="G28" s="912">
        <f>G26/G27-0.25</f>
        <v>0.40160394818013567</v>
      </c>
      <c r="H28" s="912">
        <f>H26/H27</f>
        <v>-59.269494139420125</v>
      </c>
      <c r="I28" s="912">
        <f>SUM(B28:H28)+0.25</f>
        <v>-59.269494139420125</v>
      </c>
      <c r="J28" s="841"/>
    </row>
    <row r="29" spans="1:10" x14ac:dyDescent="0.25">
      <c r="A29" s="841" t="s">
        <v>942</v>
      </c>
      <c r="B29" s="841"/>
      <c r="C29" s="841">
        <f>C25+(C28*77)</f>
        <v>-43.849408195516055</v>
      </c>
      <c r="D29" s="841">
        <f>D25+(D28*77)</f>
        <v>-74.101071974850569</v>
      </c>
      <c r="E29" s="841">
        <f>E25+(E28*77)</f>
        <v>-65.363845757311964</v>
      </c>
      <c r="F29" s="841"/>
      <c r="G29" s="841">
        <f>G25+(G28*77)</f>
        <v>164.06432592767865</v>
      </c>
      <c r="H29" s="841">
        <f>H25+(H28*77)</f>
        <v>-4584.5094048997325</v>
      </c>
      <c r="I29" s="841">
        <f>SUM(B29:H29)</f>
        <v>-4603.7594048997325</v>
      </c>
      <c r="J29" s="841"/>
    </row>
    <row r="30" spans="1:10" x14ac:dyDescent="0.25">
      <c r="J30" s="841"/>
    </row>
    <row r="31" spans="1:10" ht="15.6" customHeight="1" x14ac:dyDescent="0.25">
      <c r="A31" s="911" t="s">
        <v>948</v>
      </c>
      <c r="J31" s="841"/>
    </row>
    <row r="32" spans="1:10" x14ac:dyDescent="0.25">
      <c r="A32" s="840" t="s">
        <v>943</v>
      </c>
      <c r="B32" s="840">
        <f t="shared" ref="B32:I32" si="7">B15+B29</f>
        <v>302393.07379863923</v>
      </c>
      <c r="C32" s="840">
        <f t="shared" si="7"/>
        <v>134346.48367218912</v>
      </c>
      <c r="D32" s="840">
        <f t="shared" si="7"/>
        <v>8424.6614853675637</v>
      </c>
      <c r="E32" s="840">
        <f t="shared" si="7"/>
        <v>3679.9417395823652</v>
      </c>
      <c r="F32" s="840">
        <f t="shared" si="7"/>
        <v>2455.3298630136983</v>
      </c>
      <c r="G32" s="840">
        <f t="shared" si="7"/>
        <v>63307.363449333621</v>
      </c>
      <c r="H32" s="840">
        <f t="shared" si="7"/>
        <v>2328.2966690610401</v>
      </c>
      <c r="I32" s="840">
        <f t="shared" si="7"/>
        <v>516935.15067718661</v>
      </c>
      <c r="J32" s="841"/>
    </row>
    <row r="33" spans="1:10" x14ac:dyDescent="0.25">
      <c r="A33" s="840" t="s">
        <v>944</v>
      </c>
      <c r="B33" s="700">
        <f t="shared" ref="B33:H33" si="8">B32/$I32</f>
        <v>0.58497293790624105</v>
      </c>
      <c r="C33" s="700">
        <f t="shared" si="8"/>
        <v>0.25989040113870149</v>
      </c>
      <c r="D33" s="700">
        <f t="shared" si="8"/>
        <v>1.6297327574515356E-2</v>
      </c>
      <c r="E33" s="700">
        <f t="shared" si="8"/>
        <v>7.1187686400540386E-3</v>
      </c>
      <c r="F33" s="700">
        <f t="shared" si="8"/>
        <v>4.7497831397172521E-3</v>
      </c>
      <c r="G33" s="700">
        <f t="shared" si="8"/>
        <v>0.12246674145954436</v>
      </c>
      <c r="H33" s="700">
        <f t="shared" si="8"/>
        <v>4.5040401412265434E-3</v>
      </c>
      <c r="I33" s="700">
        <f>SUM(B33:H33)</f>
        <v>1.0000000000000002</v>
      </c>
      <c r="J33" s="913"/>
    </row>
    <row r="34" spans="1:10" x14ac:dyDescent="0.25">
      <c r="J34" s="841"/>
    </row>
    <row r="35" spans="1:10" x14ac:dyDescent="0.25">
      <c r="A35" s="840" t="s">
        <v>945</v>
      </c>
      <c r="B35" s="840">
        <f t="shared" ref="B35:H35" si="9">B32</f>
        <v>302393.07379863923</v>
      </c>
      <c r="C35" s="840">
        <f t="shared" si="9"/>
        <v>134346.48367218912</v>
      </c>
      <c r="D35" s="840">
        <f t="shared" si="9"/>
        <v>8424.6614853675637</v>
      </c>
      <c r="E35" s="840">
        <f t="shared" si="9"/>
        <v>3679.9417395823652</v>
      </c>
      <c r="F35" s="840">
        <f t="shared" si="9"/>
        <v>2455.3298630136983</v>
      </c>
      <c r="G35" s="840">
        <f t="shared" si="9"/>
        <v>63307.363449333621</v>
      </c>
      <c r="H35" s="840">
        <f t="shared" si="9"/>
        <v>2328.2966690610401</v>
      </c>
      <c r="I35" s="840">
        <f>SUM(B35:H35)</f>
        <v>516935.15067718667</v>
      </c>
      <c r="J35" s="841"/>
    </row>
    <row r="36" spans="1:10" x14ac:dyDescent="0.25">
      <c r="A36" s="840" t="s">
        <v>946</v>
      </c>
      <c r="B36" s="840">
        <f>B32</f>
        <v>302393.07379863923</v>
      </c>
      <c r="C36" s="840">
        <f>C35-174.9</f>
        <v>134171.58367218912</v>
      </c>
      <c r="D36" s="840">
        <f>D35+35.2-214.2</f>
        <v>8245.6614853675637</v>
      </c>
      <c r="E36" s="840">
        <f>E35-529.7-970.5</f>
        <v>2179.741739582365</v>
      </c>
      <c r="F36" s="840">
        <v>0</v>
      </c>
      <c r="G36" s="840">
        <f>+G19</f>
        <v>9250</v>
      </c>
      <c r="H36" s="840">
        <v>0</v>
      </c>
      <c r="I36" s="840">
        <f>SUM(B36:H36)</f>
        <v>456240.06069577835</v>
      </c>
      <c r="J36" s="841"/>
    </row>
    <row r="37" spans="1:10" x14ac:dyDescent="0.25">
      <c r="J37" s="841"/>
    </row>
    <row r="38" spans="1:10" x14ac:dyDescent="0.25">
      <c r="A38" s="840" t="s">
        <v>1135</v>
      </c>
      <c r="J38" s="841"/>
    </row>
    <row r="39" spans="1:10" x14ac:dyDescent="0.25">
      <c r="J39" s="841"/>
    </row>
    <row r="40" spans="1:10" x14ac:dyDescent="0.25">
      <c r="J40" s="841"/>
    </row>
    <row r="42" spans="1:10" x14ac:dyDescent="0.25">
      <c r="C42" s="840">
        <f>B32+C32+D32+E32+F32+G32+H32</f>
        <v>516935.15067718667</v>
      </c>
    </row>
    <row r="43" spans="1:10" x14ac:dyDescent="0.25">
      <c r="I43" s="840">
        <f>SUM(B32:H32)</f>
        <v>516935.15067718667</v>
      </c>
    </row>
  </sheetData>
  <pageMargins left="1.25" right="0.75" top="1.5" bottom="0.5" header="0.91" footer="0.5"/>
  <pageSetup scale="60" pageOrder="overThenDown" orientation="landscape" r:id="rId1"/>
  <headerFooter alignWithMargins="0">
    <oddHeader>&amp;L&amp;"Times New Roman,Bold"&amp;12LOUISVILLE GAS AND ELECTRIC COMPANY
CALCULATION OF MAXIMUM CLASS DEMANDS FOR
DETERMINATION OF DEMAND ALLOCATION FACTORS
12 MONTHS ENDED MARCH 31, 2012</oddHeader>
    <oddFooter>&amp;R&amp;"Times New Roman,Bold"&amp;16Conroy Exhibit C8
Page &amp;P of 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5" tint="0.39997558519241921"/>
    <pageSetUpPr fitToPage="1"/>
  </sheetPr>
  <dimension ref="A1:AZ52"/>
  <sheetViews>
    <sheetView topLeftCell="X1" zoomScale="70" zoomScaleNormal="70" workbookViewId="0"/>
  </sheetViews>
  <sheetFormatPr defaultRowHeight="12.75" x14ac:dyDescent="0.2"/>
  <cols>
    <col min="1" max="1" width="38" style="436" customWidth="1"/>
    <col min="2" max="2" width="13.28515625" style="436" customWidth="1"/>
    <col min="3" max="3" width="14.28515625" style="436" customWidth="1"/>
    <col min="4" max="4" width="15.28515625" style="436" customWidth="1"/>
    <col min="5" max="5" width="14.28515625" style="436" customWidth="1"/>
    <col min="6" max="6" width="18.140625" style="436" bestFit="1" customWidth="1"/>
    <col min="7" max="8" width="14.28515625" style="436" customWidth="1"/>
    <col min="9" max="9" width="42.5703125" style="436" customWidth="1"/>
    <col min="10" max="21" width="11.7109375" style="436" customWidth="1"/>
    <col min="22" max="24" width="12.85546875" style="1287" bestFit="1" customWidth="1"/>
    <col min="25" max="25" width="12.42578125" style="1287" bestFit="1" customWidth="1"/>
    <col min="26" max="26" width="13" style="1287" customWidth="1"/>
    <col min="27" max="27" width="11.7109375" style="1287" customWidth="1"/>
    <col min="28" max="32" width="11.7109375" style="436" customWidth="1"/>
    <col min="33" max="33" width="12.85546875" style="436" bestFit="1" customWidth="1"/>
    <col min="34" max="37" width="13" style="437" customWidth="1"/>
    <col min="38" max="38" width="12.7109375" style="437" customWidth="1"/>
    <col min="39" max="39" width="11.7109375" style="437" customWidth="1"/>
    <col min="40" max="43" width="11.7109375" style="436" customWidth="1"/>
    <col min="44" max="44" width="14.28515625" style="436" customWidth="1"/>
    <col min="45" max="45" width="13.85546875" style="436" bestFit="1" customWidth="1"/>
    <col min="46" max="46" width="12.140625" style="436" bestFit="1" customWidth="1"/>
    <col min="47" max="49" width="9.140625" style="436"/>
    <col min="50" max="50" width="10.140625" style="436" bestFit="1" customWidth="1"/>
    <col min="51" max="51" width="12.42578125" style="436" bestFit="1" customWidth="1"/>
    <col min="52" max="256" width="9.140625" style="436"/>
    <col min="257" max="257" width="31" style="436" customWidth="1"/>
    <col min="258" max="258" width="13.28515625" style="436" customWidth="1"/>
    <col min="259" max="259" width="14.28515625" style="436" customWidth="1"/>
    <col min="260" max="260" width="15.28515625" style="436" customWidth="1"/>
    <col min="261" max="261" width="14.28515625" style="436" customWidth="1"/>
    <col min="262" max="262" width="18.140625" style="436" bestFit="1" customWidth="1"/>
    <col min="263" max="264" width="14.28515625" style="436" customWidth="1"/>
    <col min="265" max="265" width="42.5703125" style="436" customWidth="1"/>
    <col min="266" max="277" width="11.7109375" style="436" customWidth="1"/>
    <col min="278" max="280" width="12.85546875" style="436" bestFit="1" customWidth="1"/>
    <col min="281" max="281" width="12.42578125" style="436" bestFit="1" customWidth="1"/>
    <col min="282" max="282" width="13" style="436" customWidth="1"/>
    <col min="283" max="288" width="11.7109375" style="436" customWidth="1"/>
    <col min="289" max="289" width="12.85546875" style="436" bestFit="1" customWidth="1"/>
    <col min="290" max="293" width="13" style="436" customWidth="1"/>
    <col min="294" max="294" width="12.7109375" style="436" customWidth="1"/>
    <col min="295" max="299" width="11.7109375" style="436" customWidth="1"/>
    <col min="300" max="300" width="14.28515625" style="436" customWidth="1"/>
    <col min="301" max="301" width="11.7109375" style="436" customWidth="1"/>
    <col min="302" max="303" width="9.140625" style="436"/>
    <col min="304" max="304" width="11.7109375" style="436" customWidth="1"/>
    <col min="305" max="305" width="9.140625" style="436"/>
    <col min="306" max="306" width="9.42578125" style="436" bestFit="1" customWidth="1"/>
    <col min="307" max="307" width="11.5703125" style="436" bestFit="1" customWidth="1"/>
    <col min="308" max="512" width="9.140625" style="436"/>
    <col min="513" max="513" width="31" style="436" customWidth="1"/>
    <col min="514" max="514" width="13.28515625" style="436" customWidth="1"/>
    <col min="515" max="515" width="14.28515625" style="436" customWidth="1"/>
    <col min="516" max="516" width="15.28515625" style="436" customWidth="1"/>
    <col min="517" max="517" width="14.28515625" style="436" customWidth="1"/>
    <col min="518" max="518" width="18.140625" style="436" bestFit="1" customWidth="1"/>
    <col min="519" max="520" width="14.28515625" style="436" customWidth="1"/>
    <col min="521" max="521" width="42.5703125" style="436" customWidth="1"/>
    <col min="522" max="533" width="11.7109375" style="436" customWidth="1"/>
    <col min="534" max="536" width="12.85546875" style="436" bestFit="1" customWidth="1"/>
    <col min="537" max="537" width="12.42578125" style="436" bestFit="1" customWidth="1"/>
    <col min="538" max="538" width="13" style="436" customWidth="1"/>
    <col min="539" max="544" width="11.7109375" style="436" customWidth="1"/>
    <col min="545" max="545" width="12.85546875" style="436" bestFit="1" customWidth="1"/>
    <col min="546" max="549" width="13" style="436" customWidth="1"/>
    <col min="550" max="550" width="12.7109375" style="436" customWidth="1"/>
    <col min="551" max="555" width="11.7109375" style="436" customWidth="1"/>
    <col min="556" max="556" width="14.28515625" style="436" customWidth="1"/>
    <col min="557" max="557" width="11.7109375" style="436" customWidth="1"/>
    <col min="558" max="559" width="9.140625" style="436"/>
    <col min="560" max="560" width="11.7109375" style="436" customWidth="1"/>
    <col min="561" max="561" width="9.140625" style="436"/>
    <col min="562" max="562" width="9.42578125" style="436" bestFit="1" customWidth="1"/>
    <col min="563" max="563" width="11.5703125" style="436" bestFit="1" customWidth="1"/>
    <col min="564" max="768" width="9.140625" style="436"/>
    <col min="769" max="769" width="31" style="436" customWidth="1"/>
    <col min="770" max="770" width="13.28515625" style="436" customWidth="1"/>
    <col min="771" max="771" width="14.28515625" style="436" customWidth="1"/>
    <col min="772" max="772" width="15.28515625" style="436" customWidth="1"/>
    <col min="773" max="773" width="14.28515625" style="436" customWidth="1"/>
    <col min="774" max="774" width="18.140625" style="436" bestFit="1" customWidth="1"/>
    <col min="775" max="776" width="14.28515625" style="436" customWidth="1"/>
    <col min="777" max="777" width="42.5703125" style="436" customWidth="1"/>
    <col min="778" max="789" width="11.7109375" style="436" customWidth="1"/>
    <col min="790" max="792" width="12.85546875" style="436" bestFit="1" customWidth="1"/>
    <col min="793" max="793" width="12.42578125" style="436" bestFit="1" customWidth="1"/>
    <col min="794" max="794" width="13" style="436" customWidth="1"/>
    <col min="795" max="800" width="11.7109375" style="436" customWidth="1"/>
    <col min="801" max="801" width="12.85546875" style="436" bestFit="1" customWidth="1"/>
    <col min="802" max="805" width="13" style="436" customWidth="1"/>
    <col min="806" max="806" width="12.7109375" style="436" customWidth="1"/>
    <col min="807" max="811" width="11.7109375" style="436" customWidth="1"/>
    <col min="812" max="812" width="14.28515625" style="436" customWidth="1"/>
    <col min="813" max="813" width="11.7109375" style="436" customWidth="1"/>
    <col min="814" max="815" width="9.140625" style="436"/>
    <col min="816" max="816" width="11.7109375" style="436" customWidth="1"/>
    <col min="817" max="817" width="9.140625" style="436"/>
    <col min="818" max="818" width="9.42578125" style="436" bestFit="1" customWidth="1"/>
    <col min="819" max="819" width="11.5703125" style="436" bestFit="1" customWidth="1"/>
    <col min="820" max="1024" width="9.140625" style="436"/>
    <col min="1025" max="1025" width="31" style="436" customWidth="1"/>
    <col min="1026" max="1026" width="13.28515625" style="436" customWidth="1"/>
    <col min="1027" max="1027" width="14.28515625" style="436" customWidth="1"/>
    <col min="1028" max="1028" width="15.28515625" style="436" customWidth="1"/>
    <col min="1029" max="1029" width="14.28515625" style="436" customWidth="1"/>
    <col min="1030" max="1030" width="18.140625" style="436" bestFit="1" customWidth="1"/>
    <col min="1031" max="1032" width="14.28515625" style="436" customWidth="1"/>
    <col min="1033" max="1033" width="42.5703125" style="436" customWidth="1"/>
    <col min="1034" max="1045" width="11.7109375" style="436" customWidth="1"/>
    <col min="1046" max="1048" width="12.85546875" style="436" bestFit="1" customWidth="1"/>
    <col min="1049" max="1049" width="12.42578125" style="436" bestFit="1" customWidth="1"/>
    <col min="1050" max="1050" width="13" style="436" customWidth="1"/>
    <col min="1051" max="1056" width="11.7109375" style="436" customWidth="1"/>
    <col min="1057" max="1057" width="12.85546875" style="436" bestFit="1" customWidth="1"/>
    <col min="1058" max="1061" width="13" style="436" customWidth="1"/>
    <col min="1062" max="1062" width="12.7109375" style="436" customWidth="1"/>
    <col min="1063" max="1067" width="11.7109375" style="436" customWidth="1"/>
    <col min="1068" max="1068" width="14.28515625" style="436" customWidth="1"/>
    <col min="1069" max="1069" width="11.7109375" style="436" customWidth="1"/>
    <col min="1070" max="1071" width="9.140625" style="436"/>
    <col min="1072" max="1072" width="11.7109375" style="436" customWidth="1"/>
    <col min="1073" max="1073" width="9.140625" style="436"/>
    <col min="1074" max="1074" width="9.42578125" style="436" bestFit="1" customWidth="1"/>
    <col min="1075" max="1075" width="11.5703125" style="436" bestFit="1" customWidth="1"/>
    <col min="1076" max="1280" width="9.140625" style="436"/>
    <col min="1281" max="1281" width="31" style="436" customWidth="1"/>
    <col min="1282" max="1282" width="13.28515625" style="436" customWidth="1"/>
    <col min="1283" max="1283" width="14.28515625" style="436" customWidth="1"/>
    <col min="1284" max="1284" width="15.28515625" style="436" customWidth="1"/>
    <col min="1285" max="1285" width="14.28515625" style="436" customWidth="1"/>
    <col min="1286" max="1286" width="18.140625" style="436" bestFit="1" customWidth="1"/>
    <col min="1287" max="1288" width="14.28515625" style="436" customWidth="1"/>
    <col min="1289" max="1289" width="42.5703125" style="436" customWidth="1"/>
    <col min="1290" max="1301" width="11.7109375" style="436" customWidth="1"/>
    <col min="1302" max="1304" width="12.85546875" style="436" bestFit="1" customWidth="1"/>
    <col min="1305" max="1305" width="12.42578125" style="436" bestFit="1" customWidth="1"/>
    <col min="1306" max="1306" width="13" style="436" customWidth="1"/>
    <col min="1307" max="1312" width="11.7109375" style="436" customWidth="1"/>
    <col min="1313" max="1313" width="12.85546875" style="436" bestFit="1" customWidth="1"/>
    <col min="1314" max="1317" width="13" style="436" customWidth="1"/>
    <col min="1318" max="1318" width="12.7109375" style="436" customWidth="1"/>
    <col min="1319" max="1323" width="11.7109375" style="436" customWidth="1"/>
    <col min="1324" max="1324" width="14.28515625" style="436" customWidth="1"/>
    <col min="1325" max="1325" width="11.7109375" style="436" customWidth="1"/>
    <col min="1326" max="1327" width="9.140625" style="436"/>
    <col min="1328" max="1328" width="11.7109375" style="436" customWidth="1"/>
    <col min="1329" max="1329" width="9.140625" style="436"/>
    <col min="1330" max="1330" width="9.42578125" style="436" bestFit="1" customWidth="1"/>
    <col min="1331" max="1331" width="11.5703125" style="436" bestFit="1" customWidth="1"/>
    <col min="1332" max="1536" width="9.140625" style="436"/>
    <col min="1537" max="1537" width="31" style="436" customWidth="1"/>
    <col min="1538" max="1538" width="13.28515625" style="436" customWidth="1"/>
    <col min="1539" max="1539" width="14.28515625" style="436" customWidth="1"/>
    <col min="1540" max="1540" width="15.28515625" style="436" customWidth="1"/>
    <col min="1541" max="1541" width="14.28515625" style="436" customWidth="1"/>
    <col min="1542" max="1542" width="18.140625" style="436" bestFit="1" customWidth="1"/>
    <col min="1543" max="1544" width="14.28515625" style="436" customWidth="1"/>
    <col min="1545" max="1545" width="42.5703125" style="436" customWidth="1"/>
    <col min="1546" max="1557" width="11.7109375" style="436" customWidth="1"/>
    <col min="1558" max="1560" width="12.85546875" style="436" bestFit="1" customWidth="1"/>
    <col min="1561" max="1561" width="12.42578125" style="436" bestFit="1" customWidth="1"/>
    <col min="1562" max="1562" width="13" style="436" customWidth="1"/>
    <col min="1563" max="1568" width="11.7109375" style="436" customWidth="1"/>
    <col min="1569" max="1569" width="12.85546875" style="436" bestFit="1" customWidth="1"/>
    <col min="1570" max="1573" width="13" style="436" customWidth="1"/>
    <col min="1574" max="1574" width="12.7109375" style="436" customWidth="1"/>
    <col min="1575" max="1579" width="11.7109375" style="436" customWidth="1"/>
    <col min="1580" max="1580" width="14.28515625" style="436" customWidth="1"/>
    <col min="1581" max="1581" width="11.7109375" style="436" customWidth="1"/>
    <col min="1582" max="1583" width="9.140625" style="436"/>
    <col min="1584" max="1584" width="11.7109375" style="436" customWidth="1"/>
    <col min="1585" max="1585" width="9.140625" style="436"/>
    <col min="1586" max="1586" width="9.42578125" style="436" bestFit="1" customWidth="1"/>
    <col min="1587" max="1587" width="11.5703125" style="436" bestFit="1" customWidth="1"/>
    <col min="1588" max="1792" width="9.140625" style="436"/>
    <col min="1793" max="1793" width="31" style="436" customWidth="1"/>
    <col min="1794" max="1794" width="13.28515625" style="436" customWidth="1"/>
    <col min="1795" max="1795" width="14.28515625" style="436" customWidth="1"/>
    <col min="1796" max="1796" width="15.28515625" style="436" customWidth="1"/>
    <col min="1797" max="1797" width="14.28515625" style="436" customWidth="1"/>
    <col min="1798" max="1798" width="18.140625" style="436" bestFit="1" customWidth="1"/>
    <col min="1799" max="1800" width="14.28515625" style="436" customWidth="1"/>
    <col min="1801" max="1801" width="42.5703125" style="436" customWidth="1"/>
    <col min="1802" max="1813" width="11.7109375" style="436" customWidth="1"/>
    <col min="1814" max="1816" width="12.85546875" style="436" bestFit="1" customWidth="1"/>
    <col min="1817" max="1817" width="12.42578125" style="436" bestFit="1" customWidth="1"/>
    <col min="1818" max="1818" width="13" style="436" customWidth="1"/>
    <col min="1819" max="1824" width="11.7109375" style="436" customWidth="1"/>
    <col min="1825" max="1825" width="12.85546875" style="436" bestFit="1" customWidth="1"/>
    <col min="1826" max="1829" width="13" style="436" customWidth="1"/>
    <col min="1830" max="1830" width="12.7109375" style="436" customWidth="1"/>
    <col min="1831" max="1835" width="11.7109375" style="436" customWidth="1"/>
    <col min="1836" max="1836" width="14.28515625" style="436" customWidth="1"/>
    <col min="1837" max="1837" width="11.7109375" style="436" customWidth="1"/>
    <col min="1838" max="1839" width="9.140625" style="436"/>
    <col min="1840" max="1840" width="11.7109375" style="436" customWidth="1"/>
    <col min="1841" max="1841" width="9.140625" style="436"/>
    <col min="1842" max="1842" width="9.42578125" style="436" bestFit="1" customWidth="1"/>
    <col min="1843" max="1843" width="11.5703125" style="436" bestFit="1" customWidth="1"/>
    <col min="1844" max="2048" width="9.140625" style="436"/>
    <col min="2049" max="2049" width="31" style="436" customWidth="1"/>
    <col min="2050" max="2050" width="13.28515625" style="436" customWidth="1"/>
    <col min="2051" max="2051" width="14.28515625" style="436" customWidth="1"/>
    <col min="2052" max="2052" width="15.28515625" style="436" customWidth="1"/>
    <col min="2053" max="2053" width="14.28515625" style="436" customWidth="1"/>
    <col min="2054" max="2054" width="18.140625" style="436" bestFit="1" customWidth="1"/>
    <col min="2055" max="2056" width="14.28515625" style="436" customWidth="1"/>
    <col min="2057" max="2057" width="42.5703125" style="436" customWidth="1"/>
    <col min="2058" max="2069" width="11.7109375" style="436" customWidth="1"/>
    <col min="2070" max="2072" width="12.85546875" style="436" bestFit="1" customWidth="1"/>
    <col min="2073" max="2073" width="12.42578125" style="436" bestFit="1" customWidth="1"/>
    <col min="2074" max="2074" width="13" style="436" customWidth="1"/>
    <col min="2075" max="2080" width="11.7109375" style="436" customWidth="1"/>
    <col min="2081" max="2081" width="12.85546875" style="436" bestFit="1" customWidth="1"/>
    <col min="2082" max="2085" width="13" style="436" customWidth="1"/>
    <col min="2086" max="2086" width="12.7109375" style="436" customWidth="1"/>
    <col min="2087" max="2091" width="11.7109375" style="436" customWidth="1"/>
    <col min="2092" max="2092" width="14.28515625" style="436" customWidth="1"/>
    <col min="2093" max="2093" width="11.7109375" style="436" customWidth="1"/>
    <col min="2094" max="2095" width="9.140625" style="436"/>
    <col min="2096" max="2096" width="11.7109375" style="436" customWidth="1"/>
    <col min="2097" max="2097" width="9.140625" style="436"/>
    <col min="2098" max="2098" width="9.42578125" style="436" bestFit="1" customWidth="1"/>
    <col min="2099" max="2099" width="11.5703125" style="436" bestFit="1" customWidth="1"/>
    <col min="2100" max="2304" width="9.140625" style="436"/>
    <col min="2305" max="2305" width="31" style="436" customWidth="1"/>
    <col min="2306" max="2306" width="13.28515625" style="436" customWidth="1"/>
    <col min="2307" max="2307" width="14.28515625" style="436" customWidth="1"/>
    <col min="2308" max="2308" width="15.28515625" style="436" customWidth="1"/>
    <col min="2309" max="2309" width="14.28515625" style="436" customWidth="1"/>
    <col min="2310" max="2310" width="18.140625" style="436" bestFit="1" customWidth="1"/>
    <col min="2311" max="2312" width="14.28515625" style="436" customWidth="1"/>
    <col min="2313" max="2313" width="42.5703125" style="436" customWidth="1"/>
    <col min="2314" max="2325" width="11.7109375" style="436" customWidth="1"/>
    <col min="2326" max="2328" width="12.85546875" style="436" bestFit="1" customWidth="1"/>
    <col min="2329" max="2329" width="12.42578125" style="436" bestFit="1" customWidth="1"/>
    <col min="2330" max="2330" width="13" style="436" customWidth="1"/>
    <col min="2331" max="2336" width="11.7109375" style="436" customWidth="1"/>
    <col min="2337" max="2337" width="12.85546875" style="436" bestFit="1" customWidth="1"/>
    <col min="2338" max="2341" width="13" style="436" customWidth="1"/>
    <col min="2342" max="2342" width="12.7109375" style="436" customWidth="1"/>
    <col min="2343" max="2347" width="11.7109375" style="436" customWidth="1"/>
    <col min="2348" max="2348" width="14.28515625" style="436" customWidth="1"/>
    <col min="2349" max="2349" width="11.7109375" style="436" customWidth="1"/>
    <col min="2350" max="2351" width="9.140625" style="436"/>
    <col min="2352" max="2352" width="11.7109375" style="436" customWidth="1"/>
    <col min="2353" max="2353" width="9.140625" style="436"/>
    <col min="2354" max="2354" width="9.42578125" style="436" bestFit="1" customWidth="1"/>
    <col min="2355" max="2355" width="11.5703125" style="436" bestFit="1" customWidth="1"/>
    <col min="2356" max="2560" width="9.140625" style="436"/>
    <col min="2561" max="2561" width="31" style="436" customWidth="1"/>
    <col min="2562" max="2562" width="13.28515625" style="436" customWidth="1"/>
    <col min="2563" max="2563" width="14.28515625" style="436" customWidth="1"/>
    <col min="2564" max="2564" width="15.28515625" style="436" customWidth="1"/>
    <col min="2565" max="2565" width="14.28515625" style="436" customWidth="1"/>
    <col min="2566" max="2566" width="18.140625" style="436" bestFit="1" customWidth="1"/>
    <col min="2567" max="2568" width="14.28515625" style="436" customWidth="1"/>
    <col min="2569" max="2569" width="42.5703125" style="436" customWidth="1"/>
    <col min="2570" max="2581" width="11.7109375" style="436" customWidth="1"/>
    <col min="2582" max="2584" width="12.85546875" style="436" bestFit="1" customWidth="1"/>
    <col min="2585" max="2585" width="12.42578125" style="436" bestFit="1" customWidth="1"/>
    <col min="2586" max="2586" width="13" style="436" customWidth="1"/>
    <col min="2587" max="2592" width="11.7109375" style="436" customWidth="1"/>
    <col min="2593" max="2593" width="12.85546875" style="436" bestFit="1" customWidth="1"/>
    <col min="2594" max="2597" width="13" style="436" customWidth="1"/>
    <col min="2598" max="2598" width="12.7109375" style="436" customWidth="1"/>
    <col min="2599" max="2603" width="11.7109375" style="436" customWidth="1"/>
    <col min="2604" max="2604" width="14.28515625" style="436" customWidth="1"/>
    <col min="2605" max="2605" width="11.7109375" style="436" customWidth="1"/>
    <col min="2606" max="2607" width="9.140625" style="436"/>
    <col min="2608" max="2608" width="11.7109375" style="436" customWidth="1"/>
    <col min="2609" max="2609" width="9.140625" style="436"/>
    <col min="2610" max="2610" width="9.42578125" style="436" bestFit="1" customWidth="1"/>
    <col min="2611" max="2611" width="11.5703125" style="436" bestFit="1" customWidth="1"/>
    <col min="2612" max="2816" width="9.140625" style="436"/>
    <col min="2817" max="2817" width="31" style="436" customWidth="1"/>
    <col min="2818" max="2818" width="13.28515625" style="436" customWidth="1"/>
    <col min="2819" max="2819" width="14.28515625" style="436" customWidth="1"/>
    <col min="2820" max="2820" width="15.28515625" style="436" customWidth="1"/>
    <col min="2821" max="2821" width="14.28515625" style="436" customWidth="1"/>
    <col min="2822" max="2822" width="18.140625" style="436" bestFit="1" customWidth="1"/>
    <col min="2823" max="2824" width="14.28515625" style="436" customWidth="1"/>
    <col min="2825" max="2825" width="42.5703125" style="436" customWidth="1"/>
    <col min="2826" max="2837" width="11.7109375" style="436" customWidth="1"/>
    <col min="2838" max="2840" width="12.85546875" style="436" bestFit="1" customWidth="1"/>
    <col min="2841" max="2841" width="12.42578125" style="436" bestFit="1" customWidth="1"/>
    <col min="2842" max="2842" width="13" style="436" customWidth="1"/>
    <col min="2843" max="2848" width="11.7109375" style="436" customWidth="1"/>
    <col min="2849" max="2849" width="12.85546875" style="436" bestFit="1" customWidth="1"/>
    <col min="2850" max="2853" width="13" style="436" customWidth="1"/>
    <col min="2854" max="2854" width="12.7109375" style="436" customWidth="1"/>
    <col min="2855" max="2859" width="11.7109375" style="436" customWidth="1"/>
    <col min="2860" max="2860" width="14.28515625" style="436" customWidth="1"/>
    <col min="2861" max="2861" width="11.7109375" style="436" customWidth="1"/>
    <col min="2862" max="2863" width="9.140625" style="436"/>
    <col min="2864" max="2864" width="11.7109375" style="436" customWidth="1"/>
    <col min="2865" max="2865" width="9.140625" style="436"/>
    <col min="2866" max="2866" width="9.42578125" style="436" bestFit="1" customWidth="1"/>
    <col min="2867" max="2867" width="11.5703125" style="436" bestFit="1" customWidth="1"/>
    <col min="2868" max="3072" width="9.140625" style="436"/>
    <col min="3073" max="3073" width="31" style="436" customWidth="1"/>
    <col min="3074" max="3074" width="13.28515625" style="436" customWidth="1"/>
    <col min="3075" max="3075" width="14.28515625" style="436" customWidth="1"/>
    <col min="3076" max="3076" width="15.28515625" style="436" customWidth="1"/>
    <col min="3077" max="3077" width="14.28515625" style="436" customWidth="1"/>
    <col min="3078" max="3078" width="18.140625" style="436" bestFit="1" customWidth="1"/>
    <col min="3079" max="3080" width="14.28515625" style="436" customWidth="1"/>
    <col min="3081" max="3081" width="42.5703125" style="436" customWidth="1"/>
    <col min="3082" max="3093" width="11.7109375" style="436" customWidth="1"/>
    <col min="3094" max="3096" width="12.85546875" style="436" bestFit="1" customWidth="1"/>
    <col min="3097" max="3097" width="12.42578125" style="436" bestFit="1" customWidth="1"/>
    <col min="3098" max="3098" width="13" style="436" customWidth="1"/>
    <col min="3099" max="3104" width="11.7109375" style="436" customWidth="1"/>
    <col min="3105" max="3105" width="12.85546875" style="436" bestFit="1" customWidth="1"/>
    <col min="3106" max="3109" width="13" style="436" customWidth="1"/>
    <col min="3110" max="3110" width="12.7109375" style="436" customWidth="1"/>
    <col min="3111" max="3115" width="11.7109375" style="436" customWidth="1"/>
    <col min="3116" max="3116" width="14.28515625" style="436" customWidth="1"/>
    <col min="3117" max="3117" width="11.7109375" style="436" customWidth="1"/>
    <col min="3118" max="3119" width="9.140625" style="436"/>
    <col min="3120" max="3120" width="11.7109375" style="436" customWidth="1"/>
    <col min="3121" max="3121" width="9.140625" style="436"/>
    <col min="3122" max="3122" width="9.42578125" style="436" bestFit="1" customWidth="1"/>
    <col min="3123" max="3123" width="11.5703125" style="436" bestFit="1" customWidth="1"/>
    <col min="3124" max="3328" width="9.140625" style="436"/>
    <col min="3329" max="3329" width="31" style="436" customWidth="1"/>
    <col min="3330" max="3330" width="13.28515625" style="436" customWidth="1"/>
    <col min="3331" max="3331" width="14.28515625" style="436" customWidth="1"/>
    <col min="3332" max="3332" width="15.28515625" style="436" customWidth="1"/>
    <col min="3333" max="3333" width="14.28515625" style="436" customWidth="1"/>
    <col min="3334" max="3334" width="18.140625" style="436" bestFit="1" customWidth="1"/>
    <col min="3335" max="3336" width="14.28515625" style="436" customWidth="1"/>
    <col min="3337" max="3337" width="42.5703125" style="436" customWidth="1"/>
    <col min="3338" max="3349" width="11.7109375" style="436" customWidth="1"/>
    <col min="3350" max="3352" width="12.85546875" style="436" bestFit="1" customWidth="1"/>
    <col min="3353" max="3353" width="12.42578125" style="436" bestFit="1" customWidth="1"/>
    <col min="3354" max="3354" width="13" style="436" customWidth="1"/>
    <col min="3355" max="3360" width="11.7109375" style="436" customWidth="1"/>
    <col min="3361" max="3361" width="12.85546875" style="436" bestFit="1" customWidth="1"/>
    <col min="3362" max="3365" width="13" style="436" customWidth="1"/>
    <col min="3366" max="3366" width="12.7109375" style="436" customWidth="1"/>
    <col min="3367" max="3371" width="11.7109375" style="436" customWidth="1"/>
    <col min="3372" max="3372" width="14.28515625" style="436" customWidth="1"/>
    <col min="3373" max="3373" width="11.7109375" style="436" customWidth="1"/>
    <col min="3374" max="3375" width="9.140625" style="436"/>
    <col min="3376" max="3376" width="11.7109375" style="436" customWidth="1"/>
    <col min="3377" max="3377" width="9.140625" style="436"/>
    <col min="3378" max="3378" width="9.42578125" style="436" bestFit="1" customWidth="1"/>
    <col min="3379" max="3379" width="11.5703125" style="436" bestFit="1" customWidth="1"/>
    <col min="3380" max="3584" width="9.140625" style="436"/>
    <col min="3585" max="3585" width="31" style="436" customWidth="1"/>
    <col min="3586" max="3586" width="13.28515625" style="436" customWidth="1"/>
    <col min="3587" max="3587" width="14.28515625" style="436" customWidth="1"/>
    <col min="3588" max="3588" width="15.28515625" style="436" customWidth="1"/>
    <col min="3589" max="3589" width="14.28515625" style="436" customWidth="1"/>
    <col min="3590" max="3590" width="18.140625" style="436" bestFit="1" customWidth="1"/>
    <col min="3591" max="3592" width="14.28515625" style="436" customWidth="1"/>
    <col min="3593" max="3593" width="42.5703125" style="436" customWidth="1"/>
    <col min="3594" max="3605" width="11.7109375" style="436" customWidth="1"/>
    <col min="3606" max="3608" width="12.85546875" style="436" bestFit="1" customWidth="1"/>
    <col min="3609" max="3609" width="12.42578125" style="436" bestFit="1" customWidth="1"/>
    <col min="3610" max="3610" width="13" style="436" customWidth="1"/>
    <col min="3611" max="3616" width="11.7109375" style="436" customWidth="1"/>
    <col min="3617" max="3617" width="12.85546875" style="436" bestFit="1" customWidth="1"/>
    <col min="3618" max="3621" width="13" style="436" customWidth="1"/>
    <col min="3622" max="3622" width="12.7109375" style="436" customWidth="1"/>
    <col min="3623" max="3627" width="11.7109375" style="436" customWidth="1"/>
    <col min="3628" max="3628" width="14.28515625" style="436" customWidth="1"/>
    <col min="3629" max="3629" width="11.7109375" style="436" customWidth="1"/>
    <col min="3630" max="3631" width="9.140625" style="436"/>
    <col min="3632" max="3632" width="11.7109375" style="436" customWidth="1"/>
    <col min="3633" max="3633" width="9.140625" style="436"/>
    <col min="3634" max="3634" width="9.42578125" style="436" bestFit="1" customWidth="1"/>
    <col min="3635" max="3635" width="11.5703125" style="436" bestFit="1" customWidth="1"/>
    <col min="3636" max="3840" width="9.140625" style="436"/>
    <col min="3841" max="3841" width="31" style="436" customWidth="1"/>
    <col min="3842" max="3842" width="13.28515625" style="436" customWidth="1"/>
    <col min="3843" max="3843" width="14.28515625" style="436" customWidth="1"/>
    <col min="3844" max="3844" width="15.28515625" style="436" customWidth="1"/>
    <col min="3845" max="3845" width="14.28515625" style="436" customWidth="1"/>
    <col min="3846" max="3846" width="18.140625" style="436" bestFit="1" customWidth="1"/>
    <col min="3847" max="3848" width="14.28515625" style="436" customWidth="1"/>
    <col min="3849" max="3849" width="42.5703125" style="436" customWidth="1"/>
    <col min="3850" max="3861" width="11.7109375" style="436" customWidth="1"/>
    <col min="3862" max="3864" width="12.85546875" style="436" bestFit="1" customWidth="1"/>
    <col min="3865" max="3865" width="12.42578125" style="436" bestFit="1" customWidth="1"/>
    <col min="3866" max="3866" width="13" style="436" customWidth="1"/>
    <col min="3867" max="3872" width="11.7109375" style="436" customWidth="1"/>
    <col min="3873" max="3873" width="12.85546875" style="436" bestFit="1" customWidth="1"/>
    <col min="3874" max="3877" width="13" style="436" customWidth="1"/>
    <col min="3878" max="3878" width="12.7109375" style="436" customWidth="1"/>
    <col min="3879" max="3883" width="11.7109375" style="436" customWidth="1"/>
    <col min="3884" max="3884" width="14.28515625" style="436" customWidth="1"/>
    <col min="3885" max="3885" width="11.7109375" style="436" customWidth="1"/>
    <col min="3886" max="3887" width="9.140625" style="436"/>
    <col min="3888" max="3888" width="11.7109375" style="436" customWidth="1"/>
    <col min="3889" max="3889" width="9.140625" style="436"/>
    <col min="3890" max="3890" width="9.42578125" style="436" bestFit="1" customWidth="1"/>
    <col min="3891" max="3891" width="11.5703125" style="436" bestFit="1" customWidth="1"/>
    <col min="3892" max="4096" width="9.140625" style="436"/>
    <col min="4097" max="4097" width="31" style="436" customWidth="1"/>
    <col min="4098" max="4098" width="13.28515625" style="436" customWidth="1"/>
    <col min="4099" max="4099" width="14.28515625" style="436" customWidth="1"/>
    <col min="4100" max="4100" width="15.28515625" style="436" customWidth="1"/>
    <col min="4101" max="4101" width="14.28515625" style="436" customWidth="1"/>
    <col min="4102" max="4102" width="18.140625" style="436" bestFit="1" customWidth="1"/>
    <col min="4103" max="4104" width="14.28515625" style="436" customWidth="1"/>
    <col min="4105" max="4105" width="42.5703125" style="436" customWidth="1"/>
    <col min="4106" max="4117" width="11.7109375" style="436" customWidth="1"/>
    <col min="4118" max="4120" width="12.85546875" style="436" bestFit="1" customWidth="1"/>
    <col min="4121" max="4121" width="12.42578125" style="436" bestFit="1" customWidth="1"/>
    <col min="4122" max="4122" width="13" style="436" customWidth="1"/>
    <col min="4123" max="4128" width="11.7109375" style="436" customWidth="1"/>
    <col min="4129" max="4129" width="12.85546875" style="436" bestFit="1" customWidth="1"/>
    <col min="4130" max="4133" width="13" style="436" customWidth="1"/>
    <col min="4134" max="4134" width="12.7109375" style="436" customWidth="1"/>
    <col min="4135" max="4139" width="11.7109375" style="436" customWidth="1"/>
    <col min="4140" max="4140" width="14.28515625" style="436" customWidth="1"/>
    <col min="4141" max="4141" width="11.7109375" style="436" customWidth="1"/>
    <col min="4142" max="4143" width="9.140625" style="436"/>
    <col min="4144" max="4144" width="11.7109375" style="436" customWidth="1"/>
    <col min="4145" max="4145" width="9.140625" style="436"/>
    <col min="4146" max="4146" width="9.42578125" style="436" bestFit="1" customWidth="1"/>
    <col min="4147" max="4147" width="11.5703125" style="436" bestFit="1" customWidth="1"/>
    <col min="4148" max="4352" width="9.140625" style="436"/>
    <col min="4353" max="4353" width="31" style="436" customWidth="1"/>
    <col min="4354" max="4354" width="13.28515625" style="436" customWidth="1"/>
    <col min="4355" max="4355" width="14.28515625" style="436" customWidth="1"/>
    <col min="4356" max="4356" width="15.28515625" style="436" customWidth="1"/>
    <col min="4357" max="4357" width="14.28515625" style="436" customWidth="1"/>
    <col min="4358" max="4358" width="18.140625" style="436" bestFit="1" customWidth="1"/>
    <col min="4359" max="4360" width="14.28515625" style="436" customWidth="1"/>
    <col min="4361" max="4361" width="42.5703125" style="436" customWidth="1"/>
    <col min="4362" max="4373" width="11.7109375" style="436" customWidth="1"/>
    <col min="4374" max="4376" width="12.85546875" style="436" bestFit="1" customWidth="1"/>
    <col min="4377" max="4377" width="12.42578125" style="436" bestFit="1" customWidth="1"/>
    <col min="4378" max="4378" width="13" style="436" customWidth="1"/>
    <col min="4379" max="4384" width="11.7109375" style="436" customWidth="1"/>
    <col min="4385" max="4385" width="12.85546875" style="436" bestFit="1" customWidth="1"/>
    <col min="4386" max="4389" width="13" style="436" customWidth="1"/>
    <col min="4390" max="4390" width="12.7109375" style="436" customWidth="1"/>
    <col min="4391" max="4395" width="11.7109375" style="436" customWidth="1"/>
    <col min="4396" max="4396" width="14.28515625" style="436" customWidth="1"/>
    <col min="4397" max="4397" width="11.7109375" style="436" customWidth="1"/>
    <col min="4398" max="4399" width="9.140625" style="436"/>
    <col min="4400" max="4400" width="11.7109375" style="436" customWidth="1"/>
    <col min="4401" max="4401" width="9.140625" style="436"/>
    <col min="4402" max="4402" width="9.42578125" style="436" bestFit="1" customWidth="1"/>
    <col min="4403" max="4403" width="11.5703125" style="436" bestFit="1" customWidth="1"/>
    <col min="4404" max="4608" width="9.140625" style="436"/>
    <col min="4609" max="4609" width="31" style="436" customWidth="1"/>
    <col min="4610" max="4610" width="13.28515625" style="436" customWidth="1"/>
    <col min="4611" max="4611" width="14.28515625" style="436" customWidth="1"/>
    <col min="4612" max="4612" width="15.28515625" style="436" customWidth="1"/>
    <col min="4613" max="4613" width="14.28515625" style="436" customWidth="1"/>
    <col min="4614" max="4614" width="18.140625" style="436" bestFit="1" customWidth="1"/>
    <col min="4615" max="4616" width="14.28515625" style="436" customWidth="1"/>
    <col min="4617" max="4617" width="42.5703125" style="436" customWidth="1"/>
    <col min="4618" max="4629" width="11.7109375" style="436" customWidth="1"/>
    <col min="4630" max="4632" width="12.85546875" style="436" bestFit="1" customWidth="1"/>
    <col min="4633" max="4633" width="12.42578125" style="436" bestFit="1" customWidth="1"/>
    <col min="4634" max="4634" width="13" style="436" customWidth="1"/>
    <col min="4635" max="4640" width="11.7109375" style="436" customWidth="1"/>
    <col min="4641" max="4641" width="12.85546875" style="436" bestFit="1" customWidth="1"/>
    <col min="4642" max="4645" width="13" style="436" customWidth="1"/>
    <col min="4646" max="4646" width="12.7109375" style="436" customWidth="1"/>
    <col min="4647" max="4651" width="11.7109375" style="436" customWidth="1"/>
    <col min="4652" max="4652" width="14.28515625" style="436" customWidth="1"/>
    <col min="4653" max="4653" width="11.7109375" style="436" customWidth="1"/>
    <col min="4654" max="4655" width="9.140625" style="436"/>
    <col min="4656" max="4656" width="11.7109375" style="436" customWidth="1"/>
    <col min="4657" max="4657" width="9.140625" style="436"/>
    <col min="4658" max="4658" width="9.42578125" style="436" bestFit="1" customWidth="1"/>
    <col min="4659" max="4659" width="11.5703125" style="436" bestFit="1" customWidth="1"/>
    <col min="4660" max="4864" width="9.140625" style="436"/>
    <col min="4865" max="4865" width="31" style="436" customWidth="1"/>
    <col min="4866" max="4866" width="13.28515625" style="436" customWidth="1"/>
    <col min="4867" max="4867" width="14.28515625" style="436" customWidth="1"/>
    <col min="4868" max="4868" width="15.28515625" style="436" customWidth="1"/>
    <col min="4869" max="4869" width="14.28515625" style="436" customWidth="1"/>
    <col min="4870" max="4870" width="18.140625" style="436" bestFit="1" customWidth="1"/>
    <col min="4871" max="4872" width="14.28515625" style="436" customWidth="1"/>
    <col min="4873" max="4873" width="42.5703125" style="436" customWidth="1"/>
    <col min="4874" max="4885" width="11.7109375" style="436" customWidth="1"/>
    <col min="4886" max="4888" width="12.85546875" style="436" bestFit="1" customWidth="1"/>
    <col min="4889" max="4889" width="12.42578125" style="436" bestFit="1" customWidth="1"/>
    <col min="4890" max="4890" width="13" style="436" customWidth="1"/>
    <col min="4891" max="4896" width="11.7109375" style="436" customWidth="1"/>
    <col min="4897" max="4897" width="12.85546875" style="436" bestFit="1" customWidth="1"/>
    <col min="4898" max="4901" width="13" style="436" customWidth="1"/>
    <col min="4902" max="4902" width="12.7109375" style="436" customWidth="1"/>
    <col min="4903" max="4907" width="11.7109375" style="436" customWidth="1"/>
    <col min="4908" max="4908" width="14.28515625" style="436" customWidth="1"/>
    <col min="4909" max="4909" width="11.7109375" style="436" customWidth="1"/>
    <col min="4910" max="4911" width="9.140625" style="436"/>
    <col min="4912" max="4912" width="11.7109375" style="436" customWidth="1"/>
    <col min="4913" max="4913" width="9.140625" style="436"/>
    <col min="4914" max="4914" width="9.42578125" style="436" bestFit="1" customWidth="1"/>
    <col min="4915" max="4915" width="11.5703125" style="436" bestFit="1" customWidth="1"/>
    <col min="4916" max="5120" width="9.140625" style="436"/>
    <col min="5121" max="5121" width="31" style="436" customWidth="1"/>
    <col min="5122" max="5122" width="13.28515625" style="436" customWidth="1"/>
    <col min="5123" max="5123" width="14.28515625" style="436" customWidth="1"/>
    <col min="5124" max="5124" width="15.28515625" style="436" customWidth="1"/>
    <col min="5125" max="5125" width="14.28515625" style="436" customWidth="1"/>
    <col min="5126" max="5126" width="18.140625" style="436" bestFit="1" customWidth="1"/>
    <col min="5127" max="5128" width="14.28515625" style="436" customWidth="1"/>
    <col min="5129" max="5129" width="42.5703125" style="436" customWidth="1"/>
    <col min="5130" max="5141" width="11.7109375" style="436" customWidth="1"/>
    <col min="5142" max="5144" width="12.85546875" style="436" bestFit="1" customWidth="1"/>
    <col min="5145" max="5145" width="12.42578125" style="436" bestFit="1" customWidth="1"/>
    <col min="5146" max="5146" width="13" style="436" customWidth="1"/>
    <col min="5147" max="5152" width="11.7109375" style="436" customWidth="1"/>
    <col min="5153" max="5153" width="12.85546875" style="436" bestFit="1" customWidth="1"/>
    <col min="5154" max="5157" width="13" style="436" customWidth="1"/>
    <col min="5158" max="5158" width="12.7109375" style="436" customWidth="1"/>
    <col min="5159" max="5163" width="11.7109375" style="436" customWidth="1"/>
    <col min="5164" max="5164" width="14.28515625" style="436" customWidth="1"/>
    <col min="5165" max="5165" width="11.7109375" style="436" customWidth="1"/>
    <col min="5166" max="5167" width="9.140625" style="436"/>
    <col min="5168" max="5168" width="11.7109375" style="436" customWidth="1"/>
    <col min="5169" max="5169" width="9.140625" style="436"/>
    <col min="5170" max="5170" width="9.42578125" style="436" bestFit="1" customWidth="1"/>
    <col min="5171" max="5171" width="11.5703125" style="436" bestFit="1" customWidth="1"/>
    <col min="5172" max="5376" width="9.140625" style="436"/>
    <col min="5377" max="5377" width="31" style="436" customWidth="1"/>
    <col min="5378" max="5378" width="13.28515625" style="436" customWidth="1"/>
    <col min="5379" max="5379" width="14.28515625" style="436" customWidth="1"/>
    <col min="5380" max="5380" width="15.28515625" style="436" customWidth="1"/>
    <col min="5381" max="5381" width="14.28515625" style="436" customWidth="1"/>
    <col min="5382" max="5382" width="18.140625" style="436" bestFit="1" customWidth="1"/>
    <col min="5383" max="5384" width="14.28515625" style="436" customWidth="1"/>
    <col min="5385" max="5385" width="42.5703125" style="436" customWidth="1"/>
    <col min="5386" max="5397" width="11.7109375" style="436" customWidth="1"/>
    <col min="5398" max="5400" width="12.85546875" style="436" bestFit="1" customWidth="1"/>
    <col min="5401" max="5401" width="12.42578125" style="436" bestFit="1" customWidth="1"/>
    <col min="5402" max="5402" width="13" style="436" customWidth="1"/>
    <col min="5403" max="5408" width="11.7109375" style="436" customWidth="1"/>
    <col min="5409" max="5409" width="12.85546875" style="436" bestFit="1" customWidth="1"/>
    <col min="5410" max="5413" width="13" style="436" customWidth="1"/>
    <col min="5414" max="5414" width="12.7109375" style="436" customWidth="1"/>
    <col min="5415" max="5419" width="11.7109375" style="436" customWidth="1"/>
    <col min="5420" max="5420" width="14.28515625" style="436" customWidth="1"/>
    <col min="5421" max="5421" width="11.7109375" style="436" customWidth="1"/>
    <col min="5422" max="5423" width="9.140625" style="436"/>
    <col min="5424" max="5424" width="11.7109375" style="436" customWidth="1"/>
    <col min="5425" max="5425" width="9.140625" style="436"/>
    <col min="5426" max="5426" width="9.42578125" style="436" bestFit="1" customWidth="1"/>
    <col min="5427" max="5427" width="11.5703125" style="436" bestFit="1" customWidth="1"/>
    <col min="5428" max="5632" width="9.140625" style="436"/>
    <col min="5633" max="5633" width="31" style="436" customWidth="1"/>
    <col min="5634" max="5634" width="13.28515625" style="436" customWidth="1"/>
    <col min="5635" max="5635" width="14.28515625" style="436" customWidth="1"/>
    <col min="5636" max="5636" width="15.28515625" style="436" customWidth="1"/>
    <col min="5637" max="5637" width="14.28515625" style="436" customWidth="1"/>
    <col min="5638" max="5638" width="18.140625" style="436" bestFit="1" customWidth="1"/>
    <col min="5639" max="5640" width="14.28515625" style="436" customWidth="1"/>
    <col min="5641" max="5641" width="42.5703125" style="436" customWidth="1"/>
    <col min="5642" max="5653" width="11.7109375" style="436" customWidth="1"/>
    <col min="5654" max="5656" width="12.85546875" style="436" bestFit="1" customWidth="1"/>
    <col min="5657" max="5657" width="12.42578125" style="436" bestFit="1" customWidth="1"/>
    <col min="5658" max="5658" width="13" style="436" customWidth="1"/>
    <col min="5659" max="5664" width="11.7109375" style="436" customWidth="1"/>
    <col min="5665" max="5665" width="12.85546875" style="436" bestFit="1" customWidth="1"/>
    <col min="5666" max="5669" width="13" style="436" customWidth="1"/>
    <col min="5670" max="5670" width="12.7109375" style="436" customWidth="1"/>
    <col min="5671" max="5675" width="11.7109375" style="436" customWidth="1"/>
    <col min="5676" max="5676" width="14.28515625" style="436" customWidth="1"/>
    <col min="5677" max="5677" width="11.7109375" style="436" customWidth="1"/>
    <col min="5678" max="5679" width="9.140625" style="436"/>
    <col min="5680" max="5680" width="11.7109375" style="436" customWidth="1"/>
    <col min="5681" max="5681" width="9.140625" style="436"/>
    <col min="5682" max="5682" width="9.42578125" style="436" bestFit="1" customWidth="1"/>
    <col min="5683" max="5683" width="11.5703125" style="436" bestFit="1" customWidth="1"/>
    <col min="5684" max="5888" width="9.140625" style="436"/>
    <col min="5889" max="5889" width="31" style="436" customWidth="1"/>
    <col min="5890" max="5890" width="13.28515625" style="436" customWidth="1"/>
    <col min="5891" max="5891" width="14.28515625" style="436" customWidth="1"/>
    <col min="5892" max="5892" width="15.28515625" style="436" customWidth="1"/>
    <col min="5893" max="5893" width="14.28515625" style="436" customWidth="1"/>
    <col min="5894" max="5894" width="18.140625" style="436" bestFit="1" customWidth="1"/>
    <col min="5895" max="5896" width="14.28515625" style="436" customWidth="1"/>
    <col min="5897" max="5897" width="42.5703125" style="436" customWidth="1"/>
    <col min="5898" max="5909" width="11.7109375" style="436" customWidth="1"/>
    <col min="5910" max="5912" width="12.85546875" style="436" bestFit="1" customWidth="1"/>
    <col min="5913" max="5913" width="12.42578125" style="436" bestFit="1" customWidth="1"/>
    <col min="5914" max="5914" width="13" style="436" customWidth="1"/>
    <col min="5915" max="5920" width="11.7109375" style="436" customWidth="1"/>
    <col min="5921" max="5921" width="12.85546875" style="436" bestFit="1" customWidth="1"/>
    <col min="5922" max="5925" width="13" style="436" customWidth="1"/>
    <col min="5926" max="5926" width="12.7109375" style="436" customWidth="1"/>
    <col min="5927" max="5931" width="11.7109375" style="436" customWidth="1"/>
    <col min="5932" max="5932" width="14.28515625" style="436" customWidth="1"/>
    <col min="5933" max="5933" width="11.7109375" style="436" customWidth="1"/>
    <col min="5934" max="5935" width="9.140625" style="436"/>
    <col min="5936" max="5936" width="11.7109375" style="436" customWidth="1"/>
    <col min="5937" max="5937" width="9.140625" style="436"/>
    <col min="5938" max="5938" width="9.42578125" style="436" bestFit="1" customWidth="1"/>
    <col min="5939" max="5939" width="11.5703125" style="436" bestFit="1" customWidth="1"/>
    <col min="5940" max="6144" width="9.140625" style="436"/>
    <col min="6145" max="6145" width="31" style="436" customWidth="1"/>
    <col min="6146" max="6146" width="13.28515625" style="436" customWidth="1"/>
    <col min="6147" max="6147" width="14.28515625" style="436" customWidth="1"/>
    <col min="6148" max="6148" width="15.28515625" style="436" customWidth="1"/>
    <col min="6149" max="6149" width="14.28515625" style="436" customWidth="1"/>
    <col min="6150" max="6150" width="18.140625" style="436" bestFit="1" customWidth="1"/>
    <col min="6151" max="6152" width="14.28515625" style="436" customWidth="1"/>
    <col min="6153" max="6153" width="42.5703125" style="436" customWidth="1"/>
    <col min="6154" max="6165" width="11.7109375" style="436" customWidth="1"/>
    <col min="6166" max="6168" width="12.85546875" style="436" bestFit="1" customWidth="1"/>
    <col min="6169" max="6169" width="12.42578125" style="436" bestFit="1" customWidth="1"/>
    <col min="6170" max="6170" width="13" style="436" customWidth="1"/>
    <col min="6171" max="6176" width="11.7109375" style="436" customWidth="1"/>
    <col min="6177" max="6177" width="12.85546875" style="436" bestFit="1" customWidth="1"/>
    <col min="6178" max="6181" width="13" style="436" customWidth="1"/>
    <col min="6182" max="6182" width="12.7109375" style="436" customWidth="1"/>
    <col min="6183" max="6187" width="11.7109375" style="436" customWidth="1"/>
    <col min="6188" max="6188" width="14.28515625" style="436" customWidth="1"/>
    <col min="6189" max="6189" width="11.7109375" style="436" customWidth="1"/>
    <col min="6190" max="6191" width="9.140625" style="436"/>
    <col min="6192" max="6192" width="11.7109375" style="436" customWidth="1"/>
    <col min="6193" max="6193" width="9.140625" style="436"/>
    <col min="6194" max="6194" width="9.42578125" style="436" bestFit="1" customWidth="1"/>
    <col min="6195" max="6195" width="11.5703125" style="436" bestFit="1" customWidth="1"/>
    <col min="6196" max="6400" width="9.140625" style="436"/>
    <col min="6401" max="6401" width="31" style="436" customWidth="1"/>
    <col min="6402" max="6402" width="13.28515625" style="436" customWidth="1"/>
    <col min="6403" max="6403" width="14.28515625" style="436" customWidth="1"/>
    <col min="6404" max="6404" width="15.28515625" style="436" customWidth="1"/>
    <col min="6405" max="6405" width="14.28515625" style="436" customWidth="1"/>
    <col min="6406" max="6406" width="18.140625" style="436" bestFit="1" customWidth="1"/>
    <col min="6407" max="6408" width="14.28515625" style="436" customWidth="1"/>
    <col min="6409" max="6409" width="42.5703125" style="436" customWidth="1"/>
    <col min="6410" max="6421" width="11.7109375" style="436" customWidth="1"/>
    <col min="6422" max="6424" width="12.85546875" style="436" bestFit="1" customWidth="1"/>
    <col min="6425" max="6425" width="12.42578125" style="436" bestFit="1" customWidth="1"/>
    <col min="6426" max="6426" width="13" style="436" customWidth="1"/>
    <col min="6427" max="6432" width="11.7109375" style="436" customWidth="1"/>
    <col min="6433" max="6433" width="12.85546875" style="436" bestFit="1" customWidth="1"/>
    <col min="6434" max="6437" width="13" style="436" customWidth="1"/>
    <col min="6438" max="6438" width="12.7109375" style="436" customWidth="1"/>
    <col min="6439" max="6443" width="11.7109375" style="436" customWidth="1"/>
    <col min="6444" max="6444" width="14.28515625" style="436" customWidth="1"/>
    <col min="6445" max="6445" width="11.7109375" style="436" customWidth="1"/>
    <col min="6446" max="6447" width="9.140625" style="436"/>
    <col min="6448" max="6448" width="11.7109375" style="436" customWidth="1"/>
    <col min="6449" max="6449" width="9.140625" style="436"/>
    <col min="6450" max="6450" width="9.42578125" style="436" bestFit="1" customWidth="1"/>
    <col min="6451" max="6451" width="11.5703125" style="436" bestFit="1" customWidth="1"/>
    <col min="6452" max="6656" width="9.140625" style="436"/>
    <col min="6657" max="6657" width="31" style="436" customWidth="1"/>
    <col min="6658" max="6658" width="13.28515625" style="436" customWidth="1"/>
    <col min="6659" max="6659" width="14.28515625" style="436" customWidth="1"/>
    <col min="6660" max="6660" width="15.28515625" style="436" customWidth="1"/>
    <col min="6661" max="6661" width="14.28515625" style="436" customWidth="1"/>
    <col min="6662" max="6662" width="18.140625" style="436" bestFit="1" customWidth="1"/>
    <col min="6663" max="6664" width="14.28515625" style="436" customWidth="1"/>
    <col min="6665" max="6665" width="42.5703125" style="436" customWidth="1"/>
    <col min="6666" max="6677" width="11.7109375" style="436" customWidth="1"/>
    <col min="6678" max="6680" width="12.85546875" style="436" bestFit="1" customWidth="1"/>
    <col min="6681" max="6681" width="12.42578125" style="436" bestFit="1" customWidth="1"/>
    <col min="6682" max="6682" width="13" style="436" customWidth="1"/>
    <col min="6683" max="6688" width="11.7109375" style="436" customWidth="1"/>
    <col min="6689" max="6689" width="12.85546875" style="436" bestFit="1" customWidth="1"/>
    <col min="6690" max="6693" width="13" style="436" customWidth="1"/>
    <col min="6694" max="6694" width="12.7109375" style="436" customWidth="1"/>
    <col min="6695" max="6699" width="11.7109375" style="436" customWidth="1"/>
    <col min="6700" max="6700" width="14.28515625" style="436" customWidth="1"/>
    <col min="6701" max="6701" width="11.7109375" style="436" customWidth="1"/>
    <col min="6702" max="6703" width="9.140625" style="436"/>
    <col min="6704" max="6704" width="11.7109375" style="436" customWidth="1"/>
    <col min="6705" max="6705" width="9.140625" style="436"/>
    <col min="6706" max="6706" width="9.42578125" style="436" bestFit="1" customWidth="1"/>
    <col min="6707" max="6707" width="11.5703125" style="436" bestFit="1" customWidth="1"/>
    <col min="6708" max="6912" width="9.140625" style="436"/>
    <col min="6913" max="6913" width="31" style="436" customWidth="1"/>
    <col min="6914" max="6914" width="13.28515625" style="436" customWidth="1"/>
    <col min="6915" max="6915" width="14.28515625" style="436" customWidth="1"/>
    <col min="6916" max="6916" width="15.28515625" style="436" customWidth="1"/>
    <col min="6917" max="6917" width="14.28515625" style="436" customWidth="1"/>
    <col min="6918" max="6918" width="18.140625" style="436" bestFit="1" customWidth="1"/>
    <col min="6919" max="6920" width="14.28515625" style="436" customWidth="1"/>
    <col min="6921" max="6921" width="42.5703125" style="436" customWidth="1"/>
    <col min="6922" max="6933" width="11.7109375" style="436" customWidth="1"/>
    <col min="6934" max="6936" width="12.85546875" style="436" bestFit="1" customWidth="1"/>
    <col min="6937" max="6937" width="12.42578125" style="436" bestFit="1" customWidth="1"/>
    <col min="6938" max="6938" width="13" style="436" customWidth="1"/>
    <col min="6939" max="6944" width="11.7109375" style="436" customWidth="1"/>
    <col min="6945" max="6945" width="12.85546875" style="436" bestFit="1" customWidth="1"/>
    <col min="6946" max="6949" width="13" style="436" customWidth="1"/>
    <col min="6950" max="6950" width="12.7109375" style="436" customWidth="1"/>
    <col min="6951" max="6955" width="11.7109375" style="436" customWidth="1"/>
    <col min="6956" max="6956" width="14.28515625" style="436" customWidth="1"/>
    <col min="6957" max="6957" width="11.7109375" style="436" customWidth="1"/>
    <col min="6958" max="6959" width="9.140625" style="436"/>
    <col min="6960" max="6960" width="11.7109375" style="436" customWidth="1"/>
    <col min="6961" max="6961" width="9.140625" style="436"/>
    <col min="6962" max="6962" width="9.42578125" style="436" bestFit="1" customWidth="1"/>
    <col min="6963" max="6963" width="11.5703125" style="436" bestFit="1" customWidth="1"/>
    <col min="6964" max="7168" width="9.140625" style="436"/>
    <col min="7169" max="7169" width="31" style="436" customWidth="1"/>
    <col min="7170" max="7170" width="13.28515625" style="436" customWidth="1"/>
    <col min="7171" max="7171" width="14.28515625" style="436" customWidth="1"/>
    <col min="7172" max="7172" width="15.28515625" style="436" customWidth="1"/>
    <col min="7173" max="7173" width="14.28515625" style="436" customWidth="1"/>
    <col min="7174" max="7174" width="18.140625" style="436" bestFit="1" customWidth="1"/>
    <col min="7175" max="7176" width="14.28515625" style="436" customWidth="1"/>
    <col min="7177" max="7177" width="42.5703125" style="436" customWidth="1"/>
    <col min="7178" max="7189" width="11.7109375" style="436" customWidth="1"/>
    <col min="7190" max="7192" width="12.85546875" style="436" bestFit="1" customWidth="1"/>
    <col min="7193" max="7193" width="12.42578125" style="436" bestFit="1" customWidth="1"/>
    <col min="7194" max="7194" width="13" style="436" customWidth="1"/>
    <col min="7195" max="7200" width="11.7109375" style="436" customWidth="1"/>
    <col min="7201" max="7201" width="12.85546875" style="436" bestFit="1" customWidth="1"/>
    <col min="7202" max="7205" width="13" style="436" customWidth="1"/>
    <col min="7206" max="7206" width="12.7109375" style="436" customWidth="1"/>
    <col min="7207" max="7211" width="11.7109375" style="436" customWidth="1"/>
    <col min="7212" max="7212" width="14.28515625" style="436" customWidth="1"/>
    <col min="7213" max="7213" width="11.7109375" style="436" customWidth="1"/>
    <col min="7214" max="7215" width="9.140625" style="436"/>
    <col min="7216" max="7216" width="11.7109375" style="436" customWidth="1"/>
    <col min="7217" max="7217" width="9.140625" style="436"/>
    <col min="7218" max="7218" width="9.42578125" style="436" bestFit="1" customWidth="1"/>
    <col min="7219" max="7219" width="11.5703125" style="436" bestFit="1" customWidth="1"/>
    <col min="7220" max="7424" width="9.140625" style="436"/>
    <col min="7425" max="7425" width="31" style="436" customWidth="1"/>
    <col min="7426" max="7426" width="13.28515625" style="436" customWidth="1"/>
    <col min="7427" max="7427" width="14.28515625" style="436" customWidth="1"/>
    <col min="7428" max="7428" width="15.28515625" style="436" customWidth="1"/>
    <col min="7429" max="7429" width="14.28515625" style="436" customWidth="1"/>
    <col min="7430" max="7430" width="18.140625" style="436" bestFit="1" customWidth="1"/>
    <col min="7431" max="7432" width="14.28515625" style="436" customWidth="1"/>
    <col min="7433" max="7433" width="42.5703125" style="436" customWidth="1"/>
    <col min="7434" max="7445" width="11.7109375" style="436" customWidth="1"/>
    <col min="7446" max="7448" width="12.85546875" style="436" bestFit="1" customWidth="1"/>
    <col min="7449" max="7449" width="12.42578125" style="436" bestFit="1" customWidth="1"/>
    <col min="7450" max="7450" width="13" style="436" customWidth="1"/>
    <col min="7451" max="7456" width="11.7109375" style="436" customWidth="1"/>
    <col min="7457" max="7457" width="12.85546875" style="436" bestFit="1" customWidth="1"/>
    <col min="7458" max="7461" width="13" style="436" customWidth="1"/>
    <col min="7462" max="7462" width="12.7109375" style="436" customWidth="1"/>
    <col min="7463" max="7467" width="11.7109375" style="436" customWidth="1"/>
    <col min="7468" max="7468" width="14.28515625" style="436" customWidth="1"/>
    <col min="7469" max="7469" width="11.7109375" style="436" customWidth="1"/>
    <col min="7470" max="7471" width="9.140625" style="436"/>
    <col min="7472" max="7472" width="11.7109375" style="436" customWidth="1"/>
    <col min="7473" max="7473" width="9.140625" style="436"/>
    <col min="7474" max="7474" width="9.42578125" style="436" bestFit="1" customWidth="1"/>
    <col min="7475" max="7475" width="11.5703125" style="436" bestFit="1" customWidth="1"/>
    <col min="7476" max="7680" width="9.140625" style="436"/>
    <col min="7681" max="7681" width="31" style="436" customWidth="1"/>
    <col min="7682" max="7682" width="13.28515625" style="436" customWidth="1"/>
    <col min="7683" max="7683" width="14.28515625" style="436" customWidth="1"/>
    <col min="7684" max="7684" width="15.28515625" style="436" customWidth="1"/>
    <col min="7685" max="7685" width="14.28515625" style="436" customWidth="1"/>
    <col min="7686" max="7686" width="18.140625" style="436" bestFit="1" customWidth="1"/>
    <col min="7687" max="7688" width="14.28515625" style="436" customWidth="1"/>
    <col min="7689" max="7689" width="42.5703125" style="436" customWidth="1"/>
    <col min="7690" max="7701" width="11.7109375" style="436" customWidth="1"/>
    <col min="7702" max="7704" width="12.85546875" style="436" bestFit="1" customWidth="1"/>
    <col min="7705" max="7705" width="12.42578125" style="436" bestFit="1" customWidth="1"/>
    <col min="7706" max="7706" width="13" style="436" customWidth="1"/>
    <col min="7707" max="7712" width="11.7109375" style="436" customWidth="1"/>
    <col min="7713" max="7713" width="12.85546875" style="436" bestFit="1" customWidth="1"/>
    <col min="7714" max="7717" width="13" style="436" customWidth="1"/>
    <col min="7718" max="7718" width="12.7109375" style="436" customWidth="1"/>
    <col min="7719" max="7723" width="11.7109375" style="436" customWidth="1"/>
    <col min="7724" max="7724" width="14.28515625" style="436" customWidth="1"/>
    <col min="7725" max="7725" width="11.7109375" style="436" customWidth="1"/>
    <col min="7726" max="7727" width="9.140625" style="436"/>
    <col min="7728" max="7728" width="11.7109375" style="436" customWidth="1"/>
    <col min="7729" max="7729" width="9.140625" style="436"/>
    <col min="7730" max="7730" width="9.42578125" style="436" bestFit="1" customWidth="1"/>
    <col min="7731" max="7731" width="11.5703125" style="436" bestFit="1" customWidth="1"/>
    <col min="7732" max="7936" width="9.140625" style="436"/>
    <col min="7937" max="7937" width="31" style="436" customWidth="1"/>
    <col min="7938" max="7938" width="13.28515625" style="436" customWidth="1"/>
    <col min="7939" max="7939" width="14.28515625" style="436" customWidth="1"/>
    <col min="7940" max="7940" width="15.28515625" style="436" customWidth="1"/>
    <col min="7941" max="7941" width="14.28515625" style="436" customWidth="1"/>
    <col min="7942" max="7942" width="18.140625" style="436" bestFit="1" customWidth="1"/>
    <col min="7943" max="7944" width="14.28515625" style="436" customWidth="1"/>
    <col min="7945" max="7945" width="42.5703125" style="436" customWidth="1"/>
    <col min="7946" max="7957" width="11.7109375" style="436" customWidth="1"/>
    <col min="7958" max="7960" width="12.85546875" style="436" bestFit="1" customWidth="1"/>
    <col min="7961" max="7961" width="12.42578125" style="436" bestFit="1" customWidth="1"/>
    <col min="7962" max="7962" width="13" style="436" customWidth="1"/>
    <col min="7963" max="7968" width="11.7109375" style="436" customWidth="1"/>
    <col min="7969" max="7969" width="12.85546875" style="436" bestFit="1" customWidth="1"/>
    <col min="7970" max="7973" width="13" style="436" customWidth="1"/>
    <col min="7974" max="7974" width="12.7109375" style="436" customWidth="1"/>
    <col min="7975" max="7979" width="11.7109375" style="436" customWidth="1"/>
    <col min="7980" max="7980" width="14.28515625" style="436" customWidth="1"/>
    <col min="7981" max="7981" width="11.7109375" style="436" customWidth="1"/>
    <col min="7982" max="7983" width="9.140625" style="436"/>
    <col min="7984" max="7984" width="11.7109375" style="436" customWidth="1"/>
    <col min="7985" max="7985" width="9.140625" style="436"/>
    <col min="7986" max="7986" width="9.42578125" style="436" bestFit="1" customWidth="1"/>
    <col min="7987" max="7987" width="11.5703125" style="436" bestFit="1" customWidth="1"/>
    <col min="7988" max="8192" width="9.140625" style="436"/>
    <col min="8193" max="8193" width="31" style="436" customWidth="1"/>
    <col min="8194" max="8194" width="13.28515625" style="436" customWidth="1"/>
    <col min="8195" max="8195" width="14.28515625" style="436" customWidth="1"/>
    <col min="8196" max="8196" width="15.28515625" style="436" customWidth="1"/>
    <col min="8197" max="8197" width="14.28515625" style="436" customWidth="1"/>
    <col min="8198" max="8198" width="18.140625" style="436" bestFit="1" customWidth="1"/>
    <col min="8199" max="8200" width="14.28515625" style="436" customWidth="1"/>
    <col min="8201" max="8201" width="42.5703125" style="436" customWidth="1"/>
    <col min="8202" max="8213" width="11.7109375" style="436" customWidth="1"/>
    <col min="8214" max="8216" width="12.85546875" style="436" bestFit="1" customWidth="1"/>
    <col min="8217" max="8217" width="12.42578125" style="436" bestFit="1" customWidth="1"/>
    <col min="8218" max="8218" width="13" style="436" customWidth="1"/>
    <col min="8219" max="8224" width="11.7109375" style="436" customWidth="1"/>
    <col min="8225" max="8225" width="12.85546875" style="436" bestFit="1" customWidth="1"/>
    <col min="8226" max="8229" width="13" style="436" customWidth="1"/>
    <col min="8230" max="8230" width="12.7109375" style="436" customWidth="1"/>
    <col min="8231" max="8235" width="11.7109375" style="436" customWidth="1"/>
    <col min="8236" max="8236" width="14.28515625" style="436" customWidth="1"/>
    <col min="8237" max="8237" width="11.7109375" style="436" customWidth="1"/>
    <col min="8238" max="8239" width="9.140625" style="436"/>
    <col min="8240" max="8240" width="11.7109375" style="436" customWidth="1"/>
    <col min="8241" max="8241" width="9.140625" style="436"/>
    <col min="8242" max="8242" width="9.42578125" style="436" bestFit="1" customWidth="1"/>
    <col min="8243" max="8243" width="11.5703125" style="436" bestFit="1" customWidth="1"/>
    <col min="8244" max="8448" width="9.140625" style="436"/>
    <col min="8449" max="8449" width="31" style="436" customWidth="1"/>
    <col min="8450" max="8450" width="13.28515625" style="436" customWidth="1"/>
    <col min="8451" max="8451" width="14.28515625" style="436" customWidth="1"/>
    <col min="8452" max="8452" width="15.28515625" style="436" customWidth="1"/>
    <col min="8453" max="8453" width="14.28515625" style="436" customWidth="1"/>
    <col min="8454" max="8454" width="18.140625" style="436" bestFit="1" customWidth="1"/>
    <col min="8455" max="8456" width="14.28515625" style="436" customWidth="1"/>
    <col min="8457" max="8457" width="42.5703125" style="436" customWidth="1"/>
    <col min="8458" max="8469" width="11.7109375" style="436" customWidth="1"/>
    <col min="8470" max="8472" width="12.85546875" style="436" bestFit="1" customWidth="1"/>
    <col min="8473" max="8473" width="12.42578125" style="436" bestFit="1" customWidth="1"/>
    <col min="8474" max="8474" width="13" style="436" customWidth="1"/>
    <col min="8475" max="8480" width="11.7109375" style="436" customWidth="1"/>
    <col min="8481" max="8481" width="12.85546875" style="436" bestFit="1" customWidth="1"/>
    <col min="8482" max="8485" width="13" style="436" customWidth="1"/>
    <col min="8486" max="8486" width="12.7109375" style="436" customWidth="1"/>
    <col min="8487" max="8491" width="11.7109375" style="436" customWidth="1"/>
    <col min="8492" max="8492" width="14.28515625" style="436" customWidth="1"/>
    <col min="8493" max="8493" width="11.7109375" style="436" customWidth="1"/>
    <col min="8494" max="8495" width="9.140625" style="436"/>
    <col min="8496" max="8496" width="11.7109375" style="436" customWidth="1"/>
    <col min="8497" max="8497" width="9.140625" style="436"/>
    <col min="8498" max="8498" width="9.42578125" style="436" bestFit="1" customWidth="1"/>
    <col min="8499" max="8499" width="11.5703125" style="436" bestFit="1" customWidth="1"/>
    <col min="8500" max="8704" width="9.140625" style="436"/>
    <col min="8705" max="8705" width="31" style="436" customWidth="1"/>
    <col min="8706" max="8706" width="13.28515625" style="436" customWidth="1"/>
    <col min="8707" max="8707" width="14.28515625" style="436" customWidth="1"/>
    <col min="8708" max="8708" width="15.28515625" style="436" customWidth="1"/>
    <col min="8709" max="8709" width="14.28515625" style="436" customWidth="1"/>
    <col min="8710" max="8710" width="18.140625" style="436" bestFit="1" customWidth="1"/>
    <col min="8711" max="8712" width="14.28515625" style="436" customWidth="1"/>
    <col min="8713" max="8713" width="42.5703125" style="436" customWidth="1"/>
    <col min="8714" max="8725" width="11.7109375" style="436" customWidth="1"/>
    <col min="8726" max="8728" width="12.85546875" style="436" bestFit="1" customWidth="1"/>
    <col min="8729" max="8729" width="12.42578125" style="436" bestFit="1" customWidth="1"/>
    <col min="8730" max="8730" width="13" style="436" customWidth="1"/>
    <col min="8731" max="8736" width="11.7109375" style="436" customWidth="1"/>
    <col min="8737" max="8737" width="12.85546875" style="436" bestFit="1" customWidth="1"/>
    <col min="8738" max="8741" width="13" style="436" customWidth="1"/>
    <col min="8742" max="8742" width="12.7109375" style="436" customWidth="1"/>
    <col min="8743" max="8747" width="11.7109375" style="436" customWidth="1"/>
    <col min="8748" max="8748" width="14.28515625" style="436" customWidth="1"/>
    <col min="8749" max="8749" width="11.7109375" style="436" customWidth="1"/>
    <col min="8750" max="8751" width="9.140625" style="436"/>
    <col min="8752" max="8752" width="11.7109375" style="436" customWidth="1"/>
    <col min="8753" max="8753" width="9.140625" style="436"/>
    <col min="8754" max="8754" width="9.42578125" style="436" bestFit="1" customWidth="1"/>
    <col min="8755" max="8755" width="11.5703125" style="436" bestFit="1" customWidth="1"/>
    <col min="8756" max="8960" width="9.140625" style="436"/>
    <col min="8961" max="8961" width="31" style="436" customWidth="1"/>
    <col min="8962" max="8962" width="13.28515625" style="436" customWidth="1"/>
    <col min="8963" max="8963" width="14.28515625" style="436" customWidth="1"/>
    <col min="8964" max="8964" width="15.28515625" style="436" customWidth="1"/>
    <col min="8965" max="8965" width="14.28515625" style="436" customWidth="1"/>
    <col min="8966" max="8966" width="18.140625" style="436" bestFit="1" customWidth="1"/>
    <col min="8967" max="8968" width="14.28515625" style="436" customWidth="1"/>
    <col min="8969" max="8969" width="42.5703125" style="436" customWidth="1"/>
    <col min="8970" max="8981" width="11.7109375" style="436" customWidth="1"/>
    <col min="8982" max="8984" width="12.85546875" style="436" bestFit="1" customWidth="1"/>
    <col min="8985" max="8985" width="12.42578125" style="436" bestFit="1" customWidth="1"/>
    <col min="8986" max="8986" width="13" style="436" customWidth="1"/>
    <col min="8987" max="8992" width="11.7109375" style="436" customWidth="1"/>
    <col min="8993" max="8993" width="12.85546875" style="436" bestFit="1" customWidth="1"/>
    <col min="8994" max="8997" width="13" style="436" customWidth="1"/>
    <col min="8998" max="8998" width="12.7109375" style="436" customWidth="1"/>
    <col min="8999" max="9003" width="11.7109375" style="436" customWidth="1"/>
    <col min="9004" max="9004" width="14.28515625" style="436" customWidth="1"/>
    <col min="9005" max="9005" width="11.7109375" style="436" customWidth="1"/>
    <col min="9006" max="9007" width="9.140625" style="436"/>
    <col min="9008" max="9008" width="11.7109375" style="436" customWidth="1"/>
    <col min="9009" max="9009" width="9.140625" style="436"/>
    <col min="9010" max="9010" width="9.42578125" style="436" bestFit="1" customWidth="1"/>
    <col min="9011" max="9011" width="11.5703125" style="436" bestFit="1" customWidth="1"/>
    <col min="9012" max="9216" width="9.140625" style="436"/>
    <col min="9217" max="9217" width="31" style="436" customWidth="1"/>
    <col min="9218" max="9218" width="13.28515625" style="436" customWidth="1"/>
    <col min="9219" max="9219" width="14.28515625" style="436" customWidth="1"/>
    <col min="9220" max="9220" width="15.28515625" style="436" customWidth="1"/>
    <col min="9221" max="9221" width="14.28515625" style="436" customWidth="1"/>
    <col min="9222" max="9222" width="18.140625" style="436" bestFit="1" customWidth="1"/>
    <col min="9223" max="9224" width="14.28515625" style="436" customWidth="1"/>
    <col min="9225" max="9225" width="42.5703125" style="436" customWidth="1"/>
    <col min="9226" max="9237" width="11.7109375" style="436" customWidth="1"/>
    <col min="9238" max="9240" width="12.85546875" style="436" bestFit="1" customWidth="1"/>
    <col min="9241" max="9241" width="12.42578125" style="436" bestFit="1" customWidth="1"/>
    <col min="9242" max="9242" width="13" style="436" customWidth="1"/>
    <col min="9243" max="9248" width="11.7109375" style="436" customWidth="1"/>
    <col min="9249" max="9249" width="12.85546875" style="436" bestFit="1" customWidth="1"/>
    <col min="9250" max="9253" width="13" style="436" customWidth="1"/>
    <col min="9254" max="9254" width="12.7109375" style="436" customWidth="1"/>
    <col min="9255" max="9259" width="11.7109375" style="436" customWidth="1"/>
    <col min="9260" max="9260" width="14.28515625" style="436" customWidth="1"/>
    <col min="9261" max="9261" width="11.7109375" style="436" customWidth="1"/>
    <col min="9262" max="9263" width="9.140625" style="436"/>
    <col min="9264" max="9264" width="11.7109375" style="436" customWidth="1"/>
    <col min="9265" max="9265" width="9.140625" style="436"/>
    <col min="9266" max="9266" width="9.42578125" style="436" bestFit="1" customWidth="1"/>
    <col min="9267" max="9267" width="11.5703125" style="436" bestFit="1" customWidth="1"/>
    <col min="9268" max="9472" width="9.140625" style="436"/>
    <col min="9473" max="9473" width="31" style="436" customWidth="1"/>
    <col min="9474" max="9474" width="13.28515625" style="436" customWidth="1"/>
    <col min="9475" max="9475" width="14.28515625" style="436" customWidth="1"/>
    <col min="9476" max="9476" width="15.28515625" style="436" customWidth="1"/>
    <col min="9477" max="9477" width="14.28515625" style="436" customWidth="1"/>
    <col min="9478" max="9478" width="18.140625" style="436" bestFit="1" customWidth="1"/>
    <col min="9479" max="9480" width="14.28515625" style="436" customWidth="1"/>
    <col min="9481" max="9481" width="42.5703125" style="436" customWidth="1"/>
    <col min="9482" max="9493" width="11.7109375" style="436" customWidth="1"/>
    <col min="9494" max="9496" width="12.85546875" style="436" bestFit="1" customWidth="1"/>
    <col min="9497" max="9497" width="12.42578125" style="436" bestFit="1" customWidth="1"/>
    <col min="9498" max="9498" width="13" style="436" customWidth="1"/>
    <col min="9499" max="9504" width="11.7109375" style="436" customWidth="1"/>
    <col min="9505" max="9505" width="12.85546875" style="436" bestFit="1" customWidth="1"/>
    <col min="9506" max="9509" width="13" style="436" customWidth="1"/>
    <col min="9510" max="9510" width="12.7109375" style="436" customWidth="1"/>
    <col min="9511" max="9515" width="11.7109375" style="436" customWidth="1"/>
    <col min="9516" max="9516" width="14.28515625" style="436" customWidth="1"/>
    <col min="9517" max="9517" width="11.7109375" style="436" customWidth="1"/>
    <col min="9518" max="9519" width="9.140625" style="436"/>
    <col min="9520" max="9520" width="11.7109375" style="436" customWidth="1"/>
    <col min="9521" max="9521" width="9.140625" style="436"/>
    <col min="9522" max="9522" width="9.42578125" style="436" bestFit="1" customWidth="1"/>
    <col min="9523" max="9523" width="11.5703125" style="436" bestFit="1" customWidth="1"/>
    <col min="9524" max="9728" width="9.140625" style="436"/>
    <col min="9729" max="9729" width="31" style="436" customWidth="1"/>
    <col min="9730" max="9730" width="13.28515625" style="436" customWidth="1"/>
    <col min="9731" max="9731" width="14.28515625" style="436" customWidth="1"/>
    <col min="9732" max="9732" width="15.28515625" style="436" customWidth="1"/>
    <col min="9733" max="9733" width="14.28515625" style="436" customWidth="1"/>
    <col min="9734" max="9734" width="18.140625" style="436" bestFit="1" customWidth="1"/>
    <col min="9735" max="9736" width="14.28515625" style="436" customWidth="1"/>
    <col min="9737" max="9737" width="42.5703125" style="436" customWidth="1"/>
    <col min="9738" max="9749" width="11.7109375" style="436" customWidth="1"/>
    <col min="9750" max="9752" width="12.85546875" style="436" bestFit="1" customWidth="1"/>
    <col min="9753" max="9753" width="12.42578125" style="436" bestFit="1" customWidth="1"/>
    <col min="9754" max="9754" width="13" style="436" customWidth="1"/>
    <col min="9755" max="9760" width="11.7109375" style="436" customWidth="1"/>
    <col min="9761" max="9761" width="12.85546875" style="436" bestFit="1" customWidth="1"/>
    <col min="9762" max="9765" width="13" style="436" customWidth="1"/>
    <col min="9766" max="9766" width="12.7109375" style="436" customWidth="1"/>
    <col min="9767" max="9771" width="11.7109375" style="436" customWidth="1"/>
    <col min="9772" max="9772" width="14.28515625" style="436" customWidth="1"/>
    <col min="9773" max="9773" width="11.7109375" style="436" customWidth="1"/>
    <col min="9774" max="9775" width="9.140625" style="436"/>
    <col min="9776" max="9776" width="11.7109375" style="436" customWidth="1"/>
    <col min="9777" max="9777" width="9.140625" style="436"/>
    <col min="9778" max="9778" width="9.42578125" style="436" bestFit="1" customWidth="1"/>
    <col min="9779" max="9779" width="11.5703125" style="436" bestFit="1" customWidth="1"/>
    <col min="9780" max="9984" width="9.140625" style="436"/>
    <col min="9985" max="9985" width="31" style="436" customWidth="1"/>
    <col min="9986" max="9986" width="13.28515625" style="436" customWidth="1"/>
    <col min="9987" max="9987" width="14.28515625" style="436" customWidth="1"/>
    <col min="9988" max="9988" width="15.28515625" style="436" customWidth="1"/>
    <col min="9989" max="9989" width="14.28515625" style="436" customWidth="1"/>
    <col min="9990" max="9990" width="18.140625" style="436" bestFit="1" customWidth="1"/>
    <col min="9991" max="9992" width="14.28515625" style="436" customWidth="1"/>
    <col min="9993" max="9993" width="42.5703125" style="436" customWidth="1"/>
    <col min="9994" max="10005" width="11.7109375" style="436" customWidth="1"/>
    <col min="10006" max="10008" width="12.85546875" style="436" bestFit="1" customWidth="1"/>
    <col min="10009" max="10009" width="12.42578125" style="436" bestFit="1" customWidth="1"/>
    <col min="10010" max="10010" width="13" style="436" customWidth="1"/>
    <col min="10011" max="10016" width="11.7109375" style="436" customWidth="1"/>
    <col min="10017" max="10017" width="12.85546875" style="436" bestFit="1" customWidth="1"/>
    <col min="10018" max="10021" width="13" style="436" customWidth="1"/>
    <col min="10022" max="10022" width="12.7109375" style="436" customWidth="1"/>
    <col min="10023" max="10027" width="11.7109375" style="436" customWidth="1"/>
    <col min="10028" max="10028" width="14.28515625" style="436" customWidth="1"/>
    <col min="10029" max="10029" width="11.7109375" style="436" customWidth="1"/>
    <col min="10030" max="10031" width="9.140625" style="436"/>
    <col min="10032" max="10032" width="11.7109375" style="436" customWidth="1"/>
    <col min="10033" max="10033" width="9.140625" style="436"/>
    <col min="10034" max="10034" width="9.42578125" style="436" bestFit="1" customWidth="1"/>
    <col min="10035" max="10035" width="11.5703125" style="436" bestFit="1" customWidth="1"/>
    <col min="10036" max="10240" width="9.140625" style="436"/>
    <col min="10241" max="10241" width="31" style="436" customWidth="1"/>
    <col min="10242" max="10242" width="13.28515625" style="436" customWidth="1"/>
    <col min="10243" max="10243" width="14.28515625" style="436" customWidth="1"/>
    <col min="10244" max="10244" width="15.28515625" style="436" customWidth="1"/>
    <col min="10245" max="10245" width="14.28515625" style="436" customWidth="1"/>
    <col min="10246" max="10246" width="18.140625" style="436" bestFit="1" customWidth="1"/>
    <col min="10247" max="10248" width="14.28515625" style="436" customWidth="1"/>
    <col min="10249" max="10249" width="42.5703125" style="436" customWidth="1"/>
    <col min="10250" max="10261" width="11.7109375" style="436" customWidth="1"/>
    <col min="10262" max="10264" width="12.85546875" style="436" bestFit="1" customWidth="1"/>
    <col min="10265" max="10265" width="12.42578125" style="436" bestFit="1" customWidth="1"/>
    <col min="10266" max="10266" width="13" style="436" customWidth="1"/>
    <col min="10267" max="10272" width="11.7109375" style="436" customWidth="1"/>
    <col min="10273" max="10273" width="12.85546875" style="436" bestFit="1" customWidth="1"/>
    <col min="10274" max="10277" width="13" style="436" customWidth="1"/>
    <col min="10278" max="10278" width="12.7109375" style="436" customWidth="1"/>
    <col min="10279" max="10283" width="11.7109375" style="436" customWidth="1"/>
    <col min="10284" max="10284" width="14.28515625" style="436" customWidth="1"/>
    <col min="10285" max="10285" width="11.7109375" style="436" customWidth="1"/>
    <col min="10286" max="10287" width="9.140625" style="436"/>
    <col min="10288" max="10288" width="11.7109375" style="436" customWidth="1"/>
    <col min="10289" max="10289" width="9.140625" style="436"/>
    <col min="10290" max="10290" width="9.42578125" style="436" bestFit="1" customWidth="1"/>
    <col min="10291" max="10291" width="11.5703125" style="436" bestFit="1" customWidth="1"/>
    <col min="10292" max="10496" width="9.140625" style="436"/>
    <col min="10497" max="10497" width="31" style="436" customWidth="1"/>
    <col min="10498" max="10498" width="13.28515625" style="436" customWidth="1"/>
    <col min="10499" max="10499" width="14.28515625" style="436" customWidth="1"/>
    <col min="10500" max="10500" width="15.28515625" style="436" customWidth="1"/>
    <col min="10501" max="10501" width="14.28515625" style="436" customWidth="1"/>
    <col min="10502" max="10502" width="18.140625" style="436" bestFit="1" customWidth="1"/>
    <col min="10503" max="10504" width="14.28515625" style="436" customWidth="1"/>
    <col min="10505" max="10505" width="42.5703125" style="436" customWidth="1"/>
    <col min="10506" max="10517" width="11.7109375" style="436" customWidth="1"/>
    <col min="10518" max="10520" width="12.85546875" style="436" bestFit="1" customWidth="1"/>
    <col min="10521" max="10521" width="12.42578125" style="436" bestFit="1" customWidth="1"/>
    <col min="10522" max="10522" width="13" style="436" customWidth="1"/>
    <col min="10523" max="10528" width="11.7109375" style="436" customWidth="1"/>
    <col min="10529" max="10529" width="12.85546875" style="436" bestFit="1" customWidth="1"/>
    <col min="10530" max="10533" width="13" style="436" customWidth="1"/>
    <col min="10534" max="10534" width="12.7109375" style="436" customWidth="1"/>
    <col min="10535" max="10539" width="11.7109375" style="436" customWidth="1"/>
    <col min="10540" max="10540" width="14.28515625" style="436" customWidth="1"/>
    <col min="10541" max="10541" width="11.7109375" style="436" customWidth="1"/>
    <col min="10542" max="10543" width="9.140625" style="436"/>
    <col min="10544" max="10544" width="11.7109375" style="436" customWidth="1"/>
    <col min="10545" max="10545" width="9.140625" style="436"/>
    <col min="10546" max="10546" width="9.42578125" style="436" bestFit="1" customWidth="1"/>
    <col min="10547" max="10547" width="11.5703125" style="436" bestFit="1" customWidth="1"/>
    <col min="10548" max="10752" width="9.140625" style="436"/>
    <col min="10753" max="10753" width="31" style="436" customWidth="1"/>
    <col min="10754" max="10754" width="13.28515625" style="436" customWidth="1"/>
    <col min="10755" max="10755" width="14.28515625" style="436" customWidth="1"/>
    <col min="10756" max="10756" width="15.28515625" style="436" customWidth="1"/>
    <col min="10757" max="10757" width="14.28515625" style="436" customWidth="1"/>
    <col min="10758" max="10758" width="18.140625" style="436" bestFit="1" customWidth="1"/>
    <col min="10759" max="10760" width="14.28515625" style="436" customWidth="1"/>
    <col min="10761" max="10761" width="42.5703125" style="436" customWidth="1"/>
    <col min="10762" max="10773" width="11.7109375" style="436" customWidth="1"/>
    <col min="10774" max="10776" width="12.85546875" style="436" bestFit="1" customWidth="1"/>
    <col min="10777" max="10777" width="12.42578125" style="436" bestFit="1" customWidth="1"/>
    <col min="10778" max="10778" width="13" style="436" customWidth="1"/>
    <col min="10779" max="10784" width="11.7109375" style="436" customWidth="1"/>
    <col min="10785" max="10785" width="12.85546875" style="436" bestFit="1" customWidth="1"/>
    <col min="10786" max="10789" width="13" style="436" customWidth="1"/>
    <col min="10790" max="10790" width="12.7109375" style="436" customWidth="1"/>
    <col min="10791" max="10795" width="11.7109375" style="436" customWidth="1"/>
    <col min="10796" max="10796" width="14.28515625" style="436" customWidth="1"/>
    <col min="10797" max="10797" width="11.7109375" style="436" customWidth="1"/>
    <col min="10798" max="10799" width="9.140625" style="436"/>
    <col min="10800" max="10800" width="11.7109375" style="436" customWidth="1"/>
    <col min="10801" max="10801" width="9.140625" style="436"/>
    <col min="10802" max="10802" width="9.42578125" style="436" bestFit="1" customWidth="1"/>
    <col min="10803" max="10803" width="11.5703125" style="436" bestFit="1" customWidth="1"/>
    <col min="10804" max="11008" width="9.140625" style="436"/>
    <col min="11009" max="11009" width="31" style="436" customWidth="1"/>
    <col min="11010" max="11010" width="13.28515625" style="436" customWidth="1"/>
    <col min="11011" max="11011" width="14.28515625" style="436" customWidth="1"/>
    <col min="11012" max="11012" width="15.28515625" style="436" customWidth="1"/>
    <col min="11013" max="11013" width="14.28515625" style="436" customWidth="1"/>
    <col min="11014" max="11014" width="18.140625" style="436" bestFit="1" customWidth="1"/>
    <col min="11015" max="11016" width="14.28515625" style="436" customWidth="1"/>
    <col min="11017" max="11017" width="42.5703125" style="436" customWidth="1"/>
    <col min="11018" max="11029" width="11.7109375" style="436" customWidth="1"/>
    <col min="11030" max="11032" width="12.85546875" style="436" bestFit="1" customWidth="1"/>
    <col min="11033" max="11033" width="12.42578125" style="436" bestFit="1" customWidth="1"/>
    <col min="11034" max="11034" width="13" style="436" customWidth="1"/>
    <col min="11035" max="11040" width="11.7109375" style="436" customWidth="1"/>
    <col min="11041" max="11041" width="12.85546875" style="436" bestFit="1" customWidth="1"/>
    <col min="11042" max="11045" width="13" style="436" customWidth="1"/>
    <col min="11046" max="11046" width="12.7109375" style="436" customWidth="1"/>
    <col min="11047" max="11051" width="11.7109375" style="436" customWidth="1"/>
    <col min="11052" max="11052" width="14.28515625" style="436" customWidth="1"/>
    <col min="11053" max="11053" width="11.7109375" style="436" customWidth="1"/>
    <col min="11054" max="11055" width="9.140625" style="436"/>
    <col min="11056" max="11056" width="11.7109375" style="436" customWidth="1"/>
    <col min="11057" max="11057" width="9.140625" style="436"/>
    <col min="11058" max="11058" width="9.42578125" style="436" bestFit="1" customWidth="1"/>
    <col min="11059" max="11059" width="11.5703125" style="436" bestFit="1" customWidth="1"/>
    <col min="11060" max="11264" width="9.140625" style="436"/>
    <col min="11265" max="11265" width="31" style="436" customWidth="1"/>
    <col min="11266" max="11266" width="13.28515625" style="436" customWidth="1"/>
    <col min="11267" max="11267" width="14.28515625" style="436" customWidth="1"/>
    <col min="11268" max="11268" width="15.28515625" style="436" customWidth="1"/>
    <col min="11269" max="11269" width="14.28515625" style="436" customWidth="1"/>
    <col min="11270" max="11270" width="18.140625" style="436" bestFit="1" customWidth="1"/>
    <col min="11271" max="11272" width="14.28515625" style="436" customWidth="1"/>
    <col min="11273" max="11273" width="42.5703125" style="436" customWidth="1"/>
    <col min="11274" max="11285" width="11.7109375" style="436" customWidth="1"/>
    <col min="11286" max="11288" width="12.85546875" style="436" bestFit="1" customWidth="1"/>
    <col min="11289" max="11289" width="12.42578125" style="436" bestFit="1" customWidth="1"/>
    <col min="11290" max="11290" width="13" style="436" customWidth="1"/>
    <col min="11291" max="11296" width="11.7109375" style="436" customWidth="1"/>
    <col min="11297" max="11297" width="12.85546875" style="436" bestFit="1" customWidth="1"/>
    <col min="11298" max="11301" width="13" style="436" customWidth="1"/>
    <col min="11302" max="11302" width="12.7109375" style="436" customWidth="1"/>
    <col min="11303" max="11307" width="11.7109375" style="436" customWidth="1"/>
    <col min="11308" max="11308" width="14.28515625" style="436" customWidth="1"/>
    <col min="11309" max="11309" width="11.7109375" style="436" customWidth="1"/>
    <col min="11310" max="11311" width="9.140625" style="436"/>
    <col min="11312" max="11312" width="11.7109375" style="436" customWidth="1"/>
    <col min="11313" max="11313" width="9.140625" style="436"/>
    <col min="11314" max="11314" width="9.42578125" style="436" bestFit="1" customWidth="1"/>
    <col min="11315" max="11315" width="11.5703125" style="436" bestFit="1" customWidth="1"/>
    <col min="11316" max="11520" width="9.140625" style="436"/>
    <col min="11521" max="11521" width="31" style="436" customWidth="1"/>
    <col min="11522" max="11522" width="13.28515625" style="436" customWidth="1"/>
    <col min="11523" max="11523" width="14.28515625" style="436" customWidth="1"/>
    <col min="11524" max="11524" width="15.28515625" style="436" customWidth="1"/>
    <col min="11525" max="11525" width="14.28515625" style="436" customWidth="1"/>
    <col min="11526" max="11526" width="18.140625" style="436" bestFit="1" customWidth="1"/>
    <col min="11527" max="11528" width="14.28515625" style="436" customWidth="1"/>
    <col min="11529" max="11529" width="42.5703125" style="436" customWidth="1"/>
    <col min="11530" max="11541" width="11.7109375" style="436" customWidth="1"/>
    <col min="11542" max="11544" width="12.85546875" style="436" bestFit="1" customWidth="1"/>
    <col min="11545" max="11545" width="12.42578125" style="436" bestFit="1" customWidth="1"/>
    <col min="11546" max="11546" width="13" style="436" customWidth="1"/>
    <col min="11547" max="11552" width="11.7109375" style="436" customWidth="1"/>
    <col min="11553" max="11553" width="12.85546875" style="436" bestFit="1" customWidth="1"/>
    <col min="11554" max="11557" width="13" style="436" customWidth="1"/>
    <col min="11558" max="11558" width="12.7109375" style="436" customWidth="1"/>
    <col min="11559" max="11563" width="11.7109375" style="436" customWidth="1"/>
    <col min="11564" max="11564" width="14.28515625" style="436" customWidth="1"/>
    <col min="11565" max="11565" width="11.7109375" style="436" customWidth="1"/>
    <col min="11566" max="11567" width="9.140625" style="436"/>
    <col min="11568" max="11568" width="11.7109375" style="436" customWidth="1"/>
    <col min="11569" max="11569" width="9.140625" style="436"/>
    <col min="11570" max="11570" width="9.42578125" style="436" bestFit="1" customWidth="1"/>
    <col min="11571" max="11571" width="11.5703125" style="436" bestFit="1" customWidth="1"/>
    <col min="11572" max="11776" width="9.140625" style="436"/>
    <col min="11777" max="11777" width="31" style="436" customWidth="1"/>
    <col min="11778" max="11778" width="13.28515625" style="436" customWidth="1"/>
    <col min="11779" max="11779" width="14.28515625" style="436" customWidth="1"/>
    <col min="11780" max="11780" width="15.28515625" style="436" customWidth="1"/>
    <col min="11781" max="11781" width="14.28515625" style="436" customWidth="1"/>
    <col min="11782" max="11782" width="18.140625" style="436" bestFit="1" customWidth="1"/>
    <col min="11783" max="11784" width="14.28515625" style="436" customWidth="1"/>
    <col min="11785" max="11785" width="42.5703125" style="436" customWidth="1"/>
    <col min="11786" max="11797" width="11.7109375" style="436" customWidth="1"/>
    <col min="11798" max="11800" width="12.85546875" style="436" bestFit="1" customWidth="1"/>
    <col min="11801" max="11801" width="12.42578125" style="436" bestFit="1" customWidth="1"/>
    <col min="11802" max="11802" width="13" style="436" customWidth="1"/>
    <col min="11803" max="11808" width="11.7109375" style="436" customWidth="1"/>
    <col min="11809" max="11809" width="12.85546875" style="436" bestFit="1" customWidth="1"/>
    <col min="11810" max="11813" width="13" style="436" customWidth="1"/>
    <col min="11814" max="11814" width="12.7109375" style="436" customWidth="1"/>
    <col min="11815" max="11819" width="11.7109375" style="436" customWidth="1"/>
    <col min="11820" max="11820" width="14.28515625" style="436" customWidth="1"/>
    <col min="11821" max="11821" width="11.7109375" style="436" customWidth="1"/>
    <col min="11822" max="11823" width="9.140625" style="436"/>
    <col min="11824" max="11824" width="11.7109375" style="436" customWidth="1"/>
    <col min="11825" max="11825" width="9.140625" style="436"/>
    <col min="11826" max="11826" width="9.42578125" style="436" bestFit="1" customWidth="1"/>
    <col min="11827" max="11827" width="11.5703125" style="436" bestFit="1" customWidth="1"/>
    <col min="11828" max="12032" width="9.140625" style="436"/>
    <col min="12033" max="12033" width="31" style="436" customWidth="1"/>
    <col min="12034" max="12034" width="13.28515625" style="436" customWidth="1"/>
    <col min="12035" max="12035" width="14.28515625" style="436" customWidth="1"/>
    <col min="12036" max="12036" width="15.28515625" style="436" customWidth="1"/>
    <col min="12037" max="12037" width="14.28515625" style="436" customWidth="1"/>
    <col min="12038" max="12038" width="18.140625" style="436" bestFit="1" customWidth="1"/>
    <col min="12039" max="12040" width="14.28515625" style="436" customWidth="1"/>
    <col min="12041" max="12041" width="42.5703125" style="436" customWidth="1"/>
    <col min="12042" max="12053" width="11.7109375" style="436" customWidth="1"/>
    <col min="12054" max="12056" width="12.85546875" style="436" bestFit="1" customWidth="1"/>
    <col min="12057" max="12057" width="12.42578125" style="436" bestFit="1" customWidth="1"/>
    <col min="12058" max="12058" width="13" style="436" customWidth="1"/>
    <col min="12059" max="12064" width="11.7109375" style="436" customWidth="1"/>
    <col min="12065" max="12065" width="12.85546875" style="436" bestFit="1" customWidth="1"/>
    <col min="12066" max="12069" width="13" style="436" customWidth="1"/>
    <col min="12070" max="12070" width="12.7109375" style="436" customWidth="1"/>
    <col min="12071" max="12075" width="11.7109375" style="436" customWidth="1"/>
    <col min="12076" max="12076" width="14.28515625" style="436" customWidth="1"/>
    <col min="12077" max="12077" width="11.7109375" style="436" customWidth="1"/>
    <col min="12078" max="12079" width="9.140625" style="436"/>
    <col min="12080" max="12080" width="11.7109375" style="436" customWidth="1"/>
    <col min="12081" max="12081" width="9.140625" style="436"/>
    <col min="12082" max="12082" width="9.42578125" style="436" bestFit="1" customWidth="1"/>
    <col min="12083" max="12083" width="11.5703125" style="436" bestFit="1" customWidth="1"/>
    <col min="12084" max="12288" width="9.140625" style="436"/>
    <col min="12289" max="12289" width="31" style="436" customWidth="1"/>
    <col min="12290" max="12290" width="13.28515625" style="436" customWidth="1"/>
    <col min="12291" max="12291" width="14.28515625" style="436" customWidth="1"/>
    <col min="12292" max="12292" width="15.28515625" style="436" customWidth="1"/>
    <col min="12293" max="12293" width="14.28515625" style="436" customWidth="1"/>
    <col min="12294" max="12294" width="18.140625" style="436" bestFit="1" customWidth="1"/>
    <col min="12295" max="12296" width="14.28515625" style="436" customWidth="1"/>
    <col min="12297" max="12297" width="42.5703125" style="436" customWidth="1"/>
    <col min="12298" max="12309" width="11.7109375" style="436" customWidth="1"/>
    <col min="12310" max="12312" width="12.85546875" style="436" bestFit="1" customWidth="1"/>
    <col min="12313" max="12313" width="12.42578125" style="436" bestFit="1" customWidth="1"/>
    <col min="12314" max="12314" width="13" style="436" customWidth="1"/>
    <col min="12315" max="12320" width="11.7109375" style="436" customWidth="1"/>
    <col min="12321" max="12321" width="12.85546875" style="436" bestFit="1" customWidth="1"/>
    <col min="12322" max="12325" width="13" style="436" customWidth="1"/>
    <col min="12326" max="12326" width="12.7109375" style="436" customWidth="1"/>
    <col min="12327" max="12331" width="11.7109375" style="436" customWidth="1"/>
    <col min="12332" max="12332" width="14.28515625" style="436" customWidth="1"/>
    <col min="12333" max="12333" width="11.7109375" style="436" customWidth="1"/>
    <col min="12334" max="12335" width="9.140625" style="436"/>
    <col min="12336" max="12336" width="11.7109375" style="436" customWidth="1"/>
    <col min="12337" max="12337" width="9.140625" style="436"/>
    <col min="12338" max="12338" width="9.42578125" style="436" bestFit="1" customWidth="1"/>
    <col min="12339" max="12339" width="11.5703125" style="436" bestFit="1" customWidth="1"/>
    <col min="12340" max="12544" width="9.140625" style="436"/>
    <col min="12545" max="12545" width="31" style="436" customWidth="1"/>
    <col min="12546" max="12546" width="13.28515625" style="436" customWidth="1"/>
    <col min="12547" max="12547" width="14.28515625" style="436" customWidth="1"/>
    <col min="12548" max="12548" width="15.28515625" style="436" customWidth="1"/>
    <col min="12549" max="12549" width="14.28515625" style="436" customWidth="1"/>
    <col min="12550" max="12550" width="18.140625" style="436" bestFit="1" customWidth="1"/>
    <col min="12551" max="12552" width="14.28515625" style="436" customWidth="1"/>
    <col min="12553" max="12553" width="42.5703125" style="436" customWidth="1"/>
    <col min="12554" max="12565" width="11.7109375" style="436" customWidth="1"/>
    <col min="12566" max="12568" width="12.85546875" style="436" bestFit="1" customWidth="1"/>
    <col min="12569" max="12569" width="12.42578125" style="436" bestFit="1" customWidth="1"/>
    <col min="12570" max="12570" width="13" style="436" customWidth="1"/>
    <col min="12571" max="12576" width="11.7109375" style="436" customWidth="1"/>
    <col min="12577" max="12577" width="12.85546875" style="436" bestFit="1" customWidth="1"/>
    <col min="12578" max="12581" width="13" style="436" customWidth="1"/>
    <col min="12582" max="12582" width="12.7109375" style="436" customWidth="1"/>
    <col min="12583" max="12587" width="11.7109375" style="436" customWidth="1"/>
    <col min="12588" max="12588" width="14.28515625" style="436" customWidth="1"/>
    <col min="12589" max="12589" width="11.7109375" style="436" customWidth="1"/>
    <col min="12590" max="12591" width="9.140625" style="436"/>
    <col min="12592" max="12592" width="11.7109375" style="436" customWidth="1"/>
    <col min="12593" max="12593" width="9.140625" style="436"/>
    <col min="12594" max="12594" width="9.42578125" style="436" bestFit="1" customWidth="1"/>
    <col min="12595" max="12595" width="11.5703125" style="436" bestFit="1" customWidth="1"/>
    <col min="12596" max="12800" width="9.140625" style="436"/>
    <col min="12801" max="12801" width="31" style="436" customWidth="1"/>
    <col min="12802" max="12802" width="13.28515625" style="436" customWidth="1"/>
    <col min="12803" max="12803" width="14.28515625" style="436" customWidth="1"/>
    <col min="12804" max="12804" width="15.28515625" style="436" customWidth="1"/>
    <col min="12805" max="12805" width="14.28515625" style="436" customWidth="1"/>
    <col min="12806" max="12806" width="18.140625" style="436" bestFit="1" customWidth="1"/>
    <col min="12807" max="12808" width="14.28515625" style="436" customWidth="1"/>
    <col min="12809" max="12809" width="42.5703125" style="436" customWidth="1"/>
    <col min="12810" max="12821" width="11.7109375" style="436" customWidth="1"/>
    <col min="12822" max="12824" width="12.85546875" style="436" bestFit="1" customWidth="1"/>
    <col min="12825" max="12825" width="12.42578125" style="436" bestFit="1" customWidth="1"/>
    <col min="12826" max="12826" width="13" style="436" customWidth="1"/>
    <col min="12827" max="12832" width="11.7109375" style="436" customWidth="1"/>
    <col min="12833" max="12833" width="12.85546875" style="436" bestFit="1" customWidth="1"/>
    <col min="12834" max="12837" width="13" style="436" customWidth="1"/>
    <col min="12838" max="12838" width="12.7109375" style="436" customWidth="1"/>
    <col min="12839" max="12843" width="11.7109375" style="436" customWidth="1"/>
    <col min="12844" max="12844" width="14.28515625" style="436" customWidth="1"/>
    <col min="12845" max="12845" width="11.7109375" style="436" customWidth="1"/>
    <col min="12846" max="12847" width="9.140625" style="436"/>
    <col min="12848" max="12848" width="11.7109375" style="436" customWidth="1"/>
    <col min="12849" max="12849" width="9.140625" style="436"/>
    <col min="12850" max="12850" width="9.42578125" style="436" bestFit="1" customWidth="1"/>
    <col min="12851" max="12851" width="11.5703125" style="436" bestFit="1" customWidth="1"/>
    <col min="12852" max="13056" width="9.140625" style="436"/>
    <col min="13057" max="13057" width="31" style="436" customWidth="1"/>
    <col min="13058" max="13058" width="13.28515625" style="436" customWidth="1"/>
    <col min="13059" max="13059" width="14.28515625" style="436" customWidth="1"/>
    <col min="13060" max="13060" width="15.28515625" style="436" customWidth="1"/>
    <col min="13061" max="13061" width="14.28515625" style="436" customWidth="1"/>
    <col min="13062" max="13062" width="18.140625" style="436" bestFit="1" customWidth="1"/>
    <col min="13063" max="13064" width="14.28515625" style="436" customWidth="1"/>
    <col min="13065" max="13065" width="42.5703125" style="436" customWidth="1"/>
    <col min="13066" max="13077" width="11.7109375" style="436" customWidth="1"/>
    <col min="13078" max="13080" width="12.85546875" style="436" bestFit="1" customWidth="1"/>
    <col min="13081" max="13081" width="12.42578125" style="436" bestFit="1" customWidth="1"/>
    <col min="13082" max="13082" width="13" style="436" customWidth="1"/>
    <col min="13083" max="13088" width="11.7109375" style="436" customWidth="1"/>
    <col min="13089" max="13089" width="12.85546875" style="436" bestFit="1" customWidth="1"/>
    <col min="13090" max="13093" width="13" style="436" customWidth="1"/>
    <col min="13094" max="13094" width="12.7109375" style="436" customWidth="1"/>
    <col min="13095" max="13099" width="11.7109375" style="436" customWidth="1"/>
    <col min="13100" max="13100" width="14.28515625" style="436" customWidth="1"/>
    <col min="13101" max="13101" width="11.7109375" style="436" customWidth="1"/>
    <col min="13102" max="13103" width="9.140625" style="436"/>
    <col min="13104" max="13104" width="11.7109375" style="436" customWidth="1"/>
    <col min="13105" max="13105" width="9.140625" style="436"/>
    <col min="13106" max="13106" width="9.42578125" style="436" bestFit="1" customWidth="1"/>
    <col min="13107" max="13107" width="11.5703125" style="436" bestFit="1" customWidth="1"/>
    <col min="13108" max="13312" width="9.140625" style="436"/>
    <col min="13313" max="13313" width="31" style="436" customWidth="1"/>
    <col min="13314" max="13314" width="13.28515625" style="436" customWidth="1"/>
    <col min="13315" max="13315" width="14.28515625" style="436" customWidth="1"/>
    <col min="13316" max="13316" width="15.28515625" style="436" customWidth="1"/>
    <col min="13317" max="13317" width="14.28515625" style="436" customWidth="1"/>
    <col min="13318" max="13318" width="18.140625" style="436" bestFit="1" customWidth="1"/>
    <col min="13319" max="13320" width="14.28515625" style="436" customWidth="1"/>
    <col min="13321" max="13321" width="42.5703125" style="436" customWidth="1"/>
    <col min="13322" max="13333" width="11.7109375" style="436" customWidth="1"/>
    <col min="13334" max="13336" width="12.85546875" style="436" bestFit="1" customWidth="1"/>
    <col min="13337" max="13337" width="12.42578125" style="436" bestFit="1" customWidth="1"/>
    <col min="13338" max="13338" width="13" style="436" customWidth="1"/>
    <col min="13339" max="13344" width="11.7109375" style="436" customWidth="1"/>
    <col min="13345" max="13345" width="12.85546875" style="436" bestFit="1" customWidth="1"/>
    <col min="13346" max="13349" width="13" style="436" customWidth="1"/>
    <col min="13350" max="13350" width="12.7109375" style="436" customWidth="1"/>
    <col min="13351" max="13355" width="11.7109375" style="436" customWidth="1"/>
    <col min="13356" max="13356" width="14.28515625" style="436" customWidth="1"/>
    <col min="13357" max="13357" width="11.7109375" style="436" customWidth="1"/>
    <col min="13358" max="13359" width="9.140625" style="436"/>
    <col min="13360" max="13360" width="11.7109375" style="436" customWidth="1"/>
    <col min="13361" max="13361" width="9.140625" style="436"/>
    <col min="13362" max="13362" width="9.42578125" style="436" bestFit="1" customWidth="1"/>
    <col min="13363" max="13363" width="11.5703125" style="436" bestFit="1" customWidth="1"/>
    <col min="13364" max="13568" width="9.140625" style="436"/>
    <col min="13569" max="13569" width="31" style="436" customWidth="1"/>
    <col min="13570" max="13570" width="13.28515625" style="436" customWidth="1"/>
    <col min="13571" max="13571" width="14.28515625" style="436" customWidth="1"/>
    <col min="13572" max="13572" width="15.28515625" style="436" customWidth="1"/>
    <col min="13573" max="13573" width="14.28515625" style="436" customWidth="1"/>
    <col min="13574" max="13574" width="18.140625" style="436" bestFit="1" customWidth="1"/>
    <col min="13575" max="13576" width="14.28515625" style="436" customWidth="1"/>
    <col min="13577" max="13577" width="42.5703125" style="436" customWidth="1"/>
    <col min="13578" max="13589" width="11.7109375" style="436" customWidth="1"/>
    <col min="13590" max="13592" width="12.85546875" style="436" bestFit="1" customWidth="1"/>
    <col min="13593" max="13593" width="12.42578125" style="436" bestFit="1" customWidth="1"/>
    <col min="13594" max="13594" width="13" style="436" customWidth="1"/>
    <col min="13595" max="13600" width="11.7109375" style="436" customWidth="1"/>
    <col min="13601" max="13601" width="12.85546875" style="436" bestFit="1" customWidth="1"/>
    <col min="13602" max="13605" width="13" style="436" customWidth="1"/>
    <col min="13606" max="13606" width="12.7109375" style="436" customWidth="1"/>
    <col min="13607" max="13611" width="11.7109375" style="436" customWidth="1"/>
    <col min="13612" max="13612" width="14.28515625" style="436" customWidth="1"/>
    <col min="13613" max="13613" width="11.7109375" style="436" customWidth="1"/>
    <col min="13614" max="13615" width="9.140625" style="436"/>
    <col min="13616" max="13616" width="11.7109375" style="436" customWidth="1"/>
    <col min="13617" max="13617" width="9.140625" style="436"/>
    <col min="13618" max="13618" width="9.42578125" style="436" bestFit="1" customWidth="1"/>
    <col min="13619" max="13619" width="11.5703125" style="436" bestFit="1" customWidth="1"/>
    <col min="13620" max="13824" width="9.140625" style="436"/>
    <col min="13825" max="13825" width="31" style="436" customWidth="1"/>
    <col min="13826" max="13826" width="13.28515625" style="436" customWidth="1"/>
    <col min="13827" max="13827" width="14.28515625" style="436" customWidth="1"/>
    <col min="13828" max="13828" width="15.28515625" style="436" customWidth="1"/>
    <col min="13829" max="13829" width="14.28515625" style="436" customWidth="1"/>
    <col min="13830" max="13830" width="18.140625" style="436" bestFit="1" customWidth="1"/>
    <col min="13831" max="13832" width="14.28515625" style="436" customWidth="1"/>
    <col min="13833" max="13833" width="42.5703125" style="436" customWidth="1"/>
    <col min="13834" max="13845" width="11.7109375" style="436" customWidth="1"/>
    <col min="13846" max="13848" width="12.85546875" style="436" bestFit="1" customWidth="1"/>
    <col min="13849" max="13849" width="12.42578125" style="436" bestFit="1" customWidth="1"/>
    <col min="13850" max="13850" width="13" style="436" customWidth="1"/>
    <col min="13851" max="13856" width="11.7109375" style="436" customWidth="1"/>
    <col min="13857" max="13857" width="12.85546875" style="436" bestFit="1" customWidth="1"/>
    <col min="13858" max="13861" width="13" style="436" customWidth="1"/>
    <col min="13862" max="13862" width="12.7109375" style="436" customWidth="1"/>
    <col min="13863" max="13867" width="11.7109375" style="436" customWidth="1"/>
    <col min="13868" max="13868" width="14.28515625" style="436" customWidth="1"/>
    <col min="13869" max="13869" width="11.7109375" style="436" customWidth="1"/>
    <col min="13870" max="13871" width="9.140625" style="436"/>
    <col min="13872" max="13872" width="11.7109375" style="436" customWidth="1"/>
    <col min="13873" max="13873" width="9.140625" style="436"/>
    <col min="13874" max="13874" width="9.42578125" style="436" bestFit="1" customWidth="1"/>
    <col min="13875" max="13875" width="11.5703125" style="436" bestFit="1" customWidth="1"/>
    <col min="13876" max="14080" width="9.140625" style="436"/>
    <col min="14081" max="14081" width="31" style="436" customWidth="1"/>
    <col min="14082" max="14082" width="13.28515625" style="436" customWidth="1"/>
    <col min="14083" max="14083" width="14.28515625" style="436" customWidth="1"/>
    <col min="14084" max="14084" width="15.28515625" style="436" customWidth="1"/>
    <col min="14085" max="14085" width="14.28515625" style="436" customWidth="1"/>
    <col min="14086" max="14086" width="18.140625" style="436" bestFit="1" customWidth="1"/>
    <col min="14087" max="14088" width="14.28515625" style="436" customWidth="1"/>
    <col min="14089" max="14089" width="42.5703125" style="436" customWidth="1"/>
    <col min="14090" max="14101" width="11.7109375" style="436" customWidth="1"/>
    <col min="14102" max="14104" width="12.85546875" style="436" bestFit="1" customWidth="1"/>
    <col min="14105" max="14105" width="12.42578125" style="436" bestFit="1" customWidth="1"/>
    <col min="14106" max="14106" width="13" style="436" customWidth="1"/>
    <col min="14107" max="14112" width="11.7109375" style="436" customWidth="1"/>
    <col min="14113" max="14113" width="12.85546875" style="436" bestFit="1" customWidth="1"/>
    <col min="14114" max="14117" width="13" style="436" customWidth="1"/>
    <col min="14118" max="14118" width="12.7109375" style="436" customWidth="1"/>
    <col min="14119" max="14123" width="11.7109375" style="436" customWidth="1"/>
    <col min="14124" max="14124" width="14.28515625" style="436" customWidth="1"/>
    <col min="14125" max="14125" width="11.7109375" style="436" customWidth="1"/>
    <col min="14126" max="14127" width="9.140625" style="436"/>
    <col min="14128" max="14128" width="11.7109375" style="436" customWidth="1"/>
    <col min="14129" max="14129" width="9.140625" style="436"/>
    <col min="14130" max="14130" width="9.42578125" style="436" bestFit="1" customWidth="1"/>
    <col min="14131" max="14131" width="11.5703125" style="436" bestFit="1" customWidth="1"/>
    <col min="14132" max="14336" width="9.140625" style="436"/>
    <col min="14337" max="14337" width="31" style="436" customWidth="1"/>
    <col min="14338" max="14338" width="13.28515625" style="436" customWidth="1"/>
    <col min="14339" max="14339" width="14.28515625" style="436" customWidth="1"/>
    <col min="14340" max="14340" width="15.28515625" style="436" customWidth="1"/>
    <col min="14341" max="14341" width="14.28515625" style="436" customWidth="1"/>
    <col min="14342" max="14342" width="18.140625" style="436" bestFit="1" customWidth="1"/>
    <col min="14343" max="14344" width="14.28515625" style="436" customWidth="1"/>
    <col min="14345" max="14345" width="42.5703125" style="436" customWidth="1"/>
    <col min="14346" max="14357" width="11.7109375" style="436" customWidth="1"/>
    <col min="14358" max="14360" width="12.85546875" style="436" bestFit="1" customWidth="1"/>
    <col min="14361" max="14361" width="12.42578125" style="436" bestFit="1" customWidth="1"/>
    <col min="14362" max="14362" width="13" style="436" customWidth="1"/>
    <col min="14363" max="14368" width="11.7109375" style="436" customWidth="1"/>
    <col min="14369" max="14369" width="12.85546875" style="436" bestFit="1" customWidth="1"/>
    <col min="14370" max="14373" width="13" style="436" customWidth="1"/>
    <col min="14374" max="14374" width="12.7109375" style="436" customWidth="1"/>
    <col min="14375" max="14379" width="11.7109375" style="436" customWidth="1"/>
    <col min="14380" max="14380" width="14.28515625" style="436" customWidth="1"/>
    <col min="14381" max="14381" width="11.7109375" style="436" customWidth="1"/>
    <col min="14382" max="14383" width="9.140625" style="436"/>
    <col min="14384" max="14384" width="11.7109375" style="436" customWidth="1"/>
    <col min="14385" max="14385" width="9.140625" style="436"/>
    <col min="14386" max="14386" width="9.42578125" style="436" bestFit="1" customWidth="1"/>
    <col min="14387" max="14387" width="11.5703125" style="436" bestFit="1" customWidth="1"/>
    <col min="14388" max="14592" width="9.140625" style="436"/>
    <col min="14593" max="14593" width="31" style="436" customWidth="1"/>
    <col min="14594" max="14594" width="13.28515625" style="436" customWidth="1"/>
    <col min="14595" max="14595" width="14.28515625" style="436" customWidth="1"/>
    <col min="14596" max="14596" width="15.28515625" style="436" customWidth="1"/>
    <col min="14597" max="14597" width="14.28515625" style="436" customWidth="1"/>
    <col min="14598" max="14598" width="18.140625" style="436" bestFit="1" customWidth="1"/>
    <col min="14599" max="14600" width="14.28515625" style="436" customWidth="1"/>
    <col min="14601" max="14601" width="42.5703125" style="436" customWidth="1"/>
    <col min="14602" max="14613" width="11.7109375" style="436" customWidth="1"/>
    <col min="14614" max="14616" width="12.85546875" style="436" bestFit="1" customWidth="1"/>
    <col min="14617" max="14617" width="12.42578125" style="436" bestFit="1" customWidth="1"/>
    <col min="14618" max="14618" width="13" style="436" customWidth="1"/>
    <col min="14619" max="14624" width="11.7109375" style="436" customWidth="1"/>
    <col min="14625" max="14625" width="12.85546875" style="436" bestFit="1" customWidth="1"/>
    <col min="14626" max="14629" width="13" style="436" customWidth="1"/>
    <col min="14630" max="14630" width="12.7109375" style="436" customWidth="1"/>
    <col min="14631" max="14635" width="11.7109375" style="436" customWidth="1"/>
    <col min="14636" max="14636" width="14.28515625" style="436" customWidth="1"/>
    <col min="14637" max="14637" width="11.7109375" style="436" customWidth="1"/>
    <col min="14638" max="14639" width="9.140625" style="436"/>
    <col min="14640" max="14640" width="11.7109375" style="436" customWidth="1"/>
    <col min="14641" max="14641" width="9.140625" style="436"/>
    <col min="14642" max="14642" width="9.42578125" style="436" bestFit="1" customWidth="1"/>
    <col min="14643" max="14643" width="11.5703125" style="436" bestFit="1" customWidth="1"/>
    <col min="14644" max="14848" width="9.140625" style="436"/>
    <col min="14849" max="14849" width="31" style="436" customWidth="1"/>
    <col min="14850" max="14850" width="13.28515625" style="436" customWidth="1"/>
    <col min="14851" max="14851" width="14.28515625" style="436" customWidth="1"/>
    <col min="14852" max="14852" width="15.28515625" style="436" customWidth="1"/>
    <col min="14853" max="14853" width="14.28515625" style="436" customWidth="1"/>
    <col min="14854" max="14854" width="18.140625" style="436" bestFit="1" customWidth="1"/>
    <col min="14855" max="14856" width="14.28515625" style="436" customWidth="1"/>
    <col min="14857" max="14857" width="42.5703125" style="436" customWidth="1"/>
    <col min="14858" max="14869" width="11.7109375" style="436" customWidth="1"/>
    <col min="14870" max="14872" width="12.85546875" style="436" bestFit="1" customWidth="1"/>
    <col min="14873" max="14873" width="12.42578125" style="436" bestFit="1" customWidth="1"/>
    <col min="14874" max="14874" width="13" style="436" customWidth="1"/>
    <col min="14875" max="14880" width="11.7109375" style="436" customWidth="1"/>
    <col min="14881" max="14881" width="12.85546875" style="436" bestFit="1" customWidth="1"/>
    <col min="14882" max="14885" width="13" style="436" customWidth="1"/>
    <col min="14886" max="14886" width="12.7109375" style="436" customWidth="1"/>
    <col min="14887" max="14891" width="11.7109375" style="436" customWidth="1"/>
    <col min="14892" max="14892" width="14.28515625" style="436" customWidth="1"/>
    <col min="14893" max="14893" width="11.7109375" style="436" customWidth="1"/>
    <col min="14894" max="14895" width="9.140625" style="436"/>
    <col min="14896" max="14896" width="11.7109375" style="436" customWidth="1"/>
    <col min="14897" max="14897" width="9.140625" style="436"/>
    <col min="14898" max="14898" width="9.42578125" style="436" bestFit="1" customWidth="1"/>
    <col min="14899" max="14899" width="11.5703125" style="436" bestFit="1" customWidth="1"/>
    <col min="14900" max="15104" width="9.140625" style="436"/>
    <col min="15105" max="15105" width="31" style="436" customWidth="1"/>
    <col min="15106" max="15106" width="13.28515625" style="436" customWidth="1"/>
    <col min="15107" max="15107" width="14.28515625" style="436" customWidth="1"/>
    <col min="15108" max="15108" width="15.28515625" style="436" customWidth="1"/>
    <col min="15109" max="15109" width="14.28515625" style="436" customWidth="1"/>
    <col min="15110" max="15110" width="18.140625" style="436" bestFit="1" customWidth="1"/>
    <col min="15111" max="15112" width="14.28515625" style="436" customWidth="1"/>
    <col min="15113" max="15113" width="42.5703125" style="436" customWidth="1"/>
    <col min="15114" max="15125" width="11.7109375" style="436" customWidth="1"/>
    <col min="15126" max="15128" width="12.85546875" style="436" bestFit="1" customWidth="1"/>
    <col min="15129" max="15129" width="12.42578125" style="436" bestFit="1" customWidth="1"/>
    <col min="15130" max="15130" width="13" style="436" customWidth="1"/>
    <col min="15131" max="15136" width="11.7109375" style="436" customWidth="1"/>
    <col min="15137" max="15137" width="12.85546875" style="436" bestFit="1" customWidth="1"/>
    <col min="15138" max="15141" width="13" style="436" customWidth="1"/>
    <col min="15142" max="15142" width="12.7109375" style="436" customWidth="1"/>
    <col min="15143" max="15147" width="11.7109375" style="436" customWidth="1"/>
    <col min="15148" max="15148" width="14.28515625" style="436" customWidth="1"/>
    <col min="15149" max="15149" width="11.7109375" style="436" customWidth="1"/>
    <col min="15150" max="15151" width="9.140625" style="436"/>
    <col min="15152" max="15152" width="11.7109375" style="436" customWidth="1"/>
    <col min="15153" max="15153" width="9.140625" style="436"/>
    <col min="15154" max="15154" width="9.42578125" style="436" bestFit="1" customWidth="1"/>
    <col min="15155" max="15155" width="11.5703125" style="436" bestFit="1" customWidth="1"/>
    <col min="15156" max="15360" width="9.140625" style="436"/>
    <col min="15361" max="15361" width="31" style="436" customWidth="1"/>
    <col min="15362" max="15362" width="13.28515625" style="436" customWidth="1"/>
    <col min="15363" max="15363" width="14.28515625" style="436" customWidth="1"/>
    <col min="15364" max="15364" width="15.28515625" style="436" customWidth="1"/>
    <col min="15365" max="15365" width="14.28515625" style="436" customWidth="1"/>
    <col min="15366" max="15366" width="18.140625" style="436" bestFit="1" customWidth="1"/>
    <col min="15367" max="15368" width="14.28515625" style="436" customWidth="1"/>
    <col min="15369" max="15369" width="42.5703125" style="436" customWidth="1"/>
    <col min="15370" max="15381" width="11.7109375" style="436" customWidth="1"/>
    <col min="15382" max="15384" width="12.85546875" style="436" bestFit="1" customWidth="1"/>
    <col min="15385" max="15385" width="12.42578125" style="436" bestFit="1" customWidth="1"/>
    <col min="15386" max="15386" width="13" style="436" customWidth="1"/>
    <col min="15387" max="15392" width="11.7109375" style="436" customWidth="1"/>
    <col min="15393" max="15393" width="12.85546875" style="436" bestFit="1" customWidth="1"/>
    <col min="15394" max="15397" width="13" style="436" customWidth="1"/>
    <col min="15398" max="15398" width="12.7109375" style="436" customWidth="1"/>
    <col min="15399" max="15403" width="11.7109375" style="436" customWidth="1"/>
    <col min="15404" max="15404" width="14.28515625" style="436" customWidth="1"/>
    <col min="15405" max="15405" width="11.7109375" style="436" customWidth="1"/>
    <col min="15406" max="15407" width="9.140625" style="436"/>
    <col min="15408" max="15408" width="11.7109375" style="436" customWidth="1"/>
    <col min="15409" max="15409" width="9.140625" style="436"/>
    <col min="15410" max="15410" width="9.42578125" style="436" bestFit="1" customWidth="1"/>
    <col min="15411" max="15411" width="11.5703125" style="436" bestFit="1" customWidth="1"/>
    <col min="15412" max="15616" width="9.140625" style="436"/>
    <col min="15617" max="15617" width="31" style="436" customWidth="1"/>
    <col min="15618" max="15618" width="13.28515625" style="436" customWidth="1"/>
    <col min="15619" max="15619" width="14.28515625" style="436" customWidth="1"/>
    <col min="15620" max="15620" width="15.28515625" style="436" customWidth="1"/>
    <col min="15621" max="15621" width="14.28515625" style="436" customWidth="1"/>
    <col min="15622" max="15622" width="18.140625" style="436" bestFit="1" customWidth="1"/>
    <col min="15623" max="15624" width="14.28515625" style="436" customWidth="1"/>
    <col min="15625" max="15625" width="42.5703125" style="436" customWidth="1"/>
    <col min="15626" max="15637" width="11.7109375" style="436" customWidth="1"/>
    <col min="15638" max="15640" width="12.85546875" style="436" bestFit="1" customWidth="1"/>
    <col min="15641" max="15641" width="12.42578125" style="436" bestFit="1" customWidth="1"/>
    <col min="15642" max="15642" width="13" style="436" customWidth="1"/>
    <col min="15643" max="15648" width="11.7109375" style="436" customWidth="1"/>
    <col min="15649" max="15649" width="12.85546875" style="436" bestFit="1" customWidth="1"/>
    <col min="15650" max="15653" width="13" style="436" customWidth="1"/>
    <col min="15654" max="15654" width="12.7109375" style="436" customWidth="1"/>
    <col min="15655" max="15659" width="11.7109375" style="436" customWidth="1"/>
    <col min="15660" max="15660" width="14.28515625" style="436" customWidth="1"/>
    <col min="15661" max="15661" width="11.7109375" style="436" customWidth="1"/>
    <col min="15662" max="15663" width="9.140625" style="436"/>
    <col min="15664" max="15664" width="11.7109375" style="436" customWidth="1"/>
    <col min="15665" max="15665" width="9.140625" style="436"/>
    <col min="15666" max="15666" width="9.42578125" style="436" bestFit="1" customWidth="1"/>
    <col min="15667" max="15667" width="11.5703125" style="436" bestFit="1" customWidth="1"/>
    <col min="15668" max="15872" width="9.140625" style="436"/>
    <col min="15873" max="15873" width="31" style="436" customWidth="1"/>
    <col min="15874" max="15874" width="13.28515625" style="436" customWidth="1"/>
    <col min="15875" max="15875" width="14.28515625" style="436" customWidth="1"/>
    <col min="15876" max="15876" width="15.28515625" style="436" customWidth="1"/>
    <col min="15877" max="15877" width="14.28515625" style="436" customWidth="1"/>
    <col min="15878" max="15878" width="18.140625" style="436" bestFit="1" customWidth="1"/>
    <col min="15879" max="15880" width="14.28515625" style="436" customWidth="1"/>
    <col min="15881" max="15881" width="42.5703125" style="436" customWidth="1"/>
    <col min="15882" max="15893" width="11.7109375" style="436" customWidth="1"/>
    <col min="15894" max="15896" width="12.85546875" style="436" bestFit="1" customWidth="1"/>
    <col min="15897" max="15897" width="12.42578125" style="436" bestFit="1" customWidth="1"/>
    <col min="15898" max="15898" width="13" style="436" customWidth="1"/>
    <col min="15899" max="15904" width="11.7109375" style="436" customWidth="1"/>
    <col min="15905" max="15905" width="12.85546875" style="436" bestFit="1" customWidth="1"/>
    <col min="15906" max="15909" width="13" style="436" customWidth="1"/>
    <col min="15910" max="15910" width="12.7109375" style="436" customWidth="1"/>
    <col min="15911" max="15915" width="11.7109375" style="436" customWidth="1"/>
    <col min="15916" max="15916" width="14.28515625" style="436" customWidth="1"/>
    <col min="15917" max="15917" width="11.7109375" style="436" customWidth="1"/>
    <col min="15918" max="15919" width="9.140625" style="436"/>
    <col min="15920" max="15920" width="11.7109375" style="436" customWidth="1"/>
    <col min="15921" max="15921" width="9.140625" style="436"/>
    <col min="15922" max="15922" width="9.42578125" style="436" bestFit="1" customWidth="1"/>
    <col min="15923" max="15923" width="11.5703125" style="436" bestFit="1" customWidth="1"/>
    <col min="15924" max="16128" width="9.140625" style="436"/>
    <col min="16129" max="16129" width="31" style="436" customWidth="1"/>
    <col min="16130" max="16130" width="13.28515625" style="436" customWidth="1"/>
    <col min="16131" max="16131" width="14.28515625" style="436" customWidth="1"/>
    <col min="16132" max="16132" width="15.28515625" style="436" customWidth="1"/>
    <col min="16133" max="16133" width="14.28515625" style="436" customWidth="1"/>
    <col min="16134" max="16134" width="18.140625" style="436" bestFit="1" customWidth="1"/>
    <col min="16135" max="16136" width="14.28515625" style="436" customWidth="1"/>
    <col min="16137" max="16137" width="42.5703125" style="436" customWidth="1"/>
    <col min="16138" max="16149" width="11.7109375" style="436" customWidth="1"/>
    <col min="16150" max="16152" width="12.85546875" style="436" bestFit="1" customWidth="1"/>
    <col min="16153" max="16153" width="12.42578125" style="436" bestFit="1" customWidth="1"/>
    <col min="16154" max="16154" width="13" style="436" customWidth="1"/>
    <col min="16155" max="16160" width="11.7109375" style="436" customWidth="1"/>
    <col min="16161" max="16161" width="12.85546875" style="436" bestFit="1" customWidth="1"/>
    <col min="16162" max="16165" width="13" style="436" customWidth="1"/>
    <col min="16166" max="16166" width="12.7109375" style="436" customWidth="1"/>
    <col min="16167" max="16171" width="11.7109375" style="436" customWidth="1"/>
    <col min="16172" max="16172" width="14.28515625" style="436" customWidth="1"/>
    <col min="16173" max="16173" width="11.7109375" style="436" customWidth="1"/>
    <col min="16174" max="16175" width="9.140625" style="436"/>
    <col min="16176" max="16176" width="11.7109375" style="436" customWidth="1"/>
    <col min="16177" max="16177" width="9.140625" style="436"/>
    <col min="16178" max="16178" width="9.42578125" style="436" bestFit="1" customWidth="1"/>
    <col min="16179" max="16179" width="11.5703125" style="436" bestFit="1" customWidth="1"/>
    <col min="16180" max="16384" width="9.140625" style="436"/>
  </cols>
  <sheetData>
    <row r="1" spans="1:46" x14ac:dyDescent="0.2">
      <c r="C1" s="1285"/>
      <c r="F1" s="1286" t="s">
        <v>890</v>
      </c>
      <c r="J1" s="436" t="s">
        <v>891</v>
      </c>
      <c r="K1" s="436" t="s">
        <v>892</v>
      </c>
      <c r="L1" s="436" t="s">
        <v>893</v>
      </c>
      <c r="M1" s="436" t="s">
        <v>894</v>
      </c>
      <c r="N1" s="436" t="s">
        <v>895</v>
      </c>
      <c r="O1" s="436" t="s">
        <v>896</v>
      </c>
      <c r="P1" s="436" t="s">
        <v>897</v>
      </c>
      <c r="Q1" s="436" t="s">
        <v>898</v>
      </c>
      <c r="R1" s="436" t="s">
        <v>899</v>
      </c>
      <c r="S1" s="436" t="s">
        <v>900</v>
      </c>
      <c r="T1" s="436" t="s">
        <v>901</v>
      </c>
      <c r="U1" s="436" t="s">
        <v>902</v>
      </c>
      <c r="V1" s="1287" t="s">
        <v>903</v>
      </c>
      <c r="W1" s="1287" t="s">
        <v>904</v>
      </c>
      <c r="X1" s="1287" t="s">
        <v>905</v>
      </c>
      <c r="Y1" s="1287" t="s">
        <v>906</v>
      </c>
      <c r="Z1" s="1287" t="s">
        <v>907</v>
      </c>
      <c r="AA1" s="1287" t="s">
        <v>908</v>
      </c>
      <c r="AB1" s="436" t="s">
        <v>909</v>
      </c>
      <c r="AC1" s="436" t="s">
        <v>910</v>
      </c>
      <c r="AD1" s="436" t="s">
        <v>911</v>
      </c>
      <c r="AE1" s="436" t="s">
        <v>912</v>
      </c>
      <c r="AF1" s="436" t="s">
        <v>913</v>
      </c>
      <c r="AG1" s="436" t="s">
        <v>914</v>
      </c>
      <c r="AH1" s="437" t="s">
        <v>915</v>
      </c>
      <c r="AI1" s="437" t="s">
        <v>916</v>
      </c>
      <c r="AJ1" s="437" t="s">
        <v>917</v>
      </c>
      <c r="AK1" s="437" t="s">
        <v>918</v>
      </c>
      <c r="AL1" s="437" t="s">
        <v>919</v>
      </c>
      <c r="AM1" s="437" t="s">
        <v>920</v>
      </c>
      <c r="AN1" s="436" t="s">
        <v>921</v>
      </c>
      <c r="AO1" s="436" t="s">
        <v>922</v>
      </c>
      <c r="AP1" s="436" t="s">
        <v>923</v>
      </c>
      <c r="AQ1" s="436" t="s">
        <v>924</v>
      </c>
      <c r="AR1" s="436" t="s">
        <v>925</v>
      </c>
      <c r="AS1" s="436" t="s">
        <v>926</v>
      </c>
    </row>
    <row r="2" spans="1:46" ht="13.5" thickBot="1" x14ac:dyDescent="0.25">
      <c r="B2" s="1366" t="s">
        <v>884</v>
      </c>
      <c r="C2" s="1367"/>
      <c r="D2" s="1367"/>
      <c r="F2" s="1288" t="s">
        <v>756</v>
      </c>
      <c r="J2" s="1289" t="s">
        <v>407</v>
      </c>
      <c r="K2" s="1289" t="s">
        <v>407</v>
      </c>
      <c r="L2" s="1289" t="s">
        <v>407</v>
      </c>
      <c r="M2" s="1289" t="s">
        <v>407</v>
      </c>
      <c r="N2" s="1289" t="s">
        <v>407</v>
      </c>
      <c r="O2" s="1289" t="s">
        <v>407</v>
      </c>
      <c r="P2" s="1289" t="s">
        <v>407</v>
      </c>
      <c r="Q2" s="1289" t="s">
        <v>407</v>
      </c>
      <c r="R2" s="1289" t="s">
        <v>407</v>
      </c>
      <c r="S2" s="1289" t="s">
        <v>407</v>
      </c>
      <c r="T2" s="1289" t="s">
        <v>407</v>
      </c>
      <c r="U2" s="1289" t="s">
        <v>407</v>
      </c>
      <c r="V2" s="1290" t="s">
        <v>243</v>
      </c>
      <c r="W2" s="1290" t="s">
        <v>243</v>
      </c>
      <c r="X2" s="1290" t="s">
        <v>243</v>
      </c>
      <c r="Y2" s="1290" t="s">
        <v>243</v>
      </c>
      <c r="Z2" s="1290" t="s">
        <v>243</v>
      </c>
      <c r="AA2" s="1290" t="s">
        <v>243</v>
      </c>
      <c r="AB2" s="1290" t="s">
        <v>243</v>
      </c>
      <c r="AC2" s="1290" t="s">
        <v>243</v>
      </c>
      <c r="AD2" s="1290" t="s">
        <v>243</v>
      </c>
      <c r="AE2" s="1290" t="s">
        <v>243</v>
      </c>
      <c r="AF2" s="1290" t="s">
        <v>243</v>
      </c>
      <c r="AG2" s="1290" t="s">
        <v>243</v>
      </c>
      <c r="AH2" s="1291" t="s">
        <v>723</v>
      </c>
      <c r="AI2" s="1291" t="s">
        <v>723</v>
      </c>
      <c r="AJ2" s="1291" t="s">
        <v>723</v>
      </c>
      <c r="AK2" s="1291" t="s">
        <v>723</v>
      </c>
      <c r="AL2" s="1291" t="s">
        <v>723</v>
      </c>
      <c r="AM2" s="1291" t="s">
        <v>723</v>
      </c>
      <c r="AN2" s="1291" t="s">
        <v>723</v>
      </c>
      <c r="AO2" s="1291" t="s">
        <v>723</v>
      </c>
      <c r="AP2" s="1291" t="s">
        <v>723</v>
      </c>
      <c r="AQ2" s="1291" t="s">
        <v>723</v>
      </c>
      <c r="AR2" s="1291" t="s">
        <v>723</v>
      </c>
      <c r="AS2" s="1291" t="s">
        <v>723</v>
      </c>
    </row>
    <row r="3" spans="1:46" x14ac:dyDescent="0.2">
      <c r="B3" s="1292" t="s">
        <v>681</v>
      </c>
      <c r="C3" s="1293" t="s">
        <v>724</v>
      </c>
      <c r="D3" s="1292" t="s">
        <v>244</v>
      </c>
      <c r="F3" s="1293" t="s">
        <v>724</v>
      </c>
      <c r="J3" s="1294">
        <f>+SBR!N4</f>
        <v>40909</v>
      </c>
      <c r="K3" s="1294">
        <f>+SBR!O4</f>
        <v>40940</v>
      </c>
      <c r="L3" s="1294">
        <f>+SBR!P4</f>
        <v>40969</v>
      </c>
      <c r="M3" s="1294">
        <f>+SBR!Q4</f>
        <v>40634</v>
      </c>
      <c r="N3" s="1294">
        <f>+SBR!R4</f>
        <v>40664</v>
      </c>
      <c r="O3" s="1294">
        <f>+SBR!S4</f>
        <v>40695</v>
      </c>
      <c r="P3" s="1294">
        <f>+SBR!T4</f>
        <v>40725</v>
      </c>
      <c r="Q3" s="1294">
        <f>+SBR!U4</f>
        <v>40756</v>
      </c>
      <c r="R3" s="1294">
        <f>+SBR!V4</f>
        <v>40787</v>
      </c>
      <c r="S3" s="1294">
        <f>+SBR!W4</f>
        <v>40817</v>
      </c>
      <c r="T3" s="1294">
        <f>+SBR!X4</f>
        <v>40848</v>
      </c>
      <c r="U3" s="1294">
        <f>+SBR!Y4</f>
        <v>40878</v>
      </c>
      <c r="V3" s="1294">
        <f>+SBR!Z4</f>
        <v>40909</v>
      </c>
      <c r="W3" s="1294">
        <f>+SBR!AA4</f>
        <v>40940</v>
      </c>
      <c r="X3" s="1294">
        <f>+SBR!AB4</f>
        <v>40969</v>
      </c>
      <c r="Y3" s="1294">
        <f>+SBR!AC4</f>
        <v>40634</v>
      </c>
      <c r="Z3" s="1294">
        <f>+SBR!AD4</f>
        <v>40664</v>
      </c>
      <c r="AA3" s="1294">
        <f>+SBR!AE4</f>
        <v>40695</v>
      </c>
      <c r="AB3" s="1294">
        <f>+SBR!AF4</f>
        <v>40725</v>
      </c>
      <c r="AC3" s="1294">
        <f>+SBR!AG4</f>
        <v>40756</v>
      </c>
      <c r="AD3" s="1294">
        <f>+SBR!AH4</f>
        <v>40787</v>
      </c>
      <c r="AE3" s="1294">
        <f>+SBR!AI4</f>
        <v>40817</v>
      </c>
      <c r="AF3" s="1294">
        <f>+SBR!AJ4</f>
        <v>40848</v>
      </c>
      <c r="AG3" s="1294">
        <f>+SBR!AK4</f>
        <v>40878</v>
      </c>
      <c r="AH3" s="1294">
        <f>+SBR!AL4</f>
        <v>40909</v>
      </c>
      <c r="AI3" s="1294">
        <f>+SBR!AM4</f>
        <v>40940</v>
      </c>
      <c r="AJ3" s="1294">
        <f>+SBR!AN4</f>
        <v>40969</v>
      </c>
      <c r="AK3" s="1294">
        <f>+SBR!AO4</f>
        <v>40634</v>
      </c>
      <c r="AL3" s="1294">
        <f>+SBR!AP4</f>
        <v>40664</v>
      </c>
      <c r="AM3" s="1294">
        <f>+SBR!AQ4</f>
        <v>40695</v>
      </c>
      <c r="AN3" s="1294">
        <f>+SBR!AR4</f>
        <v>40725</v>
      </c>
      <c r="AO3" s="1294">
        <f>+SBR!AS4</f>
        <v>40756</v>
      </c>
      <c r="AP3" s="1294">
        <f>+SBR!AT4</f>
        <v>40787</v>
      </c>
      <c r="AQ3" s="1294">
        <f>+SBR!AU4</f>
        <v>40817</v>
      </c>
      <c r="AR3" s="1294">
        <f>+SBR!AV4</f>
        <v>40848</v>
      </c>
      <c r="AS3" s="1294">
        <f>+SBR!AW4</f>
        <v>40878</v>
      </c>
    </row>
    <row r="4" spans="1:46" x14ac:dyDescent="0.2">
      <c r="F4" s="1295" t="s">
        <v>725</v>
      </c>
    </row>
    <row r="5" spans="1:46" x14ac:dyDescent="0.2">
      <c r="A5" s="436" t="s">
        <v>614</v>
      </c>
      <c r="B5" s="1296">
        <f>SUM(J5:U5)</f>
        <v>3492362</v>
      </c>
      <c r="C5" s="1297">
        <f>SUM(V5:AG5)</f>
        <v>17455190.600000001</v>
      </c>
      <c r="D5" s="1298">
        <f ca="1">SUM(AH5:AS5)</f>
        <v>182088844.44</v>
      </c>
      <c r="F5" s="1299">
        <f>SUM(V5:X5,AF5:AG5)</f>
        <v>12577843.5</v>
      </c>
      <c r="I5" s="436" t="s">
        <v>614</v>
      </c>
      <c r="J5" s="438">
        <f>+SBR!N11</f>
        <v>293808</v>
      </c>
      <c r="K5" s="438">
        <f>+SBR!O11</f>
        <v>291711</v>
      </c>
      <c r="L5" s="438">
        <f>+SBR!P11</f>
        <v>292094</v>
      </c>
      <c r="M5" s="438">
        <f>+SBR!Q11</f>
        <v>291768</v>
      </c>
      <c r="N5" s="438">
        <f>+SBR!R11</f>
        <v>291149</v>
      </c>
      <c r="O5" s="438">
        <f>+SBR!S11</f>
        <v>291181</v>
      </c>
      <c r="P5" s="438">
        <f>+SBR!T11</f>
        <v>290107</v>
      </c>
      <c r="Q5" s="438">
        <f>+SBR!U11</f>
        <v>291137</v>
      </c>
      <c r="R5" s="438">
        <f>+SBR!V11</f>
        <v>290586</v>
      </c>
      <c r="S5" s="438">
        <f>+SBR!W11</f>
        <v>290078</v>
      </c>
      <c r="T5" s="438">
        <f>+SBR!X11</f>
        <v>286991</v>
      </c>
      <c r="U5" s="438">
        <f>+SBR!Y11</f>
        <v>291752</v>
      </c>
      <c r="V5" s="1300">
        <f>+SBR!Z11</f>
        <v>3446763.6</v>
      </c>
      <c r="W5" s="1300">
        <f>+SBR!AA11</f>
        <v>3295503.0000000005</v>
      </c>
      <c r="X5" s="1300">
        <f>+SBR!AB11</f>
        <v>2236711.2000000002</v>
      </c>
      <c r="Y5" s="1300">
        <f>+SBR!AC11</f>
        <v>1762080.2</v>
      </c>
      <c r="Z5" s="1300">
        <f>+SBR!AD11</f>
        <v>862298.9</v>
      </c>
      <c r="AA5" s="1300">
        <f>+SBR!AE11</f>
        <v>543316.6</v>
      </c>
      <c r="AB5" s="1300">
        <f>+SBR!AF11</f>
        <v>383825.40000000008</v>
      </c>
      <c r="AC5" s="1300">
        <f>+SBR!AG11</f>
        <v>359063.60000000003</v>
      </c>
      <c r="AD5" s="1300">
        <f>+SBR!AH11</f>
        <v>392299.60000000003</v>
      </c>
      <c r="AE5" s="1300">
        <f>+SBR!AI11</f>
        <v>574462.79999999993</v>
      </c>
      <c r="AF5" s="1300">
        <f>+SBR!AJ11</f>
        <v>1298500.6000000001</v>
      </c>
      <c r="AG5" s="1300">
        <f>+SBR!AK11</f>
        <v>2300365.1000000006</v>
      </c>
      <c r="AH5" s="422">
        <f ca="1">+SBR!AL11+SBR!AZ11</f>
        <v>31337883.759999998</v>
      </c>
      <c r="AI5" s="422">
        <f ca="1">+SBR!AM11+SBR!BA11</f>
        <v>29172042.530000001</v>
      </c>
      <c r="AJ5" s="422">
        <f ca="1">+SBR!AN11+SBR!BB11</f>
        <v>21142316.09</v>
      </c>
      <c r="AK5" s="422">
        <f ca="1">+SBR!AO11+SBR!BC11</f>
        <v>17811302</v>
      </c>
      <c r="AL5" s="422">
        <f ca="1">+SBR!AP11+SBR!BD11</f>
        <v>10403786.279999999</v>
      </c>
      <c r="AM5" s="422">
        <f ca="1">+SBR!AQ11+SBR!BE11</f>
        <v>8008121.6200000001</v>
      </c>
      <c r="AN5" s="422">
        <f ca="1">+SBR!AR11+SBR!BF11</f>
        <v>6711588.75</v>
      </c>
      <c r="AO5" s="422">
        <f ca="1">+SBR!AS11+SBR!BG11</f>
        <v>6524062.0999999996</v>
      </c>
      <c r="AP5" s="422">
        <f ca="1">+SBR!AT11+SBR!BH11</f>
        <v>6782972.5499999998</v>
      </c>
      <c r="AQ5" s="422">
        <f ca="1">+SBR!AU11+SBR!BI11</f>
        <v>8240766.5599999996</v>
      </c>
      <c r="AR5" s="422">
        <f ca="1">+SBR!AV11+SBR!BJ11</f>
        <v>13909098.159999998</v>
      </c>
      <c r="AS5" s="422">
        <f ca="1">+SBR!AW11+SBR!BK11</f>
        <v>22044904.040000003</v>
      </c>
    </row>
    <row r="6" spans="1:46" x14ac:dyDescent="0.2">
      <c r="A6" s="1301" t="s">
        <v>615</v>
      </c>
      <c r="B6" s="437">
        <f>SUM(B5:B5)</f>
        <v>3492362</v>
      </c>
      <c r="C6" s="1287">
        <f>SUM(C5:C5)</f>
        <v>17455190.600000001</v>
      </c>
      <c r="D6" s="437">
        <f ca="1">SUM(D5:D5)</f>
        <v>182088844.44</v>
      </c>
      <c r="E6" s="435">
        <f ca="1">+D6</f>
        <v>182088844.44</v>
      </c>
      <c r="F6" s="1299">
        <f>SUM(V6:X6,AF6:AG6)</f>
        <v>12577843.5</v>
      </c>
      <c r="I6" s="1301" t="s">
        <v>726</v>
      </c>
      <c r="J6" s="437">
        <f t="shared" ref="J6:AS6" si="0">SUM(J5:J5)</f>
        <v>293808</v>
      </c>
      <c r="K6" s="437">
        <f t="shared" si="0"/>
        <v>291711</v>
      </c>
      <c r="L6" s="437">
        <f t="shared" si="0"/>
        <v>292094</v>
      </c>
      <c r="M6" s="437">
        <f t="shared" si="0"/>
        <v>291768</v>
      </c>
      <c r="N6" s="437">
        <f t="shared" si="0"/>
        <v>291149</v>
      </c>
      <c r="O6" s="437">
        <f t="shared" si="0"/>
        <v>291181</v>
      </c>
      <c r="P6" s="437">
        <f t="shared" si="0"/>
        <v>290107</v>
      </c>
      <c r="Q6" s="437">
        <f t="shared" si="0"/>
        <v>291137</v>
      </c>
      <c r="R6" s="437">
        <f t="shared" si="0"/>
        <v>290586</v>
      </c>
      <c r="S6" s="437">
        <f t="shared" si="0"/>
        <v>290078</v>
      </c>
      <c r="T6" s="437">
        <f t="shared" si="0"/>
        <v>286991</v>
      </c>
      <c r="U6" s="437">
        <f t="shared" si="0"/>
        <v>291752</v>
      </c>
      <c r="V6" s="1287">
        <f t="shared" si="0"/>
        <v>3446763.6</v>
      </c>
      <c r="W6" s="1287">
        <f t="shared" si="0"/>
        <v>3295503.0000000005</v>
      </c>
      <c r="X6" s="1287">
        <f t="shared" si="0"/>
        <v>2236711.2000000002</v>
      </c>
      <c r="Y6" s="1287">
        <f t="shared" si="0"/>
        <v>1762080.2</v>
      </c>
      <c r="Z6" s="1287">
        <f t="shared" si="0"/>
        <v>862298.9</v>
      </c>
      <c r="AA6" s="1287">
        <f t="shared" si="0"/>
        <v>543316.6</v>
      </c>
      <c r="AB6" s="1287">
        <f t="shared" si="0"/>
        <v>383825.40000000008</v>
      </c>
      <c r="AC6" s="1287">
        <f t="shared" si="0"/>
        <v>359063.60000000003</v>
      </c>
      <c r="AD6" s="1287">
        <f t="shared" si="0"/>
        <v>392299.60000000003</v>
      </c>
      <c r="AE6" s="1287">
        <f t="shared" si="0"/>
        <v>574462.79999999993</v>
      </c>
      <c r="AF6" s="1287">
        <f t="shared" si="0"/>
        <v>1298500.6000000001</v>
      </c>
      <c r="AG6" s="1287">
        <f t="shared" si="0"/>
        <v>2300365.1000000006</v>
      </c>
      <c r="AH6" s="437">
        <f t="shared" ca="1" si="0"/>
        <v>31337883.759999998</v>
      </c>
      <c r="AI6" s="437">
        <f t="shared" ca="1" si="0"/>
        <v>29172042.530000001</v>
      </c>
      <c r="AJ6" s="437">
        <f t="shared" ca="1" si="0"/>
        <v>21142316.09</v>
      </c>
      <c r="AK6" s="437">
        <f t="shared" ca="1" si="0"/>
        <v>17811302</v>
      </c>
      <c r="AL6" s="437">
        <f t="shared" ca="1" si="0"/>
        <v>10403786.279999999</v>
      </c>
      <c r="AM6" s="437">
        <f t="shared" ca="1" si="0"/>
        <v>8008121.6200000001</v>
      </c>
      <c r="AN6" s="437">
        <f t="shared" ca="1" si="0"/>
        <v>6711588.75</v>
      </c>
      <c r="AO6" s="437">
        <f t="shared" ca="1" si="0"/>
        <v>6524062.0999999996</v>
      </c>
      <c r="AP6" s="437">
        <f t="shared" ca="1" si="0"/>
        <v>6782972.5499999998</v>
      </c>
      <c r="AQ6" s="437">
        <f t="shared" ca="1" si="0"/>
        <v>8240766.5599999996</v>
      </c>
      <c r="AR6" s="437">
        <f t="shared" ca="1" si="0"/>
        <v>13909098.159999998</v>
      </c>
      <c r="AS6" s="437">
        <f t="shared" ca="1" si="0"/>
        <v>22044904.040000003</v>
      </c>
    </row>
    <row r="7" spans="1:46" x14ac:dyDescent="0.2">
      <c r="AB7" s="1287"/>
      <c r="AC7" s="1287"/>
      <c r="AD7" s="1287"/>
      <c r="AE7" s="1287"/>
      <c r="AF7" s="1287"/>
      <c r="AG7" s="1287"/>
      <c r="AN7" s="437"/>
      <c r="AO7" s="437"/>
    </row>
    <row r="8" spans="1:46" x14ac:dyDescent="0.2">
      <c r="A8" s="436" t="s">
        <v>616</v>
      </c>
      <c r="B8" s="435">
        <f>SUM(J8:U8)</f>
        <v>308581</v>
      </c>
      <c r="C8" s="1299">
        <f>SUM(V8:AG8)</f>
        <v>8841535.9000000004</v>
      </c>
      <c r="D8" s="437">
        <f ca="1">SUM(AH8:AS8)</f>
        <v>75069270.25</v>
      </c>
      <c r="F8" s="1299">
        <f>SUM(V8:X8,AF8:AG8)</f>
        <v>5929063.6000000006</v>
      </c>
      <c r="I8" s="436" t="s">
        <v>616</v>
      </c>
      <c r="J8" s="437">
        <f>SUM(SBR!N13:N16)</f>
        <v>26396</v>
      </c>
      <c r="K8" s="437">
        <f>SUM(SBR!O13:O16)</f>
        <v>25978</v>
      </c>
      <c r="L8" s="437">
        <f>SUM(SBR!P13:P16)</f>
        <v>25873</v>
      </c>
      <c r="M8" s="437">
        <f>SUM(SBR!Q13:Q16)</f>
        <v>25790</v>
      </c>
      <c r="N8" s="437">
        <f>SUM(SBR!R13:R16)</f>
        <v>25613</v>
      </c>
      <c r="O8" s="437">
        <f>SUM(SBR!S13:S16)</f>
        <v>25654</v>
      </c>
      <c r="P8" s="437">
        <f>SUM(SBR!T13:T16)</f>
        <v>24945</v>
      </c>
      <c r="Q8" s="437">
        <f>SUM(SBR!U13:U16)</f>
        <v>26320</v>
      </c>
      <c r="R8" s="437">
        <f>SUM(SBR!V13:V16)</f>
        <v>25637</v>
      </c>
      <c r="S8" s="437">
        <f>SUM(SBR!W13:W16)</f>
        <v>25406</v>
      </c>
      <c r="T8" s="437">
        <f>SUM(SBR!X13:X16)</f>
        <v>24877</v>
      </c>
      <c r="U8" s="437">
        <f>SUM(SBR!Y13:Y16)</f>
        <v>26092</v>
      </c>
      <c r="V8" s="1302">
        <f>SUM(SBR!Z13:Z16)</f>
        <v>1623418.7000000002</v>
      </c>
      <c r="W8" s="1302">
        <f>SUM(SBR!AA13:AA16)</f>
        <v>1518711.9000000001</v>
      </c>
      <c r="X8" s="1302">
        <f>SUM(SBR!AB13:AB16)</f>
        <v>1117891.5000000002</v>
      </c>
      <c r="Y8" s="1302">
        <f>SUM(SBR!AC13:AC16)</f>
        <v>874906.00000000012</v>
      </c>
      <c r="Z8" s="1302">
        <f>SUM(SBR!AD13:AD16)</f>
        <v>479075.30000000005</v>
      </c>
      <c r="AA8" s="1302">
        <f>SUM(SBR!AE13:AE16)</f>
        <v>340059.5</v>
      </c>
      <c r="AB8" s="1302">
        <f>SUM(SBR!AF13:AF16)</f>
        <v>274235.5</v>
      </c>
      <c r="AC8" s="1302">
        <f>SUM(SBR!AG13:AG16)</f>
        <v>261870.6</v>
      </c>
      <c r="AD8" s="1302">
        <f>SUM(SBR!AH13:AH16)</f>
        <v>308241.99999999994</v>
      </c>
      <c r="AE8" s="1302">
        <f>SUM(SBR!AI13:AI16)</f>
        <v>374083.4</v>
      </c>
      <c r="AF8" s="1302">
        <f>SUM(SBR!AJ13:AJ16)</f>
        <v>591326.50000000012</v>
      </c>
      <c r="AG8" s="1302">
        <f>SUM(SBR!AK13:AK16)</f>
        <v>1077715</v>
      </c>
      <c r="AH8" s="1303">
        <f ca="1">SUM(SBR!AL13:AL16)+SBR!AZ17</f>
        <v>12833182.040000001</v>
      </c>
      <c r="AI8" s="1303">
        <f ca="1">SUM(SBR!AM13:AM16)+SBR!BA17</f>
        <v>11674788.339999998</v>
      </c>
      <c r="AJ8" s="1303">
        <f ca="1">SUM(SBR!AN13:AN16)+SBR!BB17</f>
        <v>8865496.2200000007</v>
      </c>
      <c r="AK8" s="1303">
        <f ca="1">SUM(SBR!AO13:AO16)+SBR!BC17</f>
        <v>7258018.7799999993</v>
      </c>
      <c r="AL8" s="1303">
        <f ca="1">SUM(SBR!AP13:AP16)+SBR!BD17</f>
        <v>4333930.05</v>
      </c>
      <c r="AM8" s="1303">
        <f ca="1">SUM(SBR!AQ13:AQ16)+SBR!BE17</f>
        <v>3410610.4600000004</v>
      </c>
      <c r="AN8" s="1303">
        <f ca="1">SUM(SBR!AR13:AR16)+SBR!BF17</f>
        <v>2905840.12</v>
      </c>
      <c r="AO8" s="1303">
        <f ca="1">SUM(SBR!AS13:AS16)+SBR!BG17</f>
        <v>2861722.1799999997</v>
      </c>
      <c r="AP8" s="1303">
        <f ca="1">SUM(SBR!AT13:AT16)+SBR!BH17</f>
        <v>3169719.89</v>
      </c>
      <c r="AQ8" s="1303">
        <f ca="1">SUM(SBR!AU13:AU16)+SBR!BI17</f>
        <v>3640181.1</v>
      </c>
      <c r="AR8" s="1303">
        <f ca="1">SUM(SBR!AV13:AV16)+SBR!BJ17</f>
        <v>5261705.6899999995</v>
      </c>
      <c r="AS8" s="1303">
        <f ca="1">SUM(SBR!AW13:AW16)+SBR!BK17</f>
        <v>8854075.3800000008</v>
      </c>
    </row>
    <row r="9" spans="1:46" x14ac:dyDescent="0.2">
      <c r="A9" s="436" t="s">
        <v>617</v>
      </c>
      <c r="B9" s="1296">
        <f>SUM(J9:U9)</f>
        <v>7</v>
      </c>
      <c r="C9" s="1297">
        <f>SUM(V9:AG9)</f>
        <v>0</v>
      </c>
      <c r="D9" s="438">
        <f>SUM(AH9:AS9)</f>
        <v>1071</v>
      </c>
      <c r="F9" s="1299">
        <f>SUM(V9:X9,AF9:AG9)</f>
        <v>0</v>
      </c>
      <c r="I9" s="436" t="s">
        <v>727</v>
      </c>
      <c r="J9" s="438">
        <f>+SBR!N52</f>
        <v>0</v>
      </c>
      <c r="K9" s="438">
        <f>+SBR!O52</f>
        <v>0</v>
      </c>
      <c r="L9" s="438">
        <f>+SBR!P52</f>
        <v>0</v>
      </c>
      <c r="M9" s="438">
        <f>+SBR!Q52</f>
        <v>1</v>
      </c>
      <c r="N9" s="438">
        <f>+SBR!R52</f>
        <v>1</v>
      </c>
      <c r="O9" s="438">
        <f>+SBR!S52</f>
        <v>1</v>
      </c>
      <c r="P9" s="438">
        <f>+SBR!T52</f>
        <v>2</v>
      </c>
      <c r="Q9" s="438">
        <f>+SBR!U52</f>
        <v>0</v>
      </c>
      <c r="R9" s="438">
        <f>+SBR!V52</f>
        <v>1</v>
      </c>
      <c r="S9" s="438">
        <f>+SBR!W52</f>
        <v>1</v>
      </c>
      <c r="T9" s="438">
        <f>+SBR!X52</f>
        <v>0</v>
      </c>
      <c r="U9" s="438">
        <f>+SBR!Y52</f>
        <v>0</v>
      </c>
      <c r="V9" s="438">
        <f>+SBR!Z52</f>
        <v>0</v>
      </c>
      <c r="W9" s="438">
        <f>+SBR!AA52</f>
        <v>0</v>
      </c>
      <c r="X9" s="438">
        <f>+SBR!AB52</f>
        <v>0</v>
      </c>
      <c r="Y9" s="438">
        <f>+SBR!AC52</f>
        <v>0</v>
      </c>
      <c r="Z9" s="438">
        <f>+SBR!AD52</f>
        <v>0</v>
      </c>
      <c r="AA9" s="438">
        <f>+SBR!AE52</f>
        <v>0</v>
      </c>
      <c r="AB9" s="438">
        <f>+SBR!AF52</f>
        <v>0</v>
      </c>
      <c r="AC9" s="438">
        <f>+SBR!AG52</f>
        <v>0</v>
      </c>
      <c r="AD9" s="438">
        <f>+SBR!AH52</f>
        <v>0</v>
      </c>
      <c r="AE9" s="438">
        <f>+SBR!AI52</f>
        <v>0</v>
      </c>
      <c r="AF9" s="438">
        <f>+SBR!AJ52</f>
        <v>0</v>
      </c>
      <c r="AG9" s="438">
        <f>+SBR!AK52</f>
        <v>0</v>
      </c>
      <c r="AH9" s="422">
        <f>+SBR!AL52</f>
        <v>0</v>
      </c>
      <c r="AI9" s="422">
        <f>+SBR!AM52</f>
        <v>0</v>
      </c>
      <c r="AJ9" s="422">
        <f>+SBR!AN52</f>
        <v>0</v>
      </c>
      <c r="AK9" s="422">
        <f>+SBR!AO52</f>
        <v>153</v>
      </c>
      <c r="AL9" s="422">
        <f>+SBR!AP52</f>
        <v>153</v>
      </c>
      <c r="AM9" s="422">
        <f>+SBR!AQ52</f>
        <v>153</v>
      </c>
      <c r="AN9" s="422">
        <f>+SBR!AR52</f>
        <v>306</v>
      </c>
      <c r="AO9" s="422">
        <f>+SBR!AS52</f>
        <v>0</v>
      </c>
      <c r="AP9" s="422">
        <f>+SBR!AT52</f>
        <v>153</v>
      </c>
      <c r="AQ9" s="422">
        <f>+SBR!AU52</f>
        <v>153</v>
      </c>
      <c r="AR9" s="422">
        <f>+SBR!AV52</f>
        <v>0</v>
      </c>
      <c r="AS9" s="422">
        <f>+SBR!AW52</f>
        <v>0</v>
      </c>
      <c r="AT9" s="435"/>
    </row>
    <row r="10" spans="1:46" x14ac:dyDescent="0.2">
      <c r="A10" s="1301" t="s">
        <v>618</v>
      </c>
      <c r="B10" s="435">
        <f>SUM(B8:B9)</f>
        <v>308588</v>
      </c>
      <c r="C10" s="1299">
        <f>SUM(C8:C9)</f>
        <v>8841535.9000000004</v>
      </c>
      <c r="D10" s="435">
        <f ca="1">SUM(D8:D9)</f>
        <v>75070341.25</v>
      </c>
      <c r="F10" s="1299">
        <f>SUM(V10:X10,AF10:AG10)</f>
        <v>5929063.6000000006</v>
      </c>
      <c r="I10" s="1301" t="s">
        <v>728</v>
      </c>
      <c r="J10" s="437">
        <f t="shared" ref="J10:AS10" si="1">SUM(J8:J9)</f>
        <v>26396</v>
      </c>
      <c r="K10" s="437">
        <f t="shared" si="1"/>
        <v>25978</v>
      </c>
      <c r="L10" s="437">
        <f t="shared" si="1"/>
        <v>25873</v>
      </c>
      <c r="M10" s="437">
        <f t="shared" si="1"/>
        <v>25791</v>
      </c>
      <c r="N10" s="437">
        <f t="shared" si="1"/>
        <v>25614</v>
      </c>
      <c r="O10" s="437">
        <f t="shared" si="1"/>
        <v>25655</v>
      </c>
      <c r="P10" s="437">
        <f t="shared" si="1"/>
        <v>24947</v>
      </c>
      <c r="Q10" s="437">
        <f t="shared" si="1"/>
        <v>26320</v>
      </c>
      <c r="R10" s="437">
        <f t="shared" si="1"/>
        <v>25638</v>
      </c>
      <c r="S10" s="437">
        <f t="shared" si="1"/>
        <v>25407</v>
      </c>
      <c r="T10" s="437">
        <f t="shared" si="1"/>
        <v>24877</v>
      </c>
      <c r="U10" s="437">
        <f t="shared" si="1"/>
        <v>26092</v>
      </c>
      <c r="V10" s="1287">
        <f t="shared" si="1"/>
        <v>1623418.7000000002</v>
      </c>
      <c r="W10" s="1287">
        <f t="shared" si="1"/>
        <v>1518711.9000000001</v>
      </c>
      <c r="X10" s="1287">
        <f t="shared" si="1"/>
        <v>1117891.5000000002</v>
      </c>
      <c r="Y10" s="1287">
        <f t="shared" si="1"/>
        <v>874906.00000000012</v>
      </c>
      <c r="Z10" s="1287">
        <f t="shared" si="1"/>
        <v>479075.30000000005</v>
      </c>
      <c r="AA10" s="1287">
        <f t="shared" si="1"/>
        <v>340059.5</v>
      </c>
      <c r="AB10" s="1287">
        <f t="shared" si="1"/>
        <v>274235.5</v>
      </c>
      <c r="AC10" s="1287">
        <f t="shared" si="1"/>
        <v>261870.6</v>
      </c>
      <c r="AD10" s="1287">
        <f t="shared" si="1"/>
        <v>308241.99999999994</v>
      </c>
      <c r="AE10" s="1287">
        <f t="shared" si="1"/>
        <v>374083.4</v>
      </c>
      <c r="AF10" s="1287">
        <f t="shared" si="1"/>
        <v>591326.50000000012</v>
      </c>
      <c r="AG10" s="1287">
        <f t="shared" si="1"/>
        <v>1077715</v>
      </c>
      <c r="AH10" s="437">
        <f t="shared" ca="1" si="1"/>
        <v>12833182.040000001</v>
      </c>
      <c r="AI10" s="437">
        <f t="shared" ca="1" si="1"/>
        <v>11674788.339999998</v>
      </c>
      <c r="AJ10" s="437">
        <f t="shared" ca="1" si="1"/>
        <v>8865496.2200000007</v>
      </c>
      <c r="AK10" s="437">
        <f t="shared" ca="1" si="1"/>
        <v>7258171.7799999993</v>
      </c>
      <c r="AL10" s="437">
        <f t="shared" ca="1" si="1"/>
        <v>4334083.05</v>
      </c>
      <c r="AM10" s="437">
        <f t="shared" ca="1" si="1"/>
        <v>3410763.4600000004</v>
      </c>
      <c r="AN10" s="437">
        <f t="shared" ca="1" si="1"/>
        <v>2906146.12</v>
      </c>
      <c r="AO10" s="437">
        <f t="shared" ca="1" si="1"/>
        <v>2861722.1799999997</v>
      </c>
      <c r="AP10" s="437">
        <f t="shared" ca="1" si="1"/>
        <v>3169872.89</v>
      </c>
      <c r="AQ10" s="437">
        <f t="shared" ca="1" si="1"/>
        <v>3640334.1</v>
      </c>
      <c r="AR10" s="437">
        <f t="shared" ca="1" si="1"/>
        <v>5261705.6899999995</v>
      </c>
      <c r="AS10" s="437">
        <f t="shared" ca="1" si="1"/>
        <v>8854075.3800000008</v>
      </c>
    </row>
    <row r="11" spans="1:46" x14ac:dyDescent="0.2">
      <c r="AB11" s="1287"/>
      <c r="AC11" s="1287"/>
      <c r="AD11" s="1287"/>
      <c r="AE11" s="1287"/>
      <c r="AF11" s="1287"/>
      <c r="AG11" s="1287"/>
      <c r="AN11" s="437"/>
      <c r="AO11" s="437"/>
    </row>
    <row r="12" spans="1:46" x14ac:dyDescent="0.2">
      <c r="A12" s="436" t="s">
        <v>619</v>
      </c>
      <c r="B12" s="435">
        <f>SUM(J12:U12)</f>
        <v>2587</v>
      </c>
      <c r="C12" s="1299">
        <f>SUM(V12:AG12)</f>
        <v>792351.40000000014</v>
      </c>
      <c r="D12" s="437">
        <f ca="1">SUM(AH12:AS12)</f>
        <v>5773806.3900000006</v>
      </c>
      <c r="I12" s="436" t="s">
        <v>619</v>
      </c>
      <c r="J12" s="437">
        <f>SUM(SBR!N19:N20)</f>
        <v>225</v>
      </c>
      <c r="K12" s="437">
        <f>SUM(SBR!O19:O20)</f>
        <v>210</v>
      </c>
      <c r="L12" s="437">
        <f>SUM(SBR!P19:P20)</f>
        <v>216</v>
      </c>
      <c r="M12" s="437">
        <f>SUM(SBR!Q19:Q20)</f>
        <v>205</v>
      </c>
      <c r="N12" s="437">
        <f>SUM(SBR!R19:R20)</f>
        <v>219</v>
      </c>
      <c r="O12" s="437">
        <f>SUM(SBR!S19:S20)</f>
        <v>213</v>
      </c>
      <c r="P12" s="437">
        <f>SUM(SBR!T19:T20)</f>
        <v>207</v>
      </c>
      <c r="Q12" s="437">
        <f>SUM(SBR!U19:U20)</f>
        <v>235</v>
      </c>
      <c r="R12" s="437">
        <f>SUM(SBR!V19:V20)</f>
        <v>216</v>
      </c>
      <c r="S12" s="437">
        <f>SUM(SBR!W19:W20)</f>
        <v>218</v>
      </c>
      <c r="T12" s="437">
        <f>SUM(SBR!X19:X20)</f>
        <v>220</v>
      </c>
      <c r="U12" s="437">
        <f>SUM(SBR!Y19:Y20)</f>
        <v>203</v>
      </c>
      <c r="V12" s="437">
        <f>SUM(SBR!Z19:Z20)</f>
        <v>111408.6</v>
      </c>
      <c r="W12" s="437">
        <f>SUM(SBR!AA19:AA20)</f>
        <v>108489.40000000001</v>
      </c>
      <c r="X12" s="437">
        <f>SUM(SBR!AB19:AB20)</f>
        <v>83171.300000000017</v>
      </c>
      <c r="Y12" s="437">
        <f>SUM(SBR!AC19:AC20)</f>
        <v>70165.7</v>
      </c>
      <c r="Z12" s="437">
        <f>SUM(SBR!AD19:AD20)</f>
        <v>48308.900000000009</v>
      </c>
      <c r="AA12" s="437">
        <f>SUM(SBR!AE19:AE20)</f>
        <v>53785.5</v>
      </c>
      <c r="AB12" s="437">
        <f>SUM(SBR!AF19:AF20)</f>
        <v>34294.799999999996</v>
      </c>
      <c r="AC12" s="437">
        <f>SUM(SBR!AG19:AG20)</f>
        <v>44391.700000000004</v>
      </c>
      <c r="AD12" s="437">
        <f>SUM(SBR!AH19:AH20)</f>
        <v>43054.8</v>
      </c>
      <c r="AE12" s="437">
        <f>SUM(SBR!AI19:AI20)</f>
        <v>51816.200000000004</v>
      </c>
      <c r="AF12" s="437">
        <f>SUM(SBR!AJ19:AJ20)</f>
        <v>63520.3</v>
      </c>
      <c r="AG12" s="437">
        <f>SUM(SBR!AK19:AK20)</f>
        <v>79944.200000000012</v>
      </c>
      <c r="AH12" s="1303">
        <f ca="1">SUM(SBR!AL19:AL20)+SBR!AZ22</f>
        <v>808328.3899999999</v>
      </c>
      <c r="AI12" s="1303">
        <f ca="1">SUM(SBR!AM19:AM20)+SBR!BA22</f>
        <v>758736.8</v>
      </c>
      <c r="AJ12" s="1303">
        <f ca="1">SUM(SBR!AN19:AN20)+SBR!BB22</f>
        <v>572959.6399999999</v>
      </c>
      <c r="AK12" s="1303">
        <f ca="1">SUM(SBR!AO19:AO20)+SBR!BC22</f>
        <v>496627.35000000003</v>
      </c>
      <c r="AL12" s="1303">
        <f ca="1">SUM(SBR!AP19:AP20)+SBR!BD22</f>
        <v>357157.67000000004</v>
      </c>
      <c r="AM12" s="1303">
        <f ca="1">SUM(SBR!AQ19:AQ20)+SBR!BE22</f>
        <v>401722.49</v>
      </c>
      <c r="AN12" s="1303">
        <f ca="1">SUM(SBR!AR19:AR20)+SBR!BF22</f>
        <v>263414.07999999996</v>
      </c>
      <c r="AO12" s="1303">
        <f ca="1">SUM(SBR!AS19:AS20)+SBR!BG22</f>
        <v>336786.78</v>
      </c>
      <c r="AP12" s="1303">
        <f ca="1">SUM(SBR!AT19:AT20)+SBR!BH22</f>
        <v>325290.21000000002</v>
      </c>
      <c r="AQ12" s="1303">
        <f ca="1">SUM(SBR!AU19:AU20)+SBR!BI22</f>
        <v>387936.89</v>
      </c>
      <c r="AR12" s="1303">
        <f ca="1">SUM(SBR!AV19:AV20)+SBR!BJ22</f>
        <v>480709.27</v>
      </c>
      <c r="AS12" s="1303">
        <f ca="1">SUM(SBR!AW19:AW20)+SBR!BK22</f>
        <v>584136.81999999995</v>
      </c>
      <c r="AT12" s="437"/>
    </row>
    <row r="13" spans="1:46" x14ac:dyDescent="0.2">
      <c r="A13" s="436" t="s">
        <v>620</v>
      </c>
      <c r="B13" s="1296">
        <f>SUM(J13:U13)</f>
        <v>24</v>
      </c>
      <c r="C13" s="1297">
        <f>SUM(V13:AG13)</f>
        <v>49413</v>
      </c>
      <c r="D13" s="438">
        <f>SUM(AH13:AS13)</f>
        <v>127383.83</v>
      </c>
      <c r="I13" s="436" t="s">
        <v>729</v>
      </c>
      <c r="J13" s="438">
        <f>+SBR!N53</f>
        <v>2</v>
      </c>
      <c r="K13" s="438">
        <f>+SBR!O53</f>
        <v>2</v>
      </c>
      <c r="L13" s="438">
        <f>+SBR!P53</f>
        <v>2</v>
      </c>
      <c r="M13" s="438">
        <f>+SBR!Q53</f>
        <v>2</v>
      </c>
      <c r="N13" s="438">
        <f>+SBR!R53</f>
        <v>2</v>
      </c>
      <c r="O13" s="438">
        <f>+SBR!S53</f>
        <v>2</v>
      </c>
      <c r="P13" s="438">
        <f>+SBR!T53</f>
        <v>2</v>
      </c>
      <c r="Q13" s="438">
        <f>+SBR!U53</f>
        <v>2</v>
      </c>
      <c r="R13" s="438">
        <f>+SBR!V53</f>
        <v>2</v>
      </c>
      <c r="S13" s="438">
        <f>+SBR!W53</f>
        <v>2</v>
      </c>
      <c r="T13" s="438">
        <f>+SBR!X53</f>
        <v>2</v>
      </c>
      <c r="U13" s="438">
        <f>+SBR!Y53</f>
        <v>2</v>
      </c>
      <c r="V13" s="1300">
        <f>+SBR!Z53</f>
        <v>2302</v>
      </c>
      <c r="W13" s="1300">
        <f>+SBR!AA53</f>
        <v>3728.3</v>
      </c>
      <c r="X13" s="1300">
        <f>+SBR!AB53</f>
        <v>5635</v>
      </c>
      <c r="Y13" s="1300">
        <f>+SBR!AC53</f>
        <v>2291.1999999999998</v>
      </c>
      <c r="Z13" s="1300">
        <f>+SBR!AD53</f>
        <v>1861.7</v>
      </c>
      <c r="AA13" s="1300">
        <f>+SBR!AE53</f>
        <v>5942.3</v>
      </c>
      <c r="AB13" s="1300">
        <f>+SBR!AF53</f>
        <v>5418.2</v>
      </c>
      <c r="AC13" s="1300">
        <f>+SBR!AG53</f>
        <v>3492.8</v>
      </c>
      <c r="AD13" s="1300">
        <f>+SBR!AH53</f>
        <v>4489.3</v>
      </c>
      <c r="AE13" s="1300">
        <f>+SBR!AI53</f>
        <v>4603</v>
      </c>
      <c r="AF13" s="1300">
        <f>+SBR!AJ53</f>
        <v>6032</v>
      </c>
      <c r="AG13" s="1300">
        <f>+SBR!AK53</f>
        <v>3617.2</v>
      </c>
      <c r="AH13" s="438">
        <f>+SBR!AL53</f>
        <v>6578.72</v>
      </c>
      <c r="AI13" s="438">
        <f>+SBR!AM53</f>
        <v>10762.81</v>
      </c>
      <c r="AJ13" s="438">
        <f>+SBR!AN53</f>
        <v>15849.029999999999</v>
      </c>
      <c r="AK13" s="438">
        <f>+SBR!AO53</f>
        <v>5444.9500000000007</v>
      </c>
      <c r="AL13" s="438">
        <f>+SBR!AP53</f>
        <v>4858.03</v>
      </c>
      <c r="AM13" s="438">
        <f>+SBR!AQ53</f>
        <v>14223.53</v>
      </c>
      <c r="AN13" s="438">
        <f>+SBR!AR53</f>
        <v>12783.88</v>
      </c>
      <c r="AO13" s="438">
        <f>+SBR!AS53</f>
        <v>8373.57</v>
      </c>
      <c r="AP13" s="438">
        <f>+SBR!AT53</f>
        <v>10643.849999999999</v>
      </c>
      <c r="AQ13" s="438">
        <f>+SBR!AU53</f>
        <v>10903.15</v>
      </c>
      <c r="AR13" s="438">
        <f>+SBR!AV53</f>
        <v>16799.79</v>
      </c>
      <c r="AS13" s="438">
        <f>+SBR!AW53</f>
        <v>10162.52</v>
      </c>
      <c r="AT13" s="435"/>
    </row>
    <row r="14" spans="1:46" x14ac:dyDescent="0.2">
      <c r="A14" s="1301" t="s">
        <v>621</v>
      </c>
      <c r="B14" s="437">
        <f>SUM(B12:B13)</f>
        <v>2611</v>
      </c>
      <c r="C14" s="1287">
        <f>SUM(C12:C13)</f>
        <v>841764.40000000014</v>
      </c>
      <c r="D14" s="437">
        <f ca="1">SUM(D12:D13)</f>
        <v>5901190.2200000007</v>
      </c>
      <c r="F14" s="1299">
        <f>SUM(V14:X14,AF14:AG14)</f>
        <v>467848.30000000005</v>
      </c>
      <c r="I14" s="1301" t="s">
        <v>730</v>
      </c>
      <c r="J14" s="437">
        <f t="shared" ref="J14:AS14" si="2">SUM(J12:J13)</f>
        <v>227</v>
      </c>
      <c r="K14" s="437">
        <f t="shared" si="2"/>
        <v>212</v>
      </c>
      <c r="L14" s="437">
        <f t="shared" si="2"/>
        <v>218</v>
      </c>
      <c r="M14" s="437">
        <f t="shared" si="2"/>
        <v>207</v>
      </c>
      <c r="N14" s="437">
        <f t="shared" si="2"/>
        <v>221</v>
      </c>
      <c r="O14" s="437">
        <f t="shared" si="2"/>
        <v>215</v>
      </c>
      <c r="P14" s="437">
        <f t="shared" si="2"/>
        <v>209</v>
      </c>
      <c r="Q14" s="437">
        <f t="shared" si="2"/>
        <v>237</v>
      </c>
      <c r="R14" s="437">
        <f t="shared" si="2"/>
        <v>218</v>
      </c>
      <c r="S14" s="437">
        <f t="shared" si="2"/>
        <v>220</v>
      </c>
      <c r="T14" s="437">
        <f t="shared" si="2"/>
        <v>222</v>
      </c>
      <c r="U14" s="437">
        <f t="shared" si="2"/>
        <v>205</v>
      </c>
      <c r="V14" s="1287">
        <f t="shared" si="2"/>
        <v>113710.6</v>
      </c>
      <c r="W14" s="1287">
        <f t="shared" si="2"/>
        <v>112217.70000000001</v>
      </c>
      <c r="X14" s="1287">
        <f t="shared" si="2"/>
        <v>88806.300000000017</v>
      </c>
      <c r="Y14" s="1287">
        <f t="shared" si="2"/>
        <v>72456.899999999994</v>
      </c>
      <c r="Z14" s="1287">
        <f t="shared" si="2"/>
        <v>50170.600000000006</v>
      </c>
      <c r="AA14" s="1287">
        <f t="shared" si="2"/>
        <v>59727.8</v>
      </c>
      <c r="AB14" s="1287">
        <f t="shared" si="2"/>
        <v>39712.999999999993</v>
      </c>
      <c r="AC14" s="1287">
        <f t="shared" si="2"/>
        <v>47884.500000000007</v>
      </c>
      <c r="AD14" s="1287">
        <f t="shared" si="2"/>
        <v>47544.100000000006</v>
      </c>
      <c r="AE14" s="1287">
        <f t="shared" si="2"/>
        <v>56419.200000000004</v>
      </c>
      <c r="AF14" s="1287">
        <f t="shared" si="2"/>
        <v>69552.3</v>
      </c>
      <c r="AG14" s="1287">
        <f t="shared" si="2"/>
        <v>83561.400000000009</v>
      </c>
      <c r="AH14" s="437">
        <f t="shared" ca="1" si="2"/>
        <v>814907.10999999987</v>
      </c>
      <c r="AI14" s="437">
        <f t="shared" ca="1" si="2"/>
        <v>769499.6100000001</v>
      </c>
      <c r="AJ14" s="437">
        <f t="shared" ca="1" si="2"/>
        <v>588808.66999999993</v>
      </c>
      <c r="AK14" s="437">
        <f t="shared" ca="1" si="2"/>
        <v>502072.30000000005</v>
      </c>
      <c r="AL14" s="437">
        <f t="shared" ca="1" si="2"/>
        <v>362015.70000000007</v>
      </c>
      <c r="AM14" s="437">
        <f t="shared" ca="1" si="2"/>
        <v>415946.02</v>
      </c>
      <c r="AN14" s="437">
        <f t="shared" ca="1" si="2"/>
        <v>276197.95999999996</v>
      </c>
      <c r="AO14" s="437">
        <f t="shared" ca="1" si="2"/>
        <v>345160.35000000003</v>
      </c>
      <c r="AP14" s="437">
        <f t="shared" ca="1" si="2"/>
        <v>335934.06</v>
      </c>
      <c r="AQ14" s="437">
        <f t="shared" ca="1" si="2"/>
        <v>398840.04000000004</v>
      </c>
      <c r="AR14" s="437">
        <f t="shared" ca="1" si="2"/>
        <v>497509.06</v>
      </c>
      <c r="AS14" s="437">
        <f t="shared" ca="1" si="2"/>
        <v>594299.34</v>
      </c>
    </row>
    <row r="15" spans="1:46" x14ac:dyDescent="0.2">
      <c r="AB15" s="1287"/>
      <c r="AC15" s="1287"/>
      <c r="AD15" s="1287"/>
      <c r="AE15" s="1287"/>
      <c r="AF15" s="1287"/>
      <c r="AG15" s="1287"/>
      <c r="AN15" s="437"/>
      <c r="AO15" s="437"/>
    </row>
    <row r="16" spans="1:46" x14ac:dyDescent="0.2">
      <c r="A16" s="436" t="s">
        <v>731</v>
      </c>
      <c r="B16" s="435">
        <f>SUM(J16:U16)</f>
        <v>52</v>
      </c>
      <c r="C16" s="1299">
        <f>SUM(V16:AG16)</f>
        <v>146923</v>
      </c>
      <c r="D16" s="437">
        <f ca="1">SUM(AH16:AS16)</f>
        <v>882486.78</v>
      </c>
      <c r="I16" s="436" t="s">
        <v>731</v>
      </c>
      <c r="J16" s="1304">
        <f>+SBR!N24</f>
        <v>4</v>
      </c>
      <c r="K16" s="1304">
        <f>+SBR!O24</f>
        <v>5</v>
      </c>
      <c r="L16" s="1304">
        <f>+SBR!P24</f>
        <v>5</v>
      </c>
      <c r="M16" s="1304">
        <f>+SBR!Q24</f>
        <v>-3</v>
      </c>
      <c r="N16" s="1304">
        <f>+SBR!R24</f>
        <v>4</v>
      </c>
      <c r="O16" s="1304">
        <f>+SBR!S24</f>
        <v>6</v>
      </c>
      <c r="P16" s="1304">
        <f>+SBR!T24</f>
        <v>4</v>
      </c>
      <c r="Q16" s="1304">
        <f>+SBR!U24</f>
        <v>6</v>
      </c>
      <c r="R16" s="1304">
        <f>+SBR!V24</f>
        <v>5</v>
      </c>
      <c r="S16" s="1304">
        <f>+SBR!W24</f>
        <v>5</v>
      </c>
      <c r="T16" s="1304">
        <f>+SBR!X24</f>
        <v>9</v>
      </c>
      <c r="U16" s="1304">
        <f>+SBR!Y24</f>
        <v>2</v>
      </c>
      <c r="V16" s="1302">
        <f>+SBR!Z24</f>
        <v>10391.6</v>
      </c>
      <c r="W16" s="1302">
        <f>+SBR!AA24</f>
        <v>13126.1</v>
      </c>
      <c r="X16" s="1302">
        <f>+SBR!AB24</f>
        <v>10435.6</v>
      </c>
      <c r="Y16" s="1302">
        <f>+SBR!AC24</f>
        <v>10020.800000000001</v>
      </c>
      <c r="Z16" s="1302">
        <f>+SBR!AD24</f>
        <v>2952.7000000000003</v>
      </c>
      <c r="AA16" s="1302">
        <f>+SBR!AE24</f>
        <v>14450.7</v>
      </c>
      <c r="AB16" s="1302">
        <f>+SBR!AF24</f>
        <v>6021.4000000000005</v>
      </c>
      <c r="AC16" s="1302">
        <f>+SBR!AG24</f>
        <v>7444</v>
      </c>
      <c r="AD16" s="1302">
        <f>+SBR!AH24</f>
        <v>8788</v>
      </c>
      <c r="AE16" s="1302">
        <f>+SBR!AI24</f>
        <v>8859.5</v>
      </c>
      <c r="AF16" s="1302">
        <f>+SBR!AJ24</f>
        <v>43244.5</v>
      </c>
      <c r="AG16" s="1302">
        <f>+SBR!AK24</f>
        <v>11188.1</v>
      </c>
      <c r="AH16" s="315">
        <f ca="1">+SBR!AL24+SBR!AZ24</f>
        <v>60312.94</v>
      </c>
      <c r="AI16" s="315">
        <f ca="1">+SBR!AM24+SBR!BA24</f>
        <v>72932.08</v>
      </c>
      <c r="AJ16" s="315">
        <f ca="1">+SBR!AN24+SBR!BB24</f>
        <v>56465.57</v>
      </c>
      <c r="AK16" s="315">
        <f ca="1">+SBR!AO24+SBR!BC24</f>
        <v>57461.41</v>
      </c>
      <c r="AL16" s="315">
        <f ca="1">+SBR!AP24+SBR!BD24</f>
        <v>18570.27</v>
      </c>
      <c r="AM16" s="315">
        <f ca="1">+SBR!AQ24+SBR!BE24</f>
        <v>90179.01</v>
      </c>
      <c r="AN16" s="315">
        <f ca="1">+SBR!AR24+SBR!BF24</f>
        <v>38126.19</v>
      </c>
      <c r="AO16" s="315">
        <f ca="1">+SBR!AS24+SBR!BG24</f>
        <v>47379.59</v>
      </c>
      <c r="AP16" s="315">
        <f ca="1">+SBR!AT24+SBR!BH24</f>
        <v>55331.57</v>
      </c>
      <c r="AQ16" s="315">
        <f ca="1">+SBR!AU24+SBR!BI24</f>
        <v>55770.55</v>
      </c>
      <c r="AR16" s="315">
        <f ca="1">+SBR!AV24+SBR!BJ24</f>
        <v>265231.28000000003</v>
      </c>
      <c r="AS16" s="315">
        <f ca="1">+SBR!AW24+SBR!BK24</f>
        <v>64726.32</v>
      </c>
    </row>
    <row r="17" spans="1:46" x14ac:dyDescent="0.2">
      <c r="A17" s="436" t="s">
        <v>732</v>
      </c>
      <c r="B17" s="1296">
        <f>SUM(J17:U17)</f>
        <v>112</v>
      </c>
      <c r="C17" s="1297">
        <f>SUM(V17:AG17)</f>
        <v>197037.90000000002</v>
      </c>
      <c r="D17" s="438">
        <f ca="1">SUM(AH17:AS17)</f>
        <v>1175518.1299999999</v>
      </c>
      <c r="I17" s="436" t="s">
        <v>732</v>
      </c>
      <c r="J17" s="438">
        <f>+SBR!N25</f>
        <v>9</v>
      </c>
      <c r="K17" s="438">
        <f>+SBR!O25</f>
        <v>9</v>
      </c>
      <c r="L17" s="438">
        <f>+SBR!P25</f>
        <v>9</v>
      </c>
      <c r="M17" s="438">
        <f>+SBR!Q25</f>
        <v>8</v>
      </c>
      <c r="N17" s="438">
        <f>+SBR!R25</f>
        <v>7</v>
      </c>
      <c r="O17" s="438">
        <f>+SBR!S25</f>
        <v>11</v>
      </c>
      <c r="P17" s="438">
        <f>+SBR!T25</f>
        <v>9</v>
      </c>
      <c r="Q17" s="438">
        <f>+SBR!U25</f>
        <v>10</v>
      </c>
      <c r="R17" s="438">
        <f>+SBR!V25</f>
        <v>8</v>
      </c>
      <c r="S17" s="438">
        <f>+SBR!W25</f>
        <v>9</v>
      </c>
      <c r="T17" s="438">
        <f>+SBR!X25</f>
        <v>8</v>
      </c>
      <c r="U17" s="438">
        <f>+SBR!Y25</f>
        <v>15</v>
      </c>
      <c r="V17" s="1300">
        <f>+SBR!Z25</f>
        <v>18735.3</v>
      </c>
      <c r="W17" s="1300">
        <f>+SBR!AA25</f>
        <v>18686.100000000002</v>
      </c>
      <c r="X17" s="1300">
        <f>+SBR!AB25</f>
        <v>18984</v>
      </c>
      <c r="Y17" s="1300">
        <f>+SBR!AC25</f>
        <v>17257</v>
      </c>
      <c r="Z17" s="1300">
        <f>+SBR!AD25</f>
        <v>21756.2</v>
      </c>
      <c r="AA17" s="1300">
        <f>+SBR!AE25</f>
        <v>17096.100000000002</v>
      </c>
      <c r="AB17" s="1300">
        <f>+SBR!AF25</f>
        <v>11512.800000000001</v>
      </c>
      <c r="AC17" s="1300">
        <f>+SBR!AG25</f>
        <v>10114.700000000001</v>
      </c>
      <c r="AD17" s="1300">
        <f>+SBR!AH25</f>
        <v>6254.2000000000007</v>
      </c>
      <c r="AE17" s="1300">
        <f>+SBR!AI25</f>
        <v>16796.8</v>
      </c>
      <c r="AF17" s="1300">
        <f>+SBR!AJ25</f>
        <v>13851.5</v>
      </c>
      <c r="AG17" s="1300">
        <f>+SBR!AK25</f>
        <v>25993.200000000001</v>
      </c>
      <c r="AH17" s="438">
        <f ca="1">+SBR!AL25+SBR!AZ25</f>
        <v>108992.68</v>
      </c>
      <c r="AI17" s="438">
        <f ca="1">+SBR!AM25+SBR!BA25</f>
        <v>102496.48</v>
      </c>
      <c r="AJ17" s="438">
        <f ca="1">+SBR!AN25+SBR!BB25</f>
        <v>102473.22</v>
      </c>
      <c r="AK17" s="438">
        <f ca="1">+SBR!AO25+SBR!BC25</f>
        <v>102242.28</v>
      </c>
      <c r="AL17" s="438">
        <f ca="1">+SBR!AP25+SBR!BD25</f>
        <v>133226.72</v>
      </c>
      <c r="AM17" s="438">
        <f ca="1">+SBR!AQ25+SBR!BE25</f>
        <v>107662.34</v>
      </c>
      <c r="AN17" s="438">
        <f ca="1">+SBR!AR25+SBR!BF25</f>
        <v>73157.84</v>
      </c>
      <c r="AO17" s="438">
        <f ca="1">+SBR!AS25+SBR!BG25</f>
        <v>64791.23</v>
      </c>
      <c r="AP17" s="438">
        <f ca="1">+SBR!AT25+SBR!BH25</f>
        <v>40539.51</v>
      </c>
      <c r="AQ17" s="438">
        <f ca="1">+SBR!AU25+SBR!BI25</f>
        <v>105442.74</v>
      </c>
      <c r="AR17" s="438">
        <f ca="1">+SBR!AV25+SBR!BJ25</f>
        <v>82466.63</v>
      </c>
      <c r="AS17" s="438">
        <f ca="1">+SBR!AW25+SBR!BK25</f>
        <v>152026.46</v>
      </c>
    </row>
    <row r="18" spans="1:46" x14ac:dyDescent="0.2">
      <c r="A18" s="1301" t="s">
        <v>623</v>
      </c>
      <c r="B18" s="435">
        <f>SUM(J18:U18)</f>
        <v>164</v>
      </c>
      <c r="C18" s="1299">
        <f>SUM(V18:AG18)</f>
        <v>343960.9</v>
      </c>
      <c r="D18" s="437">
        <f ca="1">SUM(AH18:AS18)</f>
        <v>2058004.91</v>
      </c>
      <c r="F18" s="1299">
        <f>SUM(V18:X18,AF18:AG18)</f>
        <v>184636</v>
      </c>
      <c r="G18" s="1299"/>
      <c r="I18" s="1301" t="s">
        <v>733</v>
      </c>
      <c r="J18" s="437">
        <f t="shared" ref="J18:AS18" si="3">SUM(J16:J17)</f>
        <v>13</v>
      </c>
      <c r="K18" s="437">
        <f t="shared" si="3"/>
        <v>14</v>
      </c>
      <c r="L18" s="437">
        <f t="shared" si="3"/>
        <v>14</v>
      </c>
      <c r="M18" s="437">
        <f t="shared" si="3"/>
        <v>5</v>
      </c>
      <c r="N18" s="437">
        <f t="shared" si="3"/>
        <v>11</v>
      </c>
      <c r="O18" s="437">
        <f t="shared" si="3"/>
        <v>17</v>
      </c>
      <c r="P18" s="437">
        <f t="shared" si="3"/>
        <v>13</v>
      </c>
      <c r="Q18" s="437">
        <f t="shared" si="3"/>
        <v>16</v>
      </c>
      <c r="R18" s="437">
        <f t="shared" si="3"/>
        <v>13</v>
      </c>
      <c r="S18" s="437">
        <f t="shared" si="3"/>
        <v>14</v>
      </c>
      <c r="T18" s="437">
        <f t="shared" si="3"/>
        <v>17</v>
      </c>
      <c r="U18" s="437">
        <f t="shared" si="3"/>
        <v>17</v>
      </c>
      <c r="V18" s="1287">
        <f t="shared" si="3"/>
        <v>29126.9</v>
      </c>
      <c r="W18" s="1287">
        <f t="shared" si="3"/>
        <v>31812.200000000004</v>
      </c>
      <c r="X18" s="1287">
        <f t="shared" si="3"/>
        <v>29419.599999999999</v>
      </c>
      <c r="Y18" s="1287">
        <f t="shared" si="3"/>
        <v>27277.800000000003</v>
      </c>
      <c r="Z18" s="1287">
        <f t="shared" si="3"/>
        <v>24708.9</v>
      </c>
      <c r="AA18" s="1287">
        <f t="shared" si="3"/>
        <v>31546.800000000003</v>
      </c>
      <c r="AB18" s="1287">
        <f t="shared" si="3"/>
        <v>17534.2</v>
      </c>
      <c r="AC18" s="1287">
        <f t="shared" si="3"/>
        <v>17558.7</v>
      </c>
      <c r="AD18" s="1287">
        <f t="shared" si="3"/>
        <v>15042.2</v>
      </c>
      <c r="AE18" s="1287">
        <f t="shared" si="3"/>
        <v>25656.3</v>
      </c>
      <c r="AF18" s="1287">
        <f t="shared" si="3"/>
        <v>57096</v>
      </c>
      <c r="AG18" s="1287">
        <f t="shared" si="3"/>
        <v>37181.300000000003</v>
      </c>
      <c r="AH18" s="437">
        <f t="shared" ca="1" si="3"/>
        <v>169305.62</v>
      </c>
      <c r="AI18" s="437">
        <f t="shared" ca="1" si="3"/>
        <v>175428.56</v>
      </c>
      <c r="AJ18" s="437">
        <f t="shared" ca="1" si="3"/>
        <v>158938.79</v>
      </c>
      <c r="AK18" s="437">
        <f t="shared" ca="1" si="3"/>
        <v>159703.69</v>
      </c>
      <c r="AL18" s="437">
        <f t="shared" ca="1" si="3"/>
        <v>151796.99</v>
      </c>
      <c r="AM18" s="437">
        <f t="shared" ca="1" si="3"/>
        <v>197841.34999999998</v>
      </c>
      <c r="AN18" s="437">
        <f t="shared" ca="1" si="3"/>
        <v>111284.03</v>
      </c>
      <c r="AO18" s="437">
        <f t="shared" ca="1" si="3"/>
        <v>112170.82</v>
      </c>
      <c r="AP18" s="437">
        <f t="shared" ca="1" si="3"/>
        <v>95871.08</v>
      </c>
      <c r="AQ18" s="437">
        <f t="shared" ca="1" si="3"/>
        <v>161213.29</v>
      </c>
      <c r="AR18" s="437">
        <f t="shared" ca="1" si="3"/>
        <v>347697.91000000003</v>
      </c>
      <c r="AS18" s="437">
        <f t="shared" ca="1" si="3"/>
        <v>216752.78</v>
      </c>
    </row>
    <row r="19" spans="1:46" x14ac:dyDescent="0.2">
      <c r="AB19" s="1287"/>
      <c r="AC19" s="1287"/>
      <c r="AD19" s="1287"/>
      <c r="AN19" s="437"/>
      <c r="AO19" s="437"/>
    </row>
    <row r="20" spans="1:46" x14ac:dyDescent="0.2">
      <c r="A20" s="436" t="s">
        <v>734</v>
      </c>
      <c r="B20" s="435">
        <f t="shared" ref="B20:B27" si="4">SUM(J20:U20)</f>
        <v>0</v>
      </c>
      <c r="C20" s="1299">
        <f t="shared" ref="C20:C27" si="5">SUM(V20:AG20)</f>
        <v>0</v>
      </c>
      <c r="D20" s="437">
        <f t="shared" ref="D20:D27" si="6">SUM(AH20:AS20)</f>
        <v>0</v>
      </c>
      <c r="I20" s="436" t="s">
        <v>734</v>
      </c>
      <c r="J20" s="437"/>
      <c r="K20" s="437"/>
      <c r="L20" s="437"/>
      <c r="M20" s="437"/>
      <c r="N20" s="437"/>
      <c r="O20" s="437"/>
      <c r="P20" s="437"/>
      <c r="Q20" s="437"/>
      <c r="R20" s="437"/>
      <c r="S20" s="437"/>
      <c r="T20" s="437"/>
      <c r="U20" s="437"/>
      <c r="AB20" s="1287"/>
      <c r="AC20" s="1287"/>
      <c r="AD20" s="1287"/>
      <c r="AE20" s="1287"/>
      <c r="AF20" s="1287"/>
      <c r="AG20" s="1287"/>
      <c r="AN20" s="437"/>
      <c r="AO20" s="437"/>
      <c r="AP20" s="437"/>
      <c r="AQ20" s="437"/>
      <c r="AR20" s="437"/>
      <c r="AS20" s="437"/>
    </row>
    <row r="21" spans="1:46" x14ac:dyDescent="0.2">
      <c r="A21" s="436" t="s">
        <v>735</v>
      </c>
      <c r="B21" s="435">
        <f t="shared" si="4"/>
        <v>0</v>
      </c>
      <c r="C21" s="1299">
        <f t="shared" si="5"/>
        <v>14105.999999999998</v>
      </c>
      <c r="D21" s="437">
        <f t="shared" si="6"/>
        <v>373901.61999999994</v>
      </c>
      <c r="I21" s="436" t="s">
        <v>736</v>
      </c>
      <c r="J21" s="437">
        <f>+SBR!N21</f>
        <v>0</v>
      </c>
      <c r="K21" s="437">
        <f>+SBR!O21</f>
        <v>0</v>
      </c>
      <c r="L21" s="437">
        <f>+SBR!P21</f>
        <v>0</v>
      </c>
      <c r="M21" s="437">
        <f>+SBR!Q21</f>
        <v>0</v>
      </c>
      <c r="N21" s="437">
        <f>+SBR!R21</f>
        <v>0</v>
      </c>
      <c r="O21" s="437">
        <f>+SBR!S21</f>
        <v>0</v>
      </c>
      <c r="P21" s="437">
        <f>+SBR!T21</f>
        <v>0</v>
      </c>
      <c r="Q21" s="437">
        <f>+SBR!U21</f>
        <v>0</v>
      </c>
      <c r="R21" s="437">
        <f>+SBR!V21</f>
        <v>0</v>
      </c>
      <c r="S21" s="437">
        <f>+SBR!W21</f>
        <v>0</v>
      </c>
      <c r="T21" s="437">
        <f>+SBR!X21</f>
        <v>0</v>
      </c>
      <c r="U21" s="437">
        <f>+SBR!Y21</f>
        <v>0</v>
      </c>
      <c r="V21" s="1287">
        <f>+SBR!Z21</f>
        <v>361</v>
      </c>
      <c r="W21" s="1287">
        <f>+SBR!AA21</f>
        <v>9732</v>
      </c>
      <c r="X21" s="1287">
        <f>+SBR!AB21</f>
        <v>0</v>
      </c>
      <c r="Y21" s="1287">
        <f>+SBR!AC21</f>
        <v>80.7</v>
      </c>
      <c r="Z21" s="1287">
        <f>+SBR!AD21</f>
        <v>653.9</v>
      </c>
      <c r="AA21" s="1287">
        <f>+SBR!AE21</f>
        <v>24.5</v>
      </c>
      <c r="AB21" s="1287">
        <f>+SBR!AF21</f>
        <v>45.3</v>
      </c>
      <c r="AC21" s="1287">
        <f>+SBR!AG21</f>
        <v>0</v>
      </c>
      <c r="AD21" s="1287">
        <f>+SBR!AH21</f>
        <v>21.4</v>
      </c>
      <c r="AE21" s="1287">
        <f>+SBR!AI21</f>
        <v>289.39999999999998</v>
      </c>
      <c r="AF21" s="1287">
        <f>+SBR!AJ21</f>
        <v>2229.2999999999997</v>
      </c>
      <c r="AG21" s="1287">
        <f>+SBR!AK21</f>
        <v>668.5</v>
      </c>
      <c r="AH21" s="315">
        <f>+SBR!AL21</f>
        <v>35617.29</v>
      </c>
      <c r="AI21" s="315">
        <f>+SBR!AM21</f>
        <v>1072.79</v>
      </c>
      <c r="AJ21" s="315">
        <f>+SBR!AN21</f>
        <v>2776.7</v>
      </c>
      <c r="AK21" s="315">
        <f>+SBR!AO21</f>
        <v>53923.12</v>
      </c>
      <c r="AL21" s="315">
        <f>+SBR!AP21</f>
        <v>27513.640000000003</v>
      </c>
      <c r="AM21" s="315">
        <f>+SBR!AQ21</f>
        <v>4256.4799999999996</v>
      </c>
      <c r="AN21" s="315">
        <f>+SBR!AR21</f>
        <v>36399.850000000006</v>
      </c>
      <c r="AO21" s="315">
        <f>+SBR!AS21</f>
        <v>59556.34</v>
      </c>
      <c r="AP21" s="315">
        <f>+SBR!AT21</f>
        <v>2412.2400000000002</v>
      </c>
      <c r="AQ21" s="315">
        <f>+SBR!AU21</f>
        <v>42309.630000000005</v>
      </c>
      <c r="AR21" s="315">
        <f>+SBR!AV21</f>
        <v>69749.55</v>
      </c>
      <c r="AS21" s="315">
        <f>+SBR!AW21</f>
        <v>38313.99</v>
      </c>
    </row>
    <row r="22" spans="1:46" x14ac:dyDescent="0.2">
      <c r="A22" s="436" t="s">
        <v>737</v>
      </c>
      <c r="B22" s="435">
        <f t="shared" si="4"/>
        <v>0</v>
      </c>
      <c r="C22" s="1299">
        <f t="shared" si="5"/>
        <v>14105.999999999998</v>
      </c>
      <c r="D22" s="437">
        <f t="shared" si="6"/>
        <v>373901.61999999994</v>
      </c>
      <c r="I22" s="436" t="s">
        <v>738</v>
      </c>
      <c r="J22" s="437">
        <f t="shared" ref="J22:AS22" si="7">SUM(J20:J21)</f>
        <v>0</v>
      </c>
      <c r="K22" s="437">
        <f t="shared" si="7"/>
        <v>0</v>
      </c>
      <c r="L22" s="437">
        <f t="shared" si="7"/>
        <v>0</v>
      </c>
      <c r="M22" s="437">
        <f t="shared" si="7"/>
        <v>0</v>
      </c>
      <c r="N22" s="437">
        <f t="shared" si="7"/>
        <v>0</v>
      </c>
      <c r="O22" s="437">
        <f t="shared" si="7"/>
        <v>0</v>
      </c>
      <c r="P22" s="437">
        <f t="shared" si="7"/>
        <v>0</v>
      </c>
      <c r="Q22" s="437">
        <f t="shared" si="7"/>
        <v>0</v>
      </c>
      <c r="R22" s="437">
        <f t="shared" si="7"/>
        <v>0</v>
      </c>
      <c r="S22" s="437">
        <f t="shared" si="7"/>
        <v>0</v>
      </c>
      <c r="T22" s="437">
        <f t="shared" si="7"/>
        <v>0</v>
      </c>
      <c r="U22" s="437">
        <f t="shared" si="7"/>
        <v>0</v>
      </c>
      <c r="V22" s="1287">
        <f t="shared" si="7"/>
        <v>361</v>
      </c>
      <c r="W22" s="1287">
        <f t="shared" si="7"/>
        <v>9732</v>
      </c>
      <c r="X22" s="1287">
        <f t="shared" si="7"/>
        <v>0</v>
      </c>
      <c r="Y22" s="1287">
        <f t="shared" si="7"/>
        <v>80.7</v>
      </c>
      <c r="Z22" s="1287">
        <f t="shared" si="7"/>
        <v>653.9</v>
      </c>
      <c r="AA22" s="1287">
        <f t="shared" si="7"/>
        <v>24.5</v>
      </c>
      <c r="AB22" s="1287">
        <f t="shared" si="7"/>
        <v>45.3</v>
      </c>
      <c r="AC22" s="1287">
        <f t="shared" si="7"/>
        <v>0</v>
      </c>
      <c r="AD22" s="1287">
        <f t="shared" si="7"/>
        <v>21.4</v>
      </c>
      <c r="AE22" s="1287">
        <f t="shared" si="7"/>
        <v>289.39999999999998</v>
      </c>
      <c r="AF22" s="1287">
        <f t="shared" si="7"/>
        <v>2229.2999999999997</v>
      </c>
      <c r="AG22" s="1287">
        <f t="shared" si="7"/>
        <v>668.5</v>
      </c>
      <c r="AH22" s="437">
        <f t="shared" si="7"/>
        <v>35617.29</v>
      </c>
      <c r="AI22" s="437">
        <f t="shared" si="7"/>
        <v>1072.79</v>
      </c>
      <c r="AJ22" s="437">
        <f t="shared" si="7"/>
        <v>2776.7</v>
      </c>
      <c r="AK22" s="437">
        <f t="shared" si="7"/>
        <v>53923.12</v>
      </c>
      <c r="AL22" s="437">
        <f t="shared" si="7"/>
        <v>27513.640000000003</v>
      </c>
      <c r="AM22" s="437">
        <f t="shared" si="7"/>
        <v>4256.4799999999996</v>
      </c>
      <c r="AN22" s="437">
        <f t="shared" si="7"/>
        <v>36399.850000000006</v>
      </c>
      <c r="AO22" s="437">
        <f t="shared" si="7"/>
        <v>59556.34</v>
      </c>
      <c r="AP22" s="437">
        <f t="shared" si="7"/>
        <v>2412.2400000000002</v>
      </c>
      <c r="AQ22" s="437">
        <f t="shared" si="7"/>
        <v>42309.630000000005</v>
      </c>
      <c r="AR22" s="437">
        <f t="shared" si="7"/>
        <v>69749.55</v>
      </c>
      <c r="AS22" s="437">
        <f t="shared" si="7"/>
        <v>38313.99</v>
      </c>
    </row>
    <row r="23" spans="1:46" x14ac:dyDescent="0.2">
      <c r="A23" s="436" t="s">
        <v>739</v>
      </c>
      <c r="B23" s="435">
        <f t="shared" si="4"/>
        <v>144</v>
      </c>
      <c r="C23" s="1299">
        <f t="shared" si="5"/>
        <v>709654.79999999993</v>
      </c>
      <c r="D23" s="437">
        <f t="shared" si="6"/>
        <v>347225.77999999997</v>
      </c>
      <c r="I23" s="436" t="s">
        <v>739</v>
      </c>
      <c r="J23" s="437">
        <f>+SBR!N58</f>
        <v>12</v>
      </c>
      <c r="K23" s="437">
        <f>+SBR!O58</f>
        <v>12</v>
      </c>
      <c r="L23" s="437">
        <f>+SBR!P58</f>
        <v>12</v>
      </c>
      <c r="M23" s="437">
        <f>+SBR!Q58</f>
        <v>12</v>
      </c>
      <c r="N23" s="437">
        <f>+SBR!R58</f>
        <v>12</v>
      </c>
      <c r="O23" s="437">
        <f>+SBR!S58</f>
        <v>12</v>
      </c>
      <c r="P23" s="437">
        <f>+SBR!T58</f>
        <v>12</v>
      </c>
      <c r="Q23" s="437">
        <f>+SBR!U58</f>
        <v>12</v>
      </c>
      <c r="R23" s="437">
        <f>+SBR!V58</f>
        <v>11</v>
      </c>
      <c r="S23" s="437">
        <f>+SBR!W58</f>
        <v>13</v>
      </c>
      <c r="T23" s="437">
        <f>+SBR!X58</f>
        <v>11</v>
      </c>
      <c r="U23" s="437">
        <f>+SBR!Y58</f>
        <v>13</v>
      </c>
      <c r="V23" s="1287">
        <f>+SBR!Z58</f>
        <v>87075.5</v>
      </c>
      <c r="W23" s="1287">
        <f>+SBR!AA58</f>
        <v>70875.600000000006</v>
      </c>
      <c r="X23" s="1287">
        <f>+SBR!AB58</f>
        <v>57055.599999999991</v>
      </c>
      <c r="Y23" s="1287">
        <f>+SBR!AC58</f>
        <v>59275.8</v>
      </c>
      <c r="Z23" s="1287">
        <f>+SBR!AD58</f>
        <v>53924.9</v>
      </c>
      <c r="AA23" s="1287">
        <f>+SBR!AE58</f>
        <v>43310.6</v>
      </c>
      <c r="AB23" s="1287">
        <f>+SBR!AF58</f>
        <v>39485.800000000003</v>
      </c>
      <c r="AC23" s="1287">
        <f>+SBR!AG58</f>
        <v>43129.3</v>
      </c>
      <c r="AD23" s="1287">
        <f>+SBR!AH58</f>
        <v>45391.8</v>
      </c>
      <c r="AE23" s="1287">
        <f>+SBR!AI58</f>
        <v>62241.3</v>
      </c>
      <c r="AF23" s="1287">
        <f>+SBR!AJ58</f>
        <v>65508.7</v>
      </c>
      <c r="AG23" s="1287">
        <f>+SBR!AK58</f>
        <v>82379.899999999994</v>
      </c>
      <c r="AH23" s="437">
        <f>+SBR!AL58</f>
        <v>41313.530000000006</v>
      </c>
      <c r="AI23" s="437">
        <f>+SBR!AM58</f>
        <v>34695.229999999996</v>
      </c>
      <c r="AJ23" s="437">
        <f>+SBR!AN58</f>
        <v>28224.080000000002</v>
      </c>
      <c r="AK23" s="437">
        <f>+SBR!AO58</f>
        <v>28821.439999999999</v>
      </c>
      <c r="AL23" s="437">
        <f>+SBR!AP58</f>
        <v>26597.94</v>
      </c>
      <c r="AM23" s="437">
        <f>+SBR!AQ58</f>
        <v>21815.65</v>
      </c>
      <c r="AN23" s="437">
        <f>+SBR!AR58</f>
        <v>20191.280000000002</v>
      </c>
      <c r="AO23" s="437">
        <f>+SBR!AS58</f>
        <v>21741.68</v>
      </c>
      <c r="AP23" s="437">
        <f>+SBR!AT58</f>
        <v>22513.51</v>
      </c>
      <c r="AQ23" s="437">
        <f>+SBR!AU58</f>
        <v>30537.329999999998</v>
      </c>
      <c r="AR23" s="437">
        <f>+SBR!AV58</f>
        <v>31421.74</v>
      </c>
      <c r="AS23" s="437">
        <f>+SBR!AW58</f>
        <v>39352.370000000003</v>
      </c>
    </row>
    <row r="24" spans="1:46" x14ac:dyDescent="0.2">
      <c r="A24" s="436" t="s">
        <v>740</v>
      </c>
      <c r="B24" s="435">
        <f t="shared" si="4"/>
        <v>732</v>
      </c>
      <c r="C24" s="1299">
        <f t="shared" si="5"/>
        <v>9369428.5</v>
      </c>
      <c r="D24" s="437">
        <f t="shared" si="6"/>
        <v>4530956.9099999992</v>
      </c>
      <c r="I24" s="436" t="s">
        <v>740</v>
      </c>
      <c r="J24" s="437">
        <f>+SBR!N59</f>
        <v>61</v>
      </c>
      <c r="K24" s="437">
        <f>+SBR!O59</f>
        <v>61</v>
      </c>
      <c r="L24" s="437">
        <f>+SBR!P59</f>
        <v>61</v>
      </c>
      <c r="M24" s="437">
        <f>+SBR!Q59</f>
        <v>61</v>
      </c>
      <c r="N24" s="437">
        <f>+SBR!R59</f>
        <v>61</v>
      </c>
      <c r="O24" s="437">
        <f>+SBR!S59</f>
        <v>61</v>
      </c>
      <c r="P24" s="437">
        <f>+SBR!T59</f>
        <v>61</v>
      </c>
      <c r="Q24" s="437">
        <f>+SBR!U59</f>
        <v>61</v>
      </c>
      <c r="R24" s="437">
        <f>+SBR!V59</f>
        <v>61</v>
      </c>
      <c r="S24" s="437">
        <f>+SBR!W59</f>
        <v>61</v>
      </c>
      <c r="T24" s="437">
        <f>+SBR!X59</f>
        <v>61</v>
      </c>
      <c r="U24" s="437">
        <f>+SBR!Y59</f>
        <v>61</v>
      </c>
      <c r="V24" s="1287">
        <f>+SBR!Z59</f>
        <v>1149807.3999999999</v>
      </c>
      <c r="W24" s="1287">
        <f>+SBR!AA59</f>
        <v>1059681</v>
      </c>
      <c r="X24" s="1287">
        <f>+SBR!AB59</f>
        <v>864741.8</v>
      </c>
      <c r="Y24" s="1287">
        <f>+SBR!AC59</f>
        <v>662484.9</v>
      </c>
      <c r="Z24" s="1287">
        <f>+SBR!AD59</f>
        <v>643730.1</v>
      </c>
      <c r="AA24" s="1287">
        <f>+SBR!AE59</f>
        <v>565022.19999999995</v>
      </c>
      <c r="AB24" s="1287">
        <f>+SBR!AF59</f>
        <v>564236.30000000005</v>
      </c>
      <c r="AC24" s="1287">
        <f>+SBR!AG59</f>
        <v>641958.19999999995</v>
      </c>
      <c r="AD24" s="1287">
        <f>+SBR!AH59</f>
        <v>644148</v>
      </c>
      <c r="AE24" s="1287">
        <f>+SBR!AI59</f>
        <v>812822.1</v>
      </c>
      <c r="AF24" s="1287">
        <f>+SBR!AJ59</f>
        <v>793218.2</v>
      </c>
      <c r="AG24" s="1287">
        <f>+SBR!AK59</f>
        <v>967578.3</v>
      </c>
      <c r="AH24" s="437">
        <f>+SBR!AL59</f>
        <v>550935.49</v>
      </c>
      <c r="AI24" s="437">
        <f>+SBR!AM59</f>
        <v>485360.9</v>
      </c>
      <c r="AJ24" s="437">
        <f>+SBR!AN59</f>
        <v>410578.99</v>
      </c>
      <c r="AK24" s="437">
        <f>+SBR!AO59</f>
        <v>327723.54000000004</v>
      </c>
      <c r="AL24" s="437">
        <f>+SBR!AP59</f>
        <v>320173.49000000005</v>
      </c>
      <c r="AM24" s="437">
        <f>+SBR!AQ59</f>
        <v>273730.11</v>
      </c>
      <c r="AN24" s="437">
        <f>+SBR!AR59</f>
        <v>280144.07</v>
      </c>
      <c r="AO24" s="437">
        <f>+SBR!AS59</f>
        <v>307899.36</v>
      </c>
      <c r="AP24" s="437">
        <f>+SBR!AT59</f>
        <v>316806.09000000003</v>
      </c>
      <c r="AQ24" s="437">
        <f>+SBR!AU59</f>
        <v>403954.67</v>
      </c>
      <c r="AR24" s="437">
        <f>+SBR!AV59</f>
        <v>385650.16000000003</v>
      </c>
      <c r="AS24" s="437">
        <f>+SBR!AW59</f>
        <v>468000.04</v>
      </c>
    </row>
    <row r="25" spans="1:46" x14ac:dyDescent="0.2">
      <c r="A25" s="1305" t="s">
        <v>741</v>
      </c>
      <c r="B25" s="435">
        <f t="shared" si="4"/>
        <v>0</v>
      </c>
      <c r="C25" s="1299">
        <f>SUM(V25:AG25)</f>
        <v>0</v>
      </c>
      <c r="D25" s="437">
        <f t="shared" si="6"/>
        <v>-58.069999999999879</v>
      </c>
      <c r="I25" s="1305" t="s">
        <v>741</v>
      </c>
      <c r="J25" s="437">
        <v>0</v>
      </c>
      <c r="K25" s="437">
        <v>0</v>
      </c>
      <c r="L25" s="437">
        <v>0</v>
      </c>
      <c r="M25" s="437">
        <v>0</v>
      </c>
      <c r="N25" s="437">
        <v>0</v>
      </c>
      <c r="O25" s="437">
        <v>0</v>
      </c>
      <c r="P25" s="437">
        <v>0</v>
      </c>
      <c r="Q25" s="437">
        <v>0</v>
      </c>
      <c r="R25" s="437">
        <v>0</v>
      </c>
      <c r="S25" s="437">
        <v>0</v>
      </c>
      <c r="T25" s="437">
        <v>0</v>
      </c>
      <c r="U25" s="437">
        <v>0</v>
      </c>
      <c r="V25" s="1287">
        <v>0</v>
      </c>
      <c r="W25" s="1287">
        <v>0</v>
      </c>
      <c r="X25" s="1287">
        <v>0</v>
      </c>
      <c r="Y25" s="1287">
        <v>0</v>
      </c>
      <c r="Z25" s="1287">
        <v>0</v>
      </c>
      <c r="AA25" s="1287">
        <v>0</v>
      </c>
      <c r="AB25" s="1287">
        <v>0</v>
      </c>
      <c r="AC25" s="1287">
        <v>0</v>
      </c>
      <c r="AD25" s="1287">
        <v>0</v>
      </c>
      <c r="AE25" s="1287">
        <v>0</v>
      </c>
      <c r="AF25" s="1287">
        <v>0</v>
      </c>
      <c r="AG25" s="1287">
        <v>0</v>
      </c>
      <c r="AH25" s="437">
        <f>+SBR!AL70</f>
        <v>97.240000000000009</v>
      </c>
      <c r="AI25" s="437">
        <f>+SBR!AM70</f>
        <v>-1266.8</v>
      </c>
      <c r="AJ25" s="437">
        <f>+SBR!AN70</f>
        <v>10.120000000000005</v>
      </c>
      <c r="AK25" s="437">
        <f>+SBR!AO70</f>
        <v>108.44</v>
      </c>
      <c r="AL25" s="437">
        <f>+SBR!AP70</f>
        <v>313.16000000000003</v>
      </c>
      <c r="AM25" s="437">
        <f>+SBR!AQ70</f>
        <v>-485.26</v>
      </c>
      <c r="AN25" s="437">
        <f>+SBR!AR70</f>
        <v>-37.78</v>
      </c>
      <c r="AO25" s="437">
        <f>+SBR!AS70</f>
        <v>225.9</v>
      </c>
      <c r="AP25" s="437">
        <f>+SBR!AT70</f>
        <v>179.97</v>
      </c>
      <c r="AQ25" s="437">
        <f>+SBR!AU70</f>
        <v>290.56</v>
      </c>
      <c r="AR25" s="437">
        <f>+SBR!AV70</f>
        <v>1.0200000000000102</v>
      </c>
      <c r="AS25" s="437">
        <f>+SBR!AW70</f>
        <v>505.35999999999996</v>
      </c>
    </row>
    <row r="26" spans="1:46" x14ac:dyDescent="0.2">
      <c r="A26" s="436" t="s">
        <v>742</v>
      </c>
      <c r="B26" s="1296">
        <f>SUM(J26:U26)</f>
        <v>876</v>
      </c>
      <c r="C26" s="1297">
        <f>SUM(V26:AG26)</f>
        <v>10079083.299999999</v>
      </c>
      <c r="D26" s="438">
        <f t="shared" si="6"/>
        <v>4878124.6199999992</v>
      </c>
      <c r="F26" s="1299">
        <f>SUM(V26:X26,AF26:AG26)</f>
        <v>5197922</v>
      </c>
      <c r="I26" s="436" t="s">
        <v>742</v>
      </c>
      <c r="J26" s="438">
        <f>SUM(J23:J25)</f>
        <v>73</v>
      </c>
      <c r="K26" s="438">
        <f t="shared" ref="K26:AS26" si="8">SUM(K23:K25)</f>
        <v>73</v>
      </c>
      <c r="L26" s="438">
        <f t="shared" si="8"/>
        <v>73</v>
      </c>
      <c r="M26" s="438">
        <f t="shared" si="8"/>
        <v>73</v>
      </c>
      <c r="N26" s="438">
        <f t="shared" si="8"/>
        <v>73</v>
      </c>
      <c r="O26" s="438">
        <f t="shared" si="8"/>
        <v>73</v>
      </c>
      <c r="P26" s="438">
        <f t="shared" si="8"/>
        <v>73</v>
      </c>
      <c r="Q26" s="438">
        <f t="shared" si="8"/>
        <v>73</v>
      </c>
      <c r="R26" s="438">
        <f t="shared" si="8"/>
        <v>72</v>
      </c>
      <c r="S26" s="438">
        <f t="shared" si="8"/>
        <v>74</v>
      </c>
      <c r="T26" s="438">
        <f t="shared" si="8"/>
        <v>72</v>
      </c>
      <c r="U26" s="438">
        <f t="shared" si="8"/>
        <v>74</v>
      </c>
      <c r="V26" s="1300">
        <f t="shared" si="8"/>
        <v>1236882.8999999999</v>
      </c>
      <c r="W26" s="1300">
        <f t="shared" si="8"/>
        <v>1130556.6000000001</v>
      </c>
      <c r="X26" s="1300">
        <f t="shared" si="8"/>
        <v>921797.4</v>
      </c>
      <c r="Y26" s="1300">
        <f t="shared" si="8"/>
        <v>721760.70000000007</v>
      </c>
      <c r="Z26" s="1300">
        <f t="shared" si="8"/>
        <v>697655</v>
      </c>
      <c r="AA26" s="1300">
        <f t="shared" si="8"/>
        <v>608332.79999999993</v>
      </c>
      <c r="AB26" s="1300">
        <f t="shared" si="8"/>
        <v>603722.10000000009</v>
      </c>
      <c r="AC26" s="1300">
        <f t="shared" si="8"/>
        <v>685087.5</v>
      </c>
      <c r="AD26" s="1300">
        <f t="shared" si="8"/>
        <v>689539.8</v>
      </c>
      <c r="AE26" s="1300">
        <f t="shared" si="8"/>
        <v>875063.4</v>
      </c>
      <c r="AF26" s="1300">
        <f t="shared" si="8"/>
        <v>858726.89999999991</v>
      </c>
      <c r="AG26" s="1300">
        <f>SUM(AG23:AG25)</f>
        <v>1049958.2</v>
      </c>
      <c r="AH26" s="438">
        <f t="shared" si="8"/>
        <v>592346.26</v>
      </c>
      <c r="AI26" s="438">
        <f t="shared" si="8"/>
        <v>518789.33</v>
      </c>
      <c r="AJ26" s="438">
        <f t="shared" si="8"/>
        <v>438813.19</v>
      </c>
      <c r="AK26" s="438">
        <f t="shared" si="8"/>
        <v>356653.42000000004</v>
      </c>
      <c r="AL26" s="438">
        <f t="shared" si="8"/>
        <v>347084.59</v>
      </c>
      <c r="AM26" s="438">
        <f t="shared" si="8"/>
        <v>295060.5</v>
      </c>
      <c r="AN26" s="438">
        <f t="shared" si="8"/>
        <v>300297.57</v>
      </c>
      <c r="AO26" s="438">
        <f t="shared" si="8"/>
        <v>329866.94</v>
      </c>
      <c r="AP26" s="438">
        <f t="shared" si="8"/>
        <v>339499.57</v>
      </c>
      <c r="AQ26" s="438">
        <f t="shared" si="8"/>
        <v>434782.56</v>
      </c>
      <c r="AR26" s="438">
        <f t="shared" si="8"/>
        <v>417072.92000000004</v>
      </c>
      <c r="AS26" s="438">
        <f t="shared" si="8"/>
        <v>507857.76999999996</v>
      </c>
      <c r="AT26" s="435"/>
    </row>
    <row r="27" spans="1:46" x14ac:dyDescent="0.2">
      <c r="A27" s="1301" t="s">
        <v>626</v>
      </c>
      <c r="B27" s="435">
        <f t="shared" si="4"/>
        <v>876</v>
      </c>
      <c r="C27" s="1299">
        <f t="shared" si="5"/>
        <v>10093189.299999999</v>
      </c>
      <c r="D27" s="437">
        <f t="shared" si="6"/>
        <v>5252026.2399999993</v>
      </c>
      <c r="I27" s="1301" t="s">
        <v>743</v>
      </c>
      <c r="J27" s="437">
        <f t="shared" ref="J27:U27" si="9">J26</f>
        <v>73</v>
      </c>
      <c r="K27" s="437">
        <f t="shared" si="9"/>
        <v>73</v>
      </c>
      <c r="L27" s="437">
        <f t="shared" si="9"/>
        <v>73</v>
      </c>
      <c r="M27" s="437">
        <f t="shared" si="9"/>
        <v>73</v>
      </c>
      <c r="N27" s="437">
        <f t="shared" si="9"/>
        <v>73</v>
      </c>
      <c r="O27" s="437">
        <f t="shared" si="9"/>
        <v>73</v>
      </c>
      <c r="P27" s="437">
        <f t="shared" si="9"/>
        <v>73</v>
      </c>
      <c r="Q27" s="437">
        <f t="shared" si="9"/>
        <v>73</v>
      </c>
      <c r="R27" s="437">
        <f t="shared" si="9"/>
        <v>72</v>
      </c>
      <c r="S27" s="437">
        <f t="shared" si="9"/>
        <v>74</v>
      </c>
      <c r="T27" s="437">
        <f t="shared" si="9"/>
        <v>72</v>
      </c>
      <c r="U27" s="437">
        <f t="shared" si="9"/>
        <v>74</v>
      </c>
      <c r="V27" s="1287">
        <f t="shared" ref="V27:AS27" si="10">V22+V26</f>
        <v>1237243.8999999999</v>
      </c>
      <c r="W27" s="1287">
        <f t="shared" si="10"/>
        <v>1140288.6000000001</v>
      </c>
      <c r="X27" s="1287">
        <f t="shared" si="10"/>
        <v>921797.4</v>
      </c>
      <c r="Y27" s="1287">
        <f t="shared" si="10"/>
        <v>721841.4</v>
      </c>
      <c r="Z27" s="1287">
        <f t="shared" si="10"/>
        <v>698308.9</v>
      </c>
      <c r="AA27" s="1287">
        <f t="shared" si="10"/>
        <v>608357.29999999993</v>
      </c>
      <c r="AB27" s="1287">
        <f t="shared" si="10"/>
        <v>603767.40000000014</v>
      </c>
      <c r="AC27" s="1287">
        <f t="shared" si="10"/>
        <v>685087.5</v>
      </c>
      <c r="AD27" s="1287">
        <f t="shared" si="10"/>
        <v>689561.20000000007</v>
      </c>
      <c r="AE27" s="1287">
        <f t="shared" si="10"/>
        <v>875352.8</v>
      </c>
      <c r="AF27" s="1287">
        <f t="shared" si="10"/>
        <v>860956.2</v>
      </c>
      <c r="AG27" s="1287">
        <f t="shared" si="10"/>
        <v>1050626.7</v>
      </c>
      <c r="AH27" s="437">
        <f t="shared" si="10"/>
        <v>627963.55000000005</v>
      </c>
      <c r="AI27" s="437">
        <f t="shared" si="10"/>
        <v>519862.12</v>
      </c>
      <c r="AJ27" s="437">
        <f t="shared" si="10"/>
        <v>441589.89</v>
      </c>
      <c r="AK27" s="437">
        <f t="shared" si="10"/>
        <v>410576.54000000004</v>
      </c>
      <c r="AL27" s="437">
        <f t="shared" si="10"/>
        <v>374598.23000000004</v>
      </c>
      <c r="AM27" s="437">
        <f t="shared" si="10"/>
        <v>299316.98</v>
      </c>
      <c r="AN27" s="437">
        <f t="shared" si="10"/>
        <v>336697.42000000004</v>
      </c>
      <c r="AO27" s="437">
        <f t="shared" si="10"/>
        <v>389423.28</v>
      </c>
      <c r="AP27" s="437">
        <f t="shared" si="10"/>
        <v>341911.81</v>
      </c>
      <c r="AQ27" s="437">
        <f t="shared" si="10"/>
        <v>477092.19</v>
      </c>
      <c r="AR27" s="437">
        <f t="shared" si="10"/>
        <v>486822.47000000003</v>
      </c>
      <c r="AS27" s="437">
        <f t="shared" si="10"/>
        <v>546171.76</v>
      </c>
    </row>
    <row r="28" spans="1:46" x14ac:dyDescent="0.2">
      <c r="A28" s="1301"/>
      <c r="B28" s="435"/>
      <c r="C28" s="1299"/>
      <c r="D28" s="437"/>
      <c r="I28" s="1301"/>
      <c r="J28" s="437"/>
      <c r="K28" s="437"/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AB28" s="1287"/>
      <c r="AC28" s="1287"/>
      <c r="AD28" s="1287"/>
      <c r="AE28" s="1287"/>
      <c r="AF28" s="1287"/>
      <c r="AG28" s="1287"/>
      <c r="AN28" s="437"/>
      <c r="AO28" s="437"/>
      <c r="AP28" s="437"/>
      <c r="AQ28" s="437"/>
      <c r="AR28" s="437"/>
      <c r="AS28" s="437"/>
    </row>
    <row r="29" spans="1:46" x14ac:dyDescent="0.2">
      <c r="A29" s="1301"/>
      <c r="B29" s="435"/>
      <c r="C29" s="1299"/>
      <c r="D29" s="437"/>
      <c r="I29" s="1301"/>
      <c r="J29" s="437"/>
      <c r="K29" s="437"/>
      <c r="L29" s="437"/>
      <c r="M29" s="437"/>
      <c r="N29" s="437"/>
      <c r="O29" s="437"/>
      <c r="P29" s="437"/>
      <c r="Q29" s="437"/>
      <c r="R29" s="437"/>
      <c r="S29" s="437"/>
      <c r="T29" s="437"/>
      <c r="U29" s="437"/>
      <c r="AB29" s="1287"/>
      <c r="AC29" s="1287"/>
      <c r="AD29" s="1287"/>
      <c r="AE29" s="1287"/>
      <c r="AF29" s="1287"/>
      <c r="AG29" s="1287"/>
      <c r="AN29" s="437"/>
      <c r="AO29" s="437"/>
      <c r="AP29" s="437"/>
      <c r="AQ29" s="437"/>
      <c r="AR29" s="437"/>
      <c r="AS29" s="437"/>
    </row>
    <row r="30" spans="1:46" x14ac:dyDescent="0.2">
      <c r="A30" s="1306" t="s">
        <v>744</v>
      </c>
      <c r="B30" s="435">
        <f>SUM(J30:U30)</f>
        <v>24</v>
      </c>
      <c r="C30" s="1299">
        <f>SUM(V30:AG30)</f>
        <v>672290.40000000014</v>
      </c>
      <c r="D30" s="437">
        <f>SUM(AH30:AS30)</f>
        <v>7242791.3859199993</v>
      </c>
      <c r="F30" s="1299">
        <f>SUM(V30:X30,AF30:AG30)</f>
        <v>221351.5</v>
      </c>
      <c r="I30" s="1306" t="s">
        <v>744</v>
      </c>
      <c r="J30" s="437">
        <f>+SBR!N41</f>
        <v>2</v>
      </c>
      <c r="K30" s="437">
        <f>+SBR!O41</f>
        <v>2</v>
      </c>
      <c r="L30" s="437">
        <f>+SBR!P41</f>
        <v>2</v>
      </c>
      <c r="M30" s="437">
        <f>+SBR!Q41</f>
        <v>2</v>
      </c>
      <c r="N30" s="437">
        <f>+SBR!R41</f>
        <v>2</v>
      </c>
      <c r="O30" s="437">
        <f>+SBR!S41</f>
        <v>2</v>
      </c>
      <c r="P30" s="437">
        <f>+SBR!T41</f>
        <v>2</v>
      </c>
      <c r="Q30" s="437">
        <f>+SBR!U41</f>
        <v>2</v>
      </c>
      <c r="R30" s="437">
        <f>+SBR!V41</f>
        <v>2</v>
      </c>
      <c r="S30" s="437">
        <f>+SBR!W41</f>
        <v>2</v>
      </c>
      <c r="T30" s="437">
        <f>+SBR!X41</f>
        <v>2</v>
      </c>
      <c r="U30" s="437">
        <f>+SBR!Y41</f>
        <v>2</v>
      </c>
      <c r="V30" s="1287">
        <f>+SBR!Z41</f>
        <v>39028.400000000001</v>
      </c>
      <c r="W30" s="1287">
        <f>+SBR!AA41</f>
        <v>29855.8</v>
      </c>
      <c r="X30" s="1287">
        <f>+SBR!AB41</f>
        <v>57437.2</v>
      </c>
      <c r="Y30" s="1287">
        <f>+SBR!AC41</f>
        <v>0</v>
      </c>
      <c r="Z30" s="1287">
        <f>+SBR!AD41</f>
        <v>138723.5</v>
      </c>
      <c r="AA30" s="1287">
        <f>+SBR!AE41</f>
        <v>68379</v>
      </c>
      <c r="AB30" s="1287">
        <f>+SBR!AF41</f>
        <v>61554</v>
      </c>
      <c r="AC30" s="1287">
        <f>+SBR!AG41</f>
        <v>87811.9</v>
      </c>
      <c r="AD30" s="1287">
        <f>+SBR!AH41</f>
        <v>39589.199999999997</v>
      </c>
      <c r="AE30" s="1287">
        <f>+SBR!AI41</f>
        <v>54881.3</v>
      </c>
      <c r="AF30" s="1287">
        <f>+SBR!AJ41</f>
        <v>45584.800000000003</v>
      </c>
      <c r="AG30" s="1287">
        <f>+SBR!AK41</f>
        <v>49445.3</v>
      </c>
      <c r="AH30" s="437">
        <f>+SBR!AL41</f>
        <v>499824.11832000001</v>
      </c>
      <c r="AI30" s="437">
        <f>+SBR!AM41</f>
        <v>437402.57183999999</v>
      </c>
      <c r="AJ30" s="437">
        <f>+SBR!AN41</f>
        <v>576057.02456000005</v>
      </c>
      <c r="AK30" s="437">
        <f>+SBR!AO41</f>
        <v>0</v>
      </c>
      <c r="AL30" s="437">
        <f>+SBR!AP41</f>
        <v>1360772.7727999999</v>
      </c>
      <c r="AM30" s="437">
        <f>+SBR!AQ41</f>
        <v>690689.0392</v>
      </c>
      <c r="AN30" s="437">
        <f>+SBR!AR41</f>
        <v>650427.6791999999</v>
      </c>
      <c r="AO30" s="437">
        <f>+SBR!AS41</f>
        <v>804509.00912000006</v>
      </c>
      <c r="AP30" s="437">
        <f>+SBR!AT41</f>
        <v>520486.94415999996</v>
      </c>
      <c r="AQ30" s="437">
        <f>+SBR!AU41</f>
        <v>610554.36424000002</v>
      </c>
      <c r="AR30" s="437">
        <f>+SBR!AV41</f>
        <v>535523.72103999997</v>
      </c>
      <c r="AS30" s="437">
        <f>+SBR!AW41</f>
        <v>556544.14143999992</v>
      </c>
    </row>
    <row r="31" spans="1:46" x14ac:dyDescent="0.2">
      <c r="A31" s="436" t="s">
        <v>927</v>
      </c>
      <c r="B31" s="435">
        <f>SUM(J31:U31)</f>
        <v>12</v>
      </c>
      <c r="C31" s="1299">
        <f>SUM(V31:AG31)</f>
        <v>11793.4</v>
      </c>
      <c r="D31" s="437">
        <f>SUM(AH31:AS31)</f>
        <v>47660.25</v>
      </c>
      <c r="F31" s="1299"/>
      <c r="I31" s="436" t="s">
        <v>927</v>
      </c>
      <c r="J31" s="437">
        <f>+SBR!N42</f>
        <v>1</v>
      </c>
      <c r="K31" s="437">
        <f>+SBR!O42</f>
        <v>1</v>
      </c>
      <c r="L31" s="437">
        <f>+SBR!P42</f>
        <v>1</v>
      </c>
      <c r="M31" s="437">
        <f>+SBR!Q42</f>
        <v>1</v>
      </c>
      <c r="N31" s="437">
        <f>+SBR!R42</f>
        <v>1</v>
      </c>
      <c r="O31" s="437">
        <f>+SBR!S42</f>
        <v>1</v>
      </c>
      <c r="P31" s="437">
        <f>+SBR!T42</f>
        <v>1</v>
      </c>
      <c r="Q31" s="437">
        <f>+SBR!U42</f>
        <v>1</v>
      </c>
      <c r="R31" s="437">
        <f>+SBR!V42</f>
        <v>1</v>
      </c>
      <c r="S31" s="437">
        <f>+SBR!W42</f>
        <v>1</v>
      </c>
      <c r="T31" s="437">
        <f>+SBR!X42</f>
        <v>1</v>
      </c>
      <c r="U31" s="437">
        <f>+SBR!Y42</f>
        <v>1</v>
      </c>
      <c r="V31" s="1287">
        <f>+SBR!Z42</f>
        <v>714.6</v>
      </c>
      <c r="W31" s="1287">
        <f>+SBR!AA42</f>
        <v>83.8</v>
      </c>
      <c r="X31" s="1287">
        <f>+SBR!AB42</f>
        <v>0</v>
      </c>
      <c r="Y31" s="1287">
        <f>+SBR!AC42</f>
        <v>0</v>
      </c>
      <c r="Z31" s="1287">
        <f>+SBR!AD42</f>
        <v>0</v>
      </c>
      <c r="AA31" s="1287">
        <f>+SBR!AE42</f>
        <v>0</v>
      </c>
      <c r="AB31" s="1287">
        <f>+SBR!AF42</f>
        <v>5129.7</v>
      </c>
      <c r="AC31" s="1287">
        <f>+SBR!AG42</f>
        <v>4578.8</v>
      </c>
      <c r="AD31" s="1287">
        <f>+SBR!AH42</f>
        <v>0</v>
      </c>
      <c r="AE31" s="1287">
        <f>+SBR!AI42</f>
        <v>0</v>
      </c>
      <c r="AF31" s="1287">
        <f>+SBR!AJ42</f>
        <v>15.1</v>
      </c>
      <c r="AG31" s="1287">
        <f>+SBR!AK42</f>
        <v>1271.4000000000001</v>
      </c>
      <c r="AH31" s="437">
        <f>+SBR!AL42</f>
        <v>3792.1099999999997</v>
      </c>
      <c r="AI31" s="437">
        <f>+SBR!AM42</f>
        <v>1015.53</v>
      </c>
      <c r="AJ31" s="437">
        <f>+SBR!AN42</f>
        <v>781</v>
      </c>
      <c r="AK31" s="437">
        <f>+SBR!AO42</f>
        <v>0</v>
      </c>
      <c r="AL31" s="437">
        <f>+SBR!AP42</f>
        <v>1562</v>
      </c>
      <c r="AM31" s="437">
        <f>+SBR!AQ42</f>
        <v>781</v>
      </c>
      <c r="AN31" s="437">
        <f>+SBR!AR42</f>
        <v>26217.65</v>
      </c>
      <c r="AO31" s="437">
        <f>+SBR!AS42</f>
        <v>21955.070000000003</v>
      </c>
      <c r="AP31" s="437">
        <f>+SBR!AT42</f>
        <v>-17442.53</v>
      </c>
      <c r="AQ31" s="437">
        <f>+SBR!AU42</f>
        <v>781</v>
      </c>
      <c r="AR31" s="437">
        <f>+SBR!AV42</f>
        <v>859.85</v>
      </c>
      <c r="AS31" s="437">
        <f>+SBR!AW42</f>
        <v>7357.57</v>
      </c>
    </row>
    <row r="32" spans="1:46" x14ac:dyDescent="0.2">
      <c r="A32" s="436" t="s">
        <v>745</v>
      </c>
      <c r="B32" s="1296">
        <f>SUM(J32:U32)</f>
        <v>0</v>
      </c>
      <c r="C32" s="1297">
        <f>SUM(V32:AG32)</f>
        <v>341340.80000000005</v>
      </c>
      <c r="D32" s="438">
        <f>SUM(AH32:AS32)</f>
        <v>1288687.5677799999</v>
      </c>
      <c r="F32" s="1299"/>
      <c r="I32" s="436" t="s">
        <v>745</v>
      </c>
      <c r="J32" s="438">
        <f>+SBR!N43</f>
        <v>0</v>
      </c>
      <c r="K32" s="438">
        <f>+SBR!O43</f>
        <v>0</v>
      </c>
      <c r="L32" s="438">
        <f>+SBR!P43</f>
        <v>0</v>
      </c>
      <c r="M32" s="438">
        <f>+SBR!Q43</f>
        <v>0</v>
      </c>
      <c r="N32" s="438">
        <f>+SBR!R43</f>
        <v>0</v>
      </c>
      <c r="O32" s="438">
        <f>+SBR!S43</f>
        <v>0</v>
      </c>
      <c r="P32" s="438">
        <f>+SBR!T43</f>
        <v>0</v>
      </c>
      <c r="Q32" s="438">
        <f>+SBR!U43</f>
        <v>0</v>
      </c>
      <c r="R32" s="438">
        <f>+SBR!V43</f>
        <v>0</v>
      </c>
      <c r="S32" s="438">
        <f>+SBR!W43</f>
        <v>0</v>
      </c>
      <c r="T32" s="438">
        <f>+SBR!X43</f>
        <v>0</v>
      </c>
      <c r="U32" s="438">
        <f>+SBR!Y43</f>
        <v>0</v>
      </c>
      <c r="V32" s="1300">
        <f>+SBR!Z43</f>
        <v>0</v>
      </c>
      <c r="W32" s="1300">
        <f>+SBR!AA43</f>
        <v>4566</v>
      </c>
      <c r="X32" s="1300">
        <f>+SBR!AB43</f>
        <v>0</v>
      </c>
      <c r="Y32" s="1300">
        <f>+SBR!AC43</f>
        <v>0</v>
      </c>
      <c r="Z32" s="1300">
        <f>+SBR!AD43</f>
        <v>42632.5</v>
      </c>
      <c r="AA32" s="1300">
        <f>+SBR!AE43</f>
        <v>70011.899999999994</v>
      </c>
      <c r="AB32" s="1300">
        <f>+SBR!AF43</f>
        <v>112052</v>
      </c>
      <c r="AC32" s="1300">
        <f>+SBR!AG43</f>
        <v>61463</v>
      </c>
      <c r="AD32" s="1300">
        <f>+SBR!AH43</f>
        <v>50615.4</v>
      </c>
      <c r="AE32" s="1300">
        <f>+SBR!AI43</f>
        <v>0</v>
      </c>
      <c r="AF32" s="1300">
        <f>+SBR!AJ43</f>
        <v>0</v>
      </c>
      <c r="AG32" s="1300">
        <f>+SBR!AK43</f>
        <v>0</v>
      </c>
      <c r="AH32" s="438">
        <f>+SBR!AL43</f>
        <v>105229.89738000001</v>
      </c>
      <c r="AI32" s="438">
        <f>+SBR!AM43</f>
        <v>105202.09275</v>
      </c>
      <c r="AJ32" s="438">
        <f>+SBR!AN43</f>
        <v>104976</v>
      </c>
      <c r="AK32" s="438">
        <f>+SBR!AO43</f>
        <v>110309.976</v>
      </c>
      <c r="AL32" s="438">
        <f>+SBR!AP43</f>
        <v>108257.6459</v>
      </c>
      <c r="AM32" s="438">
        <f>+SBR!AQ43</f>
        <v>109338.04063</v>
      </c>
      <c r="AN32" s="438">
        <f>+SBR!AR43</f>
        <v>111779.17698999999</v>
      </c>
      <c r="AO32" s="438">
        <f>+SBR!AS43</f>
        <v>108798.34943999999</v>
      </c>
      <c r="AP32" s="438">
        <f>+SBR!AT43</f>
        <v>109411.29524000001</v>
      </c>
      <c r="AQ32" s="438">
        <f>+SBR!AU43</f>
        <v>104976</v>
      </c>
      <c r="AR32" s="438">
        <f>+SBR!AV43</f>
        <v>104981.36503</v>
      </c>
      <c r="AS32" s="438">
        <f>+SBR!AW43</f>
        <v>105427.72842</v>
      </c>
    </row>
    <row r="33" spans="1:52" x14ac:dyDescent="0.2">
      <c r="A33" s="1301" t="s">
        <v>746</v>
      </c>
      <c r="B33" s="435">
        <f>SUM(J33:U33)</f>
        <v>24</v>
      </c>
      <c r="C33" s="1299">
        <f>SUM(V33:AG33)</f>
        <v>1025424.5999999999</v>
      </c>
      <c r="D33" s="437">
        <f>SUM(AH33:AS33)</f>
        <v>8579139.2037000004</v>
      </c>
      <c r="I33" s="1301" t="s">
        <v>746</v>
      </c>
      <c r="J33" s="437">
        <f t="shared" ref="J33:T33" si="11">+J30+J32</f>
        <v>2</v>
      </c>
      <c r="K33" s="437">
        <f t="shared" si="11"/>
        <v>2</v>
      </c>
      <c r="L33" s="437">
        <f t="shared" si="11"/>
        <v>2</v>
      </c>
      <c r="M33" s="437">
        <f t="shared" si="11"/>
        <v>2</v>
      </c>
      <c r="N33" s="437">
        <f t="shared" si="11"/>
        <v>2</v>
      </c>
      <c r="O33" s="437">
        <f t="shared" si="11"/>
        <v>2</v>
      </c>
      <c r="P33" s="437">
        <f t="shared" si="11"/>
        <v>2</v>
      </c>
      <c r="Q33" s="437">
        <f t="shared" si="11"/>
        <v>2</v>
      </c>
      <c r="R33" s="437">
        <f t="shared" si="11"/>
        <v>2</v>
      </c>
      <c r="S33" s="437">
        <f t="shared" si="11"/>
        <v>2</v>
      </c>
      <c r="T33" s="437">
        <f t="shared" si="11"/>
        <v>2</v>
      </c>
      <c r="U33" s="437">
        <f>+U30+U32</f>
        <v>2</v>
      </c>
      <c r="V33" s="437">
        <f t="shared" ref="V33:AS33" si="12">SUM(V30:V32)</f>
        <v>39743</v>
      </c>
      <c r="W33" s="437">
        <f t="shared" si="12"/>
        <v>34505.599999999999</v>
      </c>
      <c r="X33" s="437">
        <f t="shared" si="12"/>
        <v>57437.2</v>
      </c>
      <c r="Y33" s="437">
        <f t="shared" si="12"/>
        <v>0</v>
      </c>
      <c r="Z33" s="437">
        <f t="shared" si="12"/>
        <v>181356</v>
      </c>
      <c r="AA33" s="437">
        <f t="shared" si="12"/>
        <v>138390.9</v>
      </c>
      <c r="AB33" s="437">
        <f t="shared" si="12"/>
        <v>178735.7</v>
      </c>
      <c r="AC33" s="437">
        <f t="shared" si="12"/>
        <v>153853.70000000001</v>
      </c>
      <c r="AD33" s="437">
        <f t="shared" si="12"/>
        <v>90204.6</v>
      </c>
      <c r="AE33" s="437">
        <f t="shared" si="12"/>
        <v>54881.3</v>
      </c>
      <c r="AF33" s="437">
        <f t="shared" si="12"/>
        <v>45599.9</v>
      </c>
      <c r="AG33" s="437">
        <f t="shared" si="12"/>
        <v>50716.700000000004</v>
      </c>
      <c r="AH33" s="437">
        <f t="shared" si="12"/>
        <v>608846.12569999998</v>
      </c>
      <c r="AI33" s="437">
        <f t="shared" si="12"/>
        <v>543620.19458999997</v>
      </c>
      <c r="AJ33" s="437">
        <f t="shared" si="12"/>
        <v>681814.02456000005</v>
      </c>
      <c r="AK33" s="437">
        <f t="shared" si="12"/>
        <v>110309.976</v>
      </c>
      <c r="AL33" s="437">
        <f t="shared" si="12"/>
        <v>1470592.4186999998</v>
      </c>
      <c r="AM33" s="437">
        <f t="shared" si="12"/>
        <v>800808.07982999994</v>
      </c>
      <c r="AN33" s="437">
        <f t="shared" si="12"/>
        <v>788424.50618999987</v>
      </c>
      <c r="AO33" s="437">
        <f t="shared" si="12"/>
        <v>935262.42856000003</v>
      </c>
      <c r="AP33" s="437">
        <f t="shared" si="12"/>
        <v>612455.70939999993</v>
      </c>
      <c r="AQ33" s="437">
        <f t="shared" si="12"/>
        <v>716311.36424000002</v>
      </c>
      <c r="AR33" s="437">
        <f t="shared" si="12"/>
        <v>641364.93606999994</v>
      </c>
      <c r="AS33" s="437">
        <f t="shared" si="12"/>
        <v>669329.43985999981</v>
      </c>
    </row>
    <row r="34" spans="1:52" x14ac:dyDescent="0.2">
      <c r="A34" s="1301"/>
      <c r="B34" s="435"/>
      <c r="C34" s="1299"/>
      <c r="D34" s="437"/>
      <c r="I34" s="1301"/>
      <c r="J34" s="437"/>
      <c r="K34" s="437"/>
      <c r="L34" s="437"/>
      <c r="M34" s="437"/>
      <c r="N34" s="437"/>
      <c r="O34" s="437"/>
      <c r="P34" s="437"/>
      <c r="Q34" s="437"/>
      <c r="R34" s="437"/>
      <c r="S34" s="437"/>
      <c r="T34" s="437"/>
      <c r="U34" s="437"/>
      <c r="AB34" s="1287"/>
      <c r="AC34" s="1287"/>
      <c r="AD34" s="1287"/>
      <c r="AE34" s="1287"/>
      <c r="AF34" s="1287"/>
      <c r="AG34" s="1287"/>
      <c r="AN34" s="437"/>
      <c r="AO34" s="437"/>
      <c r="AP34" s="437"/>
      <c r="AQ34" s="437"/>
      <c r="AR34" s="437"/>
      <c r="AS34" s="437"/>
    </row>
    <row r="35" spans="1:52" x14ac:dyDescent="0.2">
      <c r="A35" s="1301"/>
      <c r="B35" s="435"/>
      <c r="C35" s="1299"/>
      <c r="D35" s="437"/>
      <c r="I35" s="1301"/>
      <c r="J35" s="437"/>
      <c r="K35" s="437"/>
      <c r="L35" s="437"/>
      <c r="M35" s="437"/>
      <c r="N35" s="437"/>
      <c r="O35" s="437"/>
      <c r="P35" s="437"/>
      <c r="Q35" s="437"/>
      <c r="R35" s="437"/>
      <c r="S35" s="437"/>
      <c r="T35" s="437"/>
      <c r="U35" s="437"/>
      <c r="AB35" s="1287"/>
      <c r="AC35" s="1287"/>
      <c r="AD35" s="1287"/>
      <c r="AE35" s="1287"/>
      <c r="AF35" s="1287"/>
      <c r="AG35" s="1287"/>
      <c r="AN35" s="437"/>
      <c r="AO35" s="437"/>
      <c r="AP35" s="437"/>
      <c r="AQ35" s="437"/>
      <c r="AR35" s="437"/>
      <c r="AS35" s="437"/>
    </row>
    <row r="36" spans="1:52" x14ac:dyDescent="0.2">
      <c r="AB36" s="1287"/>
      <c r="AC36" s="1287"/>
      <c r="AD36" s="1287"/>
      <c r="AE36" s="1287"/>
      <c r="AF36" s="1287"/>
      <c r="AG36" s="1287"/>
      <c r="AN36" s="437"/>
      <c r="AO36" s="437"/>
    </row>
    <row r="37" spans="1:52" x14ac:dyDescent="0.2">
      <c r="A37" s="1301" t="s">
        <v>747</v>
      </c>
      <c r="I37" s="1301" t="s">
        <v>748</v>
      </c>
      <c r="AB37" s="1287"/>
      <c r="AC37" s="1287"/>
      <c r="AD37" s="1287"/>
      <c r="AE37" s="1287"/>
      <c r="AF37" s="1287"/>
      <c r="AG37" s="1287"/>
      <c r="AN37" s="437"/>
      <c r="AO37" s="437"/>
    </row>
    <row r="38" spans="1:52" x14ac:dyDescent="0.2">
      <c r="AB38" s="1287"/>
      <c r="AC38" s="1287"/>
      <c r="AN38" s="437"/>
      <c r="AO38" s="437"/>
      <c r="AY38" s="1307"/>
    </row>
    <row r="39" spans="1:52" x14ac:dyDescent="0.2">
      <c r="A39" s="1301" t="s">
        <v>627</v>
      </c>
      <c r="B39" s="435">
        <f>SUM(J39:U39)</f>
        <v>827</v>
      </c>
      <c r="D39" s="437">
        <f>ROUND(SUM(AH39:AS39),0)</f>
        <v>62025</v>
      </c>
      <c r="I39" s="1301" t="s">
        <v>749</v>
      </c>
      <c r="J39" s="437">
        <f t="shared" ref="J39:U39" si="13">AH39/75</f>
        <v>69</v>
      </c>
      <c r="K39" s="437">
        <f t="shared" si="13"/>
        <v>69</v>
      </c>
      <c r="L39" s="437">
        <f t="shared" si="13"/>
        <v>69</v>
      </c>
      <c r="M39" s="437">
        <f t="shared" si="13"/>
        <v>69</v>
      </c>
      <c r="N39" s="437">
        <f t="shared" si="13"/>
        <v>69</v>
      </c>
      <c r="O39" s="437">
        <f t="shared" si="13"/>
        <v>69</v>
      </c>
      <c r="P39" s="437">
        <f t="shared" si="13"/>
        <v>69</v>
      </c>
      <c r="Q39" s="437">
        <f t="shared" si="13"/>
        <v>69</v>
      </c>
      <c r="R39" s="437">
        <f t="shared" si="13"/>
        <v>69</v>
      </c>
      <c r="S39" s="437">
        <f t="shared" si="13"/>
        <v>69</v>
      </c>
      <c r="T39" s="437">
        <f t="shared" si="13"/>
        <v>69</v>
      </c>
      <c r="U39" s="437">
        <f t="shared" si="13"/>
        <v>68</v>
      </c>
      <c r="AB39" s="1287"/>
      <c r="AC39" s="1287"/>
      <c r="AH39" s="437">
        <f>+SBR!AL64</f>
        <v>5175</v>
      </c>
      <c r="AI39" s="437">
        <f>+SBR!AM64</f>
        <v>5175</v>
      </c>
      <c r="AJ39" s="437">
        <f>+SBR!AN64</f>
        <v>5175</v>
      </c>
      <c r="AK39" s="437">
        <f>+SBR!AO64</f>
        <v>5175</v>
      </c>
      <c r="AL39" s="437">
        <f>+SBR!AP64</f>
        <v>5175</v>
      </c>
      <c r="AM39" s="437">
        <f>+SBR!AQ64</f>
        <v>5175</v>
      </c>
      <c r="AN39" s="437">
        <f>+SBR!AR64</f>
        <v>5175</v>
      </c>
      <c r="AO39" s="437">
        <f>+SBR!AS64</f>
        <v>5175</v>
      </c>
      <c r="AP39" s="437">
        <f>+SBR!AT64</f>
        <v>5175</v>
      </c>
      <c r="AQ39" s="437">
        <f>+SBR!AU64</f>
        <v>5175</v>
      </c>
      <c r="AR39" s="437">
        <f>+SBR!AV64</f>
        <v>5175</v>
      </c>
      <c r="AS39" s="437">
        <f>+SBR!AW64</f>
        <v>5100</v>
      </c>
      <c r="AX39" s="1308"/>
      <c r="AY39" s="1307"/>
      <c r="AZ39" s="1308"/>
    </row>
    <row r="40" spans="1:52" x14ac:dyDescent="0.2">
      <c r="AB40" s="1287"/>
      <c r="AC40" s="1287"/>
      <c r="AN40" s="437"/>
      <c r="AO40" s="437"/>
      <c r="AP40" s="437"/>
      <c r="AQ40" s="437"/>
      <c r="AR40" s="437"/>
      <c r="AS40" s="437"/>
      <c r="AX40" s="1308"/>
      <c r="AY40" s="1307"/>
      <c r="AZ40" s="1308"/>
    </row>
    <row r="41" spans="1:52" x14ac:dyDescent="0.2">
      <c r="A41" s="436" t="s">
        <v>1173</v>
      </c>
      <c r="B41" s="435">
        <f>SUM(J41:U41)</f>
        <v>12</v>
      </c>
      <c r="C41" s="1299">
        <f>SUM(V41:AG41)</f>
        <v>4905.2</v>
      </c>
      <c r="D41" s="437">
        <f>SUM(AH41:AS41)</f>
        <v>23950.86</v>
      </c>
      <c r="I41" s="436" t="s">
        <v>1173</v>
      </c>
      <c r="J41" s="437">
        <f>+SBR!N28</f>
        <v>1</v>
      </c>
      <c r="K41" s="437">
        <f>+SBR!O28</f>
        <v>1</v>
      </c>
      <c r="L41" s="437">
        <f>+SBR!P28</f>
        <v>1</v>
      </c>
      <c r="M41" s="437">
        <f>+SBR!Q28</f>
        <v>1</v>
      </c>
      <c r="N41" s="437">
        <f>+SBR!R28</f>
        <v>1</v>
      </c>
      <c r="O41" s="437">
        <f>+SBR!S28</f>
        <v>1</v>
      </c>
      <c r="P41" s="437">
        <f>+SBR!T28</f>
        <v>1</v>
      </c>
      <c r="Q41" s="437">
        <f>+SBR!U28</f>
        <v>1</v>
      </c>
      <c r="R41" s="437">
        <f>+SBR!V28</f>
        <v>1</v>
      </c>
      <c r="S41" s="437">
        <f>+SBR!W28</f>
        <v>1</v>
      </c>
      <c r="T41" s="437">
        <f>+SBR!X28</f>
        <v>1</v>
      </c>
      <c r="U41" s="437">
        <f>+SBR!Y28</f>
        <v>1</v>
      </c>
      <c r="V41" s="1287">
        <f>+SBR!Z28</f>
        <v>0</v>
      </c>
      <c r="W41" s="1287">
        <f>+SBR!AA28</f>
        <v>0</v>
      </c>
      <c r="X41" s="1287">
        <f>+SBR!AB28</f>
        <v>0</v>
      </c>
      <c r="Y41" s="1287">
        <f>+SBR!AC28</f>
        <v>928.4</v>
      </c>
      <c r="Z41" s="1287">
        <f>+SBR!AD28</f>
        <v>0</v>
      </c>
      <c r="AA41" s="1287">
        <f>+SBR!AE28</f>
        <v>0</v>
      </c>
      <c r="AB41" s="1287">
        <f>+SBR!AF28</f>
        <v>0</v>
      </c>
      <c r="AC41" s="1287">
        <f>+SBR!AG28</f>
        <v>0</v>
      </c>
      <c r="AD41" s="1287">
        <f>+SBR!AH28</f>
        <v>0</v>
      </c>
      <c r="AE41" s="1287">
        <f>+SBR!AI28</f>
        <v>0</v>
      </c>
      <c r="AF41" s="1287">
        <f>+SBR!AJ28</f>
        <v>3502.3</v>
      </c>
      <c r="AG41" s="1287">
        <f>+SBR!AK28</f>
        <v>474.5</v>
      </c>
      <c r="AH41" s="437">
        <f>+SBR!AL28+SBR!AZ28</f>
        <v>275</v>
      </c>
      <c r="AI41" s="437">
        <f>+SBR!AM28+SBR!BA28</f>
        <v>275</v>
      </c>
      <c r="AJ41" s="437">
        <f>+SBR!AN28+SBR!BB28</f>
        <v>275</v>
      </c>
      <c r="AK41" s="437">
        <f>+SBR!AO28+SBR!BC28</f>
        <v>4647.67</v>
      </c>
      <c r="AL41" s="437">
        <f>+SBR!AP28+SBR!BD28</f>
        <v>275</v>
      </c>
      <c r="AM41" s="437">
        <f>+SBR!AQ28+SBR!BE28</f>
        <v>275</v>
      </c>
      <c r="AN41" s="437">
        <f>+SBR!AR28+SBR!BF28</f>
        <v>275</v>
      </c>
      <c r="AO41" s="437">
        <f>+SBR!AS28+SBR!BG28</f>
        <v>275</v>
      </c>
      <c r="AP41" s="437">
        <f>+SBR!AT28+SBR!BH28</f>
        <v>275</v>
      </c>
      <c r="AQ41" s="437">
        <f>+SBR!AU28+SBR!BI28</f>
        <v>275</v>
      </c>
      <c r="AR41" s="437">
        <f>+SBR!AV28+SBR!BJ28</f>
        <v>14750.13</v>
      </c>
      <c r="AS41" s="437">
        <f>+SBR!AW28+SBR!BK28</f>
        <v>2078.06</v>
      </c>
      <c r="AX41" s="1308"/>
      <c r="AY41" s="1308"/>
      <c r="AZ41" s="1308"/>
    </row>
    <row r="42" spans="1:52" x14ac:dyDescent="0.2">
      <c r="A42" s="436" t="s">
        <v>1174</v>
      </c>
      <c r="B42" s="435">
        <f>SUM(J42:U42)</f>
        <v>12</v>
      </c>
      <c r="C42" s="1299">
        <f>SUM(V42:AG42)</f>
        <v>619842.69999999995</v>
      </c>
      <c r="D42" s="437">
        <f>SUM(AH42:AS42)</f>
        <v>176036.91824</v>
      </c>
      <c r="F42" s="1299">
        <f>SUM(V43:X43,AF43:AG43)</f>
        <v>3990.3999999999996</v>
      </c>
      <c r="I42" s="436" t="s">
        <v>1174</v>
      </c>
      <c r="J42" s="437">
        <f>+SBR!N66</f>
        <v>1</v>
      </c>
      <c r="K42" s="437">
        <f>+SBR!O66</f>
        <v>1</v>
      </c>
      <c r="L42" s="437">
        <f>+SBR!P66</f>
        <v>1</v>
      </c>
      <c r="M42" s="437">
        <f>+SBR!Q66</f>
        <v>1</v>
      </c>
      <c r="N42" s="437">
        <f>+SBR!R66</f>
        <v>1</v>
      </c>
      <c r="O42" s="437">
        <f>+SBR!S66</f>
        <v>1</v>
      </c>
      <c r="P42" s="437">
        <f>+SBR!T66</f>
        <v>1</v>
      </c>
      <c r="Q42" s="437">
        <f>+SBR!U66</f>
        <v>1</v>
      </c>
      <c r="R42" s="437">
        <f>+SBR!V66</f>
        <v>1</v>
      </c>
      <c r="S42" s="437">
        <f>+SBR!W66</f>
        <v>1</v>
      </c>
      <c r="T42" s="437">
        <f>+SBR!X66</f>
        <v>1</v>
      </c>
      <c r="U42" s="437">
        <f>+SBR!Y66</f>
        <v>1</v>
      </c>
      <c r="V42" s="1287">
        <f>+SBR!Z66</f>
        <v>60864.9</v>
      </c>
      <c r="W42" s="1287">
        <f>+SBR!AA66</f>
        <v>60457.7</v>
      </c>
      <c r="X42" s="1287">
        <f>+SBR!AB66</f>
        <v>57197.700000000012</v>
      </c>
      <c r="Y42" s="1287">
        <f>+SBR!AC66</f>
        <v>48871.6</v>
      </c>
      <c r="Z42" s="1287">
        <f>+SBR!AD66</f>
        <v>55350.3</v>
      </c>
      <c r="AA42" s="1287">
        <f>+SBR!AE66</f>
        <v>47513.1</v>
      </c>
      <c r="AB42" s="1287">
        <f>+SBR!AF66</f>
        <v>48970.8</v>
      </c>
      <c r="AC42" s="1287">
        <f>+SBR!AG66</f>
        <v>48698.6</v>
      </c>
      <c r="AD42" s="1287">
        <f>+SBR!AH66</f>
        <v>42584.800000000003</v>
      </c>
      <c r="AE42" s="1287">
        <f>+SBR!AI66</f>
        <v>35728</v>
      </c>
      <c r="AF42" s="1287">
        <f>+SBR!AJ66</f>
        <v>60355</v>
      </c>
      <c r="AG42" s="1287">
        <f>+SBR!AK66</f>
        <v>53250.2</v>
      </c>
      <c r="AH42" s="437">
        <f>+SBR!AL66</f>
        <v>15944.822629999999</v>
      </c>
      <c r="AI42" s="437">
        <f>+SBR!AM66</f>
        <v>14255.928829999997</v>
      </c>
      <c r="AJ42" s="437">
        <f>+SBR!AN66</f>
        <v>12843.933730000001</v>
      </c>
      <c r="AK42" s="437">
        <f>+SBR!AO66</f>
        <v>15976.487840000002</v>
      </c>
      <c r="AL42" s="437">
        <f>+SBR!AP66</f>
        <v>14862.41149</v>
      </c>
      <c r="AM42" s="437">
        <f>+SBR!AQ66</f>
        <v>16096.69226</v>
      </c>
      <c r="AN42" s="437">
        <f>+SBR!AR66</f>
        <v>14205.392669999999</v>
      </c>
      <c r="AO42" s="437">
        <f>+SBR!AS66</f>
        <v>12211.595340000002</v>
      </c>
      <c r="AP42" s="437">
        <f>+SBR!AT66</f>
        <v>12462.341640000001</v>
      </c>
      <c r="AQ42" s="437">
        <f>+SBR!AU66</f>
        <v>16440.52089</v>
      </c>
      <c r="AR42" s="437">
        <f>+SBR!AV66</f>
        <v>15172.81093</v>
      </c>
      <c r="AS42" s="437">
        <f>+SBR!AW66</f>
        <v>15563.97999</v>
      </c>
      <c r="AT42" s="435"/>
      <c r="AX42" s="1308"/>
      <c r="AY42" s="1308"/>
      <c r="AZ42" s="1308"/>
    </row>
    <row r="43" spans="1:52" x14ac:dyDescent="0.2">
      <c r="A43" s="436" t="s">
        <v>1175</v>
      </c>
      <c r="B43" s="435">
        <f>SUM(J43:U43)</f>
        <v>12</v>
      </c>
      <c r="C43" s="1299">
        <f>SUM(V43:AG43)</f>
        <v>4215.8999999999996</v>
      </c>
      <c r="D43" s="437">
        <f>SUM(AH43:AS43)</f>
        <v>23856.51</v>
      </c>
      <c r="I43" s="436" t="s">
        <v>1175</v>
      </c>
      <c r="J43" s="437">
        <f>+SBR!N29</f>
        <v>1</v>
      </c>
      <c r="K43" s="437">
        <f>+SBR!O29</f>
        <v>1</v>
      </c>
      <c r="L43" s="437">
        <f>+SBR!P29</f>
        <v>1</v>
      </c>
      <c r="M43" s="437">
        <f>+SBR!Q29</f>
        <v>1</v>
      </c>
      <c r="N43" s="437">
        <f>+SBR!R29</f>
        <v>1</v>
      </c>
      <c r="O43" s="437">
        <f>+SBR!S29</f>
        <v>1</v>
      </c>
      <c r="P43" s="437">
        <f>+SBR!T29</f>
        <v>1</v>
      </c>
      <c r="Q43" s="437">
        <f>+SBR!U29</f>
        <v>1</v>
      </c>
      <c r="R43" s="437">
        <f>+SBR!V29</f>
        <v>1</v>
      </c>
      <c r="S43" s="437">
        <f>+SBR!W29</f>
        <v>1</v>
      </c>
      <c r="T43" s="437">
        <f>+SBR!X29</f>
        <v>1</v>
      </c>
      <c r="U43" s="437">
        <f>+SBR!Y29</f>
        <v>1</v>
      </c>
      <c r="V43" s="1287">
        <f>+SBR!Z29</f>
        <v>428.1</v>
      </c>
      <c r="W43" s="1287">
        <f>+SBR!AA29</f>
        <v>1431.4</v>
      </c>
      <c r="X43" s="1287">
        <f>+SBR!AB29</f>
        <v>998.6</v>
      </c>
      <c r="Y43" s="1287">
        <f>+SBR!AC29</f>
        <v>0</v>
      </c>
      <c r="Z43" s="1287">
        <f>+SBR!AD29</f>
        <v>0</v>
      </c>
      <c r="AA43" s="1287">
        <f>+SBR!AE29</f>
        <v>0</v>
      </c>
      <c r="AB43" s="1287">
        <f>+SBR!AF29</f>
        <v>0</v>
      </c>
      <c r="AC43" s="1287">
        <f>+SBR!AG29</f>
        <v>154.69999999999999</v>
      </c>
      <c r="AD43" s="1287">
        <f>+SBR!AH29</f>
        <v>0</v>
      </c>
      <c r="AE43" s="1287">
        <f>+SBR!AI29</f>
        <v>70.8</v>
      </c>
      <c r="AF43" s="1287">
        <f>+SBR!AJ29</f>
        <v>752.3</v>
      </c>
      <c r="AG43" s="1287">
        <f>+SBR!AK29</f>
        <v>380</v>
      </c>
      <c r="AH43" s="437">
        <f>+SBR!AL29+SBR!AZ29</f>
        <v>2368.6999999999998</v>
      </c>
      <c r="AI43" s="437">
        <f>+SBR!AM29+SBR!BA29</f>
        <v>5109.13</v>
      </c>
      <c r="AJ43" s="437">
        <f>+SBR!AN29+SBR!BB29</f>
        <v>3575.78</v>
      </c>
      <c r="AK43" s="437">
        <f>+SBR!AO29+SBR!BC29</f>
        <v>781</v>
      </c>
      <c r="AL43" s="437">
        <f>+SBR!AP29+SBR!BD29</f>
        <v>781</v>
      </c>
      <c r="AM43" s="437">
        <f>+SBR!AQ29+SBR!BE29</f>
        <v>781</v>
      </c>
      <c r="AN43" s="437">
        <f>+SBR!AR29+SBR!BF29</f>
        <v>781</v>
      </c>
      <c r="AO43" s="437">
        <f>+SBR!AS29+SBR!BG29</f>
        <v>1695.55</v>
      </c>
      <c r="AP43" s="437">
        <f>+SBR!AT29+SBR!BH29</f>
        <v>781</v>
      </c>
      <c r="AQ43" s="437">
        <f>+SBR!AU29+SBR!BI29</f>
        <v>1150.46</v>
      </c>
      <c r="AR43" s="437">
        <f>+SBR!AV29+SBR!BJ29</f>
        <v>3848.2799999999997</v>
      </c>
      <c r="AS43" s="437">
        <f>+SBR!AW29+SBR!BK29</f>
        <v>2203.6099999999997</v>
      </c>
    </row>
    <row r="44" spans="1:52" x14ac:dyDescent="0.2">
      <c r="A44" s="436" t="s">
        <v>1176</v>
      </c>
      <c r="B44" s="435">
        <f>SUM(J44:U44)</f>
        <v>12</v>
      </c>
      <c r="C44" s="1299">
        <f>SUM(V44:AG44)</f>
        <v>195512.60000000003</v>
      </c>
      <c r="D44" s="437">
        <f>SUM(AH44:AS44)</f>
        <v>243704.74278000003</v>
      </c>
      <c r="F44" s="1299">
        <f>SUM(V44:X44,AF44:AG44)</f>
        <v>168624</v>
      </c>
      <c r="I44" s="436" t="s">
        <v>1176</v>
      </c>
      <c r="J44" s="437">
        <f>+SBR!N67</f>
        <v>1</v>
      </c>
      <c r="K44" s="437">
        <f>+SBR!O67</f>
        <v>1</v>
      </c>
      <c r="L44" s="437">
        <f>+SBR!P67</f>
        <v>1</v>
      </c>
      <c r="M44" s="437">
        <f>+SBR!Q67</f>
        <v>1</v>
      </c>
      <c r="N44" s="437">
        <f>+SBR!R67</f>
        <v>1</v>
      </c>
      <c r="O44" s="437">
        <f>+SBR!S67</f>
        <v>1</v>
      </c>
      <c r="P44" s="437">
        <f>+SBR!T67</f>
        <v>1</v>
      </c>
      <c r="Q44" s="437">
        <f>+SBR!U67</f>
        <v>1</v>
      </c>
      <c r="R44" s="437">
        <f>+SBR!V67</f>
        <v>1</v>
      </c>
      <c r="S44" s="437">
        <f>+SBR!W67</f>
        <v>1</v>
      </c>
      <c r="T44" s="437">
        <f>+SBR!X67</f>
        <v>1</v>
      </c>
      <c r="U44" s="437">
        <f>+SBR!Y67</f>
        <v>1</v>
      </c>
      <c r="V44" s="1287">
        <f>+SBR!Z67</f>
        <v>55023</v>
      </c>
      <c r="W44" s="1287">
        <f>+SBR!AA67</f>
        <v>41951</v>
      </c>
      <c r="X44" s="1287">
        <f>+SBR!AB67</f>
        <v>10915.999999999998</v>
      </c>
      <c r="Y44" s="1287">
        <f>+SBR!AC67</f>
        <v>11220.1</v>
      </c>
      <c r="Z44" s="1287">
        <f>+SBR!AD67</f>
        <v>5436.6</v>
      </c>
      <c r="AA44" s="1287">
        <f>+SBR!AE67</f>
        <v>1205.8</v>
      </c>
      <c r="AB44" s="1287">
        <f>+SBR!AF67</f>
        <v>637</v>
      </c>
      <c r="AC44" s="1287">
        <f>+SBR!AG67</f>
        <v>471.1</v>
      </c>
      <c r="AD44" s="1287">
        <f>+SBR!AH67</f>
        <v>258</v>
      </c>
      <c r="AE44" s="1287">
        <f>+SBR!AI67</f>
        <v>7660</v>
      </c>
      <c r="AF44" s="1287">
        <f>+SBR!AJ67</f>
        <v>18978</v>
      </c>
      <c r="AG44" s="1287">
        <f>+SBR!AK67</f>
        <v>41756</v>
      </c>
      <c r="AH44" s="437">
        <f>+SBR!AL67</f>
        <v>22803.14443</v>
      </c>
      <c r="AI44" s="437">
        <f>+SBR!AM67</f>
        <v>21872.3056</v>
      </c>
      <c r="AJ44" s="437">
        <f>+SBR!AN67</f>
        <v>19606.459200000001</v>
      </c>
      <c r="AK44" s="437">
        <f>+SBR!AO67</f>
        <v>20760.054070000002</v>
      </c>
      <c r="AL44" s="437">
        <f>+SBR!AP67</f>
        <v>19639.333859999999</v>
      </c>
      <c r="AM44" s="437">
        <f>+SBR!AQ67</f>
        <v>18915.795569999998</v>
      </c>
      <c r="AN44" s="437">
        <f>+SBR!AR67</f>
        <v>18674.296859999999</v>
      </c>
      <c r="AO44" s="437">
        <f>+SBR!AS67</f>
        <v>18592.212309999999</v>
      </c>
      <c r="AP44" s="437">
        <f>+SBR!AT67</f>
        <v>18652.986200000003</v>
      </c>
      <c r="AQ44" s="437">
        <f>+SBR!AU67</f>
        <v>20465.013050000001</v>
      </c>
      <c r="AR44" s="437">
        <f>+SBR!AV67</f>
        <v>21866.861549999998</v>
      </c>
      <c r="AS44" s="437">
        <f>+SBR!AW67</f>
        <v>21856.280079999997</v>
      </c>
      <c r="AT44" s="435"/>
    </row>
    <row r="45" spans="1:52" x14ac:dyDescent="0.2">
      <c r="A45" s="1301" t="s">
        <v>750</v>
      </c>
      <c r="B45" s="435">
        <f>SUM(J45:U45)</f>
        <v>24</v>
      </c>
      <c r="C45" s="1299">
        <f>SUM(V45:AG45)</f>
        <v>815355.3</v>
      </c>
      <c r="D45" s="437">
        <f>SUM(AH45:AS45)</f>
        <v>467549.03101999994</v>
      </c>
      <c r="F45" s="1299">
        <f>SUM(F42:F44)</f>
        <v>172614.39999999999</v>
      </c>
      <c r="I45" s="1301" t="s">
        <v>751</v>
      </c>
      <c r="J45" s="437">
        <f>J42+J44</f>
        <v>2</v>
      </c>
      <c r="K45" s="437">
        <f t="shared" ref="K45:U45" si="14">K42+K44</f>
        <v>2</v>
      </c>
      <c r="L45" s="437">
        <f t="shared" si="14"/>
        <v>2</v>
      </c>
      <c r="M45" s="437">
        <f t="shared" si="14"/>
        <v>2</v>
      </c>
      <c r="N45" s="437">
        <f t="shared" si="14"/>
        <v>2</v>
      </c>
      <c r="O45" s="437">
        <f t="shared" si="14"/>
        <v>2</v>
      </c>
      <c r="P45" s="437">
        <f t="shared" si="14"/>
        <v>2</v>
      </c>
      <c r="Q45" s="437">
        <f t="shared" si="14"/>
        <v>2</v>
      </c>
      <c r="R45" s="437">
        <f t="shared" si="14"/>
        <v>2</v>
      </c>
      <c r="S45" s="437">
        <f t="shared" si="14"/>
        <v>2</v>
      </c>
      <c r="T45" s="437">
        <f t="shared" si="14"/>
        <v>2</v>
      </c>
      <c r="U45" s="437">
        <f t="shared" si="14"/>
        <v>2</v>
      </c>
      <c r="V45" s="1287">
        <f>V42+V44</f>
        <v>115887.9</v>
      </c>
      <c r="W45" s="1287">
        <f t="shared" ref="W45:AG45" si="15">W42+W44</f>
        <v>102408.7</v>
      </c>
      <c r="X45" s="1287">
        <f t="shared" si="15"/>
        <v>68113.700000000012</v>
      </c>
      <c r="Y45" s="1287">
        <f t="shared" si="15"/>
        <v>60091.7</v>
      </c>
      <c r="Z45" s="1287">
        <f t="shared" si="15"/>
        <v>60786.9</v>
      </c>
      <c r="AA45" s="1287">
        <f t="shared" si="15"/>
        <v>48718.9</v>
      </c>
      <c r="AB45" s="1287">
        <f t="shared" si="15"/>
        <v>49607.8</v>
      </c>
      <c r="AC45" s="1287">
        <f t="shared" si="15"/>
        <v>49169.7</v>
      </c>
      <c r="AD45" s="1287">
        <f t="shared" si="15"/>
        <v>42842.8</v>
      </c>
      <c r="AE45" s="1287">
        <f t="shared" si="15"/>
        <v>43388</v>
      </c>
      <c r="AF45" s="1287">
        <f t="shared" si="15"/>
        <v>79333</v>
      </c>
      <c r="AG45" s="1287">
        <f t="shared" si="15"/>
        <v>95006.2</v>
      </c>
      <c r="AH45" s="437">
        <f t="shared" ref="AH45:AS45" si="16">SUM(AH41:AH44)</f>
        <v>41391.66706</v>
      </c>
      <c r="AI45" s="437">
        <f t="shared" si="16"/>
        <v>41512.364430000001</v>
      </c>
      <c r="AJ45" s="437">
        <f t="shared" si="16"/>
        <v>36301.172930000001</v>
      </c>
      <c r="AK45" s="437">
        <f t="shared" si="16"/>
        <v>42165.211909999998</v>
      </c>
      <c r="AL45" s="437">
        <f t="shared" si="16"/>
        <v>35557.745349999997</v>
      </c>
      <c r="AM45" s="437">
        <f t="shared" si="16"/>
        <v>36068.487829999998</v>
      </c>
      <c r="AN45" s="437">
        <f t="shared" si="16"/>
        <v>33935.689529999996</v>
      </c>
      <c r="AO45" s="437">
        <f t="shared" si="16"/>
        <v>32774.357649999998</v>
      </c>
      <c r="AP45" s="437">
        <f t="shared" si="16"/>
        <v>32171.327840000005</v>
      </c>
      <c r="AQ45" s="437">
        <f t="shared" si="16"/>
        <v>38330.99394</v>
      </c>
      <c r="AR45" s="437">
        <f t="shared" si="16"/>
        <v>55638.082479999997</v>
      </c>
      <c r="AS45" s="437">
        <f t="shared" si="16"/>
        <v>41701.930070000002</v>
      </c>
    </row>
    <row r="46" spans="1:52" x14ac:dyDescent="0.2">
      <c r="AB46" s="1287"/>
      <c r="AC46" s="1287"/>
      <c r="AN46" s="437"/>
      <c r="AO46" s="437"/>
      <c r="AP46" s="437"/>
      <c r="AQ46" s="437"/>
      <c r="AR46" s="437"/>
      <c r="AS46" s="437"/>
    </row>
    <row r="47" spans="1:52" x14ac:dyDescent="0.2">
      <c r="A47" s="1301" t="s">
        <v>752</v>
      </c>
      <c r="B47" s="435">
        <f>SUM(J47:U47)</f>
        <v>0</v>
      </c>
      <c r="C47" s="1299">
        <f>SUM(V47:AG47)</f>
        <v>0</v>
      </c>
      <c r="D47" s="437">
        <f>SUM(AH47:AS47)</f>
        <v>0</v>
      </c>
      <c r="F47" s="1299"/>
      <c r="I47" s="1301" t="s">
        <v>753</v>
      </c>
      <c r="J47" s="437">
        <v>0</v>
      </c>
      <c r="K47" s="437">
        <v>0</v>
      </c>
      <c r="L47" s="437">
        <v>0</v>
      </c>
      <c r="M47" s="437">
        <v>0</v>
      </c>
      <c r="N47" s="437">
        <v>0</v>
      </c>
      <c r="O47" s="437">
        <v>0</v>
      </c>
      <c r="P47" s="437">
        <v>0</v>
      </c>
      <c r="Q47" s="437">
        <v>0</v>
      </c>
      <c r="R47" s="437">
        <v>0</v>
      </c>
      <c r="S47" s="437">
        <v>0</v>
      </c>
      <c r="T47" s="437">
        <v>0</v>
      </c>
      <c r="U47" s="437">
        <v>0</v>
      </c>
      <c r="V47" s="437">
        <v>0</v>
      </c>
      <c r="W47" s="437">
        <v>0</v>
      </c>
      <c r="X47" s="437">
        <v>0</v>
      </c>
      <c r="Y47" s="437">
        <v>0</v>
      </c>
      <c r="Z47" s="437">
        <v>0</v>
      </c>
      <c r="AA47" s="437">
        <v>0</v>
      </c>
      <c r="AB47" s="437">
        <v>0</v>
      </c>
      <c r="AC47" s="437">
        <v>0</v>
      </c>
      <c r="AD47" s="437">
        <v>0</v>
      </c>
      <c r="AE47" s="437">
        <v>0</v>
      </c>
      <c r="AF47" s="437">
        <v>0</v>
      </c>
      <c r="AG47" s="437">
        <v>0</v>
      </c>
      <c r="AH47" s="437">
        <v>0</v>
      </c>
      <c r="AI47" s="437">
        <v>0</v>
      </c>
      <c r="AJ47" s="437">
        <v>0</v>
      </c>
      <c r="AK47" s="437">
        <v>0</v>
      </c>
      <c r="AL47" s="437">
        <v>0</v>
      </c>
      <c r="AM47" s="437">
        <v>0</v>
      </c>
      <c r="AN47" s="437">
        <v>0</v>
      </c>
      <c r="AO47" s="437">
        <v>0</v>
      </c>
      <c r="AP47" s="437">
        <v>0</v>
      </c>
      <c r="AQ47" s="437">
        <v>0</v>
      </c>
      <c r="AR47" s="437">
        <v>0</v>
      </c>
      <c r="AS47" s="437">
        <v>0</v>
      </c>
    </row>
    <row r="48" spans="1:52" x14ac:dyDescent="0.2">
      <c r="F48" s="1299"/>
      <c r="AB48" s="1287"/>
      <c r="AC48" s="1287"/>
      <c r="AN48" s="437"/>
      <c r="AO48" s="437"/>
      <c r="AP48" s="437"/>
      <c r="AQ48" s="437"/>
      <c r="AR48" s="437"/>
      <c r="AS48" s="437"/>
    </row>
    <row r="49" spans="1:46" x14ac:dyDescent="0.2">
      <c r="A49" s="1301" t="s">
        <v>754</v>
      </c>
      <c r="B49" s="435">
        <f>SUM(J49:U49)</f>
        <v>3805476</v>
      </c>
      <c r="C49" s="1299">
        <f>SUM(V49:AG49)</f>
        <v>39416421.000000007</v>
      </c>
      <c r="D49" s="437">
        <f ca="1">SUM(AH49:AS49)</f>
        <v>279479120.29471999</v>
      </c>
      <c r="E49" s="437"/>
      <c r="F49" s="1299">
        <f>F6+F10+F14+F18+F26+F45</f>
        <v>24529927.800000001</v>
      </c>
      <c r="I49" s="1301" t="s">
        <v>755</v>
      </c>
      <c r="J49" s="437">
        <f t="shared" ref="J49:AS49" si="17">J6+J10+J14+J18+J27+J39+J45+J47+J33</f>
        <v>320590</v>
      </c>
      <c r="K49" s="437">
        <f t="shared" si="17"/>
        <v>318061</v>
      </c>
      <c r="L49" s="437">
        <f t="shared" si="17"/>
        <v>318345</v>
      </c>
      <c r="M49" s="437">
        <f t="shared" si="17"/>
        <v>317917</v>
      </c>
      <c r="N49" s="437">
        <f t="shared" si="17"/>
        <v>317141</v>
      </c>
      <c r="O49" s="437">
        <f t="shared" si="17"/>
        <v>317214</v>
      </c>
      <c r="P49" s="437">
        <f t="shared" si="17"/>
        <v>315422</v>
      </c>
      <c r="Q49" s="437">
        <f t="shared" si="17"/>
        <v>317856</v>
      </c>
      <c r="R49" s="437">
        <f t="shared" si="17"/>
        <v>316600</v>
      </c>
      <c r="S49" s="437">
        <f t="shared" si="17"/>
        <v>315866</v>
      </c>
      <c r="T49" s="437">
        <f t="shared" si="17"/>
        <v>312252</v>
      </c>
      <c r="U49" s="437">
        <f t="shared" si="17"/>
        <v>318212</v>
      </c>
      <c r="V49" s="1287">
        <f t="shared" si="17"/>
        <v>6605894.6000000015</v>
      </c>
      <c r="W49" s="1287">
        <f t="shared" si="17"/>
        <v>6235447.7000000002</v>
      </c>
      <c r="X49" s="1287">
        <f t="shared" si="17"/>
        <v>4520176.9000000004</v>
      </c>
      <c r="Y49" s="1287">
        <f t="shared" si="17"/>
        <v>3518654</v>
      </c>
      <c r="Z49" s="1287">
        <f t="shared" si="17"/>
        <v>2356705.5</v>
      </c>
      <c r="AA49" s="1287">
        <f t="shared" si="17"/>
        <v>1770117.7999999998</v>
      </c>
      <c r="AB49" s="1287">
        <f t="shared" si="17"/>
        <v>1547419.0000000002</v>
      </c>
      <c r="AC49" s="1287">
        <f t="shared" si="17"/>
        <v>1574488.2999999998</v>
      </c>
      <c r="AD49" s="1287">
        <f t="shared" si="17"/>
        <v>1585736.5000000002</v>
      </c>
      <c r="AE49" s="1287">
        <f t="shared" si="17"/>
        <v>2004243.8</v>
      </c>
      <c r="AF49" s="1287">
        <f t="shared" si="17"/>
        <v>3002364.5</v>
      </c>
      <c r="AG49" s="1287">
        <f t="shared" si="17"/>
        <v>4695172.4000000004</v>
      </c>
      <c r="AH49" s="437">
        <f t="shared" ca="1" si="17"/>
        <v>46438654.87275999</v>
      </c>
      <c r="AI49" s="437">
        <f t="shared" ca="1" si="17"/>
        <v>42901928.719020002</v>
      </c>
      <c r="AJ49" s="437">
        <f t="shared" ca="1" si="17"/>
        <v>31920439.857490003</v>
      </c>
      <c r="AK49" s="437">
        <f t="shared" ca="1" si="17"/>
        <v>26299476.49791</v>
      </c>
      <c r="AL49" s="437">
        <f t="shared" ca="1" si="17"/>
        <v>17137605.414049998</v>
      </c>
      <c r="AM49" s="437">
        <f t="shared" ca="1" si="17"/>
        <v>13174040.99766</v>
      </c>
      <c r="AN49" s="437">
        <f t="shared" ca="1" si="17"/>
        <v>11169449.475720001</v>
      </c>
      <c r="AO49" s="437">
        <f t="shared" ca="1" si="17"/>
        <v>11205750.516209999</v>
      </c>
      <c r="AP49" s="437">
        <f t="shared" ca="1" si="17"/>
        <v>11376364.427240001</v>
      </c>
      <c r="AQ49" s="437">
        <f t="shared" ca="1" si="17"/>
        <v>13678063.538179997</v>
      </c>
      <c r="AR49" s="437">
        <f t="shared" ca="1" si="17"/>
        <v>21205011.308549993</v>
      </c>
      <c r="AS49" s="437">
        <f t="shared" ca="1" si="17"/>
        <v>32972334.669930007</v>
      </c>
    </row>
    <row r="50" spans="1:46" x14ac:dyDescent="0.2">
      <c r="B50" s="435">
        <f>B6+B10+B14+B18+B27+B39+B45+B47+B33</f>
        <v>3805476</v>
      </c>
      <c r="C50" s="1299">
        <f>C6+C10+C14+C18+C27+C39+C45+C47+C33</f>
        <v>39416420.999999993</v>
      </c>
      <c r="D50" s="435">
        <f ca="1">D6+D10+D14+D18+D27+D39+D45+D47+D33</f>
        <v>279479120.29471999</v>
      </c>
      <c r="E50" s="435"/>
      <c r="AS50" s="435">
        <f ca="1">SUM(AH49:AS49)</f>
        <v>279479120.29471999</v>
      </c>
    </row>
    <row r="51" spans="1:46" x14ac:dyDescent="0.2">
      <c r="B51" s="437">
        <f>SUM(B5:B5)+SUM(B8:B9)+SUM(B12:B13)+SUM(B16:B17)+SUM(B23:B25)+B39+B42+B44+B47+B33</f>
        <v>3805476</v>
      </c>
      <c r="C51" s="1299">
        <f>SUM(C5:C5)+SUM(C8:C9)+SUM(C12:C13)+SUM(C16:C17)+SUM(C23:C25)+C39+C42+C44+C47+C33+C21</f>
        <v>39416421</v>
      </c>
      <c r="D51" s="435">
        <f ca="1">SUM(D5:D5)+SUM(D8:D9)+SUM(D12:D13)+SUM(D16:D17)+SUM(D23:D25)+D39+SUM(D41:D44)+D47+D33+D21</f>
        <v>279479120.29471999</v>
      </c>
      <c r="E51" s="437"/>
      <c r="AS51" s="435">
        <v>428839711</v>
      </c>
      <c r="AT51" s="435">
        <f ca="1">+AS51-AS50</f>
        <v>149360590.70528001</v>
      </c>
    </row>
    <row r="52" spans="1:46" x14ac:dyDescent="0.2">
      <c r="D52" s="435">
        <f ca="1">+D50-D51</f>
        <v>0</v>
      </c>
    </row>
  </sheetData>
  <mergeCells count="1">
    <mergeCell ref="B2:D2"/>
  </mergeCells>
  <pageMargins left="0.25" right="0.25" top="1.04" bottom="0.5" header="0.56999999999999995" footer="0.2"/>
  <pageSetup scale="19" pageOrder="overThenDown" orientation="landscape" r:id="rId1"/>
  <headerFooter alignWithMargins="0">
    <oddHeader>&amp;L&amp;12LOUISVILLE GAS AND ELECTRIC COMPANY
SUMMARY OF GAS SALES AND TRANSPORTATION BILLING DETERMINANTS AND REVENUES
12 MONTHS ENDED SEPTEMBER 30, 2003</oddHeader>
    <oddFooter>&amp;C&amp;12Gas Sales and Transportation Billing Determinants and Revenues
12 Mos. Ended September 30, 2003&amp;R&amp;12
Page &amp;P of 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5" tint="0.39997558519241921"/>
  </sheetPr>
  <dimension ref="A1:BL85"/>
  <sheetViews>
    <sheetView zoomScale="70" zoomScaleNormal="70" workbookViewId="0"/>
  </sheetViews>
  <sheetFormatPr defaultColWidth="14.28515625" defaultRowHeight="12.75" x14ac:dyDescent="0.2"/>
  <cols>
    <col min="1" max="1" width="16.28515625" style="572" customWidth="1"/>
    <col min="2" max="2" width="48.140625" style="572" customWidth="1"/>
    <col min="3" max="3" width="15.85546875" style="590" bestFit="1" customWidth="1"/>
    <col min="4" max="4" width="14.85546875" style="1214" bestFit="1" customWidth="1"/>
    <col min="5" max="5" width="14.7109375" style="590" bestFit="1" customWidth="1"/>
    <col min="6" max="6" width="2.7109375" style="590" customWidth="1"/>
    <col min="7" max="7" width="15.7109375" style="590" bestFit="1" customWidth="1"/>
    <col min="8" max="8" width="14.7109375" style="1214" bestFit="1" customWidth="1"/>
    <col min="9" max="9" width="14.140625" style="590" bestFit="1" customWidth="1"/>
    <col min="10" max="10" width="2.7109375" style="590" customWidth="1"/>
    <col min="11" max="11" width="15.7109375" style="590" bestFit="1" customWidth="1"/>
    <col min="12" max="12" width="13.7109375" style="1214" bestFit="1" customWidth="1"/>
    <col min="13" max="13" width="13.42578125" style="590" bestFit="1" customWidth="1"/>
    <col min="14" max="24" width="10.5703125" style="585" bestFit="1" customWidth="1"/>
    <col min="25" max="25" width="11" style="585" bestFit="1" customWidth="1"/>
    <col min="26" max="26" width="16.5703125" style="583" customWidth="1"/>
    <col min="27" max="27" width="14.42578125" style="583" customWidth="1"/>
    <col min="28" max="28" width="13.28515625" style="583" bestFit="1" customWidth="1"/>
    <col min="29" max="29" width="13.42578125" style="583" bestFit="1" customWidth="1"/>
    <col min="30" max="30" width="13" style="583" customWidth="1"/>
    <col min="31" max="31" width="11.5703125" style="583" customWidth="1"/>
    <col min="32" max="32" width="13.140625" style="583" customWidth="1"/>
    <col min="33" max="34" width="11.5703125" style="583" customWidth="1"/>
    <col min="35" max="35" width="12.42578125" style="583" customWidth="1"/>
    <col min="36" max="36" width="13.5703125" style="583" customWidth="1"/>
    <col min="37" max="37" width="13.140625" style="583" bestFit="1" customWidth="1"/>
    <col min="38" max="38" width="18.85546875" style="585" customWidth="1"/>
    <col min="39" max="39" width="16" style="590" customWidth="1"/>
    <col min="40" max="40" width="15" style="585" customWidth="1"/>
    <col min="41" max="41" width="13.85546875" style="590" customWidth="1"/>
    <col min="42" max="42" width="15.42578125" style="590" customWidth="1"/>
    <col min="43" max="43" width="15.28515625" style="590" customWidth="1"/>
    <col min="44" max="44" width="17.140625" style="590" customWidth="1"/>
    <col min="45" max="45" width="15.42578125" style="590" customWidth="1"/>
    <col min="46" max="46" width="18" style="590" customWidth="1"/>
    <col min="47" max="47" width="16.5703125" style="590" customWidth="1"/>
    <col min="48" max="48" width="14.140625" style="590" bestFit="1" customWidth="1"/>
    <col min="49" max="49" width="16.85546875" style="590" customWidth="1"/>
    <col min="50" max="50" width="14.85546875" style="572" bestFit="1" customWidth="1"/>
    <col min="51" max="51" width="15.7109375" style="572" customWidth="1"/>
    <col min="52" max="63" width="11.85546875" style="572" customWidth="1"/>
    <col min="64" max="64" width="12.85546875" style="572" customWidth="1"/>
    <col min="65" max="74" width="8.85546875" style="572" customWidth="1"/>
    <col min="75" max="75" width="30.28515625" style="572" bestFit="1" customWidth="1"/>
    <col min="76" max="76" width="20.7109375" style="572" customWidth="1"/>
    <col min="77" max="77" width="13.42578125" style="572" customWidth="1"/>
    <col min="78" max="78" width="8.85546875" style="572" customWidth="1"/>
    <col min="79" max="79" width="11.7109375" style="572" bestFit="1" customWidth="1"/>
    <col min="80" max="247" width="8.85546875" style="572" customWidth="1"/>
    <col min="248" max="248" width="29.7109375" style="572" customWidth="1"/>
    <col min="249" max="251" width="14.28515625" style="572" customWidth="1"/>
    <col min="252" max="252" width="2.7109375" style="572" customWidth="1"/>
    <col min="253" max="256" width="14.28515625" style="572"/>
    <col min="257" max="257" width="9.28515625" style="572" bestFit="1" customWidth="1"/>
    <col min="258" max="258" width="48.140625" style="572" customWidth="1"/>
    <col min="259" max="259" width="15.85546875" style="572" bestFit="1" customWidth="1"/>
    <col min="260" max="260" width="14.85546875" style="572" bestFit="1" customWidth="1"/>
    <col min="261" max="261" width="14.7109375" style="572" bestFit="1" customWidth="1"/>
    <col min="262" max="262" width="2.7109375" style="572" customWidth="1"/>
    <col min="263" max="263" width="15.85546875" style="572" bestFit="1" customWidth="1"/>
    <col min="264" max="265" width="14.5703125" style="572" bestFit="1" customWidth="1"/>
    <col min="266" max="266" width="2.7109375" style="572" customWidth="1"/>
    <col min="267" max="267" width="15.7109375" style="572" bestFit="1" customWidth="1"/>
    <col min="268" max="268" width="13.7109375" style="572" bestFit="1" customWidth="1"/>
    <col min="269" max="269" width="13.42578125" style="572" bestFit="1" customWidth="1"/>
    <col min="270" max="280" width="10.5703125" style="572" bestFit="1" customWidth="1"/>
    <col min="281" max="281" width="13.5703125" style="572" customWidth="1"/>
    <col min="282" max="282" width="16.5703125" style="572" customWidth="1"/>
    <col min="283" max="283" width="14.42578125" style="572" customWidth="1"/>
    <col min="284" max="284" width="13.28515625" style="572" bestFit="1" customWidth="1"/>
    <col min="285" max="285" width="13.42578125" style="572" bestFit="1" customWidth="1"/>
    <col min="286" max="286" width="13" style="572" customWidth="1"/>
    <col min="287" max="287" width="11.5703125" style="572" customWidth="1"/>
    <col min="288" max="288" width="13.140625" style="572" customWidth="1"/>
    <col min="289" max="290" width="11.5703125" style="572" customWidth="1"/>
    <col min="291" max="291" width="12.42578125" style="572" customWidth="1"/>
    <col min="292" max="292" width="13.5703125" style="572" customWidth="1"/>
    <col min="293" max="293" width="13.140625" style="572" bestFit="1" customWidth="1"/>
    <col min="294" max="294" width="18.85546875" style="572" customWidth="1"/>
    <col min="295" max="296" width="14.140625" style="572" customWidth="1"/>
    <col min="297" max="297" width="13.85546875" style="572" customWidth="1"/>
    <col min="298" max="298" width="14.140625" style="572" customWidth="1"/>
    <col min="299" max="299" width="13.7109375" style="572" customWidth="1"/>
    <col min="300" max="300" width="17.140625" style="572" customWidth="1"/>
    <col min="301" max="301" width="15.42578125" style="572" customWidth="1"/>
    <col min="302" max="302" width="18" style="572" customWidth="1"/>
    <col min="303" max="303" width="13.7109375" style="572" bestFit="1" customWidth="1"/>
    <col min="304" max="304" width="14.140625" style="572" bestFit="1" customWidth="1"/>
    <col min="305" max="305" width="14" style="572" bestFit="1" customWidth="1"/>
    <col min="306" max="306" width="14.85546875" style="572" bestFit="1" customWidth="1"/>
    <col min="307" max="307" width="15.7109375" style="572" customWidth="1"/>
    <col min="308" max="308" width="5.85546875" style="572" customWidth="1"/>
    <col min="309" max="309" width="9.28515625" style="572" customWidth="1"/>
    <col min="310" max="310" width="14.85546875" style="572" customWidth="1"/>
    <col min="311" max="311" width="12.85546875" style="572" bestFit="1" customWidth="1"/>
    <col min="312" max="312" width="12.85546875" style="572" customWidth="1"/>
    <col min="313" max="330" width="8.85546875" style="572" customWidth="1"/>
    <col min="331" max="331" width="30.28515625" style="572" bestFit="1" customWidth="1"/>
    <col min="332" max="332" width="20.7109375" style="572" customWidth="1"/>
    <col min="333" max="333" width="13.42578125" style="572" customWidth="1"/>
    <col min="334" max="334" width="8.85546875" style="572" customWidth="1"/>
    <col min="335" max="335" width="11.7109375" style="572" bestFit="1" customWidth="1"/>
    <col min="336" max="503" width="8.85546875" style="572" customWidth="1"/>
    <col min="504" max="504" width="29.7109375" style="572" customWidth="1"/>
    <col min="505" max="507" width="14.28515625" style="572" customWidth="1"/>
    <col min="508" max="508" width="2.7109375" style="572" customWidth="1"/>
    <col min="509" max="512" width="14.28515625" style="572"/>
    <col min="513" max="513" width="9.28515625" style="572" bestFit="1" customWidth="1"/>
    <col min="514" max="514" width="48.140625" style="572" customWidth="1"/>
    <col min="515" max="515" width="15.85546875" style="572" bestFit="1" customWidth="1"/>
    <col min="516" max="516" width="14.85546875" style="572" bestFit="1" customWidth="1"/>
    <col min="517" max="517" width="14.7109375" style="572" bestFit="1" customWidth="1"/>
    <col min="518" max="518" width="2.7109375" style="572" customWidth="1"/>
    <col min="519" max="519" width="15.85546875" style="572" bestFit="1" customWidth="1"/>
    <col min="520" max="521" width="14.5703125" style="572" bestFit="1" customWidth="1"/>
    <col min="522" max="522" width="2.7109375" style="572" customWidth="1"/>
    <col min="523" max="523" width="15.7109375" style="572" bestFit="1" customWidth="1"/>
    <col min="524" max="524" width="13.7109375" style="572" bestFit="1" customWidth="1"/>
    <col min="525" max="525" width="13.42578125" style="572" bestFit="1" customWidth="1"/>
    <col min="526" max="536" width="10.5703125" style="572" bestFit="1" customWidth="1"/>
    <col min="537" max="537" width="13.5703125" style="572" customWidth="1"/>
    <col min="538" max="538" width="16.5703125" style="572" customWidth="1"/>
    <col min="539" max="539" width="14.42578125" style="572" customWidth="1"/>
    <col min="540" max="540" width="13.28515625" style="572" bestFit="1" customWidth="1"/>
    <col min="541" max="541" width="13.42578125" style="572" bestFit="1" customWidth="1"/>
    <col min="542" max="542" width="13" style="572" customWidth="1"/>
    <col min="543" max="543" width="11.5703125" style="572" customWidth="1"/>
    <col min="544" max="544" width="13.140625" style="572" customWidth="1"/>
    <col min="545" max="546" width="11.5703125" style="572" customWidth="1"/>
    <col min="547" max="547" width="12.42578125" style="572" customWidth="1"/>
    <col min="548" max="548" width="13.5703125" style="572" customWidth="1"/>
    <col min="549" max="549" width="13.140625" style="572" bestFit="1" customWidth="1"/>
    <col min="550" max="550" width="18.85546875" style="572" customWidth="1"/>
    <col min="551" max="552" width="14.140625" style="572" customWidth="1"/>
    <col min="553" max="553" width="13.85546875" style="572" customWidth="1"/>
    <col min="554" max="554" width="14.140625" style="572" customWidth="1"/>
    <col min="555" max="555" width="13.7109375" style="572" customWidth="1"/>
    <col min="556" max="556" width="17.140625" style="572" customWidth="1"/>
    <col min="557" max="557" width="15.42578125" style="572" customWidth="1"/>
    <col min="558" max="558" width="18" style="572" customWidth="1"/>
    <col min="559" max="559" width="13.7109375" style="572" bestFit="1" customWidth="1"/>
    <col min="560" max="560" width="14.140625" style="572" bestFit="1" customWidth="1"/>
    <col min="561" max="561" width="14" style="572" bestFit="1" customWidth="1"/>
    <col min="562" max="562" width="14.85546875" style="572" bestFit="1" customWidth="1"/>
    <col min="563" max="563" width="15.7109375" style="572" customWidth="1"/>
    <col min="564" max="564" width="5.85546875" style="572" customWidth="1"/>
    <col min="565" max="565" width="9.28515625" style="572" customWidth="1"/>
    <col min="566" max="566" width="14.85546875" style="572" customWidth="1"/>
    <col min="567" max="567" width="12.85546875" style="572" bestFit="1" customWidth="1"/>
    <col min="568" max="568" width="12.85546875" style="572" customWidth="1"/>
    <col min="569" max="586" width="8.85546875" style="572" customWidth="1"/>
    <col min="587" max="587" width="30.28515625" style="572" bestFit="1" customWidth="1"/>
    <col min="588" max="588" width="20.7109375" style="572" customWidth="1"/>
    <col min="589" max="589" width="13.42578125" style="572" customWidth="1"/>
    <col min="590" max="590" width="8.85546875" style="572" customWidth="1"/>
    <col min="591" max="591" width="11.7109375" style="572" bestFit="1" customWidth="1"/>
    <col min="592" max="759" width="8.85546875" style="572" customWidth="1"/>
    <col min="760" max="760" width="29.7109375" style="572" customWidth="1"/>
    <col min="761" max="763" width="14.28515625" style="572" customWidth="1"/>
    <col min="764" max="764" width="2.7109375" style="572" customWidth="1"/>
    <col min="765" max="768" width="14.28515625" style="572"/>
    <col min="769" max="769" width="9.28515625" style="572" bestFit="1" customWidth="1"/>
    <col min="770" max="770" width="48.140625" style="572" customWidth="1"/>
    <col min="771" max="771" width="15.85546875" style="572" bestFit="1" customWidth="1"/>
    <col min="772" max="772" width="14.85546875" style="572" bestFit="1" customWidth="1"/>
    <col min="773" max="773" width="14.7109375" style="572" bestFit="1" customWidth="1"/>
    <col min="774" max="774" width="2.7109375" style="572" customWidth="1"/>
    <col min="775" max="775" width="15.85546875" style="572" bestFit="1" customWidth="1"/>
    <col min="776" max="777" width="14.5703125" style="572" bestFit="1" customWidth="1"/>
    <col min="778" max="778" width="2.7109375" style="572" customWidth="1"/>
    <col min="779" max="779" width="15.7109375" style="572" bestFit="1" customWidth="1"/>
    <col min="780" max="780" width="13.7109375" style="572" bestFit="1" customWidth="1"/>
    <col min="781" max="781" width="13.42578125" style="572" bestFit="1" customWidth="1"/>
    <col min="782" max="792" width="10.5703125" style="572" bestFit="1" customWidth="1"/>
    <col min="793" max="793" width="13.5703125" style="572" customWidth="1"/>
    <col min="794" max="794" width="16.5703125" style="572" customWidth="1"/>
    <col min="795" max="795" width="14.42578125" style="572" customWidth="1"/>
    <col min="796" max="796" width="13.28515625" style="572" bestFit="1" customWidth="1"/>
    <col min="797" max="797" width="13.42578125" style="572" bestFit="1" customWidth="1"/>
    <col min="798" max="798" width="13" style="572" customWidth="1"/>
    <col min="799" max="799" width="11.5703125" style="572" customWidth="1"/>
    <col min="800" max="800" width="13.140625" style="572" customWidth="1"/>
    <col min="801" max="802" width="11.5703125" style="572" customWidth="1"/>
    <col min="803" max="803" width="12.42578125" style="572" customWidth="1"/>
    <col min="804" max="804" width="13.5703125" style="572" customWidth="1"/>
    <col min="805" max="805" width="13.140625" style="572" bestFit="1" customWidth="1"/>
    <col min="806" max="806" width="18.85546875" style="572" customWidth="1"/>
    <col min="807" max="808" width="14.140625" style="572" customWidth="1"/>
    <col min="809" max="809" width="13.85546875" style="572" customWidth="1"/>
    <col min="810" max="810" width="14.140625" style="572" customWidth="1"/>
    <col min="811" max="811" width="13.7109375" style="572" customWidth="1"/>
    <col min="812" max="812" width="17.140625" style="572" customWidth="1"/>
    <col min="813" max="813" width="15.42578125" style="572" customWidth="1"/>
    <col min="814" max="814" width="18" style="572" customWidth="1"/>
    <col min="815" max="815" width="13.7109375" style="572" bestFit="1" customWidth="1"/>
    <col min="816" max="816" width="14.140625" style="572" bestFit="1" customWidth="1"/>
    <col min="817" max="817" width="14" style="572" bestFit="1" customWidth="1"/>
    <col min="818" max="818" width="14.85546875" style="572" bestFit="1" customWidth="1"/>
    <col min="819" max="819" width="15.7109375" style="572" customWidth="1"/>
    <col min="820" max="820" width="5.85546875" style="572" customWidth="1"/>
    <col min="821" max="821" width="9.28515625" style="572" customWidth="1"/>
    <col min="822" max="822" width="14.85546875" style="572" customWidth="1"/>
    <col min="823" max="823" width="12.85546875" style="572" bestFit="1" customWidth="1"/>
    <col min="824" max="824" width="12.85546875" style="572" customWidth="1"/>
    <col min="825" max="842" width="8.85546875" style="572" customWidth="1"/>
    <col min="843" max="843" width="30.28515625" style="572" bestFit="1" customWidth="1"/>
    <col min="844" max="844" width="20.7109375" style="572" customWidth="1"/>
    <col min="845" max="845" width="13.42578125" style="572" customWidth="1"/>
    <col min="846" max="846" width="8.85546875" style="572" customWidth="1"/>
    <col min="847" max="847" width="11.7109375" style="572" bestFit="1" customWidth="1"/>
    <col min="848" max="1015" width="8.85546875" style="572" customWidth="1"/>
    <col min="1016" max="1016" width="29.7109375" style="572" customWidth="1"/>
    <col min="1017" max="1019" width="14.28515625" style="572" customWidth="1"/>
    <col min="1020" max="1020" width="2.7109375" style="572" customWidth="1"/>
    <col min="1021" max="1024" width="14.28515625" style="572"/>
    <col min="1025" max="1025" width="9.28515625" style="572" bestFit="1" customWidth="1"/>
    <col min="1026" max="1026" width="48.140625" style="572" customWidth="1"/>
    <col min="1027" max="1027" width="15.85546875" style="572" bestFit="1" customWidth="1"/>
    <col min="1028" max="1028" width="14.85546875" style="572" bestFit="1" customWidth="1"/>
    <col min="1029" max="1029" width="14.7109375" style="572" bestFit="1" customWidth="1"/>
    <col min="1030" max="1030" width="2.7109375" style="572" customWidth="1"/>
    <col min="1031" max="1031" width="15.85546875" style="572" bestFit="1" customWidth="1"/>
    <col min="1032" max="1033" width="14.5703125" style="572" bestFit="1" customWidth="1"/>
    <col min="1034" max="1034" width="2.7109375" style="572" customWidth="1"/>
    <col min="1035" max="1035" width="15.7109375" style="572" bestFit="1" customWidth="1"/>
    <col min="1036" max="1036" width="13.7109375" style="572" bestFit="1" customWidth="1"/>
    <col min="1037" max="1037" width="13.42578125" style="572" bestFit="1" customWidth="1"/>
    <col min="1038" max="1048" width="10.5703125" style="572" bestFit="1" customWidth="1"/>
    <col min="1049" max="1049" width="13.5703125" style="572" customWidth="1"/>
    <col min="1050" max="1050" width="16.5703125" style="572" customWidth="1"/>
    <col min="1051" max="1051" width="14.42578125" style="572" customWidth="1"/>
    <col min="1052" max="1052" width="13.28515625" style="572" bestFit="1" customWidth="1"/>
    <col min="1053" max="1053" width="13.42578125" style="572" bestFit="1" customWidth="1"/>
    <col min="1054" max="1054" width="13" style="572" customWidth="1"/>
    <col min="1055" max="1055" width="11.5703125" style="572" customWidth="1"/>
    <col min="1056" max="1056" width="13.140625" style="572" customWidth="1"/>
    <col min="1057" max="1058" width="11.5703125" style="572" customWidth="1"/>
    <col min="1059" max="1059" width="12.42578125" style="572" customWidth="1"/>
    <col min="1060" max="1060" width="13.5703125" style="572" customWidth="1"/>
    <col min="1061" max="1061" width="13.140625" style="572" bestFit="1" customWidth="1"/>
    <col min="1062" max="1062" width="18.85546875" style="572" customWidth="1"/>
    <col min="1063" max="1064" width="14.140625" style="572" customWidth="1"/>
    <col min="1065" max="1065" width="13.85546875" style="572" customWidth="1"/>
    <col min="1066" max="1066" width="14.140625" style="572" customWidth="1"/>
    <col min="1067" max="1067" width="13.7109375" style="572" customWidth="1"/>
    <col min="1068" max="1068" width="17.140625" style="572" customWidth="1"/>
    <col min="1069" max="1069" width="15.42578125" style="572" customWidth="1"/>
    <col min="1070" max="1070" width="18" style="572" customWidth="1"/>
    <col min="1071" max="1071" width="13.7109375" style="572" bestFit="1" customWidth="1"/>
    <col min="1072" max="1072" width="14.140625" style="572" bestFit="1" customWidth="1"/>
    <col min="1073" max="1073" width="14" style="572" bestFit="1" customWidth="1"/>
    <col min="1074" max="1074" width="14.85546875" style="572" bestFit="1" customWidth="1"/>
    <col min="1075" max="1075" width="15.7109375" style="572" customWidth="1"/>
    <col min="1076" max="1076" width="5.85546875" style="572" customWidth="1"/>
    <col min="1077" max="1077" width="9.28515625" style="572" customWidth="1"/>
    <col min="1078" max="1078" width="14.85546875" style="572" customWidth="1"/>
    <col min="1079" max="1079" width="12.85546875" style="572" bestFit="1" customWidth="1"/>
    <col min="1080" max="1080" width="12.85546875" style="572" customWidth="1"/>
    <col min="1081" max="1098" width="8.85546875" style="572" customWidth="1"/>
    <col min="1099" max="1099" width="30.28515625" style="572" bestFit="1" customWidth="1"/>
    <col min="1100" max="1100" width="20.7109375" style="572" customWidth="1"/>
    <col min="1101" max="1101" width="13.42578125" style="572" customWidth="1"/>
    <col min="1102" max="1102" width="8.85546875" style="572" customWidth="1"/>
    <col min="1103" max="1103" width="11.7109375" style="572" bestFit="1" customWidth="1"/>
    <col min="1104" max="1271" width="8.85546875" style="572" customWidth="1"/>
    <col min="1272" max="1272" width="29.7109375" style="572" customWidth="1"/>
    <col min="1273" max="1275" width="14.28515625" style="572" customWidth="1"/>
    <col min="1276" max="1276" width="2.7109375" style="572" customWidth="1"/>
    <col min="1277" max="1280" width="14.28515625" style="572"/>
    <col min="1281" max="1281" width="9.28515625" style="572" bestFit="1" customWidth="1"/>
    <col min="1282" max="1282" width="48.140625" style="572" customWidth="1"/>
    <col min="1283" max="1283" width="15.85546875" style="572" bestFit="1" customWidth="1"/>
    <col min="1284" max="1284" width="14.85546875" style="572" bestFit="1" customWidth="1"/>
    <col min="1285" max="1285" width="14.7109375" style="572" bestFit="1" customWidth="1"/>
    <col min="1286" max="1286" width="2.7109375" style="572" customWidth="1"/>
    <col min="1287" max="1287" width="15.85546875" style="572" bestFit="1" customWidth="1"/>
    <col min="1288" max="1289" width="14.5703125" style="572" bestFit="1" customWidth="1"/>
    <col min="1290" max="1290" width="2.7109375" style="572" customWidth="1"/>
    <col min="1291" max="1291" width="15.7109375" style="572" bestFit="1" customWidth="1"/>
    <col min="1292" max="1292" width="13.7109375" style="572" bestFit="1" customWidth="1"/>
    <col min="1293" max="1293" width="13.42578125" style="572" bestFit="1" customWidth="1"/>
    <col min="1294" max="1304" width="10.5703125" style="572" bestFit="1" customWidth="1"/>
    <col min="1305" max="1305" width="13.5703125" style="572" customWidth="1"/>
    <col min="1306" max="1306" width="16.5703125" style="572" customWidth="1"/>
    <col min="1307" max="1307" width="14.42578125" style="572" customWidth="1"/>
    <col min="1308" max="1308" width="13.28515625" style="572" bestFit="1" customWidth="1"/>
    <col min="1309" max="1309" width="13.42578125" style="572" bestFit="1" customWidth="1"/>
    <col min="1310" max="1310" width="13" style="572" customWidth="1"/>
    <col min="1311" max="1311" width="11.5703125" style="572" customWidth="1"/>
    <col min="1312" max="1312" width="13.140625" style="572" customWidth="1"/>
    <col min="1313" max="1314" width="11.5703125" style="572" customWidth="1"/>
    <col min="1315" max="1315" width="12.42578125" style="572" customWidth="1"/>
    <col min="1316" max="1316" width="13.5703125" style="572" customWidth="1"/>
    <col min="1317" max="1317" width="13.140625" style="572" bestFit="1" customWidth="1"/>
    <col min="1318" max="1318" width="18.85546875" style="572" customWidth="1"/>
    <col min="1319" max="1320" width="14.140625" style="572" customWidth="1"/>
    <col min="1321" max="1321" width="13.85546875" style="572" customWidth="1"/>
    <col min="1322" max="1322" width="14.140625" style="572" customWidth="1"/>
    <col min="1323" max="1323" width="13.7109375" style="572" customWidth="1"/>
    <col min="1324" max="1324" width="17.140625" style="572" customWidth="1"/>
    <col min="1325" max="1325" width="15.42578125" style="572" customWidth="1"/>
    <col min="1326" max="1326" width="18" style="572" customWidth="1"/>
    <col min="1327" max="1327" width="13.7109375" style="572" bestFit="1" customWidth="1"/>
    <col min="1328" max="1328" width="14.140625" style="572" bestFit="1" customWidth="1"/>
    <col min="1329" max="1329" width="14" style="572" bestFit="1" customWidth="1"/>
    <col min="1330" max="1330" width="14.85546875" style="572" bestFit="1" customWidth="1"/>
    <col min="1331" max="1331" width="15.7109375" style="572" customWidth="1"/>
    <col min="1332" max="1332" width="5.85546875" style="572" customWidth="1"/>
    <col min="1333" max="1333" width="9.28515625" style="572" customWidth="1"/>
    <col min="1334" max="1334" width="14.85546875" style="572" customWidth="1"/>
    <col min="1335" max="1335" width="12.85546875" style="572" bestFit="1" customWidth="1"/>
    <col min="1336" max="1336" width="12.85546875" style="572" customWidth="1"/>
    <col min="1337" max="1354" width="8.85546875" style="572" customWidth="1"/>
    <col min="1355" max="1355" width="30.28515625" style="572" bestFit="1" customWidth="1"/>
    <col min="1356" max="1356" width="20.7109375" style="572" customWidth="1"/>
    <col min="1357" max="1357" width="13.42578125" style="572" customWidth="1"/>
    <col min="1358" max="1358" width="8.85546875" style="572" customWidth="1"/>
    <col min="1359" max="1359" width="11.7109375" style="572" bestFit="1" customWidth="1"/>
    <col min="1360" max="1527" width="8.85546875" style="572" customWidth="1"/>
    <col min="1528" max="1528" width="29.7109375" style="572" customWidth="1"/>
    <col min="1529" max="1531" width="14.28515625" style="572" customWidth="1"/>
    <col min="1532" max="1532" width="2.7109375" style="572" customWidth="1"/>
    <col min="1533" max="1536" width="14.28515625" style="572"/>
    <col min="1537" max="1537" width="9.28515625" style="572" bestFit="1" customWidth="1"/>
    <col min="1538" max="1538" width="48.140625" style="572" customWidth="1"/>
    <col min="1539" max="1539" width="15.85546875" style="572" bestFit="1" customWidth="1"/>
    <col min="1540" max="1540" width="14.85546875" style="572" bestFit="1" customWidth="1"/>
    <col min="1541" max="1541" width="14.7109375" style="572" bestFit="1" customWidth="1"/>
    <col min="1542" max="1542" width="2.7109375" style="572" customWidth="1"/>
    <col min="1543" max="1543" width="15.85546875" style="572" bestFit="1" customWidth="1"/>
    <col min="1544" max="1545" width="14.5703125" style="572" bestFit="1" customWidth="1"/>
    <col min="1546" max="1546" width="2.7109375" style="572" customWidth="1"/>
    <col min="1547" max="1547" width="15.7109375" style="572" bestFit="1" customWidth="1"/>
    <col min="1548" max="1548" width="13.7109375" style="572" bestFit="1" customWidth="1"/>
    <col min="1549" max="1549" width="13.42578125" style="572" bestFit="1" customWidth="1"/>
    <col min="1550" max="1560" width="10.5703125" style="572" bestFit="1" customWidth="1"/>
    <col min="1561" max="1561" width="13.5703125" style="572" customWidth="1"/>
    <col min="1562" max="1562" width="16.5703125" style="572" customWidth="1"/>
    <col min="1563" max="1563" width="14.42578125" style="572" customWidth="1"/>
    <col min="1564" max="1564" width="13.28515625" style="572" bestFit="1" customWidth="1"/>
    <col min="1565" max="1565" width="13.42578125" style="572" bestFit="1" customWidth="1"/>
    <col min="1566" max="1566" width="13" style="572" customWidth="1"/>
    <col min="1567" max="1567" width="11.5703125" style="572" customWidth="1"/>
    <col min="1568" max="1568" width="13.140625" style="572" customWidth="1"/>
    <col min="1569" max="1570" width="11.5703125" style="572" customWidth="1"/>
    <col min="1571" max="1571" width="12.42578125" style="572" customWidth="1"/>
    <col min="1572" max="1572" width="13.5703125" style="572" customWidth="1"/>
    <col min="1573" max="1573" width="13.140625" style="572" bestFit="1" customWidth="1"/>
    <col min="1574" max="1574" width="18.85546875" style="572" customWidth="1"/>
    <col min="1575" max="1576" width="14.140625" style="572" customWidth="1"/>
    <col min="1577" max="1577" width="13.85546875" style="572" customWidth="1"/>
    <col min="1578" max="1578" width="14.140625" style="572" customWidth="1"/>
    <col min="1579" max="1579" width="13.7109375" style="572" customWidth="1"/>
    <col min="1580" max="1580" width="17.140625" style="572" customWidth="1"/>
    <col min="1581" max="1581" width="15.42578125" style="572" customWidth="1"/>
    <col min="1582" max="1582" width="18" style="572" customWidth="1"/>
    <col min="1583" max="1583" width="13.7109375" style="572" bestFit="1" customWidth="1"/>
    <col min="1584" max="1584" width="14.140625" style="572" bestFit="1" customWidth="1"/>
    <col min="1585" max="1585" width="14" style="572" bestFit="1" customWidth="1"/>
    <col min="1586" max="1586" width="14.85546875" style="572" bestFit="1" customWidth="1"/>
    <col min="1587" max="1587" width="15.7109375" style="572" customWidth="1"/>
    <col min="1588" max="1588" width="5.85546875" style="572" customWidth="1"/>
    <col min="1589" max="1589" width="9.28515625" style="572" customWidth="1"/>
    <col min="1590" max="1590" width="14.85546875" style="572" customWidth="1"/>
    <col min="1591" max="1591" width="12.85546875" style="572" bestFit="1" customWidth="1"/>
    <col min="1592" max="1592" width="12.85546875" style="572" customWidth="1"/>
    <col min="1593" max="1610" width="8.85546875" style="572" customWidth="1"/>
    <col min="1611" max="1611" width="30.28515625" style="572" bestFit="1" customWidth="1"/>
    <col min="1612" max="1612" width="20.7109375" style="572" customWidth="1"/>
    <col min="1613" max="1613" width="13.42578125" style="572" customWidth="1"/>
    <col min="1614" max="1614" width="8.85546875" style="572" customWidth="1"/>
    <col min="1615" max="1615" width="11.7109375" style="572" bestFit="1" customWidth="1"/>
    <col min="1616" max="1783" width="8.85546875" style="572" customWidth="1"/>
    <col min="1784" max="1784" width="29.7109375" style="572" customWidth="1"/>
    <col min="1785" max="1787" width="14.28515625" style="572" customWidth="1"/>
    <col min="1788" max="1788" width="2.7109375" style="572" customWidth="1"/>
    <col min="1789" max="1792" width="14.28515625" style="572"/>
    <col min="1793" max="1793" width="9.28515625" style="572" bestFit="1" customWidth="1"/>
    <col min="1794" max="1794" width="48.140625" style="572" customWidth="1"/>
    <col min="1795" max="1795" width="15.85546875" style="572" bestFit="1" customWidth="1"/>
    <col min="1796" max="1796" width="14.85546875" style="572" bestFit="1" customWidth="1"/>
    <col min="1797" max="1797" width="14.7109375" style="572" bestFit="1" customWidth="1"/>
    <col min="1798" max="1798" width="2.7109375" style="572" customWidth="1"/>
    <col min="1799" max="1799" width="15.85546875" style="572" bestFit="1" customWidth="1"/>
    <col min="1800" max="1801" width="14.5703125" style="572" bestFit="1" customWidth="1"/>
    <col min="1802" max="1802" width="2.7109375" style="572" customWidth="1"/>
    <col min="1803" max="1803" width="15.7109375" style="572" bestFit="1" customWidth="1"/>
    <col min="1804" max="1804" width="13.7109375" style="572" bestFit="1" customWidth="1"/>
    <col min="1805" max="1805" width="13.42578125" style="572" bestFit="1" customWidth="1"/>
    <col min="1806" max="1816" width="10.5703125" style="572" bestFit="1" customWidth="1"/>
    <col min="1817" max="1817" width="13.5703125" style="572" customWidth="1"/>
    <col min="1818" max="1818" width="16.5703125" style="572" customWidth="1"/>
    <col min="1819" max="1819" width="14.42578125" style="572" customWidth="1"/>
    <col min="1820" max="1820" width="13.28515625" style="572" bestFit="1" customWidth="1"/>
    <col min="1821" max="1821" width="13.42578125" style="572" bestFit="1" customWidth="1"/>
    <col min="1822" max="1822" width="13" style="572" customWidth="1"/>
    <col min="1823" max="1823" width="11.5703125" style="572" customWidth="1"/>
    <col min="1824" max="1824" width="13.140625" style="572" customWidth="1"/>
    <col min="1825" max="1826" width="11.5703125" style="572" customWidth="1"/>
    <col min="1827" max="1827" width="12.42578125" style="572" customWidth="1"/>
    <col min="1828" max="1828" width="13.5703125" style="572" customWidth="1"/>
    <col min="1829" max="1829" width="13.140625" style="572" bestFit="1" customWidth="1"/>
    <col min="1830" max="1830" width="18.85546875" style="572" customWidth="1"/>
    <col min="1831" max="1832" width="14.140625" style="572" customWidth="1"/>
    <col min="1833" max="1833" width="13.85546875" style="572" customWidth="1"/>
    <col min="1834" max="1834" width="14.140625" style="572" customWidth="1"/>
    <col min="1835" max="1835" width="13.7109375" style="572" customWidth="1"/>
    <col min="1836" max="1836" width="17.140625" style="572" customWidth="1"/>
    <col min="1837" max="1837" width="15.42578125" style="572" customWidth="1"/>
    <col min="1838" max="1838" width="18" style="572" customWidth="1"/>
    <col min="1839" max="1839" width="13.7109375" style="572" bestFit="1" customWidth="1"/>
    <col min="1840" max="1840" width="14.140625" style="572" bestFit="1" customWidth="1"/>
    <col min="1841" max="1841" width="14" style="572" bestFit="1" customWidth="1"/>
    <col min="1842" max="1842" width="14.85546875" style="572" bestFit="1" customWidth="1"/>
    <col min="1843" max="1843" width="15.7109375" style="572" customWidth="1"/>
    <col min="1844" max="1844" width="5.85546875" style="572" customWidth="1"/>
    <col min="1845" max="1845" width="9.28515625" style="572" customWidth="1"/>
    <col min="1846" max="1846" width="14.85546875" style="572" customWidth="1"/>
    <col min="1847" max="1847" width="12.85546875" style="572" bestFit="1" customWidth="1"/>
    <col min="1848" max="1848" width="12.85546875" style="572" customWidth="1"/>
    <col min="1849" max="1866" width="8.85546875" style="572" customWidth="1"/>
    <col min="1867" max="1867" width="30.28515625" style="572" bestFit="1" customWidth="1"/>
    <col min="1868" max="1868" width="20.7109375" style="572" customWidth="1"/>
    <col min="1869" max="1869" width="13.42578125" style="572" customWidth="1"/>
    <col min="1870" max="1870" width="8.85546875" style="572" customWidth="1"/>
    <col min="1871" max="1871" width="11.7109375" style="572" bestFit="1" customWidth="1"/>
    <col min="1872" max="2039" width="8.85546875" style="572" customWidth="1"/>
    <col min="2040" max="2040" width="29.7109375" style="572" customWidth="1"/>
    <col min="2041" max="2043" width="14.28515625" style="572" customWidth="1"/>
    <col min="2044" max="2044" width="2.7109375" style="572" customWidth="1"/>
    <col min="2045" max="2048" width="14.28515625" style="572"/>
    <col min="2049" max="2049" width="9.28515625" style="572" bestFit="1" customWidth="1"/>
    <col min="2050" max="2050" width="48.140625" style="572" customWidth="1"/>
    <col min="2051" max="2051" width="15.85546875" style="572" bestFit="1" customWidth="1"/>
    <col min="2052" max="2052" width="14.85546875" style="572" bestFit="1" customWidth="1"/>
    <col min="2053" max="2053" width="14.7109375" style="572" bestFit="1" customWidth="1"/>
    <col min="2054" max="2054" width="2.7109375" style="572" customWidth="1"/>
    <col min="2055" max="2055" width="15.85546875" style="572" bestFit="1" customWidth="1"/>
    <col min="2056" max="2057" width="14.5703125" style="572" bestFit="1" customWidth="1"/>
    <col min="2058" max="2058" width="2.7109375" style="572" customWidth="1"/>
    <col min="2059" max="2059" width="15.7109375" style="572" bestFit="1" customWidth="1"/>
    <col min="2060" max="2060" width="13.7109375" style="572" bestFit="1" customWidth="1"/>
    <col min="2061" max="2061" width="13.42578125" style="572" bestFit="1" customWidth="1"/>
    <col min="2062" max="2072" width="10.5703125" style="572" bestFit="1" customWidth="1"/>
    <col min="2073" max="2073" width="13.5703125" style="572" customWidth="1"/>
    <col min="2074" max="2074" width="16.5703125" style="572" customWidth="1"/>
    <col min="2075" max="2075" width="14.42578125" style="572" customWidth="1"/>
    <col min="2076" max="2076" width="13.28515625" style="572" bestFit="1" customWidth="1"/>
    <col min="2077" max="2077" width="13.42578125" style="572" bestFit="1" customWidth="1"/>
    <col min="2078" max="2078" width="13" style="572" customWidth="1"/>
    <col min="2079" max="2079" width="11.5703125" style="572" customWidth="1"/>
    <col min="2080" max="2080" width="13.140625" style="572" customWidth="1"/>
    <col min="2081" max="2082" width="11.5703125" style="572" customWidth="1"/>
    <col min="2083" max="2083" width="12.42578125" style="572" customWidth="1"/>
    <col min="2084" max="2084" width="13.5703125" style="572" customWidth="1"/>
    <col min="2085" max="2085" width="13.140625" style="572" bestFit="1" customWidth="1"/>
    <col min="2086" max="2086" width="18.85546875" style="572" customWidth="1"/>
    <col min="2087" max="2088" width="14.140625" style="572" customWidth="1"/>
    <col min="2089" max="2089" width="13.85546875" style="572" customWidth="1"/>
    <col min="2090" max="2090" width="14.140625" style="572" customWidth="1"/>
    <col min="2091" max="2091" width="13.7109375" style="572" customWidth="1"/>
    <col min="2092" max="2092" width="17.140625" style="572" customWidth="1"/>
    <col min="2093" max="2093" width="15.42578125" style="572" customWidth="1"/>
    <col min="2094" max="2094" width="18" style="572" customWidth="1"/>
    <col min="2095" max="2095" width="13.7109375" style="572" bestFit="1" customWidth="1"/>
    <col min="2096" max="2096" width="14.140625" style="572" bestFit="1" customWidth="1"/>
    <col min="2097" max="2097" width="14" style="572" bestFit="1" customWidth="1"/>
    <col min="2098" max="2098" width="14.85546875" style="572" bestFit="1" customWidth="1"/>
    <col min="2099" max="2099" width="15.7109375" style="572" customWidth="1"/>
    <col min="2100" max="2100" width="5.85546875" style="572" customWidth="1"/>
    <col min="2101" max="2101" width="9.28515625" style="572" customWidth="1"/>
    <col min="2102" max="2102" width="14.85546875" style="572" customWidth="1"/>
    <col min="2103" max="2103" width="12.85546875" style="572" bestFit="1" customWidth="1"/>
    <col min="2104" max="2104" width="12.85546875" style="572" customWidth="1"/>
    <col min="2105" max="2122" width="8.85546875" style="572" customWidth="1"/>
    <col min="2123" max="2123" width="30.28515625" style="572" bestFit="1" customWidth="1"/>
    <col min="2124" max="2124" width="20.7109375" style="572" customWidth="1"/>
    <col min="2125" max="2125" width="13.42578125" style="572" customWidth="1"/>
    <col min="2126" max="2126" width="8.85546875" style="572" customWidth="1"/>
    <col min="2127" max="2127" width="11.7109375" style="572" bestFit="1" customWidth="1"/>
    <col min="2128" max="2295" width="8.85546875" style="572" customWidth="1"/>
    <col min="2296" max="2296" width="29.7109375" style="572" customWidth="1"/>
    <col min="2297" max="2299" width="14.28515625" style="572" customWidth="1"/>
    <col min="2300" max="2300" width="2.7109375" style="572" customWidth="1"/>
    <col min="2301" max="2304" width="14.28515625" style="572"/>
    <col min="2305" max="2305" width="9.28515625" style="572" bestFit="1" customWidth="1"/>
    <col min="2306" max="2306" width="48.140625" style="572" customWidth="1"/>
    <col min="2307" max="2307" width="15.85546875" style="572" bestFit="1" customWidth="1"/>
    <col min="2308" max="2308" width="14.85546875" style="572" bestFit="1" customWidth="1"/>
    <col min="2309" max="2309" width="14.7109375" style="572" bestFit="1" customWidth="1"/>
    <col min="2310" max="2310" width="2.7109375" style="572" customWidth="1"/>
    <col min="2311" max="2311" width="15.85546875" style="572" bestFit="1" customWidth="1"/>
    <col min="2312" max="2313" width="14.5703125" style="572" bestFit="1" customWidth="1"/>
    <col min="2314" max="2314" width="2.7109375" style="572" customWidth="1"/>
    <col min="2315" max="2315" width="15.7109375" style="572" bestFit="1" customWidth="1"/>
    <col min="2316" max="2316" width="13.7109375" style="572" bestFit="1" customWidth="1"/>
    <col min="2317" max="2317" width="13.42578125" style="572" bestFit="1" customWidth="1"/>
    <col min="2318" max="2328" width="10.5703125" style="572" bestFit="1" customWidth="1"/>
    <col min="2329" max="2329" width="13.5703125" style="572" customWidth="1"/>
    <col min="2330" max="2330" width="16.5703125" style="572" customWidth="1"/>
    <col min="2331" max="2331" width="14.42578125" style="572" customWidth="1"/>
    <col min="2332" max="2332" width="13.28515625" style="572" bestFit="1" customWidth="1"/>
    <col min="2333" max="2333" width="13.42578125" style="572" bestFit="1" customWidth="1"/>
    <col min="2334" max="2334" width="13" style="572" customWidth="1"/>
    <col min="2335" max="2335" width="11.5703125" style="572" customWidth="1"/>
    <col min="2336" max="2336" width="13.140625" style="572" customWidth="1"/>
    <col min="2337" max="2338" width="11.5703125" style="572" customWidth="1"/>
    <col min="2339" max="2339" width="12.42578125" style="572" customWidth="1"/>
    <col min="2340" max="2340" width="13.5703125" style="572" customWidth="1"/>
    <col min="2341" max="2341" width="13.140625" style="572" bestFit="1" customWidth="1"/>
    <col min="2342" max="2342" width="18.85546875" style="572" customWidth="1"/>
    <col min="2343" max="2344" width="14.140625" style="572" customWidth="1"/>
    <col min="2345" max="2345" width="13.85546875" style="572" customWidth="1"/>
    <col min="2346" max="2346" width="14.140625" style="572" customWidth="1"/>
    <col min="2347" max="2347" width="13.7109375" style="572" customWidth="1"/>
    <col min="2348" max="2348" width="17.140625" style="572" customWidth="1"/>
    <col min="2349" max="2349" width="15.42578125" style="572" customWidth="1"/>
    <col min="2350" max="2350" width="18" style="572" customWidth="1"/>
    <col min="2351" max="2351" width="13.7109375" style="572" bestFit="1" customWidth="1"/>
    <col min="2352" max="2352" width="14.140625" style="572" bestFit="1" customWidth="1"/>
    <col min="2353" max="2353" width="14" style="572" bestFit="1" customWidth="1"/>
    <col min="2354" max="2354" width="14.85546875" style="572" bestFit="1" customWidth="1"/>
    <col min="2355" max="2355" width="15.7109375" style="572" customWidth="1"/>
    <col min="2356" max="2356" width="5.85546875" style="572" customWidth="1"/>
    <col min="2357" max="2357" width="9.28515625" style="572" customWidth="1"/>
    <col min="2358" max="2358" width="14.85546875" style="572" customWidth="1"/>
    <col min="2359" max="2359" width="12.85546875" style="572" bestFit="1" customWidth="1"/>
    <col min="2360" max="2360" width="12.85546875" style="572" customWidth="1"/>
    <col min="2361" max="2378" width="8.85546875" style="572" customWidth="1"/>
    <col min="2379" max="2379" width="30.28515625" style="572" bestFit="1" customWidth="1"/>
    <col min="2380" max="2380" width="20.7109375" style="572" customWidth="1"/>
    <col min="2381" max="2381" width="13.42578125" style="572" customWidth="1"/>
    <col min="2382" max="2382" width="8.85546875" style="572" customWidth="1"/>
    <col min="2383" max="2383" width="11.7109375" style="572" bestFit="1" customWidth="1"/>
    <col min="2384" max="2551" width="8.85546875" style="572" customWidth="1"/>
    <col min="2552" max="2552" width="29.7109375" style="572" customWidth="1"/>
    <col min="2553" max="2555" width="14.28515625" style="572" customWidth="1"/>
    <col min="2556" max="2556" width="2.7109375" style="572" customWidth="1"/>
    <col min="2557" max="2560" width="14.28515625" style="572"/>
    <col min="2561" max="2561" width="9.28515625" style="572" bestFit="1" customWidth="1"/>
    <col min="2562" max="2562" width="48.140625" style="572" customWidth="1"/>
    <col min="2563" max="2563" width="15.85546875" style="572" bestFit="1" customWidth="1"/>
    <col min="2564" max="2564" width="14.85546875" style="572" bestFit="1" customWidth="1"/>
    <col min="2565" max="2565" width="14.7109375" style="572" bestFit="1" customWidth="1"/>
    <col min="2566" max="2566" width="2.7109375" style="572" customWidth="1"/>
    <col min="2567" max="2567" width="15.85546875" style="572" bestFit="1" customWidth="1"/>
    <col min="2568" max="2569" width="14.5703125" style="572" bestFit="1" customWidth="1"/>
    <col min="2570" max="2570" width="2.7109375" style="572" customWidth="1"/>
    <col min="2571" max="2571" width="15.7109375" style="572" bestFit="1" customWidth="1"/>
    <col min="2572" max="2572" width="13.7109375" style="572" bestFit="1" customWidth="1"/>
    <col min="2573" max="2573" width="13.42578125" style="572" bestFit="1" customWidth="1"/>
    <col min="2574" max="2584" width="10.5703125" style="572" bestFit="1" customWidth="1"/>
    <col min="2585" max="2585" width="13.5703125" style="572" customWidth="1"/>
    <col min="2586" max="2586" width="16.5703125" style="572" customWidth="1"/>
    <col min="2587" max="2587" width="14.42578125" style="572" customWidth="1"/>
    <col min="2588" max="2588" width="13.28515625" style="572" bestFit="1" customWidth="1"/>
    <col min="2589" max="2589" width="13.42578125" style="572" bestFit="1" customWidth="1"/>
    <col min="2590" max="2590" width="13" style="572" customWidth="1"/>
    <col min="2591" max="2591" width="11.5703125" style="572" customWidth="1"/>
    <col min="2592" max="2592" width="13.140625" style="572" customWidth="1"/>
    <col min="2593" max="2594" width="11.5703125" style="572" customWidth="1"/>
    <col min="2595" max="2595" width="12.42578125" style="572" customWidth="1"/>
    <col min="2596" max="2596" width="13.5703125" style="572" customWidth="1"/>
    <col min="2597" max="2597" width="13.140625" style="572" bestFit="1" customWidth="1"/>
    <col min="2598" max="2598" width="18.85546875" style="572" customWidth="1"/>
    <col min="2599" max="2600" width="14.140625" style="572" customWidth="1"/>
    <col min="2601" max="2601" width="13.85546875" style="572" customWidth="1"/>
    <col min="2602" max="2602" width="14.140625" style="572" customWidth="1"/>
    <col min="2603" max="2603" width="13.7109375" style="572" customWidth="1"/>
    <col min="2604" max="2604" width="17.140625" style="572" customWidth="1"/>
    <col min="2605" max="2605" width="15.42578125" style="572" customWidth="1"/>
    <col min="2606" max="2606" width="18" style="572" customWidth="1"/>
    <col min="2607" max="2607" width="13.7109375" style="572" bestFit="1" customWidth="1"/>
    <col min="2608" max="2608" width="14.140625" style="572" bestFit="1" customWidth="1"/>
    <col min="2609" max="2609" width="14" style="572" bestFit="1" customWidth="1"/>
    <col min="2610" max="2610" width="14.85546875" style="572" bestFit="1" customWidth="1"/>
    <col min="2611" max="2611" width="15.7109375" style="572" customWidth="1"/>
    <col min="2612" max="2612" width="5.85546875" style="572" customWidth="1"/>
    <col min="2613" max="2613" width="9.28515625" style="572" customWidth="1"/>
    <col min="2614" max="2614" width="14.85546875" style="572" customWidth="1"/>
    <col min="2615" max="2615" width="12.85546875" style="572" bestFit="1" customWidth="1"/>
    <col min="2616" max="2616" width="12.85546875" style="572" customWidth="1"/>
    <col min="2617" max="2634" width="8.85546875" style="572" customWidth="1"/>
    <col min="2635" max="2635" width="30.28515625" style="572" bestFit="1" customWidth="1"/>
    <col min="2636" max="2636" width="20.7109375" style="572" customWidth="1"/>
    <col min="2637" max="2637" width="13.42578125" style="572" customWidth="1"/>
    <col min="2638" max="2638" width="8.85546875" style="572" customWidth="1"/>
    <col min="2639" max="2639" width="11.7109375" style="572" bestFit="1" customWidth="1"/>
    <col min="2640" max="2807" width="8.85546875" style="572" customWidth="1"/>
    <col min="2808" max="2808" width="29.7109375" style="572" customWidth="1"/>
    <col min="2809" max="2811" width="14.28515625" style="572" customWidth="1"/>
    <col min="2812" max="2812" width="2.7109375" style="572" customWidth="1"/>
    <col min="2813" max="2816" width="14.28515625" style="572"/>
    <col min="2817" max="2817" width="9.28515625" style="572" bestFit="1" customWidth="1"/>
    <col min="2818" max="2818" width="48.140625" style="572" customWidth="1"/>
    <col min="2819" max="2819" width="15.85546875" style="572" bestFit="1" customWidth="1"/>
    <col min="2820" max="2820" width="14.85546875" style="572" bestFit="1" customWidth="1"/>
    <col min="2821" max="2821" width="14.7109375" style="572" bestFit="1" customWidth="1"/>
    <col min="2822" max="2822" width="2.7109375" style="572" customWidth="1"/>
    <col min="2823" max="2823" width="15.85546875" style="572" bestFit="1" customWidth="1"/>
    <col min="2824" max="2825" width="14.5703125" style="572" bestFit="1" customWidth="1"/>
    <col min="2826" max="2826" width="2.7109375" style="572" customWidth="1"/>
    <col min="2827" max="2827" width="15.7109375" style="572" bestFit="1" customWidth="1"/>
    <col min="2828" max="2828" width="13.7109375" style="572" bestFit="1" customWidth="1"/>
    <col min="2829" max="2829" width="13.42578125" style="572" bestFit="1" customWidth="1"/>
    <col min="2830" max="2840" width="10.5703125" style="572" bestFit="1" customWidth="1"/>
    <col min="2841" max="2841" width="13.5703125" style="572" customWidth="1"/>
    <col min="2842" max="2842" width="16.5703125" style="572" customWidth="1"/>
    <col min="2843" max="2843" width="14.42578125" style="572" customWidth="1"/>
    <col min="2844" max="2844" width="13.28515625" style="572" bestFit="1" customWidth="1"/>
    <col min="2845" max="2845" width="13.42578125" style="572" bestFit="1" customWidth="1"/>
    <col min="2846" max="2846" width="13" style="572" customWidth="1"/>
    <col min="2847" max="2847" width="11.5703125" style="572" customWidth="1"/>
    <col min="2848" max="2848" width="13.140625" style="572" customWidth="1"/>
    <col min="2849" max="2850" width="11.5703125" style="572" customWidth="1"/>
    <col min="2851" max="2851" width="12.42578125" style="572" customWidth="1"/>
    <col min="2852" max="2852" width="13.5703125" style="572" customWidth="1"/>
    <col min="2853" max="2853" width="13.140625" style="572" bestFit="1" customWidth="1"/>
    <col min="2854" max="2854" width="18.85546875" style="572" customWidth="1"/>
    <col min="2855" max="2856" width="14.140625" style="572" customWidth="1"/>
    <col min="2857" max="2857" width="13.85546875" style="572" customWidth="1"/>
    <col min="2858" max="2858" width="14.140625" style="572" customWidth="1"/>
    <col min="2859" max="2859" width="13.7109375" style="572" customWidth="1"/>
    <col min="2860" max="2860" width="17.140625" style="572" customWidth="1"/>
    <col min="2861" max="2861" width="15.42578125" style="572" customWidth="1"/>
    <col min="2862" max="2862" width="18" style="572" customWidth="1"/>
    <col min="2863" max="2863" width="13.7109375" style="572" bestFit="1" customWidth="1"/>
    <col min="2864" max="2864" width="14.140625" style="572" bestFit="1" customWidth="1"/>
    <col min="2865" max="2865" width="14" style="572" bestFit="1" customWidth="1"/>
    <col min="2866" max="2866" width="14.85546875" style="572" bestFit="1" customWidth="1"/>
    <col min="2867" max="2867" width="15.7109375" style="572" customWidth="1"/>
    <col min="2868" max="2868" width="5.85546875" style="572" customWidth="1"/>
    <col min="2869" max="2869" width="9.28515625" style="572" customWidth="1"/>
    <col min="2870" max="2870" width="14.85546875" style="572" customWidth="1"/>
    <col min="2871" max="2871" width="12.85546875" style="572" bestFit="1" customWidth="1"/>
    <col min="2872" max="2872" width="12.85546875" style="572" customWidth="1"/>
    <col min="2873" max="2890" width="8.85546875" style="572" customWidth="1"/>
    <col min="2891" max="2891" width="30.28515625" style="572" bestFit="1" customWidth="1"/>
    <col min="2892" max="2892" width="20.7109375" style="572" customWidth="1"/>
    <col min="2893" max="2893" width="13.42578125" style="572" customWidth="1"/>
    <col min="2894" max="2894" width="8.85546875" style="572" customWidth="1"/>
    <col min="2895" max="2895" width="11.7109375" style="572" bestFit="1" customWidth="1"/>
    <col min="2896" max="3063" width="8.85546875" style="572" customWidth="1"/>
    <col min="3064" max="3064" width="29.7109375" style="572" customWidth="1"/>
    <col min="3065" max="3067" width="14.28515625" style="572" customWidth="1"/>
    <col min="3068" max="3068" width="2.7109375" style="572" customWidth="1"/>
    <col min="3069" max="3072" width="14.28515625" style="572"/>
    <col min="3073" max="3073" width="9.28515625" style="572" bestFit="1" customWidth="1"/>
    <col min="3074" max="3074" width="48.140625" style="572" customWidth="1"/>
    <col min="3075" max="3075" width="15.85546875" style="572" bestFit="1" customWidth="1"/>
    <col min="3076" max="3076" width="14.85546875" style="572" bestFit="1" customWidth="1"/>
    <col min="3077" max="3077" width="14.7109375" style="572" bestFit="1" customWidth="1"/>
    <col min="3078" max="3078" width="2.7109375" style="572" customWidth="1"/>
    <col min="3079" max="3079" width="15.85546875" style="572" bestFit="1" customWidth="1"/>
    <col min="3080" max="3081" width="14.5703125" style="572" bestFit="1" customWidth="1"/>
    <col min="3082" max="3082" width="2.7109375" style="572" customWidth="1"/>
    <col min="3083" max="3083" width="15.7109375" style="572" bestFit="1" customWidth="1"/>
    <col min="3084" max="3084" width="13.7109375" style="572" bestFit="1" customWidth="1"/>
    <col min="3085" max="3085" width="13.42578125" style="572" bestFit="1" customWidth="1"/>
    <col min="3086" max="3096" width="10.5703125" style="572" bestFit="1" customWidth="1"/>
    <col min="3097" max="3097" width="13.5703125" style="572" customWidth="1"/>
    <col min="3098" max="3098" width="16.5703125" style="572" customWidth="1"/>
    <col min="3099" max="3099" width="14.42578125" style="572" customWidth="1"/>
    <col min="3100" max="3100" width="13.28515625" style="572" bestFit="1" customWidth="1"/>
    <col min="3101" max="3101" width="13.42578125" style="572" bestFit="1" customWidth="1"/>
    <col min="3102" max="3102" width="13" style="572" customWidth="1"/>
    <col min="3103" max="3103" width="11.5703125" style="572" customWidth="1"/>
    <col min="3104" max="3104" width="13.140625" style="572" customWidth="1"/>
    <col min="3105" max="3106" width="11.5703125" style="572" customWidth="1"/>
    <col min="3107" max="3107" width="12.42578125" style="572" customWidth="1"/>
    <col min="3108" max="3108" width="13.5703125" style="572" customWidth="1"/>
    <col min="3109" max="3109" width="13.140625" style="572" bestFit="1" customWidth="1"/>
    <col min="3110" max="3110" width="18.85546875" style="572" customWidth="1"/>
    <col min="3111" max="3112" width="14.140625" style="572" customWidth="1"/>
    <col min="3113" max="3113" width="13.85546875" style="572" customWidth="1"/>
    <col min="3114" max="3114" width="14.140625" style="572" customWidth="1"/>
    <col min="3115" max="3115" width="13.7109375" style="572" customWidth="1"/>
    <col min="3116" max="3116" width="17.140625" style="572" customWidth="1"/>
    <col min="3117" max="3117" width="15.42578125" style="572" customWidth="1"/>
    <col min="3118" max="3118" width="18" style="572" customWidth="1"/>
    <col min="3119" max="3119" width="13.7109375" style="572" bestFit="1" customWidth="1"/>
    <col min="3120" max="3120" width="14.140625" style="572" bestFit="1" customWidth="1"/>
    <col min="3121" max="3121" width="14" style="572" bestFit="1" customWidth="1"/>
    <col min="3122" max="3122" width="14.85546875" style="572" bestFit="1" customWidth="1"/>
    <col min="3123" max="3123" width="15.7109375" style="572" customWidth="1"/>
    <col min="3124" max="3124" width="5.85546875" style="572" customWidth="1"/>
    <col min="3125" max="3125" width="9.28515625" style="572" customWidth="1"/>
    <col min="3126" max="3126" width="14.85546875" style="572" customWidth="1"/>
    <col min="3127" max="3127" width="12.85546875" style="572" bestFit="1" customWidth="1"/>
    <col min="3128" max="3128" width="12.85546875" style="572" customWidth="1"/>
    <col min="3129" max="3146" width="8.85546875" style="572" customWidth="1"/>
    <col min="3147" max="3147" width="30.28515625" style="572" bestFit="1" customWidth="1"/>
    <col min="3148" max="3148" width="20.7109375" style="572" customWidth="1"/>
    <col min="3149" max="3149" width="13.42578125" style="572" customWidth="1"/>
    <col min="3150" max="3150" width="8.85546875" style="572" customWidth="1"/>
    <col min="3151" max="3151" width="11.7109375" style="572" bestFit="1" customWidth="1"/>
    <col min="3152" max="3319" width="8.85546875" style="572" customWidth="1"/>
    <col min="3320" max="3320" width="29.7109375" style="572" customWidth="1"/>
    <col min="3321" max="3323" width="14.28515625" style="572" customWidth="1"/>
    <col min="3324" max="3324" width="2.7109375" style="572" customWidth="1"/>
    <col min="3325" max="3328" width="14.28515625" style="572"/>
    <col min="3329" max="3329" width="9.28515625" style="572" bestFit="1" customWidth="1"/>
    <col min="3330" max="3330" width="48.140625" style="572" customWidth="1"/>
    <col min="3331" max="3331" width="15.85546875" style="572" bestFit="1" customWidth="1"/>
    <col min="3332" max="3332" width="14.85546875" style="572" bestFit="1" customWidth="1"/>
    <col min="3333" max="3333" width="14.7109375" style="572" bestFit="1" customWidth="1"/>
    <col min="3334" max="3334" width="2.7109375" style="572" customWidth="1"/>
    <col min="3335" max="3335" width="15.85546875" style="572" bestFit="1" customWidth="1"/>
    <col min="3336" max="3337" width="14.5703125" style="572" bestFit="1" customWidth="1"/>
    <col min="3338" max="3338" width="2.7109375" style="572" customWidth="1"/>
    <col min="3339" max="3339" width="15.7109375" style="572" bestFit="1" customWidth="1"/>
    <col min="3340" max="3340" width="13.7109375" style="572" bestFit="1" customWidth="1"/>
    <col min="3341" max="3341" width="13.42578125" style="572" bestFit="1" customWidth="1"/>
    <col min="3342" max="3352" width="10.5703125" style="572" bestFit="1" customWidth="1"/>
    <col min="3353" max="3353" width="13.5703125" style="572" customWidth="1"/>
    <col min="3354" max="3354" width="16.5703125" style="572" customWidth="1"/>
    <col min="3355" max="3355" width="14.42578125" style="572" customWidth="1"/>
    <col min="3356" max="3356" width="13.28515625" style="572" bestFit="1" customWidth="1"/>
    <col min="3357" max="3357" width="13.42578125" style="572" bestFit="1" customWidth="1"/>
    <col min="3358" max="3358" width="13" style="572" customWidth="1"/>
    <col min="3359" max="3359" width="11.5703125" style="572" customWidth="1"/>
    <col min="3360" max="3360" width="13.140625" style="572" customWidth="1"/>
    <col min="3361" max="3362" width="11.5703125" style="572" customWidth="1"/>
    <col min="3363" max="3363" width="12.42578125" style="572" customWidth="1"/>
    <col min="3364" max="3364" width="13.5703125" style="572" customWidth="1"/>
    <col min="3365" max="3365" width="13.140625" style="572" bestFit="1" customWidth="1"/>
    <col min="3366" max="3366" width="18.85546875" style="572" customWidth="1"/>
    <col min="3367" max="3368" width="14.140625" style="572" customWidth="1"/>
    <col min="3369" max="3369" width="13.85546875" style="572" customWidth="1"/>
    <col min="3370" max="3370" width="14.140625" style="572" customWidth="1"/>
    <col min="3371" max="3371" width="13.7109375" style="572" customWidth="1"/>
    <col min="3372" max="3372" width="17.140625" style="572" customWidth="1"/>
    <col min="3373" max="3373" width="15.42578125" style="572" customWidth="1"/>
    <col min="3374" max="3374" width="18" style="572" customWidth="1"/>
    <col min="3375" max="3375" width="13.7109375" style="572" bestFit="1" customWidth="1"/>
    <col min="3376" max="3376" width="14.140625" style="572" bestFit="1" customWidth="1"/>
    <col min="3377" max="3377" width="14" style="572" bestFit="1" customWidth="1"/>
    <col min="3378" max="3378" width="14.85546875" style="572" bestFit="1" customWidth="1"/>
    <col min="3379" max="3379" width="15.7109375" style="572" customWidth="1"/>
    <col min="3380" max="3380" width="5.85546875" style="572" customWidth="1"/>
    <col min="3381" max="3381" width="9.28515625" style="572" customWidth="1"/>
    <col min="3382" max="3382" width="14.85546875" style="572" customWidth="1"/>
    <col min="3383" max="3383" width="12.85546875" style="572" bestFit="1" customWidth="1"/>
    <col min="3384" max="3384" width="12.85546875" style="572" customWidth="1"/>
    <col min="3385" max="3402" width="8.85546875" style="572" customWidth="1"/>
    <col min="3403" max="3403" width="30.28515625" style="572" bestFit="1" customWidth="1"/>
    <col min="3404" max="3404" width="20.7109375" style="572" customWidth="1"/>
    <col min="3405" max="3405" width="13.42578125" style="572" customWidth="1"/>
    <col min="3406" max="3406" width="8.85546875" style="572" customWidth="1"/>
    <col min="3407" max="3407" width="11.7109375" style="572" bestFit="1" customWidth="1"/>
    <col min="3408" max="3575" width="8.85546875" style="572" customWidth="1"/>
    <col min="3576" max="3576" width="29.7109375" style="572" customWidth="1"/>
    <col min="3577" max="3579" width="14.28515625" style="572" customWidth="1"/>
    <col min="3580" max="3580" width="2.7109375" style="572" customWidth="1"/>
    <col min="3581" max="3584" width="14.28515625" style="572"/>
    <col min="3585" max="3585" width="9.28515625" style="572" bestFit="1" customWidth="1"/>
    <col min="3586" max="3586" width="48.140625" style="572" customWidth="1"/>
    <col min="3587" max="3587" width="15.85546875" style="572" bestFit="1" customWidth="1"/>
    <col min="3588" max="3588" width="14.85546875" style="572" bestFit="1" customWidth="1"/>
    <col min="3589" max="3589" width="14.7109375" style="572" bestFit="1" customWidth="1"/>
    <col min="3590" max="3590" width="2.7109375" style="572" customWidth="1"/>
    <col min="3591" max="3591" width="15.85546875" style="572" bestFit="1" customWidth="1"/>
    <col min="3592" max="3593" width="14.5703125" style="572" bestFit="1" customWidth="1"/>
    <col min="3594" max="3594" width="2.7109375" style="572" customWidth="1"/>
    <col min="3595" max="3595" width="15.7109375" style="572" bestFit="1" customWidth="1"/>
    <col min="3596" max="3596" width="13.7109375" style="572" bestFit="1" customWidth="1"/>
    <col min="3597" max="3597" width="13.42578125" style="572" bestFit="1" customWidth="1"/>
    <col min="3598" max="3608" width="10.5703125" style="572" bestFit="1" customWidth="1"/>
    <col min="3609" max="3609" width="13.5703125" style="572" customWidth="1"/>
    <col min="3610" max="3610" width="16.5703125" style="572" customWidth="1"/>
    <col min="3611" max="3611" width="14.42578125" style="572" customWidth="1"/>
    <col min="3612" max="3612" width="13.28515625" style="572" bestFit="1" customWidth="1"/>
    <col min="3613" max="3613" width="13.42578125" style="572" bestFit="1" customWidth="1"/>
    <col min="3614" max="3614" width="13" style="572" customWidth="1"/>
    <col min="3615" max="3615" width="11.5703125" style="572" customWidth="1"/>
    <col min="3616" max="3616" width="13.140625" style="572" customWidth="1"/>
    <col min="3617" max="3618" width="11.5703125" style="572" customWidth="1"/>
    <col min="3619" max="3619" width="12.42578125" style="572" customWidth="1"/>
    <col min="3620" max="3620" width="13.5703125" style="572" customWidth="1"/>
    <col min="3621" max="3621" width="13.140625" style="572" bestFit="1" customWidth="1"/>
    <col min="3622" max="3622" width="18.85546875" style="572" customWidth="1"/>
    <col min="3623" max="3624" width="14.140625" style="572" customWidth="1"/>
    <col min="3625" max="3625" width="13.85546875" style="572" customWidth="1"/>
    <col min="3626" max="3626" width="14.140625" style="572" customWidth="1"/>
    <col min="3627" max="3627" width="13.7109375" style="572" customWidth="1"/>
    <col min="3628" max="3628" width="17.140625" style="572" customWidth="1"/>
    <col min="3629" max="3629" width="15.42578125" style="572" customWidth="1"/>
    <col min="3630" max="3630" width="18" style="572" customWidth="1"/>
    <col min="3631" max="3631" width="13.7109375" style="572" bestFit="1" customWidth="1"/>
    <col min="3632" max="3632" width="14.140625" style="572" bestFit="1" customWidth="1"/>
    <col min="3633" max="3633" width="14" style="572" bestFit="1" customWidth="1"/>
    <col min="3634" max="3634" width="14.85546875" style="572" bestFit="1" customWidth="1"/>
    <col min="3635" max="3635" width="15.7109375" style="572" customWidth="1"/>
    <col min="3636" max="3636" width="5.85546875" style="572" customWidth="1"/>
    <col min="3637" max="3637" width="9.28515625" style="572" customWidth="1"/>
    <col min="3638" max="3638" width="14.85546875" style="572" customWidth="1"/>
    <col min="3639" max="3639" width="12.85546875" style="572" bestFit="1" customWidth="1"/>
    <col min="3640" max="3640" width="12.85546875" style="572" customWidth="1"/>
    <col min="3641" max="3658" width="8.85546875" style="572" customWidth="1"/>
    <col min="3659" max="3659" width="30.28515625" style="572" bestFit="1" customWidth="1"/>
    <col min="3660" max="3660" width="20.7109375" style="572" customWidth="1"/>
    <col min="3661" max="3661" width="13.42578125" style="572" customWidth="1"/>
    <col min="3662" max="3662" width="8.85546875" style="572" customWidth="1"/>
    <col min="3663" max="3663" width="11.7109375" style="572" bestFit="1" customWidth="1"/>
    <col min="3664" max="3831" width="8.85546875" style="572" customWidth="1"/>
    <col min="3832" max="3832" width="29.7109375" style="572" customWidth="1"/>
    <col min="3833" max="3835" width="14.28515625" style="572" customWidth="1"/>
    <col min="3836" max="3836" width="2.7109375" style="572" customWidth="1"/>
    <col min="3837" max="3840" width="14.28515625" style="572"/>
    <col min="3841" max="3841" width="9.28515625" style="572" bestFit="1" customWidth="1"/>
    <col min="3842" max="3842" width="48.140625" style="572" customWidth="1"/>
    <col min="3843" max="3843" width="15.85546875" style="572" bestFit="1" customWidth="1"/>
    <col min="3844" max="3844" width="14.85546875" style="572" bestFit="1" customWidth="1"/>
    <col min="3845" max="3845" width="14.7109375" style="572" bestFit="1" customWidth="1"/>
    <col min="3846" max="3846" width="2.7109375" style="572" customWidth="1"/>
    <col min="3847" max="3847" width="15.85546875" style="572" bestFit="1" customWidth="1"/>
    <col min="3848" max="3849" width="14.5703125" style="572" bestFit="1" customWidth="1"/>
    <col min="3850" max="3850" width="2.7109375" style="572" customWidth="1"/>
    <col min="3851" max="3851" width="15.7109375" style="572" bestFit="1" customWidth="1"/>
    <col min="3852" max="3852" width="13.7109375" style="572" bestFit="1" customWidth="1"/>
    <col min="3853" max="3853" width="13.42578125" style="572" bestFit="1" customWidth="1"/>
    <col min="3854" max="3864" width="10.5703125" style="572" bestFit="1" customWidth="1"/>
    <col min="3865" max="3865" width="13.5703125" style="572" customWidth="1"/>
    <col min="3866" max="3866" width="16.5703125" style="572" customWidth="1"/>
    <col min="3867" max="3867" width="14.42578125" style="572" customWidth="1"/>
    <col min="3868" max="3868" width="13.28515625" style="572" bestFit="1" customWidth="1"/>
    <col min="3869" max="3869" width="13.42578125" style="572" bestFit="1" customWidth="1"/>
    <col min="3870" max="3870" width="13" style="572" customWidth="1"/>
    <col min="3871" max="3871" width="11.5703125" style="572" customWidth="1"/>
    <col min="3872" max="3872" width="13.140625" style="572" customWidth="1"/>
    <col min="3873" max="3874" width="11.5703125" style="572" customWidth="1"/>
    <col min="3875" max="3875" width="12.42578125" style="572" customWidth="1"/>
    <col min="3876" max="3876" width="13.5703125" style="572" customWidth="1"/>
    <col min="3877" max="3877" width="13.140625" style="572" bestFit="1" customWidth="1"/>
    <col min="3878" max="3878" width="18.85546875" style="572" customWidth="1"/>
    <col min="3879" max="3880" width="14.140625" style="572" customWidth="1"/>
    <col min="3881" max="3881" width="13.85546875" style="572" customWidth="1"/>
    <col min="3882" max="3882" width="14.140625" style="572" customWidth="1"/>
    <col min="3883" max="3883" width="13.7109375" style="572" customWidth="1"/>
    <col min="3884" max="3884" width="17.140625" style="572" customWidth="1"/>
    <col min="3885" max="3885" width="15.42578125" style="572" customWidth="1"/>
    <col min="3886" max="3886" width="18" style="572" customWidth="1"/>
    <col min="3887" max="3887" width="13.7109375" style="572" bestFit="1" customWidth="1"/>
    <col min="3888" max="3888" width="14.140625" style="572" bestFit="1" customWidth="1"/>
    <col min="3889" max="3889" width="14" style="572" bestFit="1" customWidth="1"/>
    <col min="3890" max="3890" width="14.85546875" style="572" bestFit="1" customWidth="1"/>
    <col min="3891" max="3891" width="15.7109375" style="572" customWidth="1"/>
    <col min="3892" max="3892" width="5.85546875" style="572" customWidth="1"/>
    <col min="3893" max="3893" width="9.28515625" style="572" customWidth="1"/>
    <col min="3894" max="3894" width="14.85546875" style="572" customWidth="1"/>
    <col min="3895" max="3895" width="12.85546875" style="572" bestFit="1" customWidth="1"/>
    <col min="3896" max="3896" width="12.85546875" style="572" customWidth="1"/>
    <col min="3897" max="3914" width="8.85546875" style="572" customWidth="1"/>
    <col min="3915" max="3915" width="30.28515625" style="572" bestFit="1" customWidth="1"/>
    <col min="3916" max="3916" width="20.7109375" style="572" customWidth="1"/>
    <col min="3917" max="3917" width="13.42578125" style="572" customWidth="1"/>
    <col min="3918" max="3918" width="8.85546875" style="572" customWidth="1"/>
    <col min="3919" max="3919" width="11.7109375" style="572" bestFit="1" customWidth="1"/>
    <col min="3920" max="4087" width="8.85546875" style="572" customWidth="1"/>
    <col min="4088" max="4088" width="29.7109375" style="572" customWidth="1"/>
    <col min="4089" max="4091" width="14.28515625" style="572" customWidth="1"/>
    <col min="4092" max="4092" width="2.7109375" style="572" customWidth="1"/>
    <col min="4093" max="4096" width="14.28515625" style="572"/>
    <col min="4097" max="4097" width="9.28515625" style="572" bestFit="1" customWidth="1"/>
    <col min="4098" max="4098" width="48.140625" style="572" customWidth="1"/>
    <col min="4099" max="4099" width="15.85546875" style="572" bestFit="1" customWidth="1"/>
    <col min="4100" max="4100" width="14.85546875" style="572" bestFit="1" customWidth="1"/>
    <col min="4101" max="4101" width="14.7109375" style="572" bestFit="1" customWidth="1"/>
    <col min="4102" max="4102" width="2.7109375" style="572" customWidth="1"/>
    <col min="4103" max="4103" width="15.85546875" style="572" bestFit="1" customWidth="1"/>
    <col min="4104" max="4105" width="14.5703125" style="572" bestFit="1" customWidth="1"/>
    <col min="4106" max="4106" width="2.7109375" style="572" customWidth="1"/>
    <col min="4107" max="4107" width="15.7109375" style="572" bestFit="1" customWidth="1"/>
    <col min="4108" max="4108" width="13.7109375" style="572" bestFit="1" customWidth="1"/>
    <col min="4109" max="4109" width="13.42578125" style="572" bestFit="1" customWidth="1"/>
    <col min="4110" max="4120" width="10.5703125" style="572" bestFit="1" customWidth="1"/>
    <col min="4121" max="4121" width="13.5703125" style="572" customWidth="1"/>
    <col min="4122" max="4122" width="16.5703125" style="572" customWidth="1"/>
    <col min="4123" max="4123" width="14.42578125" style="572" customWidth="1"/>
    <col min="4124" max="4124" width="13.28515625" style="572" bestFit="1" customWidth="1"/>
    <col min="4125" max="4125" width="13.42578125" style="572" bestFit="1" customWidth="1"/>
    <col min="4126" max="4126" width="13" style="572" customWidth="1"/>
    <col min="4127" max="4127" width="11.5703125" style="572" customWidth="1"/>
    <col min="4128" max="4128" width="13.140625" style="572" customWidth="1"/>
    <col min="4129" max="4130" width="11.5703125" style="572" customWidth="1"/>
    <col min="4131" max="4131" width="12.42578125" style="572" customWidth="1"/>
    <col min="4132" max="4132" width="13.5703125" style="572" customWidth="1"/>
    <col min="4133" max="4133" width="13.140625" style="572" bestFit="1" customWidth="1"/>
    <col min="4134" max="4134" width="18.85546875" style="572" customWidth="1"/>
    <col min="4135" max="4136" width="14.140625" style="572" customWidth="1"/>
    <col min="4137" max="4137" width="13.85546875" style="572" customWidth="1"/>
    <col min="4138" max="4138" width="14.140625" style="572" customWidth="1"/>
    <col min="4139" max="4139" width="13.7109375" style="572" customWidth="1"/>
    <col min="4140" max="4140" width="17.140625" style="572" customWidth="1"/>
    <col min="4141" max="4141" width="15.42578125" style="572" customWidth="1"/>
    <col min="4142" max="4142" width="18" style="572" customWidth="1"/>
    <col min="4143" max="4143" width="13.7109375" style="572" bestFit="1" customWidth="1"/>
    <col min="4144" max="4144" width="14.140625" style="572" bestFit="1" customWidth="1"/>
    <col min="4145" max="4145" width="14" style="572" bestFit="1" customWidth="1"/>
    <col min="4146" max="4146" width="14.85546875" style="572" bestFit="1" customWidth="1"/>
    <col min="4147" max="4147" width="15.7109375" style="572" customWidth="1"/>
    <col min="4148" max="4148" width="5.85546875" style="572" customWidth="1"/>
    <col min="4149" max="4149" width="9.28515625" style="572" customWidth="1"/>
    <col min="4150" max="4150" width="14.85546875" style="572" customWidth="1"/>
    <col min="4151" max="4151" width="12.85546875" style="572" bestFit="1" customWidth="1"/>
    <col min="4152" max="4152" width="12.85546875" style="572" customWidth="1"/>
    <col min="4153" max="4170" width="8.85546875" style="572" customWidth="1"/>
    <col min="4171" max="4171" width="30.28515625" style="572" bestFit="1" customWidth="1"/>
    <col min="4172" max="4172" width="20.7109375" style="572" customWidth="1"/>
    <col min="4173" max="4173" width="13.42578125" style="572" customWidth="1"/>
    <col min="4174" max="4174" width="8.85546875" style="572" customWidth="1"/>
    <col min="4175" max="4175" width="11.7109375" style="572" bestFit="1" customWidth="1"/>
    <col min="4176" max="4343" width="8.85546875" style="572" customWidth="1"/>
    <col min="4344" max="4344" width="29.7109375" style="572" customWidth="1"/>
    <col min="4345" max="4347" width="14.28515625" style="572" customWidth="1"/>
    <col min="4348" max="4348" width="2.7109375" style="572" customWidth="1"/>
    <col min="4349" max="4352" width="14.28515625" style="572"/>
    <col min="4353" max="4353" width="9.28515625" style="572" bestFit="1" customWidth="1"/>
    <col min="4354" max="4354" width="48.140625" style="572" customWidth="1"/>
    <col min="4355" max="4355" width="15.85546875" style="572" bestFit="1" customWidth="1"/>
    <col min="4356" max="4356" width="14.85546875" style="572" bestFit="1" customWidth="1"/>
    <col min="4357" max="4357" width="14.7109375" style="572" bestFit="1" customWidth="1"/>
    <col min="4358" max="4358" width="2.7109375" style="572" customWidth="1"/>
    <col min="4359" max="4359" width="15.85546875" style="572" bestFit="1" customWidth="1"/>
    <col min="4360" max="4361" width="14.5703125" style="572" bestFit="1" customWidth="1"/>
    <col min="4362" max="4362" width="2.7109375" style="572" customWidth="1"/>
    <col min="4363" max="4363" width="15.7109375" style="572" bestFit="1" customWidth="1"/>
    <col min="4364" max="4364" width="13.7109375" style="572" bestFit="1" customWidth="1"/>
    <col min="4365" max="4365" width="13.42578125" style="572" bestFit="1" customWidth="1"/>
    <col min="4366" max="4376" width="10.5703125" style="572" bestFit="1" customWidth="1"/>
    <col min="4377" max="4377" width="13.5703125" style="572" customWidth="1"/>
    <col min="4378" max="4378" width="16.5703125" style="572" customWidth="1"/>
    <col min="4379" max="4379" width="14.42578125" style="572" customWidth="1"/>
    <col min="4380" max="4380" width="13.28515625" style="572" bestFit="1" customWidth="1"/>
    <col min="4381" max="4381" width="13.42578125" style="572" bestFit="1" customWidth="1"/>
    <col min="4382" max="4382" width="13" style="572" customWidth="1"/>
    <col min="4383" max="4383" width="11.5703125" style="572" customWidth="1"/>
    <col min="4384" max="4384" width="13.140625" style="572" customWidth="1"/>
    <col min="4385" max="4386" width="11.5703125" style="572" customWidth="1"/>
    <col min="4387" max="4387" width="12.42578125" style="572" customWidth="1"/>
    <col min="4388" max="4388" width="13.5703125" style="572" customWidth="1"/>
    <col min="4389" max="4389" width="13.140625" style="572" bestFit="1" customWidth="1"/>
    <col min="4390" max="4390" width="18.85546875" style="572" customWidth="1"/>
    <col min="4391" max="4392" width="14.140625" style="572" customWidth="1"/>
    <col min="4393" max="4393" width="13.85546875" style="572" customWidth="1"/>
    <col min="4394" max="4394" width="14.140625" style="572" customWidth="1"/>
    <col min="4395" max="4395" width="13.7109375" style="572" customWidth="1"/>
    <col min="4396" max="4396" width="17.140625" style="572" customWidth="1"/>
    <col min="4397" max="4397" width="15.42578125" style="572" customWidth="1"/>
    <col min="4398" max="4398" width="18" style="572" customWidth="1"/>
    <col min="4399" max="4399" width="13.7109375" style="572" bestFit="1" customWidth="1"/>
    <col min="4400" max="4400" width="14.140625" style="572" bestFit="1" customWidth="1"/>
    <col min="4401" max="4401" width="14" style="572" bestFit="1" customWidth="1"/>
    <col min="4402" max="4402" width="14.85546875" style="572" bestFit="1" customWidth="1"/>
    <col min="4403" max="4403" width="15.7109375" style="572" customWidth="1"/>
    <col min="4404" max="4404" width="5.85546875" style="572" customWidth="1"/>
    <col min="4405" max="4405" width="9.28515625" style="572" customWidth="1"/>
    <col min="4406" max="4406" width="14.85546875" style="572" customWidth="1"/>
    <col min="4407" max="4407" width="12.85546875" style="572" bestFit="1" customWidth="1"/>
    <col min="4408" max="4408" width="12.85546875" style="572" customWidth="1"/>
    <col min="4409" max="4426" width="8.85546875" style="572" customWidth="1"/>
    <col min="4427" max="4427" width="30.28515625" style="572" bestFit="1" customWidth="1"/>
    <col min="4428" max="4428" width="20.7109375" style="572" customWidth="1"/>
    <col min="4429" max="4429" width="13.42578125" style="572" customWidth="1"/>
    <col min="4430" max="4430" width="8.85546875" style="572" customWidth="1"/>
    <col min="4431" max="4431" width="11.7109375" style="572" bestFit="1" customWidth="1"/>
    <col min="4432" max="4599" width="8.85546875" style="572" customWidth="1"/>
    <col min="4600" max="4600" width="29.7109375" style="572" customWidth="1"/>
    <col min="4601" max="4603" width="14.28515625" style="572" customWidth="1"/>
    <col min="4604" max="4604" width="2.7109375" style="572" customWidth="1"/>
    <col min="4605" max="4608" width="14.28515625" style="572"/>
    <col min="4609" max="4609" width="9.28515625" style="572" bestFit="1" customWidth="1"/>
    <col min="4610" max="4610" width="48.140625" style="572" customWidth="1"/>
    <col min="4611" max="4611" width="15.85546875" style="572" bestFit="1" customWidth="1"/>
    <col min="4612" max="4612" width="14.85546875" style="572" bestFit="1" customWidth="1"/>
    <col min="4613" max="4613" width="14.7109375" style="572" bestFit="1" customWidth="1"/>
    <col min="4614" max="4614" width="2.7109375" style="572" customWidth="1"/>
    <col min="4615" max="4615" width="15.85546875" style="572" bestFit="1" customWidth="1"/>
    <col min="4616" max="4617" width="14.5703125" style="572" bestFit="1" customWidth="1"/>
    <col min="4618" max="4618" width="2.7109375" style="572" customWidth="1"/>
    <col min="4619" max="4619" width="15.7109375" style="572" bestFit="1" customWidth="1"/>
    <col min="4620" max="4620" width="13.7109375" style="572" bestFit="1" customWidth="1"/>
    <col min="4621" max="4621" width="13.42578125" style="572" bestFit="1" customWidth="1"/>
    <col min="4622" max="4632" width="10.5703125" style="572" bestFit="1" customWidth="1"/>
    <col min="4633" max="4633" width="13.5703125" style="572" customWidth="1"/>
    <col min="4634" max="4634" width="16.5703125" style="572" customWidth="1"/>
    <col min="4635" max="4635" width="14.42578125" style="572" customWidth="1"/>
    <col min="4636" max="4636" width="13.28515625" style="572" bestFit="1" customWidth="1"/>
    <col min="4637" max="4637" width="13.42578125" style="572" bestFit="1" customWidth="1"/>
    <col min="4638" max="4638" width="13" style="572" customWidth="1"/>
    <col min="4639" max="4639" width="11.5703125" style="572" customWidth="1"/>
    <col min="4640" max="4640" width="13.140625" style="572" customWidth="1"/>
    <col min="4641" max="4642" width="11.5703125" style="572" customWidth="1"/>
    <col min="4643" max="4643" width="12.42578125" style="572" customWidth="1"/>
    <col min="4644" max="4644" width="13.5703125" style="572" customWidth="1"/>
    <col min="4645" max="4645" width="13.140625" style="572" bestFit="1" customWidth="1"/>
    <col min="4646" max="4646" width="18.85546875" style="572" customWidth="1"/>
    <col min="4647" max="4648" width="14.140625" style="572" customWidth="1"/>
    <col min="4649" max="4649" width="13.85546875" style="572" customWidth="1"/>
    <col min="4650" max="4650" width="14.140625" style="572" customWidth="1"/>
    <col min="4651" max="4651" width="13.7109375" style="572" customWidth="1"/>
    <col min="4652" max="4652" width="17.140625" style="572" customWidth="1"/>
    <col min="4653" max="4653" width="15.42578125" style="572" customWidth="1"/>
    <col min="4654" max="4654" width="18" style="572" customWidth="1"/>
    <col min="4655" max="4655" width="13.7109375" style="572" bestFit="1" customWidth="1"/>
    <col min="4656" max="4656" width="14.140625" style="572" bestFit="1" customWidth="1"/>
    <col min="4657" max="4657" width="14" style="572" bestFit="1" customWidth="1"/>
    <col min="4658" max="4658" width="14.85546875" style="572" bestFit="1" customWidth="1"/>
    <col min="4659" max="4659" width="15.7109375" style="572" customWidth="1"/>
    <col min="4660" max="4660" width="5.85546875" style="572" customWidth="1"/>
    <col min="4661" max="4661" width="9.28515625" style="572" customWidth="1"/>
    <col min="4662" max="4662" width="14.85546875" style="572" customWidth="1"/>
    <col min="4663" max="4663" width="12.85546875" style="572" bestFit="1" customWidth="1"/>
    <col min="4664" max="4664" width="12.85546875" style="572" customWidth="1"/>
    <col min="4665" max="4682" width="8.85546875" style="572" customWidth="1"/>
    <col min="4683" max="4683" width="30.28515625" style="572" bestFit="1" customWidth="1"/>
    <col min="4684" max="4684" width="20.7109375" style="572" customWidth="1"/>
    <col min="4685" max="4685" width="13.42578125" style="572" customWidth="1"/>
    <col min="4686" max="4686" width="8.85546875" style="572" customWidth="1"/>
    <col min="4687" max="4687" width="11.7109375" style="572" bestFit="1" customWidth="1"/>
    <col min="4688" max="4855" width="8.85546875" style="572" customWidth="1"/>
    <col min="4856" max="4856" width="29.7109375" style="572" customWidth="1"/>
    <col min="4857" max="4859" width="14.28515625" style="572" customWidth="1"/>
    <col min="4860" max="4860" width="2.7109375" style="572" customWidth="1"/>
    <col min="4861" max="4864" width="14.28515625" style="572"/>
    <col min="4865" max="4865" width="9.28515625" style="572" bestFit="1" customWidth="1"/>
    <col min="4866" max="4866" width="48.140625" style="572" customWidth="1"/>
    <col min="4867" max="4867" width="15.85546875" style="572" bestFit="1" customWidth="1"/>
    <col min="4868" max="4868" width="14.85546875" style="572" bestFit="1" customWidth="1"/>
    <col min="4869" max="4869" width="14.7109375" style="572" bestFit="1" customWidth="1"/>
    <col min="4870" max="4870" width="2.7109375" style="572" customWidth="1"/>
    <col min="4871" max="4871" width="15.85546875" style="572" bestFit="1" customWidth="1"/>
    <col min="4872" max="4873" width="14.5703125" style="572" bestFit="1" customWidth="1"/>
    <col min="4874" max="4874" width="2.7109375" style="572" customWidth="1"/>
    <col min="4875" max="4875" width="15.7109375" style="572" bestFit="1" customWidth="1"/>
    <col min="4876" max="4876" width="13.7109375" style="572" bestFit="1" customWidth="1"/>
    <col min="4877" max="4877" width="13.42578125" style="572" bestFit="1" customWidth="1"/>
    <col min="4878" max="4888" width="10.5703125" style="572" bestFit="1" customWidth="1"/>
    <col min="4889" max="4889" width="13.5703125" style="572" customWidth="1"/>
    <col min="4890" max="4890" width="16.5703125" style="572" customWidth="1"/>
    <col min="4891" max="4891" width="14.42578125" style="572" customWidth="1"/>
    <col min="4892" max="4892" width="13.28515625" style="572" bestFit="1" customWidth="1"/>
    <col min="4893" max="4893" width="13.42578125" style="572" bestFit="1" customWidth="1"/>
    <col min="4894" max="4894" width="13" style="572" customWidth="1"/>
    <col min="4895" max="4895" width="11.5703125" style="572" customWidth="1"/>
    <col min="4896" max="4896" width="13.140625" style="572" customWidth="1"/>
    <col min="4897" max="4898" width="11.5703125" style="572" customWidth="1"/>
    <col min="4899" max="4899" width="12.42578125" style="572" customWidth="1"/>
    <col min="4900" max="4900" width="13.5703125" style="572" customWidth="1"/>
    <col min="4901" max="4901" width="13.140625" style="572" bestFit="1" customWidth="1"/>
    <col min="4902" max="4902" width="18.85546875" style="572" customWidth="1"/>
    <col min="4903" max="4904" width="14.140625" style="572" customWidth="1"/>
    <col min="4905" max="4905" width="13.85546875" style="572" customWidth="1"/>
    <col min="4906" max="4906" width="14.140625" style="572" customWidth="1"/>
    <col min="4907" max="4907" width="13.7109375" style="572" customWidth="1"/>
    <col min="4908" max="4908" width="17.140625" style="572" customWidth="1"/>
    <col min="4909" max="4909" width="15.42578125" style="572" customWidth="1"/>
    <col min="4910" max="4910" width="18" style="572" customWidth="1"/>
    <col min="4911" max="4911" width="13.7109375" style="572" bestFit="1" customWidth="1"/>
    <col min="4912" max="4912" width="14.140625" style="572" bestFit="1" customWidth="1"/>
    <col min="4913" max="4913" width="14" style="572" bestFit="1" customWidth="1"/>
    <col min="4914" max="4914" width="14.85546875" style="572" bestFit="1" customWidth="1"/>
    <col min="4915" max="4915" width="15.7109375" style="572" customWidth="1"/>
    <col min="4916" max="4916" width="5.85546875" style="572" customWidth="1"/>
    <col min="4917" max="4917" width="9.28515625" style="572" customWidth="1"/>
    <col min="4918" max="4918" width="14.85546875" style="572" customWidth="1"/>
    <col min="4919" max="4919" width="12.85546875" style="572" bestFit="1" customWidth="1"/>
    <col min="4920" max="4920" width="12.85546875" style="572" customWidth="1"/>
    <col min="4921" max="4938" width="8.85546875" style="572" customWidth="1"/>
    <col min="4939" max="4939" width="30.28515625" style="572" bestFit="1" customWidth="1"/>
    <col min="4940" max="4940" width="20.7109375" style="572" customWidth="1"/>
    <col min="4941" max="4941" width="13.42578125" style="572" customWidth="1"/>
    <col min="4942" max="4942" width="8.85546875" style="572" customWidth="1"/>
    <col min="4943" max="4943" width="11.7109375" style="572" bestFit="1" customWidth="1"/>
    <col min="4944" max="5111" width="8.85546875" style="572" customWidth="1"/>
    <col min="5112" max="5112" width="29.7109375" style="572" customWidth="1"/>
    <col min="5113" max="5115" width="14.28515625" style="572" customWidth="1"/>
    <col min="5116" max="5116" width="2.7109375" style="572" customWidth="1"/>
    <col min="5117" max="5120" width="14.28515625" style="572"/>
    <col min="5121" max="5121" width="9.28515625" style="572" bestFit="1" customWidth="1"/>
    <col min="5122" max="5122" width="48.140625" style="572" customWidth="1"/>
    <col min="5123" max="5123" width="15.85546875" style="572" bestFit="1" customWidth="1"/>
    <col min="5124" max="5124" width="14.85546875" style="572" bestFit="1" customWidth="1"/>
    <col min="5125" max="5125" width="14.7109375" style="572" bestFit="1" customWidth="1"/>
    <col min="5126" max="5126" width="2.7109375" style="572" customWidth="1"/>
    <col min="5127" max="5127" width="15.85546875" style="572" bestFit="1" customWidth="1"/>
    <col min="5128" max="5129" width="14.5703125" style="572" bestFit="1" customWidth="1"/>
    <col min="5130" max="5130" width="2.7109375" style="572" customWidth="1"/>
    <col min="5131" max="5131" width="15.7109375" style="572" bestFit="1" customWidth="1"/>
    <col min="5132" max="5132" width="13.7109375" style="572" bestFit="1" customWidth="1"/>
    <col min="5133" max="5133" width="13.42578125" style="572" bestFit="1" customWidth="1"/>
    <col min="5134" max="5144" width="10.5703125" style="572" bestFit="1" customWidth="1"/>
    <col min="5145" max="5145" width="13.5703125" style="572" customWidth="1"/>
    <col min="5146" max="5146" width="16.5703125" style="572" customWidth="1"/>
    <col min="5147" max="5147" width="14.42578125" style="572" customWidth="1"/>
    <col min="5148" max="5148" width="13.28515625" style="572" bestFit="1" customWidth="1"/>
    <col min="5149" max="5149" width="13.42578125" style="572" bestFit="1" customWidth="1"/>
    <col min="5150" max="5150" width="13" style="572" customWidth="1"/>
    <col min="5151" max="5151" width="11.5703125" style="572" customWidth="1"/>
    <col min="5152" max="5152" width="13.140625" style="572" customWidth="1"/>
    <col min="5153" max="5154" width="11.5703125" style="572" customWidth="1"/>
    <col min="5155" max="5155" width="12.42578125" style="572" customWidth="1"/>
    <col min="5156" max="5156" width="13.5703125" style="572" customWidth="1"/>
    <col min="5157" max="5157" width="13.140625" style="572" bestFit="1" customWidth="1"/>
    <col min="5158" max="5158" width="18.85546875" style="572" customWidth="1"/>
    <col min="5159" max="5160" width="14.140625" style="572" customWidth="1"/>
    <col min="5161" max="5161" width="13.85546875" style="572" customWidth="1"/>
    <col min="5162" max="5162" width="14.140625" style="572" customWidth="1"/>
    <col min="5163" max="5163" width="13.7109375" style="572" customWidth="1"/>
    <col min="5164" max="5164" width="17.140625" style="572" customWidth="1"/>
    <col min="5165" max="5165" width="15.42578125" style="572" customWidth="1"/>
    <col min="5166" max="5166" width="18" style="572" customWidth="1"/>
    <col min="5167" max="5167" width="13.7109375" style="572" bestFit="1" customWidth="1"/>
    <col min="5168" max="5168" width="14.140625" style="572" bestFit="1" customWidth="1"/>
    <col min="5169" max="5169" width="14" style="572" bestFit="1" customWidth="1"/>
    <col min="5170" max="5170" width="14.85546875" style="572" bestFit="1" customWidth="1"/>
    <col min="5171" max="5171" width="15.7109375" style="572" customWidth="1"/>
    <col min="5172" max="5172" width="5.85546875" style="572" customWidth="1"/>
    <col min="5173" max="5173" width="9.28515625" style="572" customWidth="1"/>
    <col min="5174" max="5174" width="14.85546875" style="572" customWidth="1"/>
    <col min="5175" max="5175" width="12.85546875" style="572" bestFit="1" customWidth="1"/>
    <col min="5176" max="5176" width="12.85546875" style="572" customWidth="1"/>
    <col min="5177" max="5194" width="8.85546875" style="572" customWidth="1"/>
    <col min="5195" max="5195" width="30.28515625" style="572" bestFit="1" customWidth="1"/>
    <col min="5196" max="5196" width="20.7109375" style="572" customWidth="1"/>
    <col min="5197" max="5197" width="13.42578125" style="572" customWidth="1"/>
    <col min="5198" max="5198" width="8.85546875" style="572" customWidth="1"/>
    <col min="5199" max="5199" width="11.7109375" style="572" bestFit="1" customWidth="1"/>
    <col min="5200" max="5367" width="8.85546875" style="572" customWidth="1"/>
    <col min="5368" max="5368" width="29.7109375" style="572" customWidth="1"/>
    <col min="5369" max="5371" width="14.28515625" style="572" customWidth="1"/>
    <col min="5372" max="5372" width="2.7109375" style="572" customWidth="1"/>
    <col min="5373" max="5376" width="14.28515625" style="572"/>
    <col min="5377" max="5377" width="9.28515625" style="572" bestFit="1" customWidth="1"/>
    <col min="5378" max="5378" width="48.140625" style="572" customWidth="1"/>
    <col min="5379" max="5379" width="15.85546875" style="572" bestFit="1" customWidth="1"/>
    <col min="5380" max="5380" width="14.85546875" style="572" bestFit="1" customWidth="1"/>
    <col min="5381" max="5381" width="14.7109375" style="572" bestFit="1" customWidth="1"/>
    <col min="5382" max="5382" width="2.7109375" style="572" customWidth="1"/>
    <col min="5383" max="5383" width="15.85546875" style="572" bestFit="1" customWidth="1"/>
    <col min="5384" max="5385" width="14.5703125" style="572" bestFit="1" customWidth="1"/>
    <col min="5386" max="5386" width="2.7109375" style="572" customWidth="1"/>
    <col min="5387" max="5387" width="15.7109375" style="572" bestFit="1" customWidth="1"/>
    <col min="5388" max="5388" width="13.7109375" style="572" bestFit="1" customWidth="1"/>
    <col min="5389" max="5389" width="13.42578125" style="572" bestFit="1" customWidth="1"/>
    <col min="5390" max="5400" width="10.5703125" style="572" bestFit="1" customWidth="1"/>
    <col min="5401" max="5401" width="13.5703125" style="572" customWidth="1"/>
    <col min="5402" max="5402" width="16.5703125" style="572" customWidth="1"/>
    <col min="5403" max="5403" width="14.42578125" style="572" customWidth="1"/>
    <col min="5404" max="5404" width="13.28515625" style="572" bestFit="1" customWidth="1"/>
    <col min="5405" max="5405" width="13.42578125" style="572" bestFit="1" customWidth="1"/>
    <col min="5406" max="5406" width="13" style="572" customWidth="1"/>
    <col min="5407" max="5407" width="11.5703125" style="572" customWidth="1"/>
    <col min="5408" max="5408" width="13.140625" style="572" customWidth="1"/>
    <col min="5409" max="5410" width="11.5703125" style="572" customWidth="1"/>
    <col min="5411" max="5411" width="12.42578125" style="572" customWidth="1"/>
    <col min="5412" max="5412" width="13.5703125" style="572" customWidth="1"/>
    <col min="5413" max="5413" width="13.140625" style="572" bestFit="1" customWidth="1"/>
    <col min="5414" max="5414" width="18.85546875" style="572" customWidth="1"/>
    <col min="5415" max="5416" width="14.140625" style="572" customWidth="1"/>
    <col min="5417" max="5417" width="13.85546875" style="572" customWidth="1"/>
    <col min="5418" max="5418" width="14.140625" style="572" customWidth="1"/>
    <col min="5419" max="5419" width="13.7109375" style="572" customWidth="1"/>
    <col min="5420" max="5420" width="17.140625" style="572" customWidth="1"/>
    <col min="5421" max="5421" width="15.42578125" style="572" customWidth="1"/>
    <col min="5422" max="5422" width="18" style="572" customWidth="1"/>
    <col min="5423" max="5423" width="13.7109375" style="572" bestFit="1" customWidth="1"/>
    <col min="5424" max="5424" width="14.140625" style="572" bestFit="1" customWidth="1"/>
    <col min="5425" max="5425" width="14" style="572" bestFit="1" customWidth="1"/>
    <col min="5426" max="5426" width="14.85546875" style="572" bestFit="1" customWidth="1"/>
    <col min="5427" max="5427" width="15.7109375" style="572" customWidth="1"/>
    <col min="5428" max="5428" width="5.85546875" style="572" customWidth="1"/>
    <col min="5429" max="5429" width="9.28515625" style="572" customWidth="1"/>
    <col min="5430" max="5430" width="14.85546875" style="572" customWidth="1"/>
    <col min="5431" max="5431" width="12.85546875" style="572" bestFit="1" customWidth="1"/>
    <col min="5432" max="5432" width="12.85546875" style="572" customWidth="1"/>
    <col min="5433" max="5450" width="8.85546875" style="572" customWidth="1"/>
    <col min="5451" max="5451" width="30.28515625" style="572" bestFit="1" customWidth="1"/>
    <col min="5452" max="5452" width="20.7109375" style="572" customWidth="1"/>
    <col min="5453" max="5453" width="13.42578125" style="572" customWidth="1"/>
    <col min="5454" max="5454" width="8.85546875" style="572" customWidth="1"/>
    <col min="5455" max="5455" width="11.7109375" style="572" bestFit="1" customWidth="1"/>
    <col min="5456" max="5623" width="8.85546875" style="572" customWidth="1"/>
    <col min="5624" max="5624" width="29.7109375" style="572" customWidth="1"/>
    <col min="5625" max="5627" width="14.28515625" style="572" customWidth="1"/>
    <col min="5628" max="5628" width="2.7109375" style="572" customWidth="1"/>
    <col min="5629" max="5632" width="14.28515625" style="572"/>
    <col min="5633" max="5633" width="9.28515625" style="572" bestFit="1" customWidth="1"/>
    <col min="5634" max="5634" width="48.140625" style="572" customWidth="1"/>
    <col min="5635" max="5635" width="15.85546875" style="572" bestFit="1" customWidth="1"/>
    <col min="5636" max="5636" width="14.85546875" style="572" bestFit="1" customWidth="1"/>
    <col min="5637" max="5637" width="14.7109375" style="572" bestFit="1" customWidth="1"/>
    <col min="5638" max="5638" width="2.7109375" style="572" customWidth="1"/>
    <col min="5639" max="5639" width="15.85546875" style="572" bestFit="1" customWidth="1"/>
    <col min="5640" max="5641" width="14.5703125" style="572" bestFit="1" customWidth="1"/>
    <col min="5642" max="5642" width="2.7109375" style="572" customWidth="1"/>
    <col min="5643" max="5643" width="15.7109375" style="572" bestFit="1" customWidth="1"/>
    <col min="5644" max="5644" width="13.7109375" style="572" bestFit="1" customWidth="1"/>
    <col min="5645" max="5645" width="13.42578125" style="572" bestFit="1" customWidth="1"/>
    <col min="5646" max="5656" width="10.5703125" style="572" bestFit="1" customWidth="1"/>
    <col min="5657" max="5657" width="13.5703125" style="572" customWidth="1"/>
    <col min="5658" max="5658" width="16.5703125" style="572" customWidth="1"/>
    <col min="5659" max="5659" width="14.42578125" style="572" customWidth="1"/>
    <col min="5660" max="5660" width="13.28515625" style="572" bestFit="1" customWidth="1"/>
    <col min="5661" max="5661" width="13.42578125" style="572" bestFit="1" customWidth="1"/>
    <col min="5662" max="5662" width="13" style="572" customWidth="1"/>
    <col min="5663" max="5663" width="11.5703125" style="572" customWidth="1"/>
    <col min="5664" max="5664" width="13.140625" style="572" customWidth="1"/>
    <col min="5665" max="5666" width="11.5703125" style="572" customWidth="1"/>
    <col min="5667" max="5667" width="12.42578125" style="572" customWidth="1"/>
    <col min="5668" max="5668" width="13.5703125" style="572" customWidth="1"/>
    <col min="5669" max="5669" width="13.140625" style="572" bestFit="1" customWidth="1"/>
    <col min="5670" max="5670" width="18.85546875" style="572" customWidth="1"/>
    <col min="5671" max="5672" width="14.140625" style="572" customWidth="1"/>
    <col min="5673" max="5673" width="13.85546875" style="572" customWidth="1"/>
    <col min="5674" max="5674" width="14.140625" style="572" customWidth="1"/>
    <col min="5675" max="5675" width="13.7109375" style="572" customWidth="1"/>
    <col min="5676" max="5676" width="17.140625" style="572" customWidth="1"/>
    <col min="5677" max="5677" width="15.42578125" style="572" customWidth="1"/>
    <col min="5678" max="5678" width="18" style="572" customWidth="1"/>
    <col min="5679" max="5679" width="13.7109375" style="572" bestFit="1" customWidth="1"/>
    <col min="5680" max="5680" width="14.140625" style="572" bestFit="1" customWidth="1"/>
    <col min="5681" max="5681" width="14" style="572" bestFit="1" customWidth="1"/>
    <col min="5682" max="5682" width="14.85546875" style="572" bestFit="1" customWidth="1"/>
    <col min="5683" max="5683" width="15.7109375" style="572" customWidth="1"/>
    <col min="5684" max="5684" width="5.85546875" style="572" customWidth="1"/>
    <col min="5685" max="5685" width="9.28515625" style="572" customWidth="1"/>
    <col min="5686" max="5686" width="14.85546875" style="572" customWidth="1"/>
    <col min="5687" max="5687" width="12.85546875" style="572" bestFit="1" customWidth="1"/>
    <col min="5688" max="5688" width="12.85546875" style="572" customWidth="1"/>
    <col min="5689" max="5706" width="8.85546875" style="572" customWidth="1"/>
    <col min="5707" max="5707" width="30.28515625" style="572" bestFit="1" customWidth="1"/>
    <col min="5708" max="5708" width="20.7109375" style="572" customWidth="1"/>
    <col min="5709" max="5709" width="13.42578125" style="572" customWidth="1"/>
    <col min="5710" max="5710" width="8.85546875" style="572" customWidth="1"/>
    <col min="5711" max="5711" width="11.7109375" style="572" bestFit="1" customWidth="1"/>
    <col min="5712" max="5879" width="8.85546875" style="572" customWidth="1"/>
    <col min="5880" max="5880" width="29.7109375" style="572" customWidth="1"/>
    <col min="5881" max="5883" width="14.28515625" style="572" customWidth="1"/>
    <col min="5884" max="5884" width="2.7109375" style="572" customWidth="1"/>
    <col min="5885" max="5888" width="14.28515625" style="572"/>
    <col min="5889" max="5889" width="9.28515625" style="572" bestFit="1" customWidth="1"/>
    <col min="5890" max="5890" width="48.140625" style="572" customWidth="1"/>
    <col min="5891" max="5891" width="15.85546875" style="572" bestFit="1" customWidth="1"/>
    <col min="5892" max="5892" width="14.85546875" style="572" bestFit="1" customWidth="1"/>
    <col min="5893" max="5893" width="14.7109375" style="572" bestFit="1" customWidth="1"/>
    <col min="5894" max="5894" width="2.7109375" style="572" customWidth="1"/>
    <col min="5895" max="5895" width="15.85546875" style="572" bestFit="1" customWidth="1"/>
    <col min="5896" max="5897" width="14.5703125" style="572" bestFit="1" customWidth="1"/>
    <col min="5898" max="5898" width="2.7109375" style="572" customWidth="1"/>
    <col min="5899" max="5899" width="15.7109375" style="572" bestFit="1" customWidth="1"/>
    <col min="5900" max="5900" width="13.7109375" style="572" bestFit="1" customWidth="1"/>
    <col min="5901" max="5901" width="13.42578125" style="572" bestFit="1" customWidth="1"/>
    <col min="5902" max="5912" width="10.5703125" style="572" bestFit="1" customWidth="1"/>
    <col min="5913" max="5913" width="13.5703125" style="572" customWidth="1"/>
    <col min="5914" max="5914" width="16.5703125" style="572" customWidth="1"/>
    <col min="5915" max="5915" width="14.42578125" style="572" customWidth="1"/>
    <col min="5916" max="5916" width="13.28515625" style="572" bestFit="1" customWidth="1"/>
    <col min="5917" max="5917" width="13.42578125" style="572" bestFit="1" customWidth="1"/>
    <col min="5918" max="5918" width="13" style="572" customWidth="1"/>
    <col min="5919" max="5919" width="11.5703125" style="572" customWidth="1"/>
    <col min="5920" max="5920" width="13.140625" style="572" customWidth="1"/>
    <col min="5921" max="5922" width="11.5703125" style="572" customWidth="1"/>
    <col min="5923" max="5923" width="12.42578125" style="572" customWidth="1"/>
    <col min="5924" max="5924" width="13.5703125" style="572" customWidth="1"/>
    <col min="5925" max="5925" width="13.140625" style="572" bestFit="1" customWidth="1"/>
    <col min="5926" max="5926" width="18.85546875" style="572" customWidth="1"/>
    <col min="5927" max="5928" width="14.140625" style="572" customWidth="1"/>
    <col min="5929" max="5929" width="13.85546875" style="572" customWidth="1"/>
    <col min="5930" max="5930" width="14.140625" style="572" customWidth="1"/>
    <col min="5931" max="5931" width="13.7109375" style="572" customWidth="1"/>
    <col min="5932" max="5932" width="17.140625" style="572" customWidth="1"/>
    <col min="5933" max="5933" width="15.42578125" style="572" customWidth="1"/>
    <col min="5934" max="5934" width="18" style="572" customWidth="1"/>
    <col min="5935" max="5935" width="13.7109375" style="572" bestFit="1" customWidth="1"/>
    <col min="5936" max="5936" width="14.140625" style="572" bestFit="1" customWidth="1"/>
    <col min="5937" max="5937" width="14" style="572" bestFit="1" customWidth="1"/>
    <col min="5938" max="5938" width="14.85546875" style="572" bestFit="1" customWidth="1"/>
    <col min="5939" max="5939" width="15.7109375" style="572" customWidth="1"/>
    <col min="5940" max="5940" width="5.85546875" style="572" customWidth="1"/>
    <col min="5941" max="5941" width="9.28515625" style="572" customWidth="1"/>
    <col min="5942" max="5942" width="14.85546875" style="572" customWidth="1"/>
    <col min="5943" max="5943" width="12.85546875" style="572" bestFit="1" customWidth="1"/>
    <col min="5944" max="5944" width="12.85546875" style="572" customWidth="1"/>
    <col min="5945" max="5962" width="8.85546875" style="572" customWidth="1"/>
    <col min="5963" max="5963" width="30.28515625" style="572" bestFit="1" customWidth="1"/>
    <col min="5964" max="5964" width="20.7109375" style="572" customWidth="1"/>
    <col min="5965" max="5965" width="13.42578125" style="572" customWidth="1"/>
    <col min="5966" max="5966" width="8.85546875" style="572" customWidth="1"/>
    <col min="5967" max="5967" width="11.7109375" style="572" bestFit="1" customWidth="1"/>
    <col min="5968" max="6135" width="8.85546875" style="572" customWidth="1"/>
    <col min="6136" max="6136" width="29.7109375" style="572" customWidth="1"/>
    <col min="6137" max="6139" width="14.28515625" style="572" customWidth="1"/>
    <col min="6140" max="6140" width="2.7109375" style="572" customWidth="1"/>
    <col min="6141" max="6144" width="14.28515625" style="572"/>
    <col min="6145" max="6145" width="9.28515625" style="572" bestFit="1" customWidth="1"/>
    <col min="6146" max="6146" width="48.140625" style="572" customWidth="1"/>
    <col min="6147" max="6147" width="15.85546875" style="572" bestFit="1" customWidth="1"/>
    <col min="6148" max="6148" width="14.85546875" style="572" bestFit="1" customWidth="1"/>
    <col min="6149" max="6149" width="14.7109375" style="572" bestFit="1" customWidth="1"/>
    <col min="6150" max="6150" width="2.7109375" style="572" customWidth="1"/>
    <col min="6151" max="6151" width="15.85546875" style="572" bestFit="1" customWidth="1"/>
    <col min="6152" max="6153" width="14.5703125" style="572" bestFit="1" customWidth="1"/>
    <col min="6154" max="6154" width="2.7109375" style="572" customWidth="1"/>
    <col min="6155" max="6155" width="15.7109375" style="572" bestFit="1" customWidth="1"/>
    <col min="6156" max="6156" width="13.7109375" style="572" bestFit="1" customWidth="1"/>
    <col min="6157" max="6157" width="13.42578125" style="572" bestFit="1" customWidth="1"/>
    <col min="6158" max="6168" width="10.5703125" style="572" bestFit="1" customWidth="1"/>
    <col min="6169" max="6169" width="13.5703125" style="572" customWidth="1"/>
    <col min="6170" max="6170" width="16.5703125" style="572" customWidth="1"/>
    <col min="6171" max="6171" width="14.42578125" style="572" customWidth="1"/>
    <col min="6172" max="6172" width="13.28515625" style="572" bestFit="1" customWidth="1"/>
    <col min="6173" max="6173" width="13.42578125" style="572" bestFit="1" customWidth="1"/>
    <col min="6174" max="6174" width="13" style="572" customWidth="1"/>
    <col min="6175" max="6175" width="11.5703125" style="572" customWidth="1"/>
    <col min="6176" max="6176" width="13.140625" style="572" customWidth="1"/>
    <col min="6177" max="6178" width="11.5703125" style="572" customWidth="1"/>
    <col min="6179" max="6179" width="12.42578125" style="572" customWidth="1"/>
    <col min="6180" max="6180" width="13.5703125" style="572" customWidth="1"/>
    <col min="6181" max="6181" width="13.140625" style="572" bestFit="1" customWidth="1"/>
    <col min="6182" max="6182" width="18.85546875" style="572" customWidth="1"/>
    <col min="6183" max="6184" width="14.140625" style="572" customWidth="1"/>
    <col min="6185" max="6185" width="13.85546875" style="572" customWidth="1"/>
    <col min="6186" max="6186" width="14.140625" style="572" customWidth="1"/>
    <col min="6187" max="6187" width="13.7109375" style="572" customWidth="1"/>
    <col min="6188" max="6188" width="17.140625" style="572" customWidth="1"/>
    <col min="6189" max="6189" width="15.42578125" style="572" customWidth="1"/>
    <col min="6190" max="6190" width="18" style="572" customWidth="1"/>
    <col min="6191" max="6191" width="13.7109375" style="572" bestFit="1" customWidth="1"/>
    <col min="6192" max="6192" width="14.140625" style="572" bestFit="1" customWidth="1"/>
    <col min="6193" max="6193" width="14" style="572" bestFit="1" customWidth="1"/>
    <col min="6194" max="6194" width="14.85546875" style="572" bestFit="1" customWidth="1"/>
    <col min="6195" max="6195" width="15.7109375" style="572" customWidth="1"/>
    <col min="6196" max="6196" width="5.85546875" style="572" customWidth="1"/>
    <col min="6197" max="6197" width="9.28515625" style="572" customWidth="1"/>
    <col min="6198" max="6198" width="14.85546875" style="572" customWidth="1"/>
    <col min="6199" max="6199" width="12.85546875" style="572" bestFit="1" customWidth="1"/>
    <col min="6200" max="6200" width="12.85546875" style="572" customWidth="1"/>
    <col min="6201" max="6218" width="8.85546875" style="572" customWidth="1"/>
    <col min="6219" max="6219" width="30.28515625" style="572" bestFit="1" customWidth="1"/>
    <col min="6220" max="6220" width="20.7109375" style="572" customWidth="1"/>
    <col min="6221" max="6221" width="13.42578125" style="572" customWidth="1"/>
    <col min="6222" max="6222" width="8.85546875" style="572" customWidth="1"/>
    <col min="6223" max="6223" width="11.7109375" style="572" bestFit="1" customWidth="1"/>
    <col min="6224" max="6391" width="8.85546875" style="572" customWidth="1"/>
    <col min="6392" max="6392" width="29.7109375" style="572" customWidth="1"/>
    <col min="6393" max="6395" width="14.28515625" style="572" customWidth="1"/>
    <col min="6396" max="6396" width="2.7109375" style="572" customWidth="1"/>
    <col min="6397" max="6400" width="14.28515625" style="572"/>
    <col min="6401" max="6401" width="9.28515625" style="572" bestFit="1" customWidth="1"/>
    <col min="6402" max="6402" width="48.140625" style="572" customWidth="1"/>
    <col min="6403" max="6403" width="15.85546875" style="572" bestFit="1" customWidth="1"/>
    <col min="6404" max="6404" width="14.85546875" style="572" bestFit="1" customWidth="1"/>
    <col min="6405" max="6405" width="14.7109375" style="572" bestFit="1" customWidth="1"/>
    <col min="6406" max="6406" width="2.7109375" style="572" customWidth="1"/>
    <col min="6407" max="6407" width="15.85546875" style="572" bestFit="1" customWidth="1"/>
    <col min="6408" max="6409" width="14.5703125" style="572" bestFit="1" customWidth="1"/>
    <col min="6410" max="6410" width="2.7109375" style="572" customWidth="1"/>
    <col min="6411" max="6411" width="15.7109375" style="572" bestFit="1" customWidth="1"/>
    <col min="6412" max="6412" width="13.7109375" style="572" bestFit="1" customWidth="1"/>
    <col min="6413" max="6413" width="13.42578125" style="572" bestFit="1" customWidth="1"/>
    <col min="6414" max="6424" width="10.5703125" style="572" bestFit="1" customWidth="1"/>
    <col min="6425" max="6425" width="13.5703125" style="572" customWidth="1"/>
    <col min="6426" max="6426" width="16.5703125" style="572" customWidth="1"/>
    <col min="6427" max="6427" width="14.42578125" style="572" customWidth="1"/>
    <col min="6428" max="6428" width="13.28515625" style="572" bestFit="1" customWidth="1"/>
    <col min="6429" max="6429" width="13.42578125" style="572" bestFit="1" customWidth="1"/>
    <col min="6430" max="6430" width="13" style="572" customWidth="1"/>
    <col min="6431" max="6431" width="11.5703125" style="572" customWidth="1"/>
    <col min="6432" max="6432" width="13.140625" style="572" customWidth="1"/>
    <col min="6433" max="6434" width="11.5703125" style="572" customWidth="1"/>
    <col min="6435" max="6435" width="12.42578125" style="572" customWidth="1"/>
    <col min="6436" max="6436" width="13.5703125" style="572" customWidth="1"/>
    <col min="6437" max="6437" width="13.140625" style="572" bestFit="1" customWidth="1"/>
    <col min="6438" max="6438" width="18.85546875" style="572" customWidth="1"/>
    <col min="6439" max="6440" width="14.140625" style="572" customWidth="1"/>
    <col min="6441" max="6441" width="13.85546875" style="572" customWidth="1"/>
    <col min="6442" max="6442" width="14.140625" style="572" customWidth="1"/>
    <col min="6443" max="6443" width="13.7109375" style="572" customWidth="1"/>
    <col min="6444" max="6444" width="17.140625" style="572" customWidth="1"/>
    <col min="6445" max="6445" width="15.42578125" style="572" customWidth="1"/>
    <col min="6446" max="6446" width="18" style="572" customWidth="1"/>
    <col min="6447" max="6447" width="13.7109375" style="572" bestFit="1" customWidth="1"/>
    <col min="6448" max="6448" width="14.140625" style="572" bestFit="1" customWidth="1"/>
    <col min="6449" max="6449" width="14" style="572" bestFit="1" customWidth="1"/>
    <col min="6450" max="6450" width="14.85546875" style="572" bestFit="1" customWidth="1"/>
    <col min="6451" max="6451" width="15.7109375" style="572" customWidth="1"/>
    <col min="6452" max="6452" width="5.85546875" style="572" customWidth="1"/>
    <col min="6453" max="6453" width="9.28515625" style="572" customWidth="1"/>
    <col min="6454" max="6454" width="14.85546875" style="572" customWidth="1"/>
    <col min="6455" max="6455" width="12.85546875" style="572" bestFit="1" customWidth="1"/>
    <col min="6456" max="6456" width="12.85546875" style="572" customWidth="1"/>
    <col min="6457" max="6474" width="8.85546875" style="572" customWidth="1"/>
    <col min="6475" max="6475" width="30.28515625" style="572" bestFit="1" customWidth="1"/>
    <col min="6476" max="6476" width="20.7109375" style="572" customWidth="1"/>
    <col min="6477" max="6477" width="13.42578125" style="572" customWidth="1"/>
    <col min="6478" max="6478" width="8.85546875" style="572" customWidth="1"/>
    <col min="6479" max="6479" width="11.7109375" style="572" bestFit="1" customWidth="1"/>
    <col min="6480" max="6647" width="8.85546875" style="572" customWidth="1"/>
    <col min="6648" max="6648" width="29.7109375" style="572" customWidth="1"/>
    <col min="6649" max="6651" width="14.28515625" style="572" customWidth="1"/>
    <col min="6652" max="6652" width="2.7109375" style="572" customWidth="1"/>
    <col min="6653" max="6656" width="14.28515625" style="572"/>
    <col min="6657" max="6657" width="9.28515625" style="572" bestFit="1" customWidth="1"/>
    <col min="6658" max="6658" width="48.140625" style="572" customWidth="1"/>
    <col min="6659" max="6659" width="15.85546875" style="572" bestFit="1" customWidth="1"/>
    <col min="6660" max="6660" width="14.85546875" style="572" bestFit="1" customWidth="1"/>
    <col min="6661" max="6661" width="14.7109375" style="572" bestFit="1" customWidth="1"/>
    <col min="6662" max="6662" width="2.7109375" style="572" customWidth="1"/>
    <col min="6663" max="6663" width="15.85546875" style="572" bestFit="1" customWidth="1"/>
    <col min="6664" max="6665" width="14.5703125" style="572" bestFit="1" customWidth="1"/>
    <col min="6666" max="6666" width="2.7109375" style="572" customWidth="1"/>
    <col min="6667" max="6667" width="15.7109375" style="572" bestFit="1" customWidth="1"/>
    <col min="6668" max="6668" width="13.7109375" style="572" bestFit="1" customWidth="1"/>
    <col min="6669" max="6669" width="13.42578125" style="572" bestFit="1" customWidth="1"/>
    <col min="6670" max="6680" width="10.5703125" style="572" bestFit="1" customWidth="1"/>
    <col min="6681" max="6681" width="13.5703125" style="572" customWidth="1"/>
    <col min="6682" max="6682" width="16.5703125" style="572" customWidth="1"/>
    <col min="6683" max="6683" width="14.42578125" style="572" customWidth="1"/>
    <col min="6684" max="6684" width="13.28515625" style="572" bestFit="1" customWidth="1"/>
    <col min="6685" max="6685" width="13.42578125" style="572" bestFit="1" customWidth="1"/>
    <col min="6686" max="6686" width="13" style="572" customWidth="1"/>
    <col min="6687" max="6687" width="11.5703125" style="572" customWidth="1"/>
    <col min="6688" max="6688" width="13.140625" style="572" customWidth="1"/>
    <col min="6689" max="6690" width="11.5703125" style="572" customWidth="1"/>
    <col min="6691" max="6691" width="12.42578125" style="572" customWidth="1"/>
    <col min="6692" max="6692" width="13.5703125" style="572" customWidth="1"/>
    <col min="6693" max="6693" width="13.140625" style="572" bestFit="1" customWidth="1"/>
    <col min="6694" max="6694" width="18.85546875" style="572" customWidth="1"/>
    <col min="6695" max="6696" width="14.140625" style="572" customWidth="1"/>
    <col min="6697" max="6697" width="13.85546875" style="572" customWidth="1"/>
    <col min="6698" max="6698" width="14.140625" style="572" customWidth="1"/>
    <col min="6699" max="6699" width="13.7109375" style="572" customWidth="1"/>
    <col min="6700" max="6700" width="17.140625" style="572" customWidth="1"/>
    <col min="6701" max="6701" width="15.42578125" style="572" customWidth="1"/>
    <col min="6702" max="6702" width="18" style="572" customWidth="1"/>
    <col min="6703" max="6703" width="13.7109375" style="572" bestFit="1" customWidth="1"/>
    <col min="6704" max="6704" width="14.140625" style="572" bestFit="1" customWidth="1"/>
    <col min="6705" max="6705" width="14" style="572" bestFit="1" customWidth="1"/>
    <col min="6706" max="6706" width="14.85546875" style="572" bestFit="1" customWidth="1"/>
    <col min="6707" max="6707" width="15.7109375" style="572" customWidth="1"/>
    <col min="6708" max="6708" width="5.85546875" style="572" customWidth="1"/>
    <col min="6709" max="6709" width="9.28515625" style="572" customWidth="1"/>
    <col min="6710" max="6710" width="14.85546875" style="572" customWidth="1"/>
    <col min="6711" max="6711" width="12.85546875" style="572" bestFit="1" customWidth="1"/>
    <col min="6712" max="6712" width="12.85546875" style="572" customWidth="1"/>
    <col min="6713" max="6730" width="8.85546875" style="572" customWidth="1"/>
    <col min="6731" max="6731" width="30.28515625" style="572" bestFit="1" customWidth="1"/>
    <col min="6732" max="6732" width="20.7109375" style="572" customWidth="1"/>
    <col min="6733" max="6733" width="13.42578125" style="572" customWidth="1"/>
    <col min="6734" max="6734" width="8.85546875" style="572" customWidth="1"/>
    <col min="6735" max="6735" width="11.7109375" style="572" bestFit="1" customWidth="1"/>
    <col min="6736" max="6903" width="8.85546875" style="572" customWidth="1"/>
    <col min="6904" max="6904" width="29.7109375" style="572" customWidth="1"/>
    <col min="6905" max="6907" width="14.28515625" style="572" customWidth="1"/>
    <col min="6908" max="6908" width="2.7109375" style="572" customWidth="1"/>
    <col min="6909" max="6912" width="14.28515625" style="572"/>
    <col min="6913" max="6913" width="9.28515625" style="572" bestFit="1" customWidth="1"/>
    <col min="6914" max="6914" width="48.140625" style="572" customWidth="1"/>
    <col min="6915" max="6915" width="15.85546875" style="572" bestFit="1" customWidth="1"/>
    <col min="6916" max="6916" width="14.85546875" style="572" bestFit="1" customWidth="1"/>
    <col min="6917" max="6917" width="14.7109375" style="572" bestFit="1" customWidth="1"/>
    <col min="6918" max="6918" width="2.7109375" style="572" customWidth="1"/>
    <col min="6919" max="6919" width="15.85546875" style="572" bestFit="1" customWidth="1"/>
    <col min="6920" max="6921" width="14.5703125" style="572" bestFit="1" customWidth="1"/>
    <col min="6922" max="6922" width="2.7109375" style="572" customWidth="1"/>
    <col min="6923" max="6923" width="15.7109375" style="572" bestFit="1" customWidth="1"/>
    <col min="6924" max="6924" width="13.7109375" style="572" bestFit="1" customWidth="1"/>
    <col min="6925" max="6925" width="13.42578125" style="572" bestFit="1" customWidth="1"/>
    <col min="6926" max="6936" width="10.5703125" style="572" bestFit="1" customWidth="1"/>
    <col min="6937" max="6937" width="13.5703125" style="572" customWidth="1"/>
    <col min="6938" max="6938" width="16.5703125" style="572" customWidth="1"/>
    <col min="6939" max="6939" width="14.42578125" style="572" customWidth="1"/>
    <col min="6940" max="6940" width="13.28515625" style="572" bestFit="1" customWidth="1"/>
    <col min="6941" max="6941" width="13.42578125" style="572" bestFit="1" customWidth="1"/>
    <col min="6942" max="6942" width="13" style="572" customWidth="1"/>
    <col min="6943" max="6943" width="11.5703125" style="572" customWidth="1"/>
    <col min="6944" max="6944" width="13.140625" style="572" customWidth="1"/>
    <col min="6945" max="6946" width="11.5703125" style="572" customWidth="1"/>
    <col min="6947" max="6947" width="12.42578125" style="572" customWidth="1"/>
    <col min="6948" max="6948" width="13.5703125" style="572" customWidth="1"/>
    <col min="6949" max="6949" width="13.140625" style="572" bestFit="1" customWidth="1"/>
    <col min="6950" max="6950" width="18.85546875" style="572" customWidth="1"/>
    <col min="6951" max="6952" width="14.140625" style="572" customWidth="1"/>
    <col min="6953" max="6953" width="13.85546875" style="572" customWidth="1"/>
    <col min="6954" max="6954" width="14.140625" style="572" customWidth="1"/>
    <col min="6955" max="6955" width="13.7109375" style="572" customWidth="1"/>
    <col min="6956" max="6956" width="17.140625" style="572" customWidth="1"/>
    <col min="6957" max="6957" width="15.42578125" style="572" customWidth="1"/>
    <col min="6958" max="6958" width="18" style="572" customWidth="1"/>
    <col min="6959" max="6959" width="13.7109375" style="572" bestFit="1" customWidth="1"/>
    <col min="6960" max="6960" width="14.140625" style="572" bestFit="1" customWidth="1"/>
    <col min="6961" max="6961" width="14" style="572" bestFit="1" customWidth="1"/>
    <col min="6962" max="6962" width="14.85546875" style="572" bestFit="1" customWidth="1"/>
    <col min="6963" max="6963" width="15.7109375" style="572" customWidth="1"/>
    <col min="6964" max="6964" width="5.85546875" style="572" customWidth="1"/>
    <col min="6965" max="6965" width="9.28515625" style="572" customWidth="1"/>
    <col min="6966" max="6966" width="14.85546875" style="572" customWidth="1"/>
    <col min="6967" max="6967" width="12.85546875" style="572" bestFit="1" customWidth="1"/>
    <col min="6968" max="6968" width="12.85546875" style="572" customWidth="1"/>
    <col min="6969" max="6986" width="8.85546875" style="572" customWidth="1"/>
    <col min="6987" max="6987" width="30.28515625" style="572" bestFit="1" customWidth="1"/>
    <col min="6988" max="6988" width="20.7109375" style="572" customWidth="1"/>
    <col min="6989" max="6989" width="13.42578125" style="572" customWidth="1"/>
    <col min="6990" max="6990" width="8.85546875" style="572" customWidth="1"/>
    <col min="6991" max="6991" width="11.7109375" style="572" bestFit="1" customWidth="1"/>
    <col min="6992" max="7159" width="8.85546875" style="572" customWidth="1"/>
    <col min="7160" max="7160" width="29.7109375" style="572" customWidth="1"/>
    <col min="7161" max="7163" width="14.28515625" style="572" customWidth="1"/>
    <col min="7164" max="7164" width="2.7109375" style="572" customWidth="1"/>
    <col min="7165" max="7168" width="14.28515625" style="572"/>
    <col min="7169" max="7169" width="9.28515625" style="572" bestFit="1" customWidth="1"/>
    <col min="7170" max="7170" width="48.140625" style="572" customWidth="1"/>
    <col min="7171" max="7171" width="15.85546875" style="572" bestFit="1" customWidth="1"/>
    <col min="7172" max="7172" width="14.85546875" style="572" bestFit="1" customWidth="1"/>
    <col min="7173" max="7173" width="14.7109375" style="572" bestFit="1" customWidth="1"/>
    <col min="7174" max="7174" width="2.7109375" style="572" customWidth="1"/>
    <col min="7175" max="7175" width="15.85546875" style="572" bestFit="1" customWidth="1"/>
    <col min="7176" max="7177" width="14.5703125" style="572" bestFit="1" customWidth="1"/>
    <col min="7178" max="7178" width="2.7109375" style="572" customWidth="1"/>
    <col min="7179" max="7179" width="15.7109375" style="572" bestFit="1" customWidth="1"/>
    <col min="7180" max="7180" width="13.7109375" style="572" bestFit="1" customWidth="1"/>
    <col min="7181" max="7181" width="13.42578125" style="572" bestFit="1" customWidth="1"/>
    <col min="7182" max="7192" width="10.5703125" style="572" bestFit="1" customWidth="1"/>
    <col min="7193" max="7193" width="13.5703125" style="572" customWidth="1"/>
    <col min="7194" max="7194" width="16.5703125" style="572" customWidth="1"/>
    <col min="7195" max="7195" width="14.42578125" style="572" customWidth="1"/>
    <col min="7196" max="7196" width="13.28515625" style="572" bestFit="1" customWidth="1"/>
    <col min="7197" max="7197" width="13.42578125" style="572" bestFit="1" customWidth="1"/>
    <col min="7198" max="7198" width="13" style="572" customWidth="1"/>
    <col min="7199" max="7199" width="11.5703125" style="572" customWidth="1"/>
    <col min="7200" max="7200" width="13.140625" style="572" customWidth="1"/>
    <col min="7201" max="7202" width="11.5703125" style="572" customWidth="1"/>
    <col min="7203" max="7203" width="12.42578125" style="572" customWidth="1"/>
    <col min="7204" max="7204" width="13.5703125" style="572" customWidth="1"/>
    <col min="7205" max="7205" width="13.140625" style="572" bestFit="1" customWidth="1"/>
    <col min="7206" max="7206" width="18.85546875" style="572" customWidth="1"/>
    <col min="7207" max="7208" width="14.140625" style="572" customWidth="1"/>
    <col min="7209" max="7209" width="13.85546875" style="572" customWidth="1"/>
    <col min="7210" max="7210" width="14.140625" style="572" customWidth="1"/>
    <col min="7211" max="7211" width="13.7109375" style="572" customWidth="1"/>
    <col min="7212" max="7212" width="17.140625" style="572" customWidth="1"/>
    <col min="7213" max="7213" width="15.42578125" style="572" customWidth="1"/>
    <col min="7214" max="7214" width="18" style="572" customWidth="1"/>
    <col min="7215" max="7215" width="13.7109375" style="572" bestFit="1" customWidth="1"/>
    <col min="7216" max="7216" width="14.140625" style="572" bestFit="1" customWidth="1"/>
    <col min="7217" max="7217" width="14" style="572" bestFit="1" customWidth="1"/>
    <col min="7218" max="7218" width="14.85546875" style="572" bestFit="1" customWidth="1"/>
    <col min="7219" max="7219" width="15.7109375" style="572" customWidth="1"/>
    <col min="7220" max="7220" width="5.85546875" style="572" customWidth="1"/>
    <col min="7221" max="7221" width="9.28515625" style="572" customWidth="1"/>
    <col min="7222" max="7222" width="14.85546875" style="572" customWidth="1"/>
    <col min="7223" max="7223" width="12.85546875" style="572" bestFit="1" customWidth="1"/>
    <col min="7224" max="7224" width="12.85546875" style="572" customWidth="1"/>
    <col min="7225" max="7242" width="8.85546875" style="572" customWidth="1"/>
    <col min="7243" max="7243" width="30.28515625" style="572" bestFit="1" customWidth="1"/>
    <col min="7244" max="7244" width="20.7109375" style="572" customWidth="1"/>
    <col min="7245" max="7245" width="13.42578125" style="572" customWidth="1"/>
    <col min="7246" max="7246" width="8.85546875" style="572" customWidth="1"/>
    <col min="7247" max="7247" width="11.7109375" style="572" bestFit="1" customWidth="1"/>
    <col min="7248" max="7415" width="8.85546875" style="572" customWidth="1"/>
    <col min="7416" max="7416" width="29.7109375" style="572" customWidth="1"/>
    <col min="7417" max="7419" width="14.28515625" style="572" customWidth="1"/>
    <col min="7420" max="7420" width="2.7109375" style="572" customWidth="1"/>
    <col min="7421" max="7424" width="14.28515625" style="572"/>
    <col min="7425" max="7425" width="9.28515625" style="572" bestFit="1" customWidth="1"/>
    <col min="7426" max="7426" width="48.140625" style="572" customWidth="1"/>
    <col min="7427" max="7427" width="15.85546875" style="572" bestFit="1" customWidth="1"/>
    <col min="7428" max="7428" width="14.85546875" style="572" bestFit="1" customWidth="1"/>
    <col min="7429" max="7429" width="14.7109375" style="572" bestFit="1" customWidth="1"/>
    <col min="7430" max="7430" width="2.7109375" style="572" customWidth="1"/>
    <col min="7431" max="7431" width="15.85546875" style="572" bestFit="1" customWidth="1"/>
    <col min="7432" max="7433" width="14.5703125" style="572" bestFit="1" customWidth="1"/>
    <col min="7434" max="7434" width="2.7109375" style="572" customWidth="1"/>
    <col min="7435" max="7435" width="15.7109375" style="572" bestFit="1" customWidth="1"/>
    <col min="7436" max="7436" width="13.7109375" style="572" bestFit="1" customWidth="1"/>
    <col min="7437" max="7437" width="13.42578125" style="572" bestFit="1" customWidth="1"/>
    <col min="7438" max="7448" width="10.5703125" style="572" bestFit="1" customWidth="1"/>
    <col min="7449" max="7449" width="13.5703125" style="572" customWidth="1"/>
    <col min="7450" max="7450" width="16.5703125" style="572" customWidth="1"/>
    <col min="7451" max="7451" width="14.42578125" style="572" customWidth="1"/>
    <col min="7452" max="7452" width="13.28515625" style="572" bestFit="1" customWidth="1"/>
    <col min="7453" max="7453" width="13.42578125" style="572" bestFit="1" customWidth="1"/>
    <col min="7454" max="7454" width="13" style="572" customWidth="1"/>
    <col min="7455" max="7455" width="11.5703125" style="572" customWidth="1"/>
    <col min="7456" max="7456" width="13.140625" style="572" customWidth="1"/>
    <col min="7457" max="7458" width="11.5703125" style="572" customWidth="1"/>
    <col min="7459" max="7459" width="12.42578125" style="572" customWidth="1"/>
    <col min="7460" max="7460" width="13.5703125" style="572" customWidth="1"/>
    <col min="7461" max="7461" width="13.140625" style="572" bestFit="1" customWidth="1"/>
    <col min="7462" max="7462" width="18.85546875" style="572" customWidth="1"/>
    <col min="7463" max="7464" width="14.140625" style="572" customWidth="1"/>
    <col min="7465" max="7465" width="13.85546875" style="572" customWidth="1"/>
    <col min="7466" max="7466" width="14.140625" style="572" customWidth="1"/>
    <col min="7467" max="7467" width="13.7109375" style="572" customWidth="1"/>
    <col min="7468" max="7468" width="17.140625" style="572" customWidth="1"/>
    <col min="7469" max="7469" width="15.42578125" style="572" customWidth="1"/>
    <col min="7470" max="7470" width="18" style="572" customWidth="1"/>
    <col min="7471" max="7471" width="13.7109375" style="572" bestFit="1" customWidth="1"/>
    <col min="7472" max="7472" width="14.140625" style="572" bestFit="1" customWidth="1"/>
    <col min="7473" max="7473" width="14" style="572" bestFit="1" customWidth="1"/>
    <col min="7474" max="7474" width="14.85546875" style="572" bestFit="1" customWidth="1"/>
    <col min="7475" max="7475" width="15.7109375" style="572" customWidth="1"/>
    <col min="7476" max="7476" width="5.85546875" style="572" customWidth="1"/>
    <col min="7477" max="7477" width="9.28515625" style="572" customWidth="1"/>
    <col min="7478" max="7478" width="14.85546875" style="572" customWidth="1"/>
    <col min="7479" max="7479" width="12.85546875" style="572" bestFit="1" customWidth="1"/>
    <col min="7480" max="7480" width="12.85546875" style="572" customWidth="1"/>
    <col min="7481" max="7498" width="8.85546875" style="572" customWidth="1"/>
    <col min="7499" max="7499" width="30.28515625" style="572" bestFit="1" customWidth="1"/>
    <col min="7500" max="7500" width="20.7109375" style="572" customWidth="1"/>
    <col min="7501" max="7501" width="13.42578125" style="572" customWidth="1"/>
    <col min="7502" max="7502" width="8.85546875" style="572" customWidth="1"/>
    <col min="7503" max="7503" width="11.7109375" style="572" bestFit="1" customWidth="1"/>
    <col min="7504" max="7671" width="8.85546875" style="572" customWidth="1"/>
    <col min="7672" max="7672" width="29.7109375" style="572" customWidth="1"/>
    <col min="7673" max="7675" width="14.28515625" style="572" customWidth="1"/>
    <col min="7676" max="7676" width="2.7109375" style="572" customWidth="1"/>
    <col min="7677" max="7680" width="14.28515625" style="572"/>
    <col min="7681" max="7681" width="9.28515625" style="572" bestFit="1" customWidth="1"/>
    <col min="7682" max="7682" width="48.140625" style="572" customWidth="1"/>
    <col min="7683" max="7683" width="15.85546875" style="572" bestFit="1" customWidth="1"/>
    <col min="7684" max="7684" width="14.85546875" style="572" bestFit="1" customWidth="1"/>
    <col min="7685" max="7685" width="14.7109375" style="572" bestFit="1" customWidth="1"/>
    <col min="7686" max="7686" width="2.7109375" style="572" customWidth="1"/>
    <col min="7687" max="7687" width="15.85546875" style="572" bestFit="1" customWidth="1"/>
    <col min="7688" max="7689" width="14.5703125" style="572" bestFit="1" customWidth="1"/>
    <col min="7690" max="7690" width="2.7109375" style="572" customWidth="1"/>
    <col min="7691" max="7691" width="15.7109375" style="572" bestFit="1" customWidth="1"/>
    <col min="7692" max="7692" width="13.7109375" style="572" bestFit="1" customWidth="1"/>
    <col min="7693" max="7693" width="13.42578125" style="572" bestFit="1" customWidth="1"/>
    <col min="7694" max="7704" width="10.5703125" style="572" bestFit="1" customWidth="1"/>
    <col min="7705" max="7705" width="13.5703125" style="572" customWidth="1"/>
    <col min="7706" max="7706" width="16.5703125" style="572" customWidth="1"/>
    <col min="7707" max="7707" width="14.42578125" style="572" customWidth="1"/>
    <col min="7708" max="7708" width="13.28515625" style="572" bestFit="1" customWidth="1"/>
    <col min="7709" max="7709" width="13.42578125" style="572" bestFit="1" customWidth="1"/>
    <col min="7710" max="7710" width="13" style="572" customWidth="1"/>
    <col min="7711" max="7711" width="11.5703125" style="572" customWidth="1"/>
    <col min="7712" max="7712" width="13.140625" style="572" customWidth="1"/>
    <col min="7713" max="7714" width="11.5703125" style="572" customWidth="1"/>
    <col min="7715" max="7715" width="12.42578125" style="572" customWidth="1"/>
    <col min="7716" max="7716" width="13.5703125" style="572" customWidth="1"/>
    <col min="7717" max="7717" width="13.140625" style="572" bestFit="1" customWidth="1"/>
    <col min="7718" max="7718" width="18.85546875" style="572" customWidth="1"/>
    <col min="7719" max="7720" width="14.140625" style="572" customWidth="1"/>
    <col min="7721" max="7721" width="13.85546875" style="572" customWidth="1"/>
    <col min="7722" max="7722" width="14.140625" style="572" customWidth="1"/>
    <col min="7723" max="7723" width="13.7109375" style="572" customWidth="1"/>
    <col min="7724" max="7724" width="17.140625" style="572" customWidth="1"/>
    <col min="7725" max="7725" width="15.42578125" style="572" customWidth="1"/>
    <col min="7726" max="7726" width="18" style="572" customWidth="1"/>
    <col min="7727" max="7727" width="13.7109375" style="572" bestFit="1" customWidth="1"/>
    <col min="7728" max="7728" width="14.140625" style="572" bestFit="1" customWidth="1"/>
    <col min="7729" max="7729" width="14" style="572" bestFit="1" customWidth="1"/>
    <col min="7730" max="7730" width="14.85546875" style="572" bestFit="1" customWidth="1"/>
    <col min="7731" max="7731" width="15.7109375" style="572" customWidth="1"/>
    <col min="7732" max="7732" width="5.85546875" style="572" customWidth="1"/>
    <col min="7733" max="7733" width="9.28515625" style="572" customWidth="1"/>
    <col min="7734" max="7734" width="14.85546875" style="572" customWidth="1"/>
    <col min="7735" max="7735" width="12.85546875" style="572" bestFit="1" customWidth="1"/>
    <col min="7736" max="7736" width="12.85546875" style="572" customWidth="1"/>
    <col min="7737" max="7754" width="8.85546875" style="572" customWidth="1"/>
    <col min="7755" max="7755" width="30.28515625" style="572" bestFit="1" customWidth="1"/>
    <col min="7756" max="7756" width="20.7109375" style="572" customWidth="1"/>
    <col min="7757" max="7757" width="13.42578125" style="572" customWidth="1"/>
    <col min="7758" max="7758" width="8.85546875" style="572" customWidth="1"/>
    <col min="7759" max="7759" width="11.7109375" style="572" bestFit="1" customWidth="1"/>
    <col min="7760" max="7927" width="8.85546875" style="572" customWidth="1"/>
    <col min="7928" max="7928" width="29.7109375" style="572" customWidth="1"/>
    <col min="7929" max="7931" width="14.28515625" style="572" customWidth="1"/>
    <col min="7932" max="7932" width="2.7109375" style="572" customWidth="1"/>
    <col min="7933" max="7936" width="14.28515625" style="572"/>
    <col min="7937" max="7937" width="9.28515625" style="572" bestFit="1" customWidth="1"/>
    <col min="7938" max="7938" width="48.140625" style="572" customWidth="1"/>
    <col min="7939" max="7939" width="15.85546875" style="572" bestFit="1" customWidth="1"/>
    <col min="7940" max="7940" width="14.85546875" style="572" bestFit="1" customWidth="1"/>
    <col min="7941" max="7941" width="14.7109375" style="572" bestFit="1" customWidth="1"/>
    <col min="7942" max="7942" width="2.7109375" style="572" customWidth="1"/>
    <col min="7943" max="7943" width="15.85546875" style="572" bestFit="1" customWidth="1"/>
    <col min="7944" max="7945" width="14.5703125" style="572" bestFit="1" customWidth="1"/>
    <col min="7946" max="7946" width="2.7109375" style="572" customWidth="1"/>
    <col min="7947" max="7947" width="15.7109375" style="572" bestFit="1" customWidth="1"/>
    <col min="7948" max="7948" width="13.7109375" style="572" bestFit="1" customWidth="1"/>
    <col min="7949" max="7949" width="13.42578125" style="572" bestFit="1" customWidth="1"/>
    <col min="7950" max="7960" width="10.5703125" style="572" bestFit="1" customWidth="1"/>
    <col min="7961" max="7961" width="13.5703125" style="572" customWidth="1"/>
    <col min="7962" max="7962" width="16.5703125" style="572" customWidth="1"/>
    <col min="7963" max="7963" width="14.42578125" style="572" customWidth="1"/>
    <col min="7964" max="7964" width="13.28515625" style="572" bestFit="1" customWidth="1"/>
    <col min="7965" max="7965" width="13.42578125" style="572" bestFit="1" customWidth="1"/>
    <col min="7966" max="7966" width="13" style="572" customWidth="1"/>
    <col min="7967" max="7967" width="11.5703125" style="572" customWidth="1"/>
    <col min="7968" max="7968" width="13.140625" style="572" customWidth="1"/>
    <col min="7969" max="7970" width="11.5703125" style="572" customWidth="1"/>
    <col min="7971" max="7971" width="12.42578125" style="572" customWidth="1"/>
    <col min="7972" max="7972" width="13.5703125" style="572" customWidth="1"/>
    <col min="7973" max="7973" width="13.140625" style="572" bestFit="1" customWidth="1"/>
    <col min="7974" max="7974" width="18.85546875" style="572" customWidth="1"/>
    <col min="7975" max="7976" width="14.140625" style="572" customWidth="1"/>
    <col min="7977" max="7977" width="13.85546875" style="572" customWidth="1"/>
    <col min="7978" max="7978" width="14.140625" style="572" customWidth="1"/>
    <col min="7979" max="7979" width="13.7109375" style="572" customWidth="1"/>
    <col min="7980" max="7980" width="17.140625" style="572" customWidth="1"/>
    <col min="7981" max="7981" width="15.42578125" style="572" customWidth="1"/>
    <col min="7982" max="7982" width="18" style="572" customWidth="1"/>
    <col min="7983" max="7983" width="13.7109375" style="572" bestFit="1" customWidth="1"/>
    <col min="7984" max="7984" width="14.140625" style="572" bestFit="1" customWidth="1"/>
    <col min="7985" max="7985" width="14" style="572" bestFit="1" customWidth="1"/>
    <col min="7986" max="7986" width="14.85546875" style="572" bestFit="1" customWidth="1"/>
    <col min="7987" max="7987" width="15.7109375" style="572" customWidth="1"/>
    <col min="7988" max="7988" width="5.85546875" style="572" customWidth="1"/>
    <col min="7989" max="7989" width="9.28515625" style="572" customWidth="1"/>
    <col min="7990" max="7990" width="14.85546875" style="572" customWidth="1"/>
    <col min="7991" max="7991" width="12.85546875" style="572" bestFit="1" customWidth="1"/>
    <col min="7992" max="7992" width="12.85546875" style="572" customWidth="1"/>
    <col min="7993" max="8010" width="8.85546875" style="572" customWidth="1"/>
    <col min="8011" max="8011" width="30.28515625" style="572" bestFit="1" customWidth="1"/>
    <col min="8012" max="8012" width="20.7109375" style="572" customWidth="1"/>
    <col min="8013" max="8013" width="13.42578125" style="572" customWidth="1"/>
    <col min="8014" max="8014" width="8.85546875" style="572" customWidth="1"/>
    <col min="8015" max="8015" width="11.7109375" style="572" bestFit="1" customWidth="1"/>
    <col min="8016" max="8183" width="8.85546875" style="572" customWidth="1"/>
    <col min="8184" max="8184" width="29.7109375" style="572" customWidth="1"/>
    <col min="8185" max="8187" width="14.28515625" style="572" customWidth="1"/>
    <col min="8188" max="8188" width="2.7109375" style="572" customWidth="1"/>
    <col min="8189" max="8192" width="14.28515625" style="572"/>
    <col min="8193" max="8193" width="9.28515625" style="572" bestFit="1" customWidth="1"/>
    <col min="8194" max="8194" width="48.140625" style="572" customWidth="1"/>
    <col min="8195" max="8195" width="15.85546875" style="572" bestFit="1" customWidth="1"/>
    <col min="8196" max="8196" width="14.85546875" style="572" bestFit="1" customWidth="1"/>
    <col min="8197" max="8197" width="14.7109375" style="572" bestFit="1" customWidth="1"/>
    <col min="8198" max="8198" width="2.7109375" style="572" customWidth="1"/>
    <col min="8199" max="8199" width="15.85546875" style="572" bestFit="1" customWidth="1"/>
    <col min="8200" max="8201" width="14.5703125" style="572" bestFit="1" customWidth="1"/>
    <col min="8202" max="8202" width="2.7109375" style="572" customWidth="1"/>
    <col min="8203" max="8203" width="15.7109375" style="572" bestFit="1" customWidth="1"/>
    <col min="8204" max="8204" width="13.7109375" style="572" bestFit="1" customWidth="1"/>
    <col min="8205" max="8205" width="13.42578125" style="572" bestFit="1" customWidth="1"/>
    <col min="8206" max="8216" width="10.5703125" style="572" bestFit="1" customWidth="1"/>
    <col min="8217" max="8217" width="13.5703125" style="572" customWidth="1"/>
    <col min="8218" max="8218" width="16.5703125" style="572" customWidth="1"/>
    <col min="8219" max="8219" width="14.42578125" style="572" customWidth="1"/>
    <col min="8220" max="8220" width="13.28515625" style="572" bestFit="1" customWidth="1"/>
    <col min="8221" max="8221" width="13.42578125" style="572" bestFit="1" customWidth="1"/>
    <col min="8222" max="8222" width="13" style="572" customWidth="1"/>
    <col min="8223" max="8223" width="11.5703125" style="572" customWidth="1"/>
    <col min="8224" max="8224" width="13.140625" style="572" customWidth="1"/>
    <col min="8225" max="8226" width="11.5703125" style="572" customWidth="1"/>
    <col min="8227" max="8227" width="12.42578125" style="572" customWidth="1"/>
    <col min="8228" max="8228" width="13.5703125" style="572" customWidth="1"/>
    <col min="8229" max="8229" width="13.140625" style="572" bestFit="1" customWidth="1"/>
    <col min="8230" max="8230" width="18.85546875" style="572" customWidth="1"/>
    <col min="8231" max="8232" width="14.140625" style="572" customWidth="1"/>
    <col min="8233" max="8233" width="13.85546875" style="572" customWidth="1"/>
    <col min="8234" max="8234" width="14.140625" style="572" customWidth="1"/>
    <col min="8235" max="8235" width="13.7109375" style="572" customWidth="1"/>
    <col min="8236" max="8236" width="17.140625" style="572" customWidth="1"/>
    <col min="8237" max="8237" width="15.42578125" style="572" customWidth="1"/>
    <col min="8238" max="8238" width="18" style="572" customWidth="1"/>
    <col min="8239" max="8239" width="13.7109375" style="572" bestFit="1" customWidth="1"/>
    <col min="8240" max="8240" width="14.140625" style="572" bestFit="1" customWidth="1"/>
    <col min="8241" max="8241" width="14" style="572" bestFit="1" customWidth="1"/>
    <col min="8242" max="8242" width="14.85546875" style="572" bestFit="1" customWidth="1"/>
    <col min="8243" max="8243" width="15.7109375" style="572" customWidth="1"/>
    <col min="8244" max="8244" width="5.85546875" style="572" customWidth="1"/>
    <col min="8245" max="8245" width="9.28515625" style="572" customWidth="1"/>
    <col min="8246" max="8246" width="14.85546875" style="572" customWidth="1"/>
    <col min="8247" max="8247" width="12.85546875" style="572" bestFit="1" customWidth="1"/>
    <col min="8248" max="8248" width="12.85546875" style="572" customWidth="1"/>
    <col min="8249" max="8266" width="8.85546875" style="572" customWidth="1"/>
    <col min="8267" max="8267" width="30.28515625" style="572" bestFit="1" customWidth="1"/>
    <col min="8268" max="8268" width="20.7109375" style="572" customWidth="1"/>
    <col min="8269" max="8269" width="13.42578125" style="572" customWidth="1"/>
    <col min="8270" max="8270" width="8.85546875" style="572" customWidth="1"/>
    <col min="8271" max="8271" width="11.7109375" style="572" bestFit="1" customWidth="1"/>
    <col min="8272" max="8439" width="8.85546875" style="572" customWidth="1"/>
    <col min="8440" max="8440" width="29.7109375" style="572" customWidth="1"/>
    <col min="8441" max="8443" width="14.28515625" style="572" customWidth="1"/>
    <col min="8444" max="8444" width="2.7109375" style="572" customWidth="1"/>
    <col min="8445" max="8448" width="14.28515625" style="572"/>
    <col min="8449" max="8449" width="9.28515625" style="572" bestFit="1" customWidth="1"/>
    <col min="8450" max="8450" width="48.140625" style="572" customWidth="1"/>
    <col min="8451" max="8451" width="15.85546875" style="572" bestFit="1" customWidth="1"/>
    <col min="8452" max="8452" width="14.85546875" style="572" bestFit="1" customWidth="1"/>
    <col min="8453" max="8453" width="14.7109375" style="572" bestFit="1" customWidth="1"/>
    <col min="8454" max="8454" width="2.7109375" style="572" customWidth="1"/>
    <col min="8455" max="8455" width="15.85546875" style="572" bestFit="1" customWidth="1"/>
    <col min="8456" max="8457" width="14.5703125" style="572" bestFit="1" customWidth="1"/>
    <col min="8458" max="8458" width="2.7109375" style="572" customWidth="1"/>
    <col min="8459" max="8459" width="15.7109375" style="572" bestFit="1" customWidth="1"/>
    <col min="8460" max="8460" width="13.7109375" style="572" bestFit="1" customWidth="1"/>
    <col min="8461" max="8461" width="13.42578125" style="572" bestFit="1" customWidth="1"/>
    <col min="8462" max="8472" width="10.5703125" style="572" bestFit="1" customWidth="1"/>
    <col min="8473" max="8473" width="13.5703125" style="572" customWidth="1"/>
    <col min="8474" max="8474" width="16.5703125" style="572" customWidth="1"/>
    <col min="8475" max="8475" width="14.42578125" style="572" customWidth="1"/>
    <col min="8476" max="8476" width="13.28515625" style="572" bestFit="1" customWidth="1"/>
    <col min="8477" max="8477" width="13.42578125" style="572" bestFit="1" customWidth="1"/>
    <col min="8478" max="8478" width="13" style="572" customWidth="1"/>
    <col min="8479" max="8479" width="11.5703125" style="572" customWidth="1"/>
    <col min="8480" max="8480" width="13.140625" style="572" customWidth="1"/>
    <col min="8481" max="8482" width="11.5703125" style="572" customWidth="1"/>
    <col min="8483" max="8483" width="12.42578125" style="572" customWidth="1"/>
    <col min="8484" max="8484" width="13.5703125" style="572" customWidth="1"/>
    <col min="8485" max="8485" width="13.140625" style="572" bestFit="1" customWidth="1"/>
    <col min="8486" max="8486" width="18.85546875" style="572" customWidth="1"/>
    <col min="8487" max="8488" width="14.140625" style="572" customWidth="1"/>
    <col min="8489" max="8489" width="13.85546875" style="572" customWidth="1"/>
    <col min="8490" max="8490" width="14.140625" style="572" customWidth="1"/>
    <col min="8491" max="8491" width="13.7109375" style="572" customWidth="1"/>
    <col min="8492" max="8492" width="17.140625" style="572" customWidth="1"/>
    <col min="8493" max="8493" width="15.42578125" style="572" customWidth="1"/>
    <col min="8494" max="8494" width="18" style="572" customWidth="1"/>
    <col min="8495" max="8495" width="13.7109375" style="572" bestFit="1" customWidth="1"/>
    <col min="8496" max="8496" width="14.140625" style="572" bestFit="1" customWidth="1"/>
    <col min="8497" max="8497" width="14" style="572" bestFit="1" customWidth="1"/>
    <col min="8498" max="8498" width="14.85546875" style="572" bestFit="1" customWidth="1"/>
    <col min="8499" max="8499" width="15.7109375" style="572" customWidth="1"/>
    <col min="8500" max="8500" width="5.85546875" style="572" customWidth="1"/>
    <col min="8501" max="8501" width="9.28515625" style="572" customWidth="1"/>
    <col min="8502" max="8502" width="14.85546875" style="572" customWidth="1"/>
    <col min="8503" max="8503" width="12.85546875" style="572" bestFit="1" customWidth="1"/>
    <col min="8504" max="8504" width="12.85546875" style="572" customWidth="1"/>
    <col min="8505" max="8522" width="8.85546875" style="572" customWidth="1"/>
    <col min="8523" max="8523" width="30.28515625" style="572" bestFit="1" customWidth="1"/>
    <col min="8524" max="8524" width="20.7109375" style="572" customWidth="1"/>
    <col min="8525" max="8525" width="13.42578125" style="572" customWidth="1"/>
    <col min="8526" max="8526" width="8.85546875" style="572" customWidth="1"/>
    <col min="8527" max="8527" width="11.7109375" style="572" bestFit="1" customWidth="1"/>
    <col min="8528" max="8695" width="8.85546875" style="572" customWidth="1"/>
    <col min="8696" max="8696" width="29.7109375" style="572" customWidth="1"/>
    <col min="8697" max="8699" width="14.28515625" style="572" customWidth="1"/>
    <col min="8700" max="8700" width="2.7109375" style="572" customWidth="1"/>
    <col min="8701" max="8704" width="14.28515625" style="572"/>
    <col min="8705" max="8705" width="9.28515625" style="572" bestFit="1" customWidth="1"/>
    <col min="8706" max="8706" width="48.140625" style="572" customWidth="1"/>
    <col min="8707" max="8707" width="15.85546875" style="572" bestFit="1" customWidth="1"/>
    <col min="8708" max="8708" width="14.85546875" style="572" bestFit="1" customWidth="1"/>
    <col min="8709" max="8709" width="14.7109375" style="572" bestFit="1" customWidth="1"/>
    <col min="8710" max="8710" width="2.7109375" style="572" customWidth="1"/>
    <col min="8711" max="8711" width="15.85546875" style="572" bestFit="1" customWidth="1"/>
    <col min="8712" max="8713" width="14.5703125" style="572" bestFit="1" customWidth="1"/>
    <col min="8714" max="8714" width="2.7109375" style="572" customWidth="1"/>
    <col min="8715" max="8715" width="15.7109375" style="572" bestFit="1" customWidth="1"/>
    <col min="8716" max="8716" width="13.7109375" style="572" bestFit="1" customWidth="1"/>
    <col min="8717" max="8717" width="13.42578125" style="572" bestFit="1" customWidth="1"/>
    <col min="8718" max="8728" width="10.5703125" style="572" bestFit="1" customWidth="1"/>
    <col min="8729" max="8729" width="13.5703125" style="572" customWidth="1"/>
    <col min="8730" max="8730" width="16.5703125" style="572" customWidth="1"/>
    <col min="8731" max="8731" width="14.42578125" style="572" customWidth="1"/>
    <col min="8732" max="8732" width="13.28515625" style="572" bestFit="1" customWidth="1"/>
    <col min="8733" max="8733" width="13.42578125" style="572" bestFit="1" customWidth="1"/>
    <col min="8734" max="8734" width="13" style="572" customWidth="1"/>
    <col min="8735" max="8735" width="11.5703125" style="572" customWidth="1"/>
    <col min="8736" max="8736" width="13.140625" style="572" customWidth="1"/>
    <col min="8737" max="8738" width="11.5703125" style="572" customWidth="1"/>
    <col min="8739" max="8739" width="12.42578125" style="572" customWidth="1"/>
    <col min="8740" max="8740" width="13.5703125" style="572" customWidth="1"/>
    <col min="8741" max="8741" width="13.140625" style="572" bestFit="1" customWidth="1"/>
    <col min="8742" max="8742" width="18.85546875" style="572" customWidth="1"/>
    <col min="8743" max="8744" width="14.140625" style="572" customWidth="1"/>
    <col min="8745" max="8745" width="13.85546875" style="572" customWidth="1"/>
    <col min="8746" max="8746" width="14.140625" style="572" customWidth="1"/>
    <col min="8747" max="8747" width="13.7109375" style="572" customWidth="1"/>
    <col min="8748" max="8748" width="17.140625" style="572" customWidth="1"/>
    <col min="8749" max="8749" width="15.42578125" style="572" customWidth="1"/>
    <col min="8750" max="8750" width="18" style="572" customWidth="1"/>
    <col min="8751" max="8751" width="13.7109375" style="572" bestFit="1" customWidth="1"/>
    <col min="8752" max="8752" width="14.140625" style="572" bestFit="1" customWidth="1"/>
    <col min="8753" max="8753" width="14" style="572" bestFit="1" customWidth="1"/>
    <col min="8754" max="8754" width="14.85546875" style="572" bestFit="1" customWidth="1"/>
    <col min="8755" max="8755" width="15.7109375" style="572" customWidth="1"/>
    <col min="8756" max="8756" width="5.85546875" style="572" customWidth="1"/>
    <col min="8757" max="8757" width="9.28515625" style="572" customWidth="1"/>
    <col min="8758" max="8758" width="14.85546875" style="572" customWidth="1"/>
    <col min="8759" max="8759" width="12.85546875" style="572" bestFit="1" customWidth="1"/>
    <col min="8760" max="8760" width="12.85546875" style="572" customWidth="1"/>
    <col min="8761" max="8778" width="8.85546875" style="572" customWidth="1"/>
    <col min="8779" max="8779" width="30.28515625" style="572" bestFit="1" customWidth="1"/>
    <col min="8780" max="8780" width="20.7109375" style="572" customWidth="1"/>
    <col min="8781" max="8781" width="13.42578125" style="572" customWidth="1"/>
    <col min="8782" max="8782" width="8.85546875" style="572" customWidth="1"/>
    <col min="8783" max="8783" width="11.7109375" style="572" bestFit="1" customWidth="1"/>
    <col min="8784" max="8951" width="8.85546875" style="572" customWidth="1"/>
    <col min="8952" max="8952" width="29.7109375" style="572" customWidth="1"/>
    <col min="8953" max="8955" width="14.28515625" style="572" customWidth="1"/>
    <col min="8956" max="8956" width="2.7109375" style="572" customWidth="1"/>
    <col min="8957" max="8960" width="14.28515625" style="572"/>
    <col min="8961" max="8961" width="9.28515625" style="572" bestFit="1" customWidth="1"/>
    <col min="8962" max="8962" width="48.140625" style="572" customWidth="1"/>
    <col min="8963" max="8963" width="15.85546875" style="572" bestFit="1" customWidth="1"/>
    <col min="8964" max="8964" width="14.85546875" style="572" bestFit="1" customWidth="1"/>
    <col min="8965" max="8965" width="14.7109375" style="572" bestFit="1" customWidth="1"/>
    <col min="8966" max="8966" width="2.7109375" style="572" customWidth="1"/>
    <col min="8967" max="8967" width="15.85546875" style="572" bestFit="1" customWidth="1"/>
    <col min="8968" max="8969" width="14.5703125" style="572" bestFit="1" customWidth="1"/>
    <col min="8970" max="8970" width="2.7109375" style="572" customWidth="1"/>
    <col min="8971" max="8971" width="15.7109375" style="572" bestFit="1" customWidth="1"/>
    <col min="8972" max="8972" width="13.7109375" style="572" bestFit="1" customWidth="1"/>
    <col min="8973" max="8973" width="13.42578125" style="572" bestFit="1" customWidth="1"/>
    <col min="8974" max="8984" width="10.5703125" style="572" bestFit="1" customWidth="1"/>
    <col min="8985" max="8985" width="13.5703125" style="572" customWidth="1"/>
    <col min="8986" max="8986" width="16.5703125" style="572" customWidth="1"/>
    <col min="8987" max="8987" width="14.42578125" style="572" customWidth="1"/>
    <col min="8988" max="8988" width="13.28515625" style="572" bestFit="1" customWidth="1"/>
    <col min="8989" max="8989" width="13.42578125" style="572" bestFit="1" customWidth="1"/>
    <col min="8990" max="8990" width="13" style="572" customWidth="1"/>
    <col min="8991" max="8991" width="11.5703125" style="572" customWidth="1"/>
    <col min="8992" max="8992" width="13.140625" style="572" customWidth="1"/>
    <col min="8993" max="8994" width="11.5703125" style="572" customWidth="1"/>
    <col min="8995" max="8995" width="12.42578125" style="572" customWidth="1"/>
    <col min="8996" max="8996" width="13.5703125" style="572" customWidth="1"/>
    <col min="8997" max="8997" width="13.140625" style="572" bestFit="1" customWidth="1"/>
    <col min="8998" max="8998" width="18.85546875" style="572" customWidth="1"/>
    <col min="8999" max="9000" width="14.140625" style="572" customWidth="1"/>
    <col min="9001" max="9001" width="13.85546875" style="572" customWidth="1"/>
    <col min="9002" max="9002" width="14.140625" style="572" customWidth="1"/>
    <col min="9003" max="9003" width="13.7109375" style="572" customWidth="1"/>
    <col min="9004" max="9004" width="17.140625" style="572" customWidth="1"/>
    <col min="9005" max="9005" width="15.42578125" style="572" customWidth="1"/>
    <col min="9006" max="9006" width="18" style="572" customWidth="1"/>
    <col min="9007" max="9007" width="13.7109375" style="572" bestFit="1" customWidth="1"/>
    <col min="9008" max="9008" width="14.140625" style="572" bestFit="1" customWidth="1"/>
    <col min="9009" max="9009" width="14" style="572" bestFit="1" customWidth="1"/>
    <col min="9010" max="9010" width="14.85546875" style="572" bestFit="1" customWidth="1"/>
    <col min="9011" max="9011" width="15.7109375" style="572" customWidth="1"/>
    <col min="9012" max="9012" width="5.85546875" style="572" customWidth="1"/>
    <col min="9013" max="9013" width="9.28515625" style="572" customWidth="1"/>
    <col min="9014" max="9014" width="14.85546875" style="572" customWidth="1"/>
    <col min="9015" max="9015" width="12.85546875" style="572" bestFit="1" customWidth="1"/>
    <col min="9016" max="9016" width="12.85546875" style="572" customWidth="1"/>
    <col min="9017" max="9034" width="8.85546875" style="572" customWidth="1"/>
    <col min="9035" max="9035" width="30.28515625" style="572" bestFit="1" customWidth="1"/>
    <col min="9036" max="9036" width="20.7109375" style="572" customWidth="1"/>
    <col min="9037" max="9037" width="13.42578125" style="572" customWidth="1"/>
    <col min="9038" max="9038" width="8.85546875" style="572" customWidth="1"/>
    <col min="9039" max="9039" width="11.7109375" style="572" bestFit="1" customWidth="1"/>
    <col min="9040" max="9207" width="8.85546875" style="572" customWidth="1"/>
    <col min="9208" max="9208" width="29.7109375" style="572" customWidth="1"/>
    <col min="9209" max="9211" width="14.28515625" style="572" customWidth="1"/>
    <col min="9212" max="9212" width="2.7109375" style="572" customWidth="1"/>
    <col min="9213" max="9216" width="14.28515625" style="572"/>
    <col min="9217" max="9217" width="9.28515625" style="572" bestFit="1" customWidth="1"/>
    <col min="9218" max="9218" width="48.140625" style="572" customWidth="1"/>
    <col min="9219" max="9219" width="15.85546875" style="572" bestFit="1" customWidth="1"/>
    <col min="9220" max="9220" width="14.85546875" style="572" bestFit="1" customWidth="1"/>
    <col min="9221" max="9221" width="14.7109375" style="572" bestFit="1" customWidth="1"/>
    <col min="9222" max="9222" width="2.7109375" style="572" customWidth="1"/>
    <col min="9223" max="9223" width="15.85546875" style="572" bestFit="1" customWidth="1"/>
    <col min="9224" max="9225" width="14.5703125" style="572" bestFit="1" customWidth="1"/>
    <col min="9226" max="9226" width="2.7109375" style="572" customWidth="1"/>
    <col min="9227" max="9227" width="15.7109375" style="572" bestFit="1" customWidth="1"/>
    <col min="9228" max="9228" width="13.7109375" style="572" bestFit="1" customWidth="1"/>
    <col min="9229" max="9229" width="13.42578125" style="572" bestFit="1" customWidth="1"/>
    <col min="9230" max="9240" width="10.5703125" style="572" bestFit="1" customWidth="1"/>
    <col min="9241" max="9241" width="13.5703125" style="572" customWidth="1"/>
    <col min="9242" max="9242" width="16.5703125" style="572" customWidth="1"/>
    <col min="9243" max="9243" width="14.42578125" style="572" customWidth="1"/>
    <col min="9244" max="9244" width="13.28515625" style="572" bestFit="1" customWidth="1"/>
    <col min="9245" max="9245" width="13.42578125" style="572" bestFit="1" customWidth="1"/>
    <col min="9246" max="9246" width="13" style="572" customWidth="1"/>
    <col min="9247" max="9247" width="11.5703125" style="572" customWidth="1"/>
    <col min="9248" max="9248" width="13.140625" style="572" customWidth="1"/>
    <col min="9249" max="9250" width="11.5703125" style="572" customWidth="1"/>
    <col min="9251" max="9251" width="12.42578125" style="572" customWidth="1"/>
    <col min="9252" max="9252" width="13.5703125" style="572" customWidth="1"/>
    <col min="9253" max="9253" width="13.140625" style="572" bestFit="1" customWidth="1"/>
    <col min="9254" max="9254" width="18.85546875" style="572" customWidth="1"/>
    <col min="9255" max="9256" width="14.140625" style="572" customWidth="1"/>
    <col min="9257" max="9257" width="13.85546875" style="572" customWidth="1"/>
    <col min="9258" max="9258" width="14.140625" style="572" customWidth="1"/>
    <col min="9259" max="9259" width="13.7109375" style="572" customWidth="1"/>
    <col min="9260" max="9260" width="17.140625" style="572" customWidth="1"/>
    <col min="9261" max="9261" width="15.42578125" style="572" customWidth="1"/>
    <col min="9262" max="9262" width="18" style="572" customWidth="1"/>
    <col min="9263" max="9263" width="13.7109375" style="572" bestFit="1" customWidth="1"/>
    <col min="9264" max="9264" width="14.140625" style="572" bestFit="1" customWidth="1"/>
    <col min="9265" max="9265" width="14" style="572" bestFit="1" customWidth="1"/>
    <col min="9266" max="9266" width="14.85546875" style="572" bestFit="1" customWidth="1"/>
    <col min="9267" max="9267" width="15.7109375" style="572" customWidth="1"/>
    <col min="9268" max="9268" width="5.85546875" style="572" customWidth="1"/>
    <col min="9269" max="9269" width="9.28515625" style="572" customWidth="1"/>
    <col min="9270" max="9270" width="14.85546875" style="572" customWidth="1"/>
    <col min="9271" max="9271" width="12.85546875" style="572" bestFit="1" customWidth="1"/>
    <col min="9272" max="9272" width="12.85546875" style="572" customWidth="1"/>
    <col min="9273" max="9290" width="8.85546875" style="572" customWidth="1"/>
    <col min="9291" max="9291" width="30.28515625" style="572" bestFit="1" customWidth="1"/>
    <col min="9292" max="9292" width="20.7109375" style="572" customWidth="1"/>
    <col min="9293" max="9293" width="13.42578125" style="572" customWidth="1"/>
    <col min="9294" max="9294" width="8.85546875" style="572" customWidth="1"/>
    <col min="9295" max="9295" width="11.7109375" style="572" bestFit="1" customWidth="1"/>
    <col min="9296" max="9463" width="8.85546875" style="572" customWidth="1"/>
    <col min="9464" max="9464" width="29.7109375" style="572" customWidth="1"/>
    <col min="9465" max="9467" width="14.28515625" style="572" customWidth="1"/>
    <col min="9468" max="9468" width="2.7109375" style="572" customWidth="1"/>
    <col min="9469" max="9472" width="14.28515625" style="572"/>
    <col min="9473" max="9473" width="9.28515625" style="572" bestFit="1" customWidth="1"/>
    <col min="9474" max="9474" width="48.140625" style="572" customWidth="1"/>
    <col min="9475" max="9475" width="15.85546875" style="572" bestFit="1" customWidth="1"/>
    <col min="9476" max="9476" width="14.85546875" style="572" bestFit="1" customWidth="1"/>
    <col min="9477" max="9477" width="14.7109375" style="572" bestFit="1" customWidth="1"/>
    <col min="9478" max="9478" width="2.7109375" style="572" customWidth="1"/>
    <col min="9479" max="9479" width="15.85546875" style="572" bestFit="1" customWidth="1"/>
    <col min="9480" max="9481" width="14.5703125" style="572" bestFit="1" customWidth="1"/>
    <col min="9482" max="9482" width="2.7109375" style="572" customWidth="1"/>
    <col min="9483" max="9483" width="15.7109375" style="572" bestFit="1" customWidth="1"/>
    <col min="9484" max="9484" width="13.7109375" style="572" bestFit="1" customWidth="1"/>
    <col min="9485" max="9485" width="13.42578125" style="572" bestFit="1" customWidth="1"/>
    <col min="9486" max="9496" width="10.5703125" style="572" bestFit="1" customWidth="1"/>
    <col min="9497" max="9497" width="13.5703125" style="572" customWidth="1"/>
    <col min="9498" max="9498" width="16.5703125" style="572" customWidth="1"/>
    <col min="9499" max="9499" width="14.42578125" style="572" customWidth="1"/>
    <col min="9500" max="9500" width="13.28515625" style="572" bestFit="1" customWidth="1"/>
    <col min="9501" max="9501" width="13.42578125" style="572" bestFit="1" customWidth="1"/>
    <col min="9502" max="9502" width="13" style="572" customWidth="1"/>
    <col min="9503" max="9503" width="11.5703125" style="572" customWidth="1"/>
    <col min="9504" max="9504" width="13.140625" style="572" customWidth="1"/>
    <col min="9505" max="9506" width="11.5703125" style="572" customWidth="1"/>
    <col min="9507" max="9507" width="12.42578125" style="572" customWidth="1"/>
    <col min="9508" max="9508" width="13.5703125" style="572" customWidth="1"/>
    <col min="9509" max="9509" width="13.140625" style="572" bestFit="1" customWidth="1"/>
    <col min="9510" max="9510" width="18.85546875" style="572" customWidth="1"/>
    <col min="9511" max="9512" width="14.140625" style="572" customWidth="1"/>
    <col min="9513" max="9513" width="13.85546875" style="572" customWidth="1"/>
    <col min="9514" max="9514" width="14.140625" style="572" customWidth="1"/>
    <col min="9515" max="9515" width="13.7109375" style="572" customWidth="1"/>
    <col min="9516" max="9516" width="17.140625" style="572" customWidth="1"/>
    <col min="9517" max="9517" width="15.42578125" style="572" customWidth="1"/>
    <col min="9518" max="9518" width="18" style="572" customWidth="1"/>
    <col min="9519" max="9519" width="13.7109375" style="572" bestFit="1" customWidth="1"/>
    <col min="9520" max="9520" width="14.140625" style="572" bestFit="1" customWidth="1"/>
    <col min="9521" max="9521" width="14" style="572" bestFit="1" customWidth="1"/>
    <col min="9522" max="9522" width="14.85546875" style="572" bestFit="1" customWidth="1"/>
    <col min="9523" max="9523" width="15.7109375" style="572" customWidth="1"/>
    <col min="9524" max="9524" width="5.85546875" style="572" customWidth="1"/>
    <col min="9525" max="9525" width="9.28515625" style="572" customWidth="1"/>
    <col min="9526" max="9526" width="14.85546875" style="572" customWidth="1"/>
    <col min="9527" max="9527" width="12.85546875" style="572" bestFit="1" customWidth="1"/>
    <col min="9528" max="9528" width="12.85546875" style="572" customWidth="1"/>
    <col min="9529" max="9546" width="8.85546875" style="572" customWidth="1"/>
    <col min="9547" max="9547" width="30.28515625" style="572" bestFit="1" customWidth="1"/>
    <col min="9548" max="9548" width="20.7109375" style="572" customWidth="1"/>
    <col min="9549" max="9549" width="13.42578125" style="572" customWidth="1"/>
    <col min="9550" max="9550" width="8.85546875" style="572" customWidth="1"/>
    <col min="9551" max="9551" width="11.7109375" style="572" bestFit="1" customWidth="1"/>
    <col min="9552" max="9719" width="8.85546875" style="572" customWidth="1"/>
    <col min="9720" max="9720" width="29.7109375" style="572" customWidth="1"/>
    <col min="9721" max="9723" width="14.28515625" style="572" customWidth="1"/>
    <col min="9724" max="9724" width="2.7109375" style="572" customWidth="1"/>
    <col min="9725" max="9728" width="14.28515625" style="572"/>
    <col min="9729" max="9729" width="9.28515625" style="572" bestFit="1" customWidth="1"/>
    <col min="9730" max="9730" width="48.140625" style="572" customWidth="1"/>
    <col min="9731" max="9731" width="15.85546875" style="572" bestFit="1" customWidth="1"/>
    <col min="9732" max="9732" width="14.85546875" style="572" bestFit="1" customWidth="1"/>
    <col min="9733" max="9733" width="14.7109375" style="572" bestFit="1" customWidth="1"/>
    <col min="9734" max="9734" width="2.7109375" style="572" customWidth="1"/>
    <col min="9735" max="9735" width="15.85546875" style="572" bestFit="1" customWidth="1"/>
    <col min="9736" max="9737" width="14.5703125" style="572" bestFit="1" customWidth="1"/>
    <col min="9738" max="9738" width="2.7109375" style="572" customWidth="1"/>
    <col min="9739" max="9739" width="15.7109375" style="572" bestFit="1" customWidth="1"/>
    <col min="9740" max="9740" width="13.7109375" style="572" bestFit="1" customWidth="1"/>
    <col min="9741" max="9741" width="13.42578125" style="572" bestFit="1" customWidth="1"/>
    <col min="9742" max="9752" width="10.5703125" style="572" bestFit="1" customWidth="1"/>
    <col min="9753" max="9753" width="13.5703125" style="572" customWidth="1"/>
    <col min="9754" max="9754" width="16.5703125" style="572" customWidth="1"/>
    <col min="9755" max="9755" width="14.42578125" style="572" customWidth="1"/>
    <col min="9756" max="9756" width="13.28515625" style="572" bestFit="1" customWidth="1"/>
    <col min="9757" max="9757" width="13.42578125" style="572" bestFit="1" customWidth="1"/>
    <col min="9758" max="9758" width="13" style="572" customWidth="1"/>
    <col min="9759" max="9759" width="11.5703125" style="572" customWidth="1"/>
    <col min="9760" max="9760" width="13.140625" style="572" customWidth="1"/>
    <col min="9761" max="9762" width="11.5703125" style="572" customWidth="1"/>
    <col min="9763" max="9763" width="12.42578125" style="572" customWidth="1"/>
    <col min="9764" max="9764" width="13.5703125" style="572" customWidth="1"/>
    <col min="9765" max="9765" width="13.140625" style="572" bestFit="1" customWidth="1"/>
    <col min="9766" max="9766" width="18.85546875" style="572" customWidth="1"/>
    <col min="9767" max="9768" width="14.140625" style="572" customWidth="1"/>
    <col min="9769" max="9769" width="13.85546875" style="572" customWidth="1"/>
    <col min="9770" max="9770" width="14.140625" style="572" customWidth="1"/>
    <col min="9771" max="9771" width="13.7109375" style="572" customWidth="1"/>
    <col min="9772" max="9772" width="17.140625" style="572" customWidth="1"/>
    <col min="9773" max="9773" width="15.42578125" style="572" customWidth="1"/>
    <col min="9774" max="9774" width="18" style="572" customWidth="1"/>
    <col min="9775" max="9775" width="13.7109375" style="572" bestFit="1" customWidth="1"/>
    <col min="9776" max="9776" width="14.140625" style="572" bestFit="1" customWidth="1"/>
    <col min="9777" max="9777" width="14" style="572" bestFit="1" customWidth="1"/>
    <col min="9778" max="9778" width="14.85546875" style="572" bestFit="1" customWidth="1"/>
    <col min="9779" max="9779" width="15.7109375" style="572" customWidth="1"/>
    <col min="9780" max="9780" width="5.85546875" style="572" customWidth="1"/>
    <col min="9781" max="9781" width="9.28515625" style="572" customWidth="1"/>
    <col min="9782" max="9782" width="14.85546875" style="572" customWidth="1"/>
    <col min="9783" max="9783" width="12.85546875" style="572" bestFit="1" customWidth="1"/>
    <col min="9784" max="9784" width="12.85546875" style="572" customWidth="1"/>
    <col min="9785" max="9802" width="8.85546875" style="572" customWidth="1"/>
    <col min="9803" max="9803" width="30.28515625" style="572" bestFit="1" customWidth="1"/>
    <col min="9804" max="9804" width="20.7109375" style="572" customWidth="1"/>
    <col min="9805" max="9805" width="13.42578125" style="572" customWidth="1"/>
    <col min="9806" max="9806" width="8.85546875" style="572" customWidth="1"/>
    <col min="9807" max="9807" width="11.7109375" style="572" bestFit="1" customWidth="1"/>
    <col min="9808" max="9975" width="8.85546875" style="572" customWidth="1"/>
    <col min="9976" max="9976" width="29.7109375" style="572" customWidth="1"/>
    <col min="9977" max="9979" width="14.28515625" style="572" customWidth="1"/>
    <col min="9980" max="9980" width="2.7109375" style="572" customWidth="1"/>
    <col min="9981" max="9984" width="14.28515625" style="572"/>
    <col min="9985" max="9985" width="9.28515625" style="572" bestFit="1" customWidth="1"/>
    <col min="9986" max="9986" width="48.140625" style="572" customWidth="1"/>
    <col min="9987" max="9987" width="15.85546875" style="572" bestFit="1" customWidth="1"/>
    <col min="9988" max="9988" width="14.85546875" style="572" bestFit="1" customWidth="1"/>
    <col min="9989" max="9989" width="14.7109375" style="572" bestFit="1" customWidth="1"/>
    <col min="9990" max="9990" width="2.7109375" style="572" customWidth="1"/>
    <col min="9991" max="9991" width="15.85546875" style="572" bestFit="1" customWidth="1"/>
    <col min="9992" max="9993" width="14.5703125" style="572" bestFit="1" customWidth="1"/>
    <col min="9994" max="9994" width="2.7109375" style="572" customWidth="1"/>
    <col min="9995" max="9995" width="15.7109375" style="572" bestFit="1" customWidth="1"/>
    <col min="9996" max="9996" width="13.7109375" style="572" bestFit="1" customWidth="1"/>
    <col min="9997" max="9997" width="13.42578125" style="572" bestFit="1" customWidth="1"/>
    <col min="9998" max="10008" width="10.5703125" style="572" bestFit="1" customWidth="1"/>
    <col min="10009" max="10009" width="13.5703125" style="572" customWidth="1"/>
    <col min="10010" max="10010" width="16.5703125" style="572" customWidth="1"/>
    <col min="10011" max="10011" width="14.42578125" style="572" customWidth="1"/>
    <col min="10012" max="10012" width="13.28515625" style="572" bestFit="1" customWidth="1"/>
    <col min="10013" max="10013" width="13.42578125" style="572" bestFit="1" customWidth="1"/>
    <col min="10014" max="10014" width="13" style="572" customWidth="1"/>
    <col min="10015" max="10015" width="11.5703125" style="572" customWidth="1"/>
    <col min="10016" max="10016" width="13.140625" style="572" customWidth="1"/>
    <col min="10017" max="10018" width="11.5703125" style="572" customWidth="1"/>
    <col min="10019" max="10019" width="12.42578125" style="572" customWidth="1"/>
    <col min="10020" max="10020" width="13.5703125" style="572" customWidth="1"/>
    <col min="10021" max="10021" width="13.140625" style="572" bestFit="1" customWidth="1"/>
    <col min="10022" max="10022" width="18.85546875" style="572" customWidth="1"/>
    <col min="10023" max="10024" width="14.140625" style="572" customWidth="1"/>
    <col min="10025" max="10025" width="13.85546875" style="572" customWidth="1"/>
    <col min="10026" max="10026" width="14.140625" style="572" customWidth="1"/>
    <col min="10027" max="10027" width="13.7109375" style="572" customWidth="1"/>
    <col min="10028" max="10028" width="17.140625" style="572" customWidth="1"/>
    <col min="10029" max="10029" width="15.42578125" style="572" customWidth="1"/>
    <col min="10030" max="10030" width="18" style="572" customWidth="1"/>
    <col min="10031" max="10031" width="13.7109375" style="572" bestFit="1" customWidth="1"/>
    <col min="10032" max="10032" width="14.140625" style="572" bestFit="1" customWidth="1"/>
    <col min="10033" max="10033" width="14" style="572" bestFit="1" customWidth="1"/>
    <col min="10034" max="10034" width="14.85546875" style="572" bestFit="1" customWidth="1"/>
    <col min="10035" max="10035" width="15.7109375" style="572" customWidth="1"/>
    <col min="10036" max="10036" width="5.85546875" style="572" customWidth="1"/>
    <col min="10037" max="10037" width="9.28515625" style="572" customWidth="1"/>
    <col min="10038" max="10038" width="14.85546875" style="572" customWidth="1"/>
    <col min="10039" max="10039" width="12.85546875" style="572" bestFit="1" customWidth="1"/>
    <col min="10040" max="10040" width="12.85546875" style="572" customWidth="1"/>
    <col min="10041" max="10058" width="8.85546875" style="572" customWidth="1"/>
    <col min="10059" max="10059" width="30.28515625" style="572" bestFit="1" customWidth="1"/>
    <col min="10060" max="10060" width="20.7109375" style="572" customWidth="1"/>
    <col min="10061" max="10061" width="13.42578125" style="572" customWidth="1"/>
    <col min="10062" max="10062" width="8.85546875" style="572" customWidth="1"/>
    <col min="10063" max="10063" width="11.7109375" style="572" bestFit="1" customWidth="1"/>
    <col min="10064" max="10231" width="8.85546875" style="572" customWidth="1"/>
    <col min="10232" max="10232" width="29.7109375" style="572" customWidth="1"/>
    <col min="10233" max="10235" width="14.28515625" style="572" customWidth="1"/>
    <col min="10236" max="10236" width="2.7109375" style="572" customWidth="1"/>
    <col min="10237" max="10240" width="14.28515625" style="572"/>
    <col min="10241" max="10241" width="9.28515625" style="572" bestFit="1" customWidth="1"/>
    <col min="10242" max="10242" width="48.140625" style="572" customWidth="1"/>
    <col min="10243" max="10243" width="15.85546875" style="572" bestFit="1" customWidth="1"/>
    <col min="10244" max="10244" width="14.85546875" style="572" bestFit="1" customWidth="1"/>
    <col min="10245" max="10245" width="14.7109375" style="572" bestFit="1" customWidth="1"/>
    <col min="10246" max="10246" width="2.7109375" style="572" customWidth="1"/>
    <col min="10247" max="10247" width="15.85546875" style="572" bestFit="1" customWidth="1"/>
    <col min="10248" max="10249" width="14.5703125" style="572" bestFit="1" customWidth="1"/>
    <col min="10250" max="10250" width="2.7109375" style="572" customWidth="1"/>
    <col min="10251" max="10251" width="15.7109375" style="572" bestFit="1" customWidth="1"/>
    <col min="10252" max="10252" width="13.7109375" style="572" bestFit="1" customWidth="1"/>
    <col min="10253" max="10253" width="13.42578125" style="572" bestFit="1" customWidth="1"/>
    <col min="10254" max="10264" width="10.5703125" style="572" bestFit="1" customWidth="1"/>
    <col min="10265" max="10265" width="13.5703125" style="572" customWidth="1"/>
    <col min="10266" max="10266" width="16.5703125" style="572" customWidth="1"/>
    <col min="10267" max="10267" width="14.42578125" style="572" customWidth="1"/>
    <col min="10268" max="10268" width="13.28515625" style="572" bestFit="1" customWidth="1"/>
    <col min="10269" max="10269" width="13.42578125" style="572" bestFit="1" customWidth="1"/>
    <col min="10270" max="10270" width="13" style="572" customWidth="1"/>
    <col min="10271" max="10271" width="11.5703125" style="572" customWidth="1"/>
    <col min="10272" max="10272" width="13.140625" style="572" customWidth="1"/>
    <col min="10273" max="10274" width="11.5703125" style="572" customWidth="1"/>
    <col min="10275" max="10275" width="12.42578125" style="572" customWidth="1"/>
    <col min="10276" max="10276" width="13.5703125" style="572" customWidth="1"/>
    <col min="10277" max="10277" width="13.140625" style="572" bestFit="1" customWidth="1"/>
    <col min="10278" max="10278" width="18.85546875" style="572" customWidth="1"/>
    <col min="10279" max="10280" width="14.140625" style="572" customWidth="1"/>
    <col min="10281" max="10281" width="13.85546875" style="572" customWidth="1"/>
    <col min="10282" max="10282" width="14.140625" style="572" customWidth="1"/>
    <col min="10283" max="10283" width="13.7109375" style="572" customWidth="1"/>
    <col min="10284" max="10284" width="17.140625" style="572" customWidth="1"/>
    <col min="10285" max="10285" width="15.42578125" style="572" customWidth="1"/>
    <col min="10286" max="10286" width="18" style="572" customWidth="1"/>
    <col min="10287" max="10287" width="13.7109375" style="572" bestFit="1" customWidth="1"/>
    <col min="10288" max="10288" width="14.140625" style="572" bestFit="1" customWidth="1"/>
    <col min="10289" max="10289" width="14" style="572" bestFit="1" customWidth="1"/>
    <col min="10290" max="10290" width="14.85546875" style="572" bestFit="1" customWidth="1"/>
    <col min="10291" max="10291" width="15.7109375" style="572" customWidth="1"/>
    <col min="10292" max="10292" width="5.85546875" style="572" customWidth="1"/>
    <col min="10293" max="10293" width="9.28515625" style="572" customWidth="1"/>
    <col min="10294" max="10294" width="14.85546875" style="572" customWidth="1"/>
    <col min="10295" max="10295" width="12.85546875" style="572" bestFit="1" customWidth="1"/>
    <col min="10296" max="10296" width="12.85546875" style="572" customWidth="1"/>
    <col min="10297" max="10314" width="8.85546875" style="572" customWidth="1"/>
    <col min="10315" max="10315" width="30.28515625" style="572" bestFit="1" customWidth="1"/>
    <col min="10316" max="10316" width="20.7109375" style="572" customWidth="1"/>
    <col min="10317" max="10317" width="13.42578125" style="572" customWidth="1"/>
    <col min="10318" max="10318" width="8.85546875" style="572" customWidth="1"/>
    <col min="10319" max="10319" width="11.7109375" style="572" bestFit="1" customWidth="1"/>
    <col min="10320" max="10487" width="8.85546875" style="572" customWidth="1"/>
    <col min="10488" max="10488" width="29.7109375" style="572" customWidth="1"/>
    <col min="10489" max="10491" width="14.28515625" style="572" customWidth="1"/>
    <col min="10492" max="10492" width="2.7109375" style="572" customWidth="1"/>
    <col min="10493" max="10496" width="14.28515625" style="572"/>
    <col min="10497" max="10497" width="9.28515625" style="572" bestFit="1" customWidth="1"/>
    <col min="10498" max="10498" width="48.140625" style="572" customWidth="1"/>
    <col min="10499" max="10499" width="15.85546875" style="572" bestFit="1" customWidth="1"/>
    <col min="10500" max="10500" width="14.85546875" style="572" bestFit="1" customWidth="1"/>
    <col min="10501" max="10501" width="14.7109375" style="572" bestFit="1" customWidth="1"/>
    <col min="10502" max="10502" width="2.7109375" style="572" customWidth="1"/>
    <col min="10503" max="10503" width="15.85546875" style="572" bestFit="1" customWidth="1"/>
    <col min="10504" max="10505" width="14.5703125" style="572" bestFit="1" customWidth="1"/>
    <col min="10506" max="10506" width="2.7109375" style="572" customWidth="1"/>
    <col min="10507" max="10507" width="15.7109375" style="572" bestFit="1" customWidth="1"/>
    <col min="10508" max="10508" width="13.7109375" style="572" bestFit="1" customWidth="1"/>
    <col min="10509" max="10509" width="13.42578125" style="572" bestFit="1" customWidth="1"/>
    <col min="10510" max="10520" width="10.5703125" style="572" bestFit="1" customWidth="1"/>
    <col min="10521" max="10521" width="13.5703125" style="572" customWidth="1"/>
    <col min="10522" max="10522" width="16.5703125" style="572" customWidth="1"/>
    <col min="10523" max="10523" width="14.42578125" style="572" customWidth="1"/>
    <col min="10524" max="10524" width="13.28515625" style="572" bestFit="1" customWidth="1"/>
    <col min="10525" max="10525" width="13.42578125" style="572" bestFit="1" customWidth="1"/>
    <col min="10526" max="10526" width="13" style="572" customWidth="1"/>
    <col min="10527" max="10527" width="11.5703125" style="572" customWidth="1"/>
    <col min="10528" max="10528" width="13.140625" style="572" customWidth="1"/>
    <col min="10529" max="10530" width="11.5703125" style="572" customWidth="1"/>
    <col min="10531" max="10531" width="12.42578125" style="572" customWidth="1"/>
    <col min="10532" max="10532" width="13.5703125" style="572" customWidth="1"/>
    <col min="10533" max="10533" width="13.140625" style="572" bestFit="1" customWidth="1"/>
    <col min="10534" max="10534" width="18.85546875" style="572" customWidth="1"/>
    <col min="10535" max="10536" width="14.140625" style="572" customWidth="1"/>
    <col min="10537" max="10537" width="13.85546875" style="572" customWidth="1"/>
    <col min="10538" max="10538" width="14.140625" style="572" customWidth="1"/>
    <col min="10539" max="10539" width="13.7109375" style="572" customWidth="1"/>
    <col min="10540" max="10540" width="17.140625" style="572" customWidth="1"/>
    <col min="10541" max="10541" width="15.42578125" style="572" customWidth="1"/>
    <col min="10542" max="10542" width="18" style="572" customWidth="1"/>
    <col min="10543" max="10543" width="13.7109375" style="572" bestFit="1" customWidth="1"/>
    <col min="10544" max="10544" width="14.140625" style="572" bestFit="1" customWidth="1"/>
    <col min="10545" max="10545" width="14" style="572" bestFit="1" customWidth="1"/>
    <col min="10546" max="10546" width="14.85546875" style="572" bestFit="1" customWidth="1"/>
    <col min="10547" max="10547" width="15.7109375" style="572" customWidth="1"/>
    <col min="10548" max="10548" width="5.85546875" style="572" customWidth="1"/>
    <col min="10549" max="10549" width="9.28515625" style="572" customWidth="1"/>
    <col min="10550" max="10550" width="14.85546875" style="572" customWidth="1"/>
    <col min="10551" max="10551" width="12.85546875" style="572" bestFit="1" customWidth="1"/>
    <col min="10552" max="10552" width="12.85546875" style="572" customWidth="1"/>
    <col min="10553" max="10570" width="8.85546875" style="572" customWidth="1"/>
    <col min="10571" max="10571" width="30.28515625" style="572" bestFit="1" customWidth="1"/>
    <col min="10572" max="10572" width="20.7109375" style="572" customWidth="1"/>
    <col min="10573" max="10573" width="13.42578125" style="572" customWidth="1"/>
    <col min="10574" max="10574" width="8.85546875" style="572" customWidth="1"/>
    <col min="10575" max="10575" width="11.7109375" style="572" bestFit="1" customWidth="1"/>
    <col min="10576" max="10743" width="8.85546875" style="572" customWidth="1"/>
    <col min="10744" max="10744" width="29.7109375" style="572" customWidth="1"/>
    <col min="10745" max="10747" width="14.28515625" style="572" customWidth="1"/>
    <col min="10748" max="10748" width="2.7109375" style="572" customWidth="1"/>
    <col min="10749" max="10752" width="14.28515625" style="572"/>
    <col min="10753" max="10753" width="9.28515625" style="572" bestFit="1" customWidth="1"/>
    <col min="10754" max="10754" width="48.140625" style="572" customWidth="1"/>
    <col min="10755" max="10755" width="15.85546875" style="572" bestFit="1" customWidth="1"/>
    <col min="10756" max="10756" width="14.85546875" style="572" bestFit="1" customWidth="1"/>
    <col min="10757" max="10757" width="14.7109375" style="572" bestFit="1" customWidth="1"/>
    <col min="10758" max="10758" width="2.7109375" style="572" customWidth="1"/>
    <col min="10759" max="10759" width="15.85546875" style="572" bestFit="1" customWidth="1"/>
    <col min="10760" max="10761" width="14.5703125" style="572" bestFit="1" customWidth="1"/>
    <col min="10762" max="10762" width="2.7109375" style="572" customWidth="1"/>
    <col min="10763" max="10763" width="15.7109375" style="572" bestFit="1" customWidth="1"/>
    <col min="10764" max="10764" width="13.7109375" style="572" bestFit="1" customWidth="1"/>
    <col min="10765" max="10765" width="13.42578125" style="572" bestFit="1" customWidth="1"/>
    <col min="10766" max="10776" width="10.5703125" style="572" bestFit="1" customWidth="1"/>
    <col min="10777" max="10777" width="13.5703125" style="572" customWidth="1"/>
    <col min="10778" max="10778" width="16.5703125" style="572" customWidth="1"/>
    <col min="10779" max="10779" width="14.42578125" style="572" customWidth="1"/>
    <col min="10780" max="10780" width="13.28515625" style="572" bestFit="1" customWidth="1"/>
    <col min="10781" max="10781" width="13.42578125" style="572" bestFit="1" customWidth="1"/>
    <col min="10782" max="10782" width="13" style="572" customWidth="1"/>
    <col min="10783" max="10783" width="11.5703125" style="572" customWidth="1"/>
    <col min="10784" max="10784" width="13.140625" style="572" customWidth="1"/>
    <col min="10785" max="10786" width="11.5703125" style="572" customWidth="1"/>
    <col min="10787" max="10787" width="12.42578125" style="572" customWidth="1"/>
    <col min="10788" max="10788" width="13.5703125" style="572" customWidth="1"/>
    <col min="10789" max="10789" width="13.140625" style="572" bestFit="1" customWidth="1"/>
    <col min="10790" max="10790" width="18.85546875" style="572" customWidth="1"/>
    <col min="10791" max="10792" width="14.140625" style="572" customWidth="1"/>
    <col min="10793" max="10793" width="13.85546875" style="572" customWidth="1"/>
    <col min="10794" max="10794" width="14.140625" style="572" customWidth="1"/>
    <col min="10795" max="10795" width="13.7109375" style="572" customWidth="1"/>
    <col min="10796" max="10796" width="17.140625" style="572" customWidth="1"/>
    <col min="10797" max="10797" width="15.42578125" style="572" customWidth="1"/>
    <col min="10798" max="10798" width="18" style="572" customWidth="1"/>
    <col min="10799" max="10799" width="13.7109375" style="572" bestFit="1" customWidth="1"/>
    <col min="10800" max="10800" width="14.140625" style="572" bestFit="1" customWidth="1"/>
    <col min="10801" max="10801" width="14" style="572" bestFit="1" customWidth="1"/>
    <col min="10802" max="10802" width="14.85546875" style="572" bestFit="1" customWidth="1"/>
    <col min="10803" max="10803" width="15.7109375" style="572" customWidth="1"/>
    <col min="10804" max="10804" width="5.85546875" style="572" customWidth="1"/>
    <col min="10805" max="10805" width="9.28515625" style="572" customWidth="1"/>
    <col min="10806" max="10806" width="14.85546875" style="572" customWidth="1"/>
    <col min="10807" max="10807" width="12.85546875" style="572" bestFit="1" customWidth="1"/>
    <col min="10808" max="10808" width="12.85546875" style="572" customWidth="1"/>
    <col min="10809" max="10826" width="8.85546875" style="572" customWidth="1"/>
    <col min="10827" max="10827" width="30.28515625" style="572" bestFit="1" customWidth="1"/>
    <col min="10828" max="10828" width="20.7109375" style="572" customWidth="1"/>
    <col min="10829" max="10829" width="13.42578125" style="572" customWidth="1"/>
    <col min="10830" max="10830" width="8.85546875" style="572" customWidth="1"/>
    <col min="10831" max="10831" width="11.7109375" style="572" bestFit="1" customWidth="1"/>
    <col min="10832" max="10999" width="8.85546875" style="572" customWidth="1"/>
    <col min="11000" max="11000" width="29.7109375" style="572" customWidth="1"/>
    <col min="11001" max="11003" width="14.28515625" style="572" customWidth="1"/>
    <col min="11004" max="11004" width="2.7109375" style="572" customWidth="1"/>
    <col min="11005" max="11008" width="14.28515625" style="572"/>
    <col min="11009" max="11009" width="9.28515625" style="572" bestFit="1" customWidth="1"/>
    <col min="11010" max="11010" width="48.140625" style="572" customWidth="1"/>
    <col min="11011" max="11011" width="15.85546875" style="572" bestFit="1" customWidth="1"/>
    <col min="11012" max="11012" width="14.85546875" style="572" bestFit="1" customWidth="1"/>
    <col min="11013" max="11013" width="14.7109375" style="572" bestFit="1" customWidth="1"/>
    <col min="11014" max="11014" width="2.7109375" style="572" customWidth="1"/>
    <col min="11015" max="11015" width="15.85546875" style="572" bestFit="1" customWidth="1"/>
    <col min="11016" max="11017" width="14.5703125" style="572" bestFit="1" customWidth="1"/>
    <col min="11018" max="11018" width="2.7109375" style="572" customWidth="1"/>
    <col min="11019" max="11019" width="15.7109375" style="572" bestFit="1" customWidth="1"/>
    <col min="11020" max="11020" width="13.7109375" style="572" bestFit="1" customWidth="1"/>
    <col min="11021" max="11021" width="13.42578125" style="572" bestFit="1" customWidth="1"/>
    <col min="11022" max="11032" width="10.5703125" style="572" bestFit="1" customWidth="1"/>
    <col min="11033" max="11033" width="13.5703125" style="572" customWidth="1"/>
    <col min="11034" max="11034" width="16.5703125" style="572" customWidth="1"/>
    <col min="11035" max="11035" width="14.42578125" style="572" customWidth="1"/>
    <col min="11036" max="11036" width="13.28515625" style="572" bestFit="1" customWidth="1"/>
    <col min="11037" max="11037" width="13.42578125" style="572" bestFit="1" customWidth="1"/>
    <col min="11038" max="11038" width="13" style="572" customWidth="1"/>
    <col min="11039" max="11039" width="11.5703125" style="572" customWidth="1"/>
    <col min="11040" max="11040" width="13.140625" style="572" customWidth="1"/>
    <col min="11041" max="11042" width="11.5703125" style="572" customWidth="1"/>
    <col min="11043" max="11043" width="12.42578125" style="572" customWidth="1"/>
    <col min="11044" max="11044" width="13.5703125" style="572" customWidth="1"/>
    <col min="11045" max="11045" width="13.140625" style="572" bestFit="1" customWidth="1"/>
    <col min="11046" max="11046" width="18.85546875" style="572" customWidth="1"/>
    <col min="11047" max="11048" width="14.140625" style="572" customWidth="1"/>
    <col min="11049" max="11049" width="13.85546875" style="572" customWidth="1"/>
    <col min="11050" max="11050" width="14.140625" style="572" customWidth="1"/>
    <col min="11051" max="11051" width="13.7109375" style="572" customWidth="1"/>
    <col min="11052" max="11052" width="17.140625" style="572" customWidth="1"/>
    <col min="11053" max="11053" width="15.42578125" style="572" customWidth="1"/>
    <col min="11054" max="11054" width="18" style="572" customWidth="1"/>
    <col min="11055" max="11055" width="13.7109375" style="572" bestFit="1" customWidth="1"/>
    <col min="11056" max="11056" width="14.140625" style="572" bestFit="1" customWidth="1"/>
    <col min="11057" max="11057" width="14" style="572" bestFit="1" customWidth="1"/>
    <col min="11058" max="11058" width="14.85546875" style="572" bestFit="1" customWidth="1"/>
    <col min="11059" max="11059" width="15.7109375" style="572" customWidth="1"/>
    <col min="11060" max="11060" width="5.85546875" style="572" customWidth="1"/>
    <col min="11061" max="11061" width="9.28515625" style="572" customWidth="1"/>
    <col min="11062" max="11062" width="14.85546875" style="572" customWidth="1"/>
    <col min="11063" max="11063" width="12.85546875" style="572" bestFit="1" customWidth="1"/>
    <col min="11064" max="11064" width="12.85546875" style="572" customWidth="1"/>
    <col min="11065" max="11082" width="8.85546875" style="572" customWidth="1"/>
    <col min="11083" max="11083" width="30.28515625" style="572" bestFit="1" customWidth="1"/>
    <col min="11084" max="11084" width="20.7109375" style="572" customWidth="1"/>
    <col min="11085" max="11085" width="13.42578125" style="572" customWidth="1"/>
    <col min="11086" max="11086" width="8.85546875" style="572" customWidth="1"/>
    <col min="11087" max="11087" width="11.7109375" style="572" bestFit="1" customWidth="1"/>
    <col min="11088" max="11255" width="8.85546875" style="572" customWidth="1"/>
    <col min="11256" max="11256" width="29.7109375" style="572" customWidth="1"/>
    <col min="11257" max="11259" width="14.28515625" style="572" customWidth="1"/>
    <col min="11260" max="11260" width="2.7109375" style="572" customWidth="1"/>
    <col min="11261" max="11264" width="14.28515625" style="572"/>
    <col min="11265" max="11265" width="9.28515625" style="572" bestFit="1" customWidth="1"/>
    <col min="11266" max="11266" width="48.140625" style="572" customWidth="1"/>
    <col min="11267" max="11267" width="15.85546875" style="572" bestFit="1" customWidth="1"/>
    <col min="11268" max="11268" width="14.85546875" style="572" bestFit="1" customWidth="1"/>
    <col min="11269" max="11269" width="14.7109375" style="572" bestFit="1" customWidth="1"/>
    <col min="11270" max="11270" width="2.7109375" style="572" customWidth="1"/>
    <col min="11271" max="11271" width="15.85546875" style="572" bestFit="1" customWidth="1"/>
    <col min="11272" max="11273" width="14.5703125" style="572" bestFit="1" customWidth="1"/>
    <col min="11274" max="11274" width="2.7109375" style="572" customWidth="1"/>
    <col min="11275" max="11275" width="15.7109375" style="572" bestFit="1" customWidth="1"/>
    <col min="11276" max="11276" width="13.7109375" style="572" bestFit="1" customWidth="1"/>
    <col min="11277" max="11277" width="13.42578125" style="572" bestFit="1" customWidth="1"/>
    <col min="11278" max="11288" width="10.5703125" style="572" bestFit="1" customWidth="1"/>
    <col min="11289" max="11289" width="13.5703125" style="572" customWidth="1"/>
    <col min="11290" max="11290" width="16.5703125" style="572" customWidth="1"/>
    <col min="11291" max="11291" width="14.42578125" style="572" customWidth="1"/>
    <col min="11292" max="11292" width="13.28515625" style="572" bestFit="1" customWidth="1"/>
    <col min="11293" max="11293" width="13.42578125" style="572" bestFit="1" customWidth="1"/>
    <col min="11294" max="11294" width="13" style="572" customWidth="1"/>
    <col min="11295" max="11295" width="11.5703125" style="572" customWidth="1"/>
    <col min="11296" max="11296" width="13.140625" style="572" customWidth="1"/>
    <col min="11297" max="11298" width="11.5703125" style="572" customWidth="1"/>
    <col min="11299" max="11299" width="12.42578125" style="572" customWidth="1"/>
    <col min="11300" max="11300" width="13.5703125" style="572" customWidth="1"/>
    <col min="11301" max="11301" width="13.140625" style="572" bestFit="1" customWidth="1"/>
    <col min="11302" max="11302" width="18.85546875" style="572" customWidth="1"/>
    <col min="11303" max="11304" width="14.140625" style="572" customWidth="1"/>
    <col min="11305" max="11305" width="13.85546875" style="572" customWidth="1"/>
    <col min="11306" max="11306" width="14.140625" style="572" customWidth="1"/>
    <col min="11307" max="11307" width="13.7109375" style="572" customWidth="1"/>
    <col min="11308" max="11308" width="17.140625" style="572" customWidth="1"/>
    <col min="11309" max="11309" width="15.42578125" style="572" customWidth="1"/>
    <col min="11310" max="11310" width="18" style="572" customWidth="1"/>
    <col min="11311" max="11311" width="13.7109375" style="572" bestFit="1" customWidth="1"/>
    <col min="11312" max="11312" width="14.140625" style="572" bestFit="1" customWidth="1"/>
    <col min="11313" max="11313" width="14" style="572" bestFit="1" customWidth="1"/>
    <col min="11314" max="11314" width="14.85546875" style="572" bestFit="1" customWidth="1"/>
    <col min="11315" max="11315" width="15.7109375" style="572" customWidth="1"/>
    <col min="11316" max="11316" width="5.85546875" style="572" customWidth="1"/>
    <col min="11317" max="11317" width="9.28515625" style="572" customWidth="1"/>
    <col min="11318" max="11318" width="14.85546875" style="572" customWidth="1"/>
    <col min="11319" max="11319" width="12.85546875" style="572" bestFit="1" customWidth="1"/>
    <col min="11320" max="11320" width="12.85546875" style="572" customWidth="1"/>
    <col min="11321" max="11338" width="8.85546875" style="572" customWidth="1"/>
    <col min="11339" max="11339" width="30.28515625" style="572" bestFit="1" customWidth="1"/>
    <col min="11340" max="11340" width="20.7109375" style="572" customWidth="1"/>
    <col min="11341" max="11341" width="13.42578125" style="572" customWidth="1"/>
    <col min="11342" max="11342" width="8.85546875" style="572" customWidth="1"/>
    <col min="11343" max="11343" width="11.7109375" style="572" bestFit="1" customWidth="1"/>
    <col min="11344" max="11511" width="8.85546875" style="572" customWidth="1"/>
    <col min="11512" max="11512" width="29.7109375" style="572" customWidth="1"/>
    <col min="11513" max="11515" width="14.28515625" style="572" customWidth="1"/>
    <col min="11516" max="11516" width="2.7109375" style="572" customWidth="1"/>
    <col min="11517" max="11520" width="14.28515625" style="572"/>
    <col min="11521" max="11521" width="9.28515625" style="572" bestFit="1" customWidth="1"/>
    <col min="11522" max="11522" width="48.140625" style="572" customWidth="1"/>
    <col min="11523" max="11523" width="15.85546875" style="572" bestFit="1" customWidth="1"/>
    <col min="11524" max="11524" width="14.85546875" style="572" bestFit="1" customWidth="1"/>
    <col min="11525" max="11525" width="14.7109375" style="572" bestFit="1" customWidth="1"/>
    <col min="11526" max="11526" width="2.7109375" style="572" customWidth="1"/>
    <col min="11527" max="11527" width="15.85546875" style="572" bestFit="1" customWidth="1"/>
    <col min="11528" max="11529" width="14.5703125" style="572" bestFit="1" customWidth="1"/>
    <col min="11530" max="11530" width="2.7109375" style="572" customWidth="1"/>
    <col min="11531" max="11531" width="15.7109375" style="572" bestFit="1" customWidth="1"/>
    <col min="11532" max="11532" width="13.7109375" style="572" bestFit="1" customWidth="1"/>
    <col min="11533" max="11533" width="13.42578125" style="572" bestFit="1" customWidth="1"/>
    <col min="11534" max="11544" width="10.5703125" style="572" bestFit="1" customWidth="1"/>
    <col min="11545" max="11545" width="13.5703125" style="572" customWidth="1"/>
    <col min="11546" max="11546" width="16.5703125" style="572" customWidth="1"/>
    <col min="11547" max="11547" width="14.42578125" style="572" customWidth="1"/>
    <col min="11548" max="11548" width="13.28515625" style="572" bestFit="1" customWidth="1"/>
    <col min="11549" max="11549" width="13.42578125" style="572" bestFit="1" customWidth="1"/>
    <col min="11550" max="11550" width="13" style="572" customWidth="1"/>
    <col min="11551" max="11551" width="11.5703125" style="572" customWidth="1"/>
    <col min="11552" max="11552" width="13.140625" style="572" customWidth="1"/>
    <col min="11553" max="11554" width="11.5703125" style="572" customWidth="1"/>
    <col min="11555" max="11555" width="12.42578125" style="572" customWidth="1"/>
    <col min="11556" max="11556" width="13.5703125" style="572" customWidth="1"/>
    <col min="11557" max="11557" width="13.140625" style="572" bestFit="1" customWidth="1"/>
    <col min="11558" max="11558" width="18.85546875" style="572" customWidth="1"/>
    <col min="11559" max="11560" width="14.140625" style="572" customWidth="1"/>
    <col min="11561" max="11561" width="13.85546875" style="572" customWidth="1"/>
    <col min="11562" max="11562" width="14.140625" style="572" customWidth="1"/>
    <col min="11563" max="11563" width="13.7109375" style="572" customWidth="1"/>
    <col min="11564" max="11564" width="17.140625" style="572" customWidth="1"/>
    <col min="11565" max="11565" width="15.42578125" style="572" customWidth="1"/>
    <col min="11566" max="11566" width="18" style="572" customWidth="1"/>
    <col min="11567" max="11567" width="13.7109375" style="572" bestFit="1" customWidth="1"/>
    <col min="11568" max="11568" width="14.140625" style="572" bestFit="1" customWidth="1"/>
    <col min="11569" max="11569" width="14" style="572" bestFit="1" customWidth="1"/>
    <col min="11570" max="11570" width="14.85546875" style="572" bestFit="1" customWidth="1"/>
    <col min="11571" max="11571" width="15.7109375" style="572" customWidth="1"/>
    <col min="11572" max="11572" width="5.85546875" style="572" customWidth="1"/>
    <col min="11573" max="11573" width="9.28515625" style="572" customWidth="1"/>
    <col min="11574" max="11574" width="14.85546875" style="572" customWidth="1"/>
    <col min="11575" max="11575" width="12.85546875" style="572" bestFit="1" customWidth="1"/>
    <col min="11576" max="11576" width="12.85546875" style="572" customWidth="1"/>
    <col min="11577" max="11594" width="8.85546875" style="572" customWidth="1"/>
    <col min="11595" max="11595" width="30.28515625" style="572" bestFit="1" customWidth="1"/>
    <col min="11596" max="11596" width="20.7109375" style="572" customWidth="1"/>
    <col min="11597" max="11597" width="13.42578125" style="572" customWidth="1"/>
    <col min="11598" max="11598" width="8.85546875" style="572" customWidth="1"/>
    <col min="11599" max="11599" width="11.7109375" style="572" bestFit="1" customWidth="1"/>
    <col min="11600" max="11767" width="8.85546875" style="572" customWidth="1"/>
    <col min="11768" max="11768" width="29.7109375" style="572" customWidth="1"/>
    <col min="11769" max="11771" width="14.28515625" style="572" customWidth="1"/>
    <col min="11772" max="11772" width="2.7109375" style="572" customWidth="1"/>
    <col min="11773" max="11776" width="14.28515625" style="572"/>
    <col min="11777" max="11777" width="9.28515625" style="572" bestFit="1" customWidth="1"/>
    <col min="11778" max="11778" width="48.140625" style="572" customWidth="1"/>
    <col min="11779" max="11779" width="15.85546875" style="572" bestFit="1" customWidth="1"/>
    <col min="11780" max="11780" width="14.85546875" style="572" bestFit="1" customWidth="1"/>
    <col min="11781" max="11781" width="14.7109375" style="572" bestFit="1" customWidth="1"/>
    <col min="11782" max="11782" width="2.7109375" style="572" customWidth="1"/>
    <col min="11783" max="11783" width="15.85546875" style="572" bestFit="1" customWidth="1"/>
    <col min="11784" max="11785" width="14.5703125" style="572" bestFit="1" customWidth="1"/>
    <col min="11786" max="11786" width="2.7109375" style="572" customWidth="1"/>
    <col min="11787" max="11787" width="15.7109375" style="572" bestFit="1" customWidth="1"/>
    <col min="11788" max="11788" width="13.7109375" style="572" bestFit="1" customWidth="1"/>
    <col min="11789" max="11789" width="13.42578125" style="572" bestFit="1" customWidth="1"/>
    <col min="11790" max="11800" width="10.5703125" style="572" bestFit="1" customWidth="1"/>
    <col min="11801" max="11801" width="13.5703125" style="572" customWidth="1"/>
    <col min="11802" max="11802" width="16.5703125" style="572" customWidth="1"/>
    <col min="11803" max="11803" width="14.42578125" style="572" customWidth="1"/>
    <col min="11804" max="11804" width="13.28515625" style="572" bestFit="1" customWidth="1"/>
    <col min="11805" max="11805" width="13.42578125" style="572" bestFit="1" customWidth="1"/>
    <col min="11806" max="11806" width="13" style="572" customWidth="1"/>
    <col min="11807" max="11807" width="11.5703125" style="572" customWidth="1"/>
    <col min="11808" max="11808" width="13.140625" style="572" customWidth="1"/>
    <col min="11809" max="11810" width="11.5703125" style="572" customWidth="1"/>
    <col min="11811" max="11811" width="12.42578125" style="572" customWidth="1"/>
    <col min="11812" max="11812" width="13.5703125" style="572" customWidth="1"/>
    <col min="11813" max="11813" width="13.140625" style="572" bestFit="1" customWidth="1"/>
    <col min="11814" max="11814" width="18.85546875" style="572" customWidth="1"/>
    <col min="11815" max="11816" width="14.140625" style="572" customWidth="1"/>
    <col min="11817" max="11817" width="13.85546875" style="572" customWidth="1"/>
    <col min="11818" max="11818" width="14.140625" style="572" customWidth="1"/>
    <col min="11819" max="11819" width="13.7109375" style="572" customWidth="1"/>
    <col min="11820" max="11820" width="17.140625" style="572" customWidth="1"/>
    <col min="11821" max="11821" width="15.42578125" style="572" customWidth="1"/>
    <col min="11822" max="11822" width="18" style="572" customWidth="1"/>
    <col min="11823" max="11823" width="13.7109375" style="572" bestFit="1" customWidth="1"/>
    <col min="11824" max="11824" width="14.140625" style="572" bestFit="1" customWidth="1"/>
    <col min="11825" max="11825" width="14" style="572" bestFit="1" customWidth="1"/>
    <col min="11826" max="11826" width="14.85546875" style="572" bestFit="1" customWidth="1"/>
    <col min="11827" max="11827" width="15.7109375" style="572" customWidth="1"/>
    <col min="11828" max="11828" width="5.85546875" style="572" customWidth="1"/>
    <col min="11829" max="11829" width="9.28515625" style="572" customWidth="1"/>
    <col min="11830" max="11830" width="14.85546875" style="572" customWidth="1"/>
    <col min="11831" max="11831" width="12.85546875" style="572" bestFit="1" customWidth="1"/>
    <col min="11832" max="11832" width="12.85546875" style="572" customWidth="1"/>
    <col min="11833" max="11850" width="8.85546875" style="572" customWidth="1"/>
    <col min="11851" max="11851" width="30.28515625" style="572" bestFit="1" customWidth="1"/>
    <col min="11852" max="11852" width="20.7109375" style="572" customWidth="1"/>
    <col min="11853" max="11853" width="13.42578125" style="572" customWidth="1"/>
    <col min="11854" max="11854" width="8.85546875" style="572" customWidth="1"/>
    <col min="11855" max="11855" width="11.7109375" style="572" bestFit="1" customWidth="1"/>
    <col min="11856" max="12023" width="8.85546875" style="572" customWidth="1"/>
    <col min="12024" max="12024" width="29.7109375" style="572" customWidth="1"/>
    <col min="12025" max="12027" width="14.28515625" style="572" customWidth="1"/>
    <col min="12028" max="12028" width="2.7109375" style="572" customWidth="1"/>
    <col min="12029" max="12032" width="14.28515625" style="572"/>
    <col min="12033" max="12033" width="9.28515625" style="572" bestFit="1" customWidth="1"/>
    <col min="12034" max="12034" width="48.140625" style="572" customWidth="1"/>
    <col min="12035" max="12035" width="15.85546875" style="572" bestFit="1" customWidth="1"/>
    <col min="12036" max="12036" width="14.85546875" style="572" bestFit="1" customWidth="1"/>
    <col min="12037" max="12037" width="14.7109375" style="572" bestFit="1" customWidth="1"/>
    <col min="12038" max="12038" width="2.7109375" style="572" customWidth="1"/>
    <col min="12039" max="12039" width="15.85546875" style="572" bestFit="1" customWidth="1"/>
    <col min="12040" max="12041" width="14.5703125" style="572" bestFit="1" customWidth="1"/>
    <col min="12042" max="12042" width="2.7109375" style="572" customWidth="1"/>
    <col min="12043" max="12043" width="15.7109375" style="572" bestFit="1" customWidth="1"/>
    <col min="12044" max="12044" width="13.7109375" style="572" bestFit="1" customWidth="1"/>
    <col min="12045" max="12045" width="13.42578125" style="572" bestFit="1" customWidth="1"/>
    <col min="12046" max="12056" width="10.5703125" style="572" bestFit="1" customWidth="1"/>
    <col min="12057" max="12057" width="13.5703125" style="572" customWidth="1"/>
    <col min="12058" max="12058" width="16.5703125" style="572" customWidth="1"/>
    <col min="12059" max="12059" width="14.42578125" style="572" customWidth="1"/>
    <col min="12060" max="12060" width="13.28515625" style="572" bestFit="1" customWidth="1"/>
    <col min="12061" max="12061" width="13.42578125" style="572" bestFit="1" customWidth="1"/>
    <col min="12062" max="12062" width="13" style="572" customWidth="1"/>
    <col min="12063" max="12063" width="11.5703125" style="572" customWidth="1"/>
    <col min="12064" max="12064" width="13.140625" style="572" customWidth="1"/>
    <col min="12065" max="12066" width="11.5703125" style="572" customWidth="1"/>
    <col min="12067" max="12067" width="12.42578125" style="572" customWidth="1"/>
    <col min="12068" max="12068" width="13.5703125" style="572" customWidth="1"/>
    <col min="12069" max="12069" width="13.140625" style="572" bestFit="1" customWidth="1"/>
    <col min="12070" max="12070" width="18.85546875" style="572" customWidth="1"/>
    <col min="12071" max="12072" width="14.140625" style="572" customWidth="1"/>
    <col min="12073" max="12073" width="13.85546875" style="572" customWidth="1"/>
    <col min="12074" max="12074" width="14.140625" style="572" customWidth="1"/>
    <col min="12075" max="12075" width="13.7109375" style="572" customWidth="1"/>
    <col min="12076" max="12076" width="17.140625" style="572" customWidth="1"/>
    <col min="12077" max="12077" width="15.42578125" style="572" customWidth="1"/>
    <col min="12078" max="12078" width="18" style="572" customWidth="1"/>
    <col min="12079" max="12079" width="13.7109375" style="572" bestFit="1" customWidth="1"/>
    <col min="12080" max="12080" width="14.140625" style="572" bestFit="1" customWidth="1"/>
    <col min="12081" max="12081" width="14" style="572" bestFit="1" customWidth="1"/>
    <col min="12082" max="12082" width="14.85546875" style="572" bestFit="1" customWidth="1"/>
    <col min="12083" max="12083" width="15.7109375" style="572" customWidth="1"/>
    <col min="12084" max="12084" width="5.85546875" style="572" customWidth="1"/>
    <col min="12085" max="12085" width="9.28515625" style="572" customWidth="1"/>
    <col min="12086" max="12086" width="14.85546875" style="572" customWidth="1"/>
    <col min="12087" max="12087" width="12.85546875" style="572" bestFit="1" customWidth="1"/>
    <col min="12088" max="12088" width="12.85546875" style="572" customWidth="1"/>
    <col min="12089" max="12106" width="8.85546875" style="572" customWidth="1"/>
    <col min="12107" max="12107" width="30.28515625" style="572" bestFit="1" customWidth="1"/>
    <col min="12108" max="12108" width="20.7109375" style="572" customWidth="1"/>
    <col min="12109" max="12109" width="13.42578125" style="572" customWidth="1"/>
    <col min="12110" max="12110" width="8.85546875" style="572" customWidth="1"/>
    <col min="12111" max="12111" width="11.7109375" style="572" bestFit="1" customWidth="1"/>
    <col min="12112" max="12279" width="8.85546875" style="572" customWidth="1"/>
    <col min="12280" max="12280" width="29.7109375" style="572" customWidth="1"/>
    <col min="12281" max="12283" width="14.28515625" style="572" customWidth="1"/>
    <col min="12284" max="12284" width="2.7109375" style="572" customWidth="1"/>
    <col min="12285" max="12288" width="14.28515625" style="572"/>
    <col min="12289" max="12289" width="9.28515625" style="572" bestFit="1" customWidth="1"/>
    <col min="12290" max="12290" width="48.140625" style="572" customWidth="1"/>
    <col min="12291" max="12291" width="15.85546875" style="572" bestFit="1" customWidth="1"/>
    <col min="12292" max="12292" width="14.85546875" style="572" bestFit="1" customWidth="1"/>
    <col min="12293" max="12293" width="14.7109375" style="572" bestFit="1" customWidth="1"/>
    <col min="12294" max="12294" width="2.7109375" style="572" customWidth="1"/>
    <col min="12295" max="12295" width="15.85546875" style="572" bestFit="1" customWidth="1"/>
    <col min="12296" max="12297" width="14.5703125" style="572" bestFit="1" customWidth="1"/>
    <col min="12298" max="12298" width="2.7109375" style="572" customWidth="1"/>
    <col min="12299" max="12299" width="15.7109375" style="572" bestFit="1" customWidth="1"/>
    <col min="12300" max="12300" width="13.7109375" style="572" bestFit="1" customWidth="1"/>
    <col min="12301" max="12301" width="13.42578125" style="572" bestFit="1" customWidth="1"/>
    <col min="12302" max="12312" width="10.5703125" style="572" bestFit="1" customWidth="1"/>
    <col min="12313" max="12313" width="13.5703125" style="572" customWidth="1"/>
    <col min="12314" max="12314" width="16.5703125" style="572" customWidth="1"/>
    <col min="12315" max="12315" width="14.42578125" style="572" customWidth="1"/>
    <col min="12316" max="12316" width="13.28515625" style="572" bestFit="1" customWidth="1"/>
    <col min="12317" max="12317" width="13.42578125" style="572" bestFit="1" customWidth="1"/>
    <col min="12318" max="12318" width="13" style="572" customWidth="1"/>
    <col min="12319" max="12319" width="11.5703125" style="572" customWidth="1"/>
    <col min="12320" max="12320" width="13.140625" style="572" customWidth="1"/>
    <col min="12321" max="12322" width="11.5703125" style="572" customWidth="1"/>
    <col min="12323" max="12323" width="12.42578125" style="572" customWidth="1"/>
    <col min="12324" max="12324" width="13.5703125" style="572" customWidth="1"/>
    <col min="12325" max="12325" width="13.140625" style="572" bestFit="1" customWidth="1"/>
    <col min="12326" max="12326" width="18.85546875" style="572" customWidth="1"/>
    <col min="12327" max="12328" width="14.140625" style="572" customWidth="1"/>
    <col min="12329" max="12329" width="13.85546875" style="572" customWidth="1"/>
    <col min="12330" max="12330" width="14.140625" style="572" customWidth="1"/>
    <col min="12331" max="12331" width="13.7109375" style="572" customWidth="1"/>
    <col min="12332" max="12332" width="17.140625" style="572" customWidth="1"/>
    <col min="12333" max="12333" width="15.42578125" style="572" customWidth="1"/>
    <col min="12334" max="12334" width="18" style="572" customWidth="1"/>
    <col min="12335" max="12335" width="13.7109375" style="572" bestFit="1" customWidth="1"/>
    <col min="12336" max="12336" width="14.140625" style="572" bestFit="1" customWidth="1"/>
    <col min="12337" max="12337" width="14" style="572" bestFit="1" customWidth="1"/>
    <col min="12338" max="12338" width="14.85546875" style="572" bestFit="1" customWidth="1"/>
    <col min="12339" max="12339" width="15.7109375" style="572" customWidth="1"/>
    <col min="12340" max="12340" width="5.85546875" style="572" customWidth="1"/>
    <col min="12341" max="12341" width="9.28515625" style="572" customWidth="1"/>
    <col min="12342" max="12342" width="14.85546875" style="572" customWidth="1"/>
    <col min="12343" max="12343" width="12.85546875" style="572" bestFit="1" customWidth="1"/>
    <col min="12344" max="12344" width="12.85546875" style="572" customWidth="1"/>
    <col min="12345" max="12362" width="8.85546875" style="572" customWidth="1"/>
    <col min="12363" max="12363" width="30.28515625" style="572" bestFit="1" customWidth="1"/>
    <col min="12364" max="12364" width="20.7109375" style="572" customWidth="1"/>
    <col min="12365" max="12365" width="13.42578125" style="572" customWidth="1"/>
    <col min="12366" max="12366" width="8.85546875" style="572" customWidth="1"/>
    <col min="12367" max="12367" width="11.7109375" style="572" bestFit="1" customWidth="1"/>
    <col min="12368" max="12535" width="8.85546875" style="572" customWidth="1"/>
    <col min="12536" max="12536" width="29.7109375" style="572" customWidth="1"/>
    <col min="12537" max="12539" width="14.28515625" style="572" customWidth="1"/>
    <col min="12540" max="12540" width="2.7109375" style="572" customWidth="1"/>
    <col min="12541" max="12544" width="14.28515625" style="572"/>
    <col min="12545" max="12545" width="9.28515625" style="572" bestFit="1" customWidth="1"/>
    <col min="12546" max="12546" width="48.140625" style="572" customWidth="1"/>
    <col min="12547" max="12547" width="15.85546875" style="572" bestFit="1" customWidth="1"/>
    <col min="12548" max="12548" width="14.85546875" style="572" bestFit="1" customWidth="1"/>
    <col min="12549" max="12549" width="14.7109375" style="572" bestFit="1" customWidth="1"/>
    <col min="12550" max="12550" width="2.7109375" style="572" customWidth="1"/>
    <col min="12551" max="12551" width="15.85546875" style="572" bestFit="1" customWidth="1"/>
    <col min="12552" max="12553" width="14.5703125" style="572" bestFit="1" customWidth="1"/>
    <col min="12554" max="12554" width="2.7109375" style="572" customWidth="1"/>
    <col min="12555" max="12555" width="15.7109375" style="572" bestFit="1" customWidth="1"/>
    <col min="12556" max="12556" width="13.7109375" style="572" bestFit="1" customWidth="1"/>
    <col min="12557" max="12557" width="13.42578125" style="572" bestFit="1" customWidth="1"/>
    <col min="12558" max="12568" width="10.5703125" style="572" bestFit="1" customWidth="1"/>
    <col min="12569" max="12569" width="13.5703125" style="572" customWidth="1"/>
    <col min="12570" max="12570" width="16.5703125" style="572" customWidth="1"/>
    <col min="12571" max="12571" width="14.42578125" style="572" customWidth="1"/>
    <col min="12572" max="12572" width="13.28515625" style="572" bestFit="1" customWidth="1"/>
    <col min="12573" max="12573" width="13.42578125" style="572" bestFit="1" customWidth="1"/>
    <col min="12574" max="12574" width="13" style="572" customWidth="1"/>
    <col min="12575" max="12575" width="11.5703125" style="572" customWidth="1"/>
    <col min="12576" max="12576" width="13.140625" style="572" customWidth="1"/>
    <col min="12577" max="12578" width="11.5703125" style="572" customWidth="1"/>
    <col min="12579" max="12579" width="12.42578125" style="572" customWidth="1"/>
    <col min="12580" max="12580" width="13.5703125" style="572" customWidth="1"/>
    <col min="12581" max="12581" width="13.140625" style="572" bestFit="1" customWidth="1"/>
    <col min="12582" max="12582" width="18.85546875" style="572" customWidth="1"/>
    <col min="12583" max="12584" width="14.140625" style="572" customWidth="1"/>
    <col min="12585" max="12585" width="13.85546875" style="572" customWidth="1"/>
    <col min="12586" max="12586" width="14.140625" style="572" customWidth="1"/>
    <col min="12587" max="12587" width="13.7109375" style="572" customWidth="1"/>
    <col min="12588" max="12588" width="17.140625" style="572" customWidth="1"/>
    <col min="12589" max="12589" width="15.42578125" style="572" customWidth="1"/>
    <col min="12590" max="12590" width="18" style="572" customWidth="1"/>
    <col min="12591" max="12591" width="13.7109375" style="572" bestFit="1" customWidth="1"/>
    <col min="12592" max="12592" width="14.140625" style="572" bestFit="1" customWidth="1"/>
    <col min="12593" max="12593" width="14" style="572" bestFit="1" customWidth="1"/>
    <col min="12594" max="12594" width="14.85546875" style="572" bestFit="1" customWidth="1"/>
    <col min="12595" max="12595" width="15.7109375" style="572" customWidth="1"/>
    <col min="12596" max="12596" width="5.85546875" style="572" customWidth="1"/>
    <col min="12597" max="12597" width="9.28515625" style="572" customWidth="1"/>
    <col min="12598" max="12598" width="14.85546875" style="572" customWidth="1"/>
    <col min="12599" max="12599" width="12.85546875" style="572" bestFit="1" customWidth="1"/>
    <col min="12600" max="12600" width="12.85546875" style="572" customWidth="1"/>
    <col min="12601" max="12618" width="8.85546875" style="572" customWidth="1"/>
    <col min="12619" max="12619" width="30.28515625" style="572" bestFit="1" customWidth="1"/>
    <col min="12620" max="12620" width="20.7109375" style="572" customWidth="1"/>
    <col min="12621" max="12621" width="13.42578125" style="572" customWidth="1"/>
    <col min="12622" max="12622" width="8.85546875" style="572" customWidth="1"/>
    <col min="12623" max="12623" width="11.7109375" style="572" bestFit="1" customWidth="1"/>
    <col min="12624" max="12791" width="8.85546875" style="572" customWidth="1"/>
    <col min="12792" max="12792" width="29.7109375" style="572" customWidth="1"/>
    <col min="12793" max="12795" width="14.28515625" style="572" customWidth="1"/>
    <col min="12796" max="12796" width="2.7109375" style="572" customWidth="1"/>
    <col min="12797" max="12800" width="14.28515625" style="572"/>
    <col min="12801" max="12801" width="9.28515625" style="572" bestFit="1" customWidth="1"/>
    <col min="12802" max="12802" width="48.140625" style="572" customWidth="1"/>
    <col min="12803" max="12803" width="15.85546875" style="572" bestFit="1" customWidth="1"/>
    <col min="12804" max="12804" width="14.85546875" style="572" bestFit="1" customWidth="1"/>
    <col min="12805" max="12805" width="14.7109375" style="572" bestFit="1" customWidth="1"/>
    <col min="12806" max="12806" width="2.7109375" style="572" customWidth="1"/>
    <col min="12807" max="12807" width="15.85546875" style="572" bestFit="1" customWidth="1"/>
    <col min="12808" max="12809" width="14.5703125" style="572" bestFit="1" customWidth="1"/>
    <col min="12810" max="12810" width="2.7109375" style="572" customWidth="1"/>
    <col min="12811" max="12811" width="15.7109375" style="572" bestFit="1" customWidth="1"/>
    <col min="12812" max="12812" width="13.7109375" style="572" bestFit="1" customWidth="1"/>
    <col min="12813" max="12813" width="13.42578125" style="572" bestFit="1" customWidth="1"/>
    <col min="12814" max="12824" width="10.5703125" style="572" bestFit="1" customWidth="1"/>
    <col min="12825" max="12825" width="13.5703125" style="572" customWidth="1"/>
    <col min="12826" max="12826" width="16.5703125" style="572" customWidth="1"/>
    <col min="12827" max="12827" width="14.42578125" style="572" customWidth="1"/>
    <col min="12828" max="12828" width="13.28515625" style="572" bestFit="1" customWidth="1"/>
    <col min="12829" max="12829" width="13.42578125" style="572" bestFit="1" customWidth="1"/>
    <col min="12830" max="12830" width="13" style="572" customWidth="1"/>
    <col min="12831" max="12831" width="11.5703125" style="572" customWidth="1"/>
    <col min="12832" max="12832" width="13.140625" style="572" customWidth="1"/>
    <col min="12833" max="12834" width="11.5703125" style="572" customWidth="1"/>
    <col min="12835" max="12835" width="12.42578125" style="572" customWidth="1"/>
    <col min="12836" max="12836" width="13.5703125" style="572" customWidth="1"/>
    <col min="12837" max="12837" width="13.140625" style="572" bestFit="1" customWidth="1"/>
    <col min="12838" max="12838" width="18.85546875" style="572" customWidth="1"/>
    <col min="12839" max="12840" width="14.140625" style="572" customWidth="1"/>
    <col min="12841" max="12841" width="13.85546875" style="572" customWidth="1"/>
    <col min="12842" max="12842" width="14.140625" style="572" customWidth="1"/>
    <col min="12843" max="12843" width="13.7109375" style="572" customWidth="1"/>
    <col min="12844" max="12844" width="17.140625" style="572" customWidth="1"/>
    <col min="12845" max="12845" width="15.42578125" style="572" customWidth="1"/>
    <col min="12846" max="12846" width="18" style="572" customWidth="1"/>
    <col min="12847" max="12847" width="13.7109375" style="572" bestFit="1" customWidth="1"/>
    <col min="12848" max="12848" width="14.140625" style="572" bestFit="1" customWidth="1"/>
    <col min="12849" max="12849" width="14" style="572" bestFit="1" customWidth="1"/>
    <col min="12850" max="12850" width="14.85546875" style="572" bestFit="1" customWidth="1"/>
    <col min="12851" max="12851" width="15.7109375" style="572" customWidth="1"/>
    <col min="12852" max="12852" width="5.85546875" style="572" customWidth="1"/>
    <col min="12853" max="12853" width="9.28515625" style="572" customWidth="1"/>
    <col min="12854" max="12854" width="14.85546875" style="572" customWidth="1"/>
    <col min="12855" max="12855" width="12.85546875" style="572" bestFit="1" customWidth="1"/>
    <col min="12856" max="12856" width="12.85546875" style="572" customWidth="1"/>
    <col min="12857" max="12874" width="8.85546875" style="572" customWidth="1"/>
    <col min="12875" max="12875" width="30.28515625" style="572" bestFit="1" customWidth="1"/>
    <col min="12876" max="12876" width="20.7109375" style="572" customWidth="1"/>
    <col min="12877" max="12877" width="13.42578125" style="572" customWidth="1"/>
    <col min="12878" max="12878" width="8.85546875" style="572" customWidth="1"/>
    <col min="12879" max="12879" width="11.7109375" style="572" bestFit="1" customWidth="1"/>
    <col min="12880" max="13047" width="8.85546875" style="572" customWidth="1"/>
    <col min="13048" max="13048" width="29.7109375" style="572" customWidth="1"/>
    <col min="13049" max="13051" width="14.28515625" style="572" customWidth="1"/>
    <col min="13052" max="13052" width="2.7109375" style="572" customWidth="1"/>
    <col min="13053" max="13056" width="14.28515625" style="572"/>
    <col min="13057" max="13057" width="9.28515625" style="572" bestFit="1" customWidth="1"/>
    <col min="13058" max="13058" width="48.140625" style="572" customWidth="1"/>
    <col min="13059" max="13059" width="15.85546875" style="572" bestFit="1" customWidth="1"/>
    <col min="13060" max="13060" width="14.85546875" style="572" bestFit="1" customWidth="1"/>
    <col min="13061" max="13061" width="14.7109375" style="572" bestFit="1" customWidth="1"/>
    <col min="13062" max="13062" width="2.7109375" style="572" customWidth="1"/>
    <col min="13063" max="13063" width="15.85546875" style="572" bestFit="1" customWidth="1"/>
    <col min="13064" max="13065" width="14.5703125" style="572" bestFit="1" customWidth="1"/>
    <col min="13066" max="13066" width="2.7109375" style="572" customWidth="1"/>
    <col min="13067" max="13067" width="15.7109375" style="572" bestFit="1" customWidth="1"/>
    <col min="13068" max="13068" width="13.7109375" style="572" bestFit="1" customWidth="1"/>
    <col min="13069" max="13069" width="13.42578125" style="572" bestFit="1" customWidth="1"/>
    <col min="13070" max="13080" width="10.5703125" style="572" bestFit="1" customWidth="1"/>
    <col min="13081" max="13081" width="13.5703125" style="572" customWidth="1"/>
    <col min="13082" max="13082" width="16.5703125" style="572" customWidth="1"/>
    <col min="13083" max="13083" width="14.42578125" style="572" customWidth="1"/>
    <col min="13084" max="13084" width="13.28515625" style="572" bestFit="1" customWidth="1"/>
    <col min="13085" max="13085" width="13.42578125" style="572" bestFit="1" customWidth="1"/>
    <col min="13086" max="13086" width="13" style="572" customWidth="1"/>
    <col min="13087" max="13087" width="11.5703125" style="572" customWidth="1"/>
    <col min="13088" max="13088" width="13.140625" style="572" customWidth="1"/>
    <col min="13089" max="13090" width="11.5703125" style="572" customWidth="1"/>
    <col min="13091" max="13091" width="12.42578125" style="572" customWidth="1"/>
    <col min="13092" max="13092" width="13.5703125" style="572" customWidth="1"/>
    <col min="13093" max="13093" width="13.140625" style="572" bestFit="1" customWidth="1"/>
    <col min="13094" max="13094" width="18.85546875" style="572" customWidth="1"/>
    <col min="13095" max="13096" width="14.140625" style="572" customWidth="1"/>
    <col min="13097" max="13097" width="13.85546875" style="572" customWidth="1"/>
    <col min="13098" max="13098" width="14.140625" style="572" customWidth="1"/>
    <col min="13099" max="13099" width="13.7109375" style="572" customWidth="1"/>
    <col min="13100" max="13100" width="17.140625" style="572" customWidth="1"/>
    <col min="13101" max="13101" width="15.42578125" style="572" customWidth="1"/>
    <col min="13102" max="13102" width="18" style="572" customWidth="1"/>
    <col min="13103" max="13103" width="13.7109375" style="572" bestFit="1" customWidth="1"/>
    <col min="13104" max="13104" width="14.140625" style="572" bestFit="1" customWidth="1"/>
    <col min="13105" max="13105" width="14" style="572" bestFit="1" customWidth="1"/>
    <col min="13106" max="13106" width="14.85546875" style="572" bestFit="1" customWidth="1"/>
    <col min="13107" max="13107" width="15.7109375" style="572" customWidth="1"/>
    <col min="13108" max="13108" width="5.85546875" style="572" customWidth="1"/>
    <col min="13109" max="13109" width="9.28515625" style="572" customWidth="1"/>
    <col min="13110" max="13110" width="14.85546875" style="572" customWidth="1"/>
    <col min="13111" max="13111" width="12.85546875" style="572" bestFit="1" customWidth="1"/>
    <col min="13112" max="13112" width="12.85546875" style="572" customWidth="1"/>
    <col min="13113" max="13130" width="8.85546875" style="572" customWidth="1"/>
    <col min="13131" max="13131" width="30.28515625" style="572" bestFit="1" customWidth="1"/>
    <col min="13132" max="13132" width="20.7109375" style="572" customWidth="1"/>
    <col min="13133" max="13133" width="13.42578125" style="572" customWidth="1"/>
    <col min="13134" max="13134" width="8.85546875" style="572" customWidth="1"/>
    <col min="13135" max="13135" width="11.7109375" style="572" bestFit="1" customWidth="1"/>
    <col min="13136" max="13303" width="8.85546875" style="572" customWidth="1"/>
    <col min="13304" max="13304" width="29.7109375" style="572" customWidth="1"/>
    <col min="13305" max="13307" width="14.28515625" style="572" customWidth="1"/>
    <col min="13308" max="13308" width="2.7109375" style="572" customWidth="1"/>
    <col min="13309" max="13312" width="14.28515625" style="572"/>
    <col min="13313" max="13313" width="9.28515625" style="572" bestFit="1" customWidth="1"/>
    <col min="13314" max="13314" width="48.140625" style="572" customWidth="1"/>
    <col min="13315" max="13315" width="15.85546875" style="572" bestFit="1" customWidth="1"/>
    <col min="13316" max="13316" width="14.85546875" style="572" bestFit="1" customWidth="1"/>
    <col min="13317" max="13317" width="14.7109375" style="572" bestFit="1" customWidth="1"/>
    <col min="13318" max="13318" width="2.7109375" style="572" customWidth="1"/>
    <col min="13319" max="13319" width="15.85546875" style="572" bestFit="1" customWidth="1"/>
    <col min="13320" max="13321" width="14.5703125" style="572" bestFit="1" customWidth="1"/>
    <col min="13322" max="13322" width="2.7109375" style="572" customWidth="1"/>
    <col min="13323" max="13323" width="15.7109375" style="572" bestFit="1" customWidth="1"/>
    <col min="13324" max="13324" width="13.7109375" style="572" bestFit="1" customWidth="1"/>
    <col min="13325" max="13325" width="13.42578125" style="572" bestFit="1" customWidth="1"/>
    <col min="13326" max="13336" width="10.5703125" style="572" bestFit="1" customWidth="1"/>
    <col min="13337" max="13337" width="13.5703125" style="572" customWidth="1"/>
    <col min="13338" max="13338" width="16.5703125" style="572" customWidth="1"/>
    <col min="13339" max="13339" width="14.42578125" style="572" customWidth="1"/>
    <col min="13340" max="13340" width="13.28515625" style="572" bestFit="1" customWidth="1"/>
    <col min="13341" max="13341" width="13.42578125" style="572" bestFit="1" customWidth="1"/>
    <col min="13342" max="13342" width="13" style="572" customWidth="1"/>
    <col min="13343" max="13343" width="11.5703125" style="572" customWidth="1"/>
    <col min="13344" max="13344" width="13.140625" style="572" customWidth="1"/>
    <col min="13345" max="13346" width="11.5703125" style="572" customWidth="1"/>
    <col min="13347" max="13347" width="12.42578125" style="572" customWidth="1"/>
    <col min="13348" max="13348" width="13.5703125" style="572" customWidth="1"/>
    <col min="13349" max="13349" width="13.140625" style="572" bestFit="1" customWidth="1"/>
    <col min="13350" max="13350" width="18.85546875" style="572" customWidth="1"/>
    <col min="13351" max="13352" width="14.140625" style="572" customWidth="1"/>
    <col min="13353" max="13353" width="13.85546875" style="572" customWidth="1"/>
    <col min="13354" max="13354" width="14.140625" style="572" customWidth="1"/>
    <col min="13355" max="13355" width="13.7109375" style="572" customWidth="1"/>
    <col min="13356" max="13356" width="17.140625" style="572" customWidth="1"/>
    <col min="13357" max="13357" width="15.42578125" style="572" customWidth="1"/>
    <col min="13358" max="13358" width="18" style="572" customWidth="1"/>
    <col min="13359" max="13359" width="13.7109375" style="572" bestFit="1" customWidth="1"/>
    <col min="13360" max="13360" width="14.140625" style="572" bestFit="1" customWidth="1"/>
    <col min="13361" max="13361" width="14" style="572" bestFit="1" customWidth="1"/>
    <col min="13362" max="13362" width="14.85546875" style="572" bestFit="1" customWidth="1"/>
    <col min="13363" max="13363" width="15.7109375" style="572" customWidth="1"/>
    <col min="13364" max="13364" width="5.85546875" style="572" customWidth="1"/>
    <col min="13365" max="13365" width="9.28515625" style="572" customWidth="1"/>
    <col min="13366" max="13366" width="14.85546875" style="572" customWidth="1"/>
    <col min="13367" max="13367" width="12.85546875" style="572" bestFit="1" customWidth="1"/>
    <col min="13368" max="13368" width="12.85546875" style="572" customWidth="1"/>
    <col min="13369" max="13386" width="8.85546875" style="572" customWidth="1"/>
    <col min="13387" max="13387" width="30.28515625" style="572" bestFit="1" customWidth="1"/>
    <col min="13388" max="13388" width="20.7109375" style="572" customWidth="1"/>
    <col min="13389" max="13389" width="13.42578125" style="572" customWidth="1"/>
    <col min="13390" max="13390" width="8.85546875" style="572" customWidth="1"/>
    <col min="13391" max="13391" width="11.7109375" style="572" bestFit="1" customWidth="1"/>
    <col min="13392" max="13559" width="8.85546875" style="572" customWidth="1"/>
    <col min="13560" max="13560" width="29.7109375" style="572" customWidth="1"/>
    <col min="13561" max="13563" width="14.28515625" style="572" customWidth="1"/>
    <col min="13564" max="13564" width="2.7109375" style="572" customWidth="1"/>
    <col min="13565" max="13568" width="14.28515625" style="572"/>
    <col min="13569" max="13569" width="9.28515625" style="572" bestFit="1" customWidth="1"/>
    <col min="13570" max="13570" width="48.140625" style="572" customWidth="1"/>
    <col min="13571" max="13571" width="15.85546875" style="572" bestFit="1" customWidth="1"/>
    <col min="13572" max="13572" width="14.85546875" style="572" bestFit="1" customWidth="1"/>
    <col min="13573" max="13573" width="14.7109375" style="572" bestFit="1" customWidth="1"/>
    <col min="13574" max="13574" width="2.7109375" style="572" customWidth="1"/>
    <col min="13575" max="13575" width="15.85546875" style="572" bestFit="1" customWidth="1"/>
    <col min="13576" max="13577" width="14.5703125" style="572" bestFit="1" customWidth="1"/>
    <col min="13578" max="13578" width="2.7109375" style="572" customWidth="1"/>
    <col min="13579" max="13579" width="15.7109375" style="572" bestFit="1" customWidth="1"/>
    <col min="13580" max="13580" width="13.7109375" style="572" bestFit="1" customWidth="1"/>
    <col min="13581" max="13581" width="13.42578125" style="572" bestFit="1" customWidth="1"/>
    <col min="13582" max="13592" width="10.5703125" style="572" bestFit="1" customWidth="1"/>
    <col min="13593" max="13593" width="13.5703125" style="572" customWidth="1"/>
    <col min="13594" max="13594" width="16.5703125" style="572" customWidth="1"/>
    <col min="13595" max="13595" width="14.42578125" style="572" customWidth="1"/>
    <col min="13596" max="13596" width="13.28515625" style="572" bestFit="1" customWidth="1"/>
    <col min="13597" max="13597" width="13.42578125" style="572" bestFit="1" customWidth="1"/>
    <col min="13598" max="13598" width="13" style="572" customWidth="1"/>
    <col min="13599" max="13599" width="11.5703125" style="572" customWidth="1"/>
    <col min="13600" max="13600" width="13.140625" style="572" customWidth="1"/>
    <col min="13601" max="13602" width="11.5703125" style="572" customWidth="1"/>
    <col min="13603" max="13603" width="12.42578125" style="572" customWidth="1"/>
    <col min="13604" max="13604" width="13.5703125" style="572" customWidth="1"/>
    <col min="13605" max="13605" width="13.140625" style="572" bestFit="1" customWidth="1"/>
    <col min="13606" max="13606" width="18.85546875" style="572" customWidth="1"/>
    <col min="13607" max="13608" width="14.140625" style="572" customWidth="1"/>
    <col min="13609" max="13609" width="13.85546875" style="572" customWidth="1"/>
    <col min="13610" max="13610" width="14.140625" style="572" customWidth="1"/>
    <col min="13611" max="13611" width="13.7109375" style="572" customWidth="1"/>
    <col min="13612" max="13612" width="17.140625" style="572" customWidth="1"/>
    <col min="13613" max="13613" width="15.42578125" style="572" customWidth="1"/>
    <col min="13614" max="13614" width="18" style="572" customWidth="1"/>
    <col min="13615" max="13615" width="13.7109375" style="572" bestFit="1" customWidth="1"/>
    <col min="13616" max="13616" width="14.140625" style="572" bestFit="1" customWidth="1"/>
    <col min="13617" max="13617" width="14" style="572" bestFit="1" customWidth="1"/>
    <col min="13618" max="13618" width="14.85546875" style="572" bestFit="1" customWidth="1"/>
    <col min="13619" max="13619" width="15.7109375" style="572" customWidth="1"/>
    <col min="13620" max="13620" width="5.85546875" style="572" customWidth="1"/>
    <col min="13621" max="13621" width="9.28515625" style="572" customWidth="1"/>
    <col min="13622" max="13622" width="14.85546875" style="572" customWidth="1"/>
    <col min="13623" max="13623" width="12.85546875" style="572" bestFit="1" customWidth="1"/>
    <col min="13624" max="13624" width="12.85546875" style="572" customWidth="1"/>
    <col min="13625" max="13642" width="8.85546875" style="572" customWidth="1"/>
    <col min="13643" max="13643" width="30.28515625" style="572" bestFit="1" customWidth="1"/>
    <col min="13644" max="13644" width="20.7109375" style="572" customWidth="1"/>
    <col min="13645" max="13645" width="13.42578125" style="572" customWidth="1"/>
    <col min="13646" max="13646" width="8.85546875" style="572" customWidth="1"/>
    <col min="13647" max="13647" width="11.7109375" style="572" bestFit="1" customWidth="1"/>
    <col min="13648" max="13815" width="8.85546875" style="572" customWidth="1"/>
    <col min="13816" max="13816" width="29.7109375" style="572" customWidth="1"/>
    <col min="13817" max="13819" width="14.28515625" style="572" customWidth="1"/>
    <col min="13820" max="13820" width="2.7109375" style="572" customWidth="1"/>
    <col min="13821" max="13824" width="14.28515625" style="572"/>
    <col min="13825" max="13825" width="9.28515625" style="572" bestFit="1" customWidth="1"/>
    <col min="13826" max="13826" width="48.140625" style="572" customWidth="1"/>
    <col min="13827" max="13827" width="15.85546875" style="572" bestFit="1" customWidth="1"/>
    <col min="13828" max="13828" width="14.85546875" style="572" bestFit="1" customWidth="1"/>
    <col min="13829" max="13829" width="14.7109375" style="572" bestFit="1" customWidth="1"/>
    <col min="13830" max="13830" width="2.7109375" style="572" customWidth="1"/>
    <col min="13831" max="13831" width="15.85546875" style="572" bestFit="1" customWidth="1"/>
    <col min="13832" max="13833" width="14.5703125" style="572" bestFit="1" customWidth="1"/>
    <col min="13834" max="13834" width="2.7109375" style="572" customWidth="1"/>
    <col min="13835" max="13835" width="15.7109375" style="572" bestFit="1" customWidth="1"/>
    <col min="13836" max="13836" width="13.7109375" style="572" bestFit="1" customWidth="1"/>
    <col min="13837" max="13837" width="13.42578125" style="572" bestFit="1" customWidth="1"/>
    <col min="13838" max="13848" width="10.5703125" style="572" bestFit="1" customWidth="1"/>
    <col min="13849" max="13849" width="13.5703125" style="572" customWidth="1"/>
    <col min="13850" max="13850" width="16.5703125" style="572" customWidth="1"/>
    <col min="13851" max="13851" width="14.42578125" style="572" customWidth="1"/>
    <col min="13852" max="13852" width="13.28515625" style="572" bestFit="1" customWidth="1"/>
    <col min="13853" max="13853" width="13.42578125" style="572" bestFit="1" customWidth="1"/>
    <col min="13854" max="13854" width="13" style="572" customWidth="1"/>
    <col min="13855" max="13855" width="11.5703125" style="572" customWidth="1"/>
    <col min="13856" max="13856" width="13.140625" style="572" customWidth="1"/>
    <col min="13857" max="13858" width="11.5703125" style="572" customWidth="1"/>
    <col min="13859" max="13859" width="12.42578125" style="572" customWidth="1"/>
    <col min="13860" max="13860" width="13.5703125" style="572" customWidth="1"/>
    <col min="13861" max="13861" width="13.140625" style="572" bestFit="1" customWidth="1"/>
    <col min="13862" max="13862" width="18.85546875" style="572" customWidth="1"/>
    <col min="13863" max="13864" width="14.140625" style="572" customWidth="1"/>
    <col min="13865" max="13865" width="13.85546875" style="572" customWidth="1"/>
    <col min="13866" max="13866" width="14.140625" style="572" customWidth="1"/>
    <col min="13867" max="13867" width="13.7109375" style="572" customWidth="1"/>
    <col min="13868" max="13868" width="17.140625" style="572" customWidth="1"/>
    <col min="13869" max="13869" width="15.42578125" style="572" customWidth="1"/>
    <col min="13870" max="13870" width="18" style="572" customWidth="1"/>
    <col min="13871" max="13871" width="13.7109375" style="572" bestFit="1" customWidth="1"/>
    <col min="13872" max="13872" width="14.140625" style="572" bestFit="1" customWidth="1"/>
    <col min="13873" max="13873" width="14" style="572" bestFit="1" customWidth="1"/>
    <col min="13874" max="13874" width="14.85546875" style="572" bestFit="1" customWidth="1"/>
    <col min="13875" max="13875" width="15.7109375" style="572" customWidth="1"/>
    <col min="13876" max="13876" width="5.85546875" style="572" customWidth="1"/>
    <col min="13877" max="13877" width="9.28515625" style="572" customWidth="1"/>
    <col min="13878" max="13878" width="14.85546875" style="572" customWidth="1"/>
    <col min="13879" max="13879" width="12.85546875" style="572" bestFit="1" customWidth="1"/>
    <col min="13880" max="13880" width="12.85546875" style="572" customWidth="1"/>
    <col min="13881" max="13898" width="8.85546875" style="572" customWidth="1"/>
    <col min="13899" max="13899" width="30.28515625" style="572" bestFit="1" customWidth="1"/>
    <col min="13900" max="13900" width="20.7109375" style="572" customWidth="1"/>
    <col min="13901" max="13901" width="13.42578125" style="572" customWidth="1"/>
    <col min="13902" max="13902" width="8.85546875" style="572" customWidth="1"/>
    <col min="13903" max="13903" width="11.7109375" style="572" bestFit="1" customWidth="1"/>
    <col min="13904" max="14071" width="8.85546875" style="572" customWidth="1"/>
    <col min="14072" max="14072" width="29.7109375" style="572" customWidth="1"/>
    <col min="14073" max="14075" width="14.28515625" style="572" customWidth="1"/>
    <col min="14076" max="14076" width="2.7109375" style="572" customWidth="1"/>
    <col min="14077" max="14080" width="14.28515625" style="572"/>
    <col min="14081" max="14081" width="9.28515625" style="572" bestFit="1" customWidth="1"/>
    <col min="14082" max="14082" width="48.140625" style="572" customWidth="1"/>
    <col min="14083" max="14083" width="15.85546875" style="572" bestFit="1" customWidth="1"/>
    <col min="14084" max="14084" width="14.85546875" style="572" bestFit="1" customWidth="1"/>
    <col min="14085" max="14085" width="14.7109375" style="572" bestFit="1" customWidth="1"/>
    <col min="14086" max="14086" width="2.7109375" style="572" customWidth="1"/>
    <col min="14087" max="14087" width="15.85546875" style="572" bestFit="1" customWidth="1"/>
    <col min="14088" max="14089" width="14.5703125" style="572" bestFit="1" customWidth="1"/>
    <col min="14090" max="14090" width="2.7109375" style="572" customWidth="1"/>
    <col min="14091" max="14091" width="15.7109375" style="572" bestFit="1" customWidth="1"/>
    <col min="14092" max="14092" width="13.7109375" style="572" bestFit="1" customWidth="1"/>
    <col min="14093" max="14093" width="13.42578125" style="572" bestFit="1" customWidth="1"/>
    <col min="14094" max="14104" width="10.5703125" style="572" bestFit="1" customWidth="1"/>
    <col min="14105" max="14105" width="13.5703125" style="572" customWidth="1"/>
    <col min="14106" max="14106" width="16.5703125" style="572" customWidth="1"/>
    <col min="14107" max="14107" width="14.42578125" style="572" customWidth="1"/>
    <col min="14108" max="14108" width="13.28515625" style="572" bestFit="1" customWidth="1"/>
    <col min="14109" max="14109" width="13.42578125" style="572" bestFit="1" customWidth="1"/>
    <col min="14110" max="14110" width="13" style="572" customWidth="1"/>
    <col min="14111" max="14111" width="11.5703125" style="572" customWidth="1"/>
    <col min="14112" max="14112" width="13.140625" style="572" customWidth="1"/>
    <col min="14113" max="14114" width="11.5703125" style="572" customWidth="1"/>
    <col min="14115" max="14115" width="12.42578125" style="572" customWidth="1"/>
    <col min="14116" max="14116" width="13.5703125" style="572" customWidth="1"/>
    <col min="14117" max="14117" width="13.140625" style="572" bestFit="1" customWidth="1"/>
    <col min="14118" max="14118" width="18.85546875" style="572" customWidth="1"/>
    <col min="14119" max="14120" width="14.140625" style="572" customWidth="1"/>
    <col min="14121" max="14121" width="13.85546875" style="572" customWidth="1"/>
    <col min="14122" max="14122" width="14.140625" style="572" customWidth="1"/>
    <col min="14123" max="14123" width="13.7109375" style="572" customWidth="1"/>
    <col min="14124" max="14124" width="17.140625" style="572" customWidth="1"/>
    <col min="14125" max="14125" width="15.42578125" style="572" customWidth="1"/>
    <col min="14126" max="14126" width="18" style="572" customWidth="1"/>
    <col min="14127" max="14127" width="13.7109375" style="572" bestFit="1" customWidth="1"/>
    <col min="14128" max="14128" width="14.140625" style="572" bestFit="1" customWidth="1"/>
    <col min="14129" max="14129" width="14" style="572" bestFit="1" customWidth="1"/>
    <col min="14130" max="14130" width="14.85546875" style="572" bestFit="1" customWidth="1"/>
    <col min="14131" max="14131" width="15.7109375" style="572" customWidth="1"/>
    <col min="14132" max="14132" width="5.85546875" style="572" customWidth="1"/>
    <col min="14133" max="14133" width="9.28515625" style="572" customWidth="1"/>
    <col min="14134" max="14134" width="14.85546875" style="572" customWidth="1"/>
    <col min="14135" max="14135" width="12.85546875" style="572" bestFit="1" customWidth="1"/>
    <col min="14136" max="14136" width="12.85546875" style="572" customWidth="1"/>
    <col min="14137" max="14154" width="8.85546875" style="572" customWidth="1"/>
    <col min="14155" max="14155" width="30.28515625" style="572" bestFit="1" customWidth="1"/>
    <col min="14156" max="14156" width="20.7109375" style="572" customWidth="1"/>
    <col min="14157" max="14157" width="13.42578125" style="572" customWidth="1"/>
    <col min="14158" max="14158" width="8.85546875" style="572" customWidth="1"/>
    <col min="14159" max="14159" width="11.7109375" style="572" bestFit="1" customWidth="1"/>
    <col min="14160" max="14327" width="8.85546875" style="572" customWidth="1"/>
    <col min="14328" max="14328" width="29.7109375" style="572" customWidth="1"/>
    <col min="14329" max="14331" width="14.28515625" style="572" customWidth="1"/>
    <col min="14332" max="14332" width="2.7109375" style="572" customWidth="1"/>
    <col min="14333" max="14336" width="14.28515625" style="572"/>
    <col min="14337" max="14337" width="9.28515625" style="572" bestFit="1" customWidth="1"/>
    <col min="14338" max="14338" width="48.140625" style="572" customWidth="1"/>
    <col min="14339" max="14339" width="15.85546875" style="572" bestFit="1" customWidth="1"/>
    <col min="14340" max="14340" width="14.85546875" style="572" bestFit="1" customWidth="1"/>
    <col min="14341" max="14341" width="14.7109375" style="572" bestFit="1" customWidth="1"/>
    <col min="14342" max="14342" width="2.7109375" style="572" customWidth="1"/>
    <col min="14343" max="14343" width="15.85546875" style="572" bestFit="1" customWidth="1"/>
    <col min="14344" max="14345" width="14.5703125" style="572" bestFit="1" customWidth="1"/>
    <col min="14346" max="14346" width="2.7109375" style="572" customWidth="1"/>
    <col min="14347" max="14347" width="15.7109375" style="572" bestFit="1" customWidth="1"/>
    <col min="14348" max="14348" width="13.7109375" style="572" bestFit="1" customWidth="1"/>
    <col min="14349" max="14349" width="13.42578125" style="572" bestFit="1" customWidth="1"/>
    <col min="14350" max="14360" width="10.5703125" style="572" bestFit="1" customWidth="1"/>
    <col min="14361" max="14361" width="13.5703125" style="572" customWidth="1"/>
    <col min="14362" max="14362" width="16.5703125" style="572" customWidth="1"/>
    <col min="14363" max="14363" width="14.42578125" style="572" customWidth="1"/>
    <col min="14364" max="14364" width="13.28515625" style="572" bestFit="1" customWidth="1"/>
    <col min="14365" max="14365" width="13.42578125" style="572" bestFit="1" customWidth="1"/>
    <col min="14366" max="14366" width="13" style="572" customWidth="1"/>
    <col min="14367" max="14367" width="11.5703125" style="572" customWidth="1"/>
    <col min="14368" max="14368" width="13.140625" style="572" customWidth="1"/>
    <col min="14369" max="14370" width="11.5703125" style="572" customWidth="1"/>
    <col min="14371" max="14371" width="12.42578125" style="572" customWidth="1"/>
    <col min="14372" max="14372" width="13.5703125" style="572" customWidth="1"/>
    <col min="14373" max="14373" width="13.140625" style="572" bestFit="1" customWidth="1"/>
    <col min="14374" max="14374" width="18.85546875" style="572" customWidth="1"/>
    <col min="14375" max="14376" width="14.140625" style="572" customWidth="1"/>
    <col min="14377" max="14377" width="13.85546875" style="572" customWidth="1"/>
    <col min="14378" max="14378" width="14.140625" style="572" customWidth="1"/>
    <col min="14379" max="14379" width="13.7109375" style="572" customWidth="1"/>
    <col min="14380" max="14380" width="17.140625" style="572" customWidth="1"/>
    <col min="14381" max="14381" width="15.42578125" style="572" customWidth="1"/>
    <col min="14382" max="14382" width="18" style="572" customWidth="1"/>
    <col min="14383" max="14383" width="13.7109375" style="572" bestFit="1" customWidth="1"/>
    <col min="14384" max="14384" width="14.140625" style="572" bestFit="1" customWidth="1"/>
    <col min="14385" max="14385" width="14" style="572" bestFit="1" customWidth="1"/>
    <col min="14386" max="14386" width="14.85546875" style="572" bestFit="1" customWidth="1"/>
    <col min="14387" max="14387" width="15.7109375" style="572" customWidth="1"/>
    <col min="14388" max="14388" width="5.85546875" style="572" customWidth="1"/>
    <col min="14389" max="14389" width="9.28515625" style="572" customWidth="1"/>
    <col min="14390" max="14390" width="14.85546875" style="572" customWidth="1"/>
    <col min="14391" max="14391" width="12.85546875" style="572" bestFit="1" customWidth="1"/>
    <col min="14392" max="14392" width="12.85546875" style="572" customWidth="1"/>
    <col min="14393" max="14410" width="8.85546875" style="572" customWidth="1"/>
    <col min="14411" max="14411" width="30.28515625" style="572" bestFit="1" customWidth="1"/>
    <col min="14412" max="14412" width="20.7109375" style="572" customWidth="1"/>
    <col min="14413" max="14413" width="13.42578125" style="572" customWidth="1"/>
    <col min="14414" max="14414" width="8.85546875" style="572" customWidth="1"/>
    <col min="14415" max="14415" width="11.7109375" style="572" bestFit="1" customWidth="1"/>
    <col min="14416" max="14583" width="8.85546875" style="572" customWidth="1"/>
    <col min="14584" max="14584" width="29.7109375" style="572" customWidth="1"/>
    <col min="14585" max="14587" width="14.28515625" style="572" customWidth="1"/>
    <col min="14588" max="14588" width="2.7109375" style="572" customWidth="1"/>
    <col min="14589" max="14592" width="14.28515625" style="572"/>
    <col min="14593" max="14593" width="9.28515625" style="572" bestFit="1" customWidth="1"/>
    <col min="14594" max="14594" width="48.140625" style="572" customWidth="1"/>
    <col min="14595" max="14595" width="15.85546875" style="572" bestFit="1" customWidth="1"/>
    <col min="14596" max="14596" width="14.85546875" style="572" bestFit="1" customWidth="1"/>
    <col min="14597" max="14597" width="14.7109375" style="572" bestFit="1" customWidth="1"/>
    <col min="14598" max="14598" width="2.7109375" style="572" customWidth="1"/>
    <col min="14599" max="14599" width="15.85546875" style="572" bestFit="1" customWidth="1"/>
    <col min="14600" max="14601" width="14.5703125" style="572" bestFit="1" customWidth="1"/>
    <col min="14602" max="14602" width="2.7109375" style="572" customWidth="1"/>
    <col min="14603" max="14603" width="15.7109375" style="572" bestFit="1" customWidth="1"/>
    <col min="14604" max="14604" width="13.7109375" style="572" bestFit="1" customWidth="1"/>
    <col min="14605" max="14605" width="13.42578125" style="572" bestFit="1" customWidth="1"/>
    <col min="14606" max="14616" width="10.5703125" style="572" bestFit="1" customWidth="1"/>
    <col min="14617" max="14617" width="13.5703125" style="572" customWidth="1"/>
    <col min="14618" max="14618" width="16.5703125" style="572" customWidth="1"/>
    <col min="14619" max="14619" width="14.42578125" style="572" customWidth="1"/>
    <col min="14620" max="14620" width="13.28515625" style="572" bestFit="1" customWidth="1"/>
    <col min="14621" max="14621" width="13.42578125" style="572" bestFit="1" customWidth="1"/>
    <col min="14622" max="14622" width="13" style="572" customWidth="1"/>
    <col min="14623" max="14623" width="11.5703125" style="572" customWidth="1"/>
    <col min="14624" max="14624" width="13.140625" style="572" customWidth="1"/>
    <col min="14625" max="14626" width="11.5703125" style="572" customWidth="1"/>
    <col min="14627" max="14627" width="12.42578125" style="572" customWidth="1"/>
    <col min="14628" max="14628" width="13.5703125" style="572" customWidth="1"/>
    <col min="14629" max="14629" width="13.140625" style="572" bestFit="1" customWidth="1"/>
    <col min="14630" max="14630" width="18.85546875" style="572" customWidth="1"/>
    <col min="14631" max="14632" width="14.140625" style="572" customWidth="1"/>
    <col min="14633" max="14633" width="13.85546875" style="572" customWidth="1"/>
    <col min="14634" max="14634" width="14.140625" style="572" customWidth="1"/>
    <col min="14635" max="14635" width="13.7109375" style="572" customWidth="1"/>
    <col min="14636" max="14636" width="17.140625" style="572" customWidth="1"/>
    <col min="14637" max="14637" width="15.42578125" style="572" customWidth="1"/>
    <col min="14638" max="14638" width="18" style="572" customWidth="1"/>
    <col min="14639" max="14639" width="13.7109375" style="572" bestFit="1" customWidth="1"/>
    <col min="14640" max="14640" width="14.140625" style="572" bestFit="1" customWidth="1"/>
    <col min="14641" max="14641" width="14" style="572" bestFit="1" customWidth="1"/>
    <col min="14642" max="14642" width="14.85546875" style="572" bestFit="1" customWidth="1"/>
    <col min="14643" max="14643" width="15.7109375" style="572" customWidth="1"/>
    <col min="14644" max="14644" width="5.85546875" style="572" customWidth="1"/>
    <col min="14645" max="14645" width="9.28515625" style="572" customWidth="1"/>
    <col min="14646" max="14646" width="14.85546875" style="572" customWidth="1"/>
    <col min="14647" max="14647" width="12.85546875" style="572" bestFit="1" customWidth="1"/>
    <col min="14648" max="14648" width="12.85546875" style="572" customWidth="1"/>
    <col min="14649" max="14666" width="8.85546875" style="572" customWidth="1"/>
    <col min="14667" max="14667" width="30.28515625" style="572" bestFit="1" customWidth="1"/>
    <col min="14668" max="14668" width="20.7109375" style="572" customWidth="1"/>
    <col min="14669" max="14669" width="13.42578125" style="572" customWidth="1"/>
    <col min="14670" max="14670" width="8.85546875" style="572" customWidth="1"/>
    <col min="14671" max="14671" width="11.7109375" style="572" bestFit="1" customWidth="1"/>
    <col min="14672" max="14839" width="8.85546875" style="572" customWidth="1"/>
    <col min="14840" max="14840" width="29.7109375" style="572" customWidth="1"/>
    <col min="14841" max="14843" width="14.28515625" style="572" customWidth="1"/>
    <col min="14844" max="14844" width="2.7109375" style="572" customWidth="1"/>
    <col min="14845" max="14848" width="14.28515625" style="572"/>
    <col min="14849" max="14849" width="9.28515625" style="572" bestFit="1" customWidth="1"/>
    <col min="14850" max="14850" width="48.140625" style="572" customWidth="1"/>
    <col min="14851" max="14851" width="15.85546875" style="572" bestFit="1" customWidth="1"/>
    <col min="14852" max="14852" width="14.85546875" style="572" bestFit="1" customWidth="1"/>
    <col min="14853" max="14853" width="14.7109375" style="572" bestFit="1" customWidth="1"/>
    <col min="14854" max="14854" width="2.7109375" style="572" customWidth="1"/>
    <col min="14855" max="14855" width="15.85546875" style="572" bestFit="1" customWidth="1"/>
    <col min="14856" max="14857" width="14.5703125" style="572" bestFit="1" customWidth="1"/>
    <col min="14858" max="14858" width="2.7109375" style="572" customWidth="1"/>
    <col min="14859" max="14859" width="15.7109375" style="572" bestFit="1" customWidth="1"/>
    <col min="14860" max="14860" width="13.7109375" style="572" bestFit="1" customWidth="1"/>
    <col min="14861" max="14861" width="13.42578125" style="572" bestFit="1" customWidth="1"/>
    <col min="14862" max="14872" width="10.5703125" style="572" bestFit="1" customWidth="1"/>
    <col min="14873" max="14873" width="13.5703125" style="572" customWidth="1"/>
    <col min="14874" max="14874" width="16.5703125" style="572" customWidth="1"/>
    <col min="14875" max="14875" width="14.42578125" style="572" customWidth="1"/>
    <col min="14876" max="14876" width="13.28515625" style="572" bestFit="1" customWidth="1"/>
    <col min="14877" max="14877" width="13.42578125" style="572" bestFit="1" customWidth="1"/>
    <col min="14878" max="14878" width="13" style="572" customWidth="1"/>
    <col min="14879" max="14879" width="11.5703125" style="572" customWidth="1"/>
    <col min="14880" max="14880" width="13.140625" style="572" customWidth="1"/>
    <col min="14881" max="14882" width="11.5703125" style="572" customWidth="1"/>
    <col min="14883" max="14883" width="12.42578125" style="572" customWidth="1"/>
    <col min="14884" max="14884" width="13.5703125" style="572" customWidth="1"/>
    <col min="14885" max="14885" width="13.140625" style="572" bestFit="1" customWidth="1"/>
    <col min="14886" max="14886" width="18.85546875" style="572" customWidth="1"/>
    <col min="14887" max="14888" width="14.140625" style="572" customWidth="1"/>
    <col min="14889" max="14889" width="13.85546875" style="572" customWidth="1"/>
    <col min="14890" max="14890" width="14.140625" style="572" customWidth="1"/>
    <col min="14891" max="14891" width="13.7109375" style="572" customWidth="1"/>
    <col min="14892" max="14892" width="17.140625" style="572" customWidth="1"/>
    <col min="14893" max="14893" width="15.42578125" style="572" customWidth="1"/>
    <col min="14894" max="14894" width="18" style="572" customWidth="1"/>
    <col min="14895" max="14895" width="13.7109375" style="572" bestFit="1" customWidth="1"/>
    <col min="14896" max="14896" width="14.140625" style="572" bestFit="1" customWidth="1"/>
    <col min="14897" max="14897" width="14" style="572" bestFit="1" customWidth="1"/>
    <col min="14898" max="14898" width="14.85546875" style="572" bestFit="1" customWidth="1"/>
    <col min="14899" max="14899" width="15.7109375" style="572" customWidth="1"/>
    <col min="14900" max="14900" width="5.85546875" style="572" customWidth="1"/>
    <col min="14901" max="14901" width="9.28515625" style="572" customWidth="1"/>
    <col min="14902" max="14902" width="14.85546875" style="572" customWidth="1"/>
    <col min="14903" max="14903" width="12.85546875" style="572" bestFit="1" customWidth="1"/>
    <col min="14904" max="14904" width="12.85546875" style="572" customWidth="1"/>
    <col min="14905" max="14922" width="8.85546875" style="572" customWidth="1"/>
    <col min="14923" max="14923" width="30.28515625" style="572" bestFit="1" customWidth="1"/>
    <col min="14924" max="14924" width="20.7109375" style="572" customWidth="1"/>
    <col min="14925" max="14925" width="13.42578125" style="572" customWidth="1"/>
    <col min="14926" max="14926" width="8.85546875" style="572" customWidth="1"/>
    <col min="14927" max="14927" width="11.7109375" style="572" bestFit="1" customWidth="1"/>
    <col min="14928" max="15095" width="8.85546875" style="572" customWidth="1"/>
    <col min="15096" max="15096" width="29.7109375" style="572" customWidth="1"/>
    <col min="15097" max="15099" width="14.28515625" style="572" customWidth="1"/>
    <col min="15100" max="15100" width="2.7109375" style="572" customWidth="1"/>
    <col min="15101" max="15104" width="14.28515625" style="572"/>
    <col min="15105" max="15105" width="9.28515625" style="572" bestFit="1" customWidth="1"/>
    <col min="15106" max="15106" width="48.140625" style="572" customWidth="1"/>
    <col min="15107" max="15107" width="15.85546875" style="572" bestFit="1" customWidth="1"/>
    <col min="15108" max="15108" width="14.85546875" style="572" bestFit="1" customWidth="1"/>
    <col min="15109" max="15109" width="14.7109375" style="572" bestFit="1" customWidth="1"/>
    <col min="15110" max="15110" width="2.7109375" style="572" customWidth="1"/>
    <col min="15111" max="15111" width="15.85546875" style="572" bestFit="1" customWidth="1"/>
    <col min="15112" max="15113" width="14.5703125" style="572" bestFit="1" customWidth="1"/>
    <col min="15114" max="15114" width="2.7109375" style="572" customWidth="1"/>
    <col min="15115" max="15115" width="15.7109375" style="572" bestFit="1" customWidth="1"/>
    <col min="15116" max="15116" width="13.7109375" style="572" bestFit="1" customWidth="1"/>
    <col min="15117" max="15117" width="13.42578125" style="572" bestFit="1" customWidth="1"/>
    <col min="15118" max="15128" width="10.5703125" style="572" bestFit="1" customWidth="1"/>
    <col min="15129" max="15129" width="13.5703125" style="572" customWidth="1"/>
    <col min="15130" max="15130" width="16.5703125" style="572" customWidth="1"/>
    <col min="15131" max="15131" width="14.42578125" style="572" customWidth="1"/>
    <col min="15132" max="15132" width="13.28515625" style="572" bestFit="1" customWidth="1"/>
    <col min="15133" max="15133" width="13.42578125" style="572" bestFit="1" customWidth="1"/>
    <col min="15134" max="15134" width="13" style="572" customWidth="1"/>
    <col min="15135" max="15135" width="11.5703125" style="572" customWidth="1"/>
    <col min="15136" max="15136" width="13.140625" style="572" customWidth="1"/>
    <col min="15137" max="15138" width="11.5703125" style="572" customWidth="1"/>
    <col min="15139" max="15139" width="12.42578125" style="572" customWidth="1"/>
    <col min="15140" max="15140" width="13.5703125" style="572" customWidth="1"/>
    <col min="15141" max="15141" width="13.140625" style="572" bestFit="1" customWidth="1"/>
    <col min="15142" max="15142" width="18.85546875" style="572" customWidth="1"/>
    <col min="15143" max="15144" width="14.140625" style="572" customWidth="1"/>
    <col min="15145" max="15145" width="13.85546875" style="572" customWidth="1"/>
    <col min="15146" max="15146" width="14.140625" style="572" customWidth="1"/>
    <col min="15147" max="15147" width="13.7109375" style="572" customWidth="1"/>
    <col min="15148" max="15148" width="17.140625" style="572" customWidth="1"/>
    <col min="15149" max="15149" width="15.42578125" style="572" customWidth="1"/>
    <col min="15150" max="15150" width="18" style="572" customWidth="1"/>
    <col min="15151" max="15151" width="13.7109375" style="572" bestFit="1" customWidth="1"/>
    <col min="15152" max="15152" width="14.140625" style="572" bestFit="1" customWidth="1"/>
    <col min="15153" max="15153" width="14" style="572" bestFit="1" customWidth="1"/>
    <col min="15154" max="15154" width="14.85546875" style="572" bestFit="1" customWidth="1"/>
    <col min="15155" max="15155" width="15.7109375" style="572" customWidth="1"/>
    <col min="15156" max="15156" width="5.85546875" style="572" customWidth="1"/>
    <col min="15157" max="15157" width="9.28515625" style="572" customWidth="1"/>
    <col min="15158" max="15158" width="14.85546875" style="572" customWidth="1"/>
    <col min="15159" max="15159" width="12.85546875" style="572" bestFit="1" customWidth="1"/>
    <col min="15160" max="15160" width="12.85546875" style="572" customWidth="1"/>
    <col min="15161" max="15178" width="8.85546875" style="572" customWidth="1"/>
    <col min="15179" max="15179" width="30.28515625" style="572" bestFit="1" customWidth="1"/>
    <col min="15180" max="15180" width="20.7109375" style="572" customWidth="1"/>
    <col min="15181" max="15181" width="13.42578125" style="572" customWidth="1"/>
    <col min="15182" max="15182" width="8.85546875" style="572" customWidth="1"/>
    <col min="15183" max="15183" width="11.7109375" style="572" bestFit="1" customWidth="1"/>
    <col min="15184" max="15351" width="8.85546875" style="572" customWidth="1"/>
    <col min="15352" max="15352" width="29.7109375" style="572" customWidth="1"/>
    <col min="15353" max="15355" width="14.28515625" style="572" customWidth="1"/>
    <col min="15356" max="15356" width="2.7109375" style="572" customWidth="1"/>
    <col min="15357" max="15360" width="14.28515625" style="572"/>
    <col min="15361" max="15361" width="9.28515625" style="572" bestFit="1" customWidth="1"/>
    <col min="15362" max="15362" width="48.140625" style="572" customWidth="1"/>
    <col min="15363" max="15363" width="15.85546875" style="572" bestFit="1" customWidth="1"/>
    <col min="15364" max="15364" width="14.85546875" style="572" bestFit="1" customWidth="1"/>
    <col min="15365" max="15365" width="14.7109375" style="572" bestFit="1" customWidth="1"/>
    <col min="15366" max="15366" width="2.7109375" style="572" customWidth="1"/>
    <col min="15367" max="15367" width="15.85546875" style="572" bestFit="1" customWidth="1"/>
    <col min="15368" max="15369" width="14.5703125" style="572" bestFit="1" customWidth="1"/>
    <col min="15370" max="15370" width="2.7109375" style="572" customWidth="1"/>
    <col min="15371" max="15371" width="15.7109375" style="572" bestFit="1" customWidth="1"/>
    <col min="15372" max="15372" width="13.7109375" style="572" bestFit="1" customWidth="1"/>
    <col min="15373" max="15373" width="13.42578125" style="572" bestFit="1" customWidth="1"/>
    <col min="15374" max="15384" width="10.5703125" style="572" bestFit="1" customWidth="1"/>
    <col min="15385" max="15385" width="13.5703125" style="572" customWidth="1"/>
    <col min="15386" max="15386" width="16.5703125" style="572" customWidth="1"/>
    <col min="15387" max="15387" width="14.42578125" style="572" customWidth="1"/>
    <col min="15388" max="15388" width="13.28515625" style="572" bestFit="1" customWidth="1"/>
    <col min="15389" max="15389" width="13.42578125" style="572" bestFit="1" customWidth="1"/>
    <col min="15390" max="15390" width="13" style="572" customWidth="1"/>
    <col min="15391" max="15391" width="11.5703125" style="572" customWidth="1"/>
    <col min="15392" max="15392" width="13.140625" style="572" customWidth="1"/>
    <col min="15393" max="15394" width="11.5703125" style="572" customWidth="1"/>
    <col min="15395" max="15395" width="12.42578125" style="572" customWidth="1"/>
    <col min="15396" max="15396" width="13.5703125" style="572" customWidth="1"/>
    <col min="15397" max="15397" width="13.140625" style="572" bestFit="1" customWidth="1"/>
    <col min="15398" max="15398" width="18.85546875" style="572" customWidth="1"/>
    <col min="15399" max="15400" width="14.140625" style="572" customWidth="1"/>
    <col min="15401" max="15401" width="13.85546875" style="572" customWidth="1"/>
    <col min="15402" max="15402" width="14.140625" style="572" customWidth="1"/>
    <col min="15403" max="15403" width="13.7109375" style="572" customWidth="1"/>
    <col min="15404" max="15404" width="17.140625" style="572" customWidth="1"/>
    <col min="15405" max="15405" width="15.42578125" style="572" customWidth="1"/>
    <col min="15406" max="15406" width="18" style="572" customWidth="1"/>
    <col min="15407" max="15407" width="13.7109375" style="572" bestFit="1" customWidth="1"/>
    <col min="15408" max="15408" width="14.140625" style="572" bestFit="1" customWidth="1"/>
    <col min="15409" max="15409" width="14" style="572" bestFit="1" customWidth="1"/>
    <col min="15410" max="15410" width="14.85546875" style="572" bestFit="1" customWidth="1"/>
    <col min="15411" max="15411" width="15.7109375" style="572" customWidth="1"/>
    <col min="15412" max="15412" width="5.85546875" style="572" customWidth="1"/>
    <col min="15413" max="15413" width="9.28515625" style="572" customWidth="1"/>
    <col min="15414" max="15414" width="14.85546875" style="572" customWidth="1"/>
    <col min="15415" max="15415" width="12.85546875" style="572" bestFit="1" customWidth="1"/>
    <col min="15416" max="15416" width="12.85546875" style="572" customWidth="1"/>
    <col min="15417" max="15434" width="8.85546875" style="572" customWidth="1"/>
    <col min="15435" max="15435" width="30.28515625" style="572" bestFit="1" customWidth="1"/>
    <col min="15436" max="15436" width="20.7109375" style="572" customWidth="1"/>
    <col min="15437" max="15437" width="13.42578125" style="572" customWidth="1"/>
    <col min="15438" max="15438" width="8.85546875" style="572" customWidth="1"/>
    <col min="15439" max="15439" width="11.7109375" style="572" bestFit="1" customWidth="1"/>
    <col min="15440" max="15607" width="8.85546875" style="572" customWidth="1"/>
    <col min="15608" max="15608" width="29.7109375" style="572" customWidth="1"/>
    <col min="15609" max="15611" width="14.28515625" style="572" customWidth="1"/>
    <col min="15612" max="15612" width="2.7109375" style="572" customWidth="1"/>
    <col min="15613" max="15616" width="14.28515625" style="572"/>
    <col min="15617" max="15617" width="9.28515625" style="572" bestFit="1" customWidth="1"/>
    <col min="15618" max="15618" width="48.140625" style="572" customWidth="1"/>
    <col min="15619" max="15619" width="15.85546875" style="572" bestFit="1" customWidth="1"/>
    <col min="15620" max="15620" width="14.85546875" style="572" bestFit="1" customWidth="1"/>
    <col min="15621" max="15621" width="14.7109375" style="572" bestFit="1" customWidth="1"/>
    <col min="15622" max="15622" width="2.7109375" style="572" customWidth="1"/>
    <col min="15623" max="15623" width="15.85546875" style="572" bestFit="1" customWidth="1"/>
    <col min="15624" max="15625" width="14.5703125" style="572" bestFit="1" customWidth="1"/>
    <col min="15626" max="15626" width="2.7109375" style="572" customWidth="1"/>
    <col min="15627" max="15627" width="15.7109375" style="572" bestFit="1" customWidth="1"/>
    <col min="15628" max="15628" width="13.7109375" style="572" bestFit="1" customWidth="1"/>
    <col min="15629" max="15629" width="13.42578125" style="572" bestFit="1" customWidth="1"/>
    <col min="15630" max="15640" width="10.5703125" style="572" bestFit="1" customWidth="1"/>
    <col min="15641" max="15641" width="13.5703125" style="572" customWidth="1"/>
    <col min="15642" max="15642" width="16.5703125" style="572" customWidth="1"/>
    <col min="15643" max="15643" width="14.42578125" style="572" customWidth="1"/>
    <col min="15644" max="15644" width="13.28515625" style="572" bestFit="1" customWidth="1"/>
    <col min="15645" max="15645" width="13.42578125" style="572" bestFit="1" customWidth="1"/>
    <col min="15646" max="15646" width="13" style="572" customWidth="1"/>
    <col min="15647" max="15647" width="11.5703125" style="572" customWidth="1"/>
    <col min="15648" max="15648" width="13.140625" style="572" customWidth="1"/>
    <col min="15649" max="15650" width="11.5703125" style="572" customWidth="1"/>
    <col min="15651" max="15651" width="12.42578125" style="572" customWidth="1"/>
    <col min="15652" max="15652" width="13.5703125" style="572" customWidth="1"/>
    <col min="15653" max="15653" width="13.140625" style="572" bestFit="1" customWidth="1"/>
    <col min="15654" max="15654" width="18.85546875" style="572" customWidth="1"/>
    <col min="15655" max="15656" width="14.140625" style="572" customWidth="1"/>
    <col min="15657" max="15657" width="13.85546875" style="572" customWidth="1"/>
    <col min="15658" max="15658" width="14.140625" style="572" customWidth="1"/>
    <col min="15659" max="15659" width="13.7109375" style="572" customWidth="1"/>
    <col min="15660" max="15660" width="17.140625" style="572" customWidth="1"/>
    <col min="15661" max="15661" width="15.42578125" style="572" customWidth="1"/>
    <col min="15662" max="15662" width="18" style="572" customWidth="1"/>
    <col min="15663" max="15663" width="13.7109375" style="572" bestFit="1" customWidth="1"/>
    <col min="15664" max="15664" width="14.140625" style="572" bestFit="1" customWidth="1"/>
    <col min="15665" max="15665" width="14" style="572" bestFit="1" customWidth="1"/>
    <col min="15666" max="15666" width="14.85546875" style="572" bestFit="1" customWidth="1"/>
    <col min="15667" max="15667" width="15.7109375" style="572" customWidth="1"/>
    <col min="15668" max="15668" width="5.85546875" style="572" customWidth="1"/>
    <col min="15669" max="15669" width="9.28515625" style="572" customWidth="1"/>
    <col min="15670" max="15670" width="14.85546875" style="572" customWidth="1"/>
    <col min="15671" max="15671" width="12.85546875" style="572" bestFit="1" customWidth="1"/>
    <col min="15672" max="15672" width="12.85546875" style="572" customWidth="1"/>
    <col min="15673" max="15690" width="8.85546875" style="572" customWidth="1"/>
    <col min="15691" max="15691" width="30.28515625" style="572" bestFit="1" customWidth="1"/>
    <col min="15692" max="15692" width="20.7109375" style="572" customWidth="1"/>
    <col min="15693" max="15693" width="13.42578125" style="572" customWidth="1"/>
    <col min="15694" max="15694" width="8.85546875" style="572" customWidth="1"/>
    <col min="15695" max="15695" width="11.7109375" style="572" bestFit="1" customWidth="1"/>
    <col min="15696" max="15863" width="8.85546875" style="572" customWidth="1"/>
    <col min="15864" max="15864" width="29.7109375" style="572" customWidth="1"/>
    <col min="15865" max="15867" width="14.28515625" style="572" customWidth="1"/>
    <col min="15868" max="15868" width="2.7109375" style="572" customWidth="1"/>
    <col min="15869" max="15872" width="14.28515625" style="572"/>
    <col min="15873" max="15873" width="9.28515625" style="572" bestFit="1" customWidth="1"/>
    <col min="15874" max="15874" width="48.140625" style="572" customWidth="1"/>
    <col min="15875" max="15875" width="15.85546875" style="572" bestFit="1" customWidth="1"/>
    <col min="15876" max="15876" width="14.85546875" style="572" bestFit="1" customWidth="1"/>
    <col min="15877" max="15877" width="14.7109375" style="572" bestFit="1" customWidth="1"/>
    <col min="15878" max="15878" width="2.7109375" style="572" customWidth="1"/>
    <col min="15879" max="15879" width="15.85546875" style="572" bestFit="1" customWidth="1"/>
    <col min="15880" max="15881" width="14.5703125" style="572" bestFit="1" customWidth="1"/>
    <col min="15882" max="15882" width="2.7109375" style="572" customWidth="1"/>
    <col min="15883" max="15883" width="15.7109375" style="572" bestFit="1" customWidth="1"/>
    <col min="15884" max="15884" width="13.7109375" style="572" bestFit="1" customWidth="1"/>
    <col min="15885" max="15885" width="13.42578125" style="572" bestFit="1" customWidth="1"/>
    <col min="15886" max="15896" width="10.5703125" style="572" bestFit="1" customWidth="1"/>
    <col min="15897" max="15897" width="13.5703125" style="572" customWidth="1"/>
    <col min="15898" max="15898" width="16.5703125" style="572" customWidth="1"/>
    <col min="15899" max="15899" width="14.42578125" style="572" customWidth="1"/>
    <col min="15900" max="15900" width="13.28515625" style="572" bestFit="1" customWidth="1"/>
    <col min="15901" max="15901" width="13.42578125" style="572" bestFit="1" customWidth="1"/>
    <col min="15902" max="15902" width="13" style="572" customWidth="1"/>
    <col min="15903" max="15903" width="11.5703125" style="572" customWidth="1"/>
    <col min="15904" max="15904" width="13.140625" style="572" customWidth="1"/>
    <col min="15905" max="15906" width="11.5703125" style="572" customWidth="1"/>
    <col min="15907" max="15907" width="12.42578125" style="572" customWidth="1"/>
    <col min="15908" max="15908" width="13.5703125" style="572" customWidth="1"/>
    <col min="15909" max="15909" width="13.140625" style="572" bestFit="1" customWidth="1"/>
    <col min="15910" max="15910" width="18.85546875" style="572" customWidth="1"/>
    <col min="15911" max="15912" width="14.140625" style="572" customWidth="1"/>
    <col min="15913" max="15913" width="13.85546875" style="572" customWidth="1"/>
    <col min="15914" max="15914" width="14.140625" style="572" customWidth="1"/>
    <col min="15915" max="15915" width="13.7109375" style="572" customWidth="1"/>
    <col min="15916" max="15916" width="17.140625" style="572" customWidth="1"/>
    <col min="15917" max="15917" width="15.42578125" style="572" customWidth="1"/>
    <col min="15918" max="15918" width="18" style="572" customWidth="1"/>
    <col min="15919" max="15919" width="13.7109375" style="572" bestFit="1" customWidth="1"/>
    <col min="15920" max="15920" width="14.140625" style="572" bestFit="1" customWidth="1"/>
    <col min="15921" max="15921" width="14" style="572" bestFit="1" customWidth="1"/>
    <col min="15922" max="15922" width="14.85546875" style="572" bestFit="1" customWidth="1"/>
    <col min="15923" max="15923" width="15.7109375" style="572" customWidth="1"/>
    <col min="15924" max="15924" width="5.85546875" style="572" customWidth="1"/>
    <col min="15925" max="15925" width="9.28515625" style="572" customWidth="1"/>
    <col min="15926" max="15926" width="14.85546875" style="572" customWidth="1"/>
    <col min="15927" max="15927" width="12.85546875" style="572" bestFit="1" customWidth="1"/>
    <col min="15928" max="15928" width="12.85546875" style="572" customWidth="1"/>
    <col min="15929" max="15946" width="8.85546875" style="572" customWidth="1"/>
    <col min="15947" max="15947" width="30.28515625" style="572" bestFit="1" customWidth="1"/>
    <col min="15948" max="15948" width="20.7109375" style="572" customWidth="1"/>
    <col min="15949" max="15949" width="13.42578125" style="572" customWidth="1"/>
    <col min="15950" max="15950" width="8.85546875" style="572" customWidth="1"/>
    <col min="15951" max="15951" width="11.7109375" style="572" bestFit="1" customWidth="1"/>
    <col min="15952" max="16119" width="8.85546875" style="572" customWidth="1"/>
    <col min="16120" max="16120" width="29.7109375" style="572" customWidth="1"/>
    <col min="16121" max="16123" width="14.28515625" style="572" customWidth="1"/>
    <col min="16124" max="16124" width="2.7109375" style="572" customWidth="1"/>
    <col min="16125" max="16128" width="14.28515625" style="572"/>
    <col min="16129" max="16129" width="9.28515625" style="572" bestFit="1" customWidth="1"/>
    <col min="16130" max="16130" width="48.140625" style="572" customWidth="1"/>
    <col min="16131" max="16131" width="15.85546875" style="572" bestFit="1" customWidth="1"/>
    <col min="16132" max="16132" width="14.85546875" style="572" bestFit="1" customWidth="1"/>
    <col min="16133" max="16133" width="14.7109375" style="572" bestFit="1" customWidth="1"/>
    <col min="16134" max="16134" width="2.7109375" style="572" customWidth="1"/>
    <col min="16135" max="16135" width="15.85546875" style="572" bestFit="1" customWidth="1"/>
    <col min="16136" max="16137" width="14.5703125" style="572" bestFit="1" customWidth="1"/>
    <col min="16138" max="16138" width="2.7109375" style="572" customWidth="1"/>
    <col min="16139" max="16139" width="15.7109375" style="572" bestFit="1" customWidth="1"/>
    <col min="16140" max="16140" width="13.7109375" style="572" bestFit="1" customWidth="1"/>
    <col min="16141" max="16141" width="13.42578125" style="572" bestFit="1" customWidth="1"/>
    <col min="16142" max="16152" width="10.5703125" style="572" bestFit="1" customWidth="1"/>
    <col min="16153" max="16153" width="13.5703125" style="572" customWidth="1"/>
    <col min="16154" max="16154" width="16.5703125" style="572" customWidth="1"/>
    <col min="16155" max="16155" width="14.42578125" style="572" customWidth="1"/>
    <col min="16156" max="16156" width="13.28515625" style="572" bestFit="1" customWidth="1"/>
    <col min="16157" max="16157" width="13.42578125" style="572" bestFit="1" customWidth="1"/>
    <col min="16158" max="16158" width="13" style="572" customWidth="1"/>
    <col min="16159" max="16159" width="11.5703125" style="572" customWidth="1"/>
    <col min="16160" max="16160" width="13.140625" style="572" customWidth="1"/>
    <col min="16161" max="16162" width="11.5703125" style="572" customWidth="1"/>
    <col min="16163" max="16163" width="12.42578125" style="572" customWidth="1"/>
    <col min="16164" max="16164" width="13.5703125" style="572" customWidth="1"/>
    <col min="16165" max="16165" width="13.140625" style="572" bestFit="1" customWidth="1"/>
    <col min="16166" max="16166" width="18.85546875" style="572" customWidth="1"/>
    <col min="16167" max="16168" width="14.140625" style="572" customWidth="1"/>
    <col min="16169" max="16169" width="13.85546875" style="572" customWidth="1"/>
    <col min="16170" max="16170" width="14.140625" style="572" customWidth="1"/>
    <col min="16171" max="16171" width="13.7109375" style="572" customWidth="1"/>
    <col min="16172" max="16172" width="17.140625" style="572" customWidth="1"/>
    <col min="16173" max="16173" width="15.42578125" style="572" customWidth="1"/>
    <col min="16174" max="16174" width="18" style="572" customWidth="1"/>
    <col min="16175" max="16175" width="13.7109375" style="572" bestFit="1" customWidth="1"/>
    <col min="16176" max="16176" width="14.140625" style="572" bestFit="1" customWidth="1"/>
    <col min="16177" max="16177" width="14" style="572" bestFit="1" customWidth="1"/>
    <col min="16178" max="16178" width="14.85546875" style="572" bestFit="1" customWidth="1"/>
    <col min="16179" max="16179" width="15.7109375" style="572" customWidth="1"/>
    <col min="16180" max="16180" width="5.85546875" style="572" customWidth="1"/>
    <col min="16181" max="16181" width="9.28515625" style="572" customWidth="1"/>
    <col min="16182" max="16182" width="14.85546875" style="572" customWidth="1"/>
    <col min="16183" max="16183" width="12.85546875" style="572" bestFit="1" customWidth="1"/>
    <col min="16184" max="16184" width="12.85546875" style="572" customWidth="1"/>
    <col min="16185" max="16202" width="8.85546875" style="572" customWidth="1"/>
    <col min="16203" max="16203" width="30.28515625" style="572" bestFit="1" customWidth="1"/>
    <col min="16204" max="16204" width="20.7109375" style="572" customWidth="1"/>
    <col min="16205" max="16205" width="13.42578125" style="572" customWidth="1"/>
    <col min="16206" max="16206" width="8.85546875" style="572" customWidth="1"/>
    <col min="16207" max="16207" width="11.7109375" style="572" bestFit="1" customWidth="1"/>
    <col min="16208" max="16375" width="8.85546875" style="572" customWidth="1"/>
    <col min="16376" max="16376" width="29.7109375" style="572" customWidth="1"/>
    <col min="16377" max="16379" width="14.28515625" style="572" customWidth="1"/>
    <col min="16380" max="16380" width="2.7109375" style="572" customWidth="1"/>
    <col min="16381" max="16384" width="14.28515625" style="572"/>
  </cols>
  <sheetData>
    <row r="1" spans="1:64" x14ac:dyDescent="0.2">
      <c r="O1" s="1368"/>
      <c r="P1" s="1368"/>
      <c r="AA1" s="1368"/>
      <c r="AB1" s="1368"/>
      <c r="AM1" s="1215"/>
      <c r="AN1" s="1215"/>
      <c r="AO1" s="585"/>
      <c r="AP1" s="1216"/>
      <c r="AQ1" s="1216"/>
      <c r="AR1" s="585"/>
      <c r="AS1" s="585"/>
      <c r="AT1" s="585"/>
      <c r="AU1" s="585"/>
      <c r="AV1" s="585"/>
      <c r="AW1" s="585"/>
    </row>
    <row r="2" spans="1:64" x14ac:dyDescent="0.2">
      <c r="D2" s="1280"/>
      <c r="H2" s="1280"/>
      <c r="L2" s="1280"/>
      <c r="O2" s="1368"/>
      <c r="P2" s="1368"/>
      <c r="AA2" s="1368"/>
      <c r="AB2" s="1368"/>
      <c r="AM2" s="1215"/>
      <c r="AN2" s="1215"/>
      <c r="AO2" s="585"/>
      <c r="AP2" s="585"/>
      <c r="AQ2" s="585"/>
      <c r="AR2" s="585"/>
      <c r="AS2" s="585"/>
      <c r="AT2" s="585"/>
      <c r="AU2" s="585"/>
      <c r="AV2" s="585"/>
      <c r="AW2" s="585"/>
      <c r="AZ2" s="1217" t="s">
        <v>1019</v>
      </c>
    </row>
    <row r="3" spans="1:64" s="1218" customFormat="1" x14ac:dyDescent="0.2">
      <c r="C3" s="1219"/>
      <c r="D3" s="1220"/>
      <c r="E3" s="1219"/>
      <c r="F3" s="1219"/>
      <c r="G3" s="1219"/>
      <c r="H3" s="1220"/>
      <c r="I3" s="1219"/>
      <c r="J3" s="1219"/>
      <c r="K3" s="1219"/>
      <c r="L3" s="1220"/>
      <c r="M3" s="1219"/>
      <c r="N3" s="1221" t="s">
        <v>407</v>
      </c>
      <c r="O3" s="1221" t="str">
        <f t="shared" ref="O3:V3" si="0">N3</f>
        <v>Customers</v>
      </c>
      <c r="P3" s="1221" t="str">
        <f t="shared" si="0"/>
        <v>Customers</v>
      </c>
      <c r="Q3" s="1221" t="str">
        <f t="shared" si="0"/>
        <v>Customers</v>
      </c>
      <c r="R3" s="1221" t="str">
        <f t="shared" si="0"/>
        <v>Customers</v>
      </c>
      <c r="S3" s="1221" t="str">
        <f t="shared" si="0"/>
        <v>Customers</v>
      </c>
      <c r="T3" s="1221" t="str">
        <f t="shared" si="0"/>
        <v>Customers</v>
      </c>
      <c r="U3" s="1221" t="str">
        <f t="shared" si="0"/>
        <v>Customers</v>
      </c>
      <c r="V3" s="1221" t="str">
        <f t="shared" si="0"/>
        <v>Customers</v>
      </c>
      <c r="W3" s="1221" t="str">
        <f>V3</f>
        <v>Customers</v>
      </c>
      <c r="X3" s="1221" t="str">
        <f>W3</f>
        <v>Customers</v>
      </c>
      <c r="Y3" s="1221" t="str">
        <f>X3</f>
        <v>Customers</v>
      </c>
      <c r="Z3" s="1222" t="s">
        <v>243</v>
      </c>
      <c r="AA3" s="1222" t="s">
        <v>243</v>
      </c>
      <c r="AB3" s="1222" t="s">
        <v>243</v>
      </c>
      <c r="AC3" s="1222" t="s">
        <v>243</v>
      </c>
      <c r="AD3" s="1222" t="s">
        <v>243</v>
      </c>
      <c r="AE3" s="1222" t="s">
        <v>243</v>
      </c>
      <c r="AF3" s="1222" t="s">
        <v>243</v>
      </c>
      <c r="AG3" s="1222" t="s">
        <v>243</v>
      </c>
      <c r="AH3" s="1222" t="s">
        <v>243</v>
      </c>
      <c r="AI3" s="1222" t="s">
        <v>243</v>
      </c>
      <c r="AJ3" s="1222" t="s">
        <v>243</v>
      </c>
      <c r="AK3" s="1222" t="s">
        <v>243</v>
      </c>
      <c r="AL3" s="1222" t="s">
        <v>244</v>
      </c>
      <c r="AM3" s="1222" t="s">
        <v>244</v>
      </c>
      <c r="AN3" s="1222" t="s">
        <v>244</v>
      </c>
      <c r="AO3" s="1222" t="s">
        <v>244</v>
      </c>
      <c r="AP3" s="1222" t="s">
        <v>244</v>
      </c>
      <c r="AQ3" s="1222" t="s">
        <v>244</v>
      </c>
      <c r="AR3" s="1222" t="s">
        <v>244</v>
      </c>
      <c r="AS3" s="1222" t="s">
        <v>244</v>
      </c>
      <c r="AT3" s="1222" t="s">
        <v>244</v>
      </c>
      <c r="AU3" s="1222" t="s">
        <v>244</v>
      </c>
      <c r="AV3" s="1222" t="s">
        <v>244</v>
      </c>
      <c r="AW3" s="1222" t="s">
        <v>244</v>
      </c>
      <c r="AZ3" s="1222" t="s">
        <v>244</v>
      </c>
      <c r="BA3" s="1222" t="s">
        <v>244</v>
      </c>
      <c r="BB3" s="1222" t="s">
        <v>244</v>
      </c>
      <c r="BC3" s="1222" t="s">
        <v>244</v>
      </c>
      <c r="BD3" s="1222" t="s">
        <v>244</v>
      </c>
      <c r="BE3" s="1222" t="s">
        <v>244</v>
      </c>
      <c r="BF3" s="1222" t="s">
        <v>244</v>
      </c>
      <c r="BG3" s="1222" t="s">
        <v>244</v>
      </c>
      <c r="BH3" s="1222" t="s">
        <v>244</v>
      </c>
      <c r="BI3" s="1222" t="s">
        <v>244</v>
      </c>
      <c r="BJ3" s="1222" t="s">
        <v>244</v>
      </c>
      <c r="BK3" s="1222" t="s">
        <v>244</v>
      </c>
      <c r="BL3" s="1222" t="s">
        <v>244</v>
      </c>
    </row>
    <row r="4" spans="1:64" x14ac:dyDescent="0.2">
      <c r="C4" s="1369" t="s">
        <v>884</v>
      </c>
      <c r="D4" s="1370"/>
      <c r="E4" s="1370"/>
      <c r="F4" s="1223"/>
      <c r="G4" s="1369" t="s">
        <v>885</v>
      </c>
      <c r="H4" s="1369"/>
      <c r="I4" s="1369"/>
      <c r="J4" s="1223"/>
      <c r="K4" s="1369" t="s">
        <v>886</v>
      </c>
      <c r="L4" s="1370"/>
      <c r="M4" s="1370"/>
      <c r="N4" s="1224">
        <v>40909</v>
      </c>
      <c r="O4" s="1224">
        <v>40940</v>
      </c>
      <c r="P4" s="1224">
        <v>40969</v>
      </c>
      <c r="Q4" s="1224">
        <v>40634</v>
      </c>
      <c r="R4" s="1224">
        <v>40664</v>
      </c>
      <c r="S4" s="1224">
        <v>40695</v>
      </c>
      <c r="T4" s="1224">
        <v>40725</v>
      </c>
      <c r="U4" s="1224">
        <v>40756</v>
      </c>
      <c r="V4" s="1224">
        <v>40787</v>
      </c>
      <c r="W4" s="1224">
        <v>40817</v>
      </c>
      <c r="X4" s="1224">
        <v>40848</v>
      </c>
      <c r="Y4" s="1224">
        <v>40878</v>
      </c>
      <c r="Z4" s="1224">
        <f t="shared" ref="Z4:AW4" si="1">N4</f>
        <v>40909</v>
      </c>
      <c r="AA4" s="1224">
        <f t="shared" si="1"/>
        <v>40940</v>
      </c>
      <c r="AB4" s="1224">
        <f t="shared" si="1"/>
        <v>40969</v>
      </c>
      <c r="AC4" s="1224">
        <f t="shared" si="1"/>
        <v>40634</v>
      </c>
      <c r="AD4" s="1224">
        <f t="shared" si="1"/>
        <v>40664</v>
      </c>
      <c r="AE4" s="1224">
        <f t="shared" si="1"/>
        <v>40695</v>
      </c>
      <c r="AF4" s="1224">
        <f t="shared" si="1"/>
        <v>40725</v>
      </c>
      <c r="AG4" s="1224">
        <f t="shared" si="1"/>
        <v>40756</v>
      </c>
      <c r="AH4" s="1224">
        <f t="shared" si="1"/>
        <v>40787</v>
      </c>
      <c r="AI4" s="1224">
        <f t="shared" si="1"/>
        <v>40817</v>
      </c>
      <c r="AJ4" s="1224">
        <f t="shared" si="1"/>
        <v>40848</v>
      </c>
      <c r="AK4" s="1224">
        <f t="shared" si="1"/>
        <v>40878</v>
      </c>
      <c r="AL4" s="1224">
        <f t="shared" si="1"/>
        <v>40909</v>
      </c>
      <c r="AM4" s="1224">
        <f t="shared" si="1"/>
        <v>40940</v>
      </c>
      <c r="AN4" s="1224">
        <f t="shared" si="1"/>
        <v>40969</v>
      </c>
      <c r="AO4" s="1224">
        <f t="shared" si="1"/>
        <v>40634</v>
      </c>
      <c r="AP4" s="1224">
        <f t="shared" si="1"/>
        <v>40664</v>
      </c>
      <c r="AQ4" s="1224">
        <f t="shared" si="1"/>
        <v>40695</v>
      </c>
      <c r="AR4" s="1224">
        <f t="shared" si="1"/>
        <v>40725</v>
      </c>
      <c r="AS4" s="1224">
        <f t="shared" si="1"/>
        <v>40756</v>
      </c>
      <c r="AT4" s="1224">
        <f t="shared" si="1"/>
        <v>40787</v>
      </c>
      <c r="AU4" s="1224">
        <f t="shared" si="1"/>
        <v>40817</v>
      </c>
      <c r="AV4" s="1224">
        <f t="shared" si="1"/>
        <v>40848</v>
      </c>
      <c r="AW4" s="1224">
        <f t="shared" si="1"/>
        <v>40878</v>
      </c>
      <c r="AZ4" s="1224">
        <f>AL4</f>
        <v>40909</v>
      </c>
      <c r="BA4" s="1224">
        <f t="shared" ref="BA4:BK4" si="2">AM4</f>
        <v>40940</v>
      </c>
      <c r="BB4" s="1224">
        <f t="shared" si="2"/>
        <v>40969</v>
      </c>
      <c r="BC4" s="1224">
        <f t="shared" si="2"/>
        <v>40634</v>
      </c>
      <c r="BD4" s="1224">
        <f t="shared" si="2"/>
        <v>40664</v>
      </c>
      <c r="BE4" s="1224">
        <f t="shared" si="2"/>
        <v>40695</v>
      </c>
      <c r="BF4" s="1224">
        <f t="shared" si="2"/>
        <v>40725</v>
      </c>
      <c r="BG4" s="1224">
        <f t="shared" si="2"/>
        <v>40756</v>
      </c>
      <c r="BH4" s="1224">
        <f t="shared" si="2"/>
        <v>40787</v>
      </c>
      <c r="BI4" s="1224">
        <f t="shared" si="2"/>
        <v>40817</v>
      </c>
      <c r="BJ4" s="1224">
        <f t="shared" si="2"/>
        <v>40848</v>
      </c>
      <c r="BK4" s="1224">
        <f t="shared" si="2"/>
        <v>40878</v>
      </c>
      <c r="BL4" s="1225" t="s">
        <v>1021</v>
      </c>
    </row>
    <row r="5" spans="1:64" ht="13.15" customHeight="1" x14ac:dyDescent="0.2">
      <c r="C5" s="1226" t="s">
        <v>681</v>
      </c>
      <c r="D5" s="586" t="s">
        <v>682</v>
      </c>
      <c r="E5" s="1226" t="s">
        <v>244</v>
      </c>
      <c r="F5" s="1227"/>
      <c r="G5" s="1226" t="s">
        <v>681</v>
      </c>
      <c r="H5" s="586" t="s">
        <v>682</v>
      </c>
      <c r="I5" s="1226" t="s">
        <v>244</v>
      </c>
      <c r="J5" s="1227"/>
      <c r="K5" s="1226" t="s">
        <v>681</v>
      </c>
      <c r="L5" s="586" t="s">
        <v>682</v>
      </c>
      <c r="M5" s="1226" t="s">
        <v>244</v>
      </c>
      <c r="N5" s="1228"/>
      <c r="O5" s="1228"/>
      <c r="P5" s="1228"/>
      <c r="Q5" s="1228"/>
      <c r="R5" s="1228"/>
      <c r="S5" s="1229"/>
      <c r="T5" s="1229"/>
      <c r="U5" s="1229"/>
      <c r="V5" s="1229"/>
      <c r="W5" s="1229"/>
      <c r="X5" s="1228"/>
      <c r="Y5" s="1228"/>
      <c r="Z5" s="1230">
        <v>0.1</v>
      </c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572">
        <v>0.1</v>
      </c>
      <c r="AM5" s="572">
        <f>AL5</f>
        <v>0.1</v>
      </c>
      <c r="AN5" s="572">
        <f t="shared" ref="AN5:AW5" si="3">AM5</f>
        <v>0.1</v>
      </c>
      <c r="AO5" s="572">
        <f t="shared" si="3"/>
        <v>0.1</v>
      </c>
      <c r="AP5" s="572">
        <f t="shared" si="3"/>
        <v>0.1</v>
      </c>
      <c r="AQ5" s="572">
        <f t="shared" si="3"/>
        <v>0.1</v>
      </c>
      <c r="AR5" s="572">
        <f t="shared" si="3"/>
        <v>0.1</v>
      </c>
      <c r="AS5" s="572">
        <f t="shared" si="3"/>
        <v>0.1</v>
      </c>
      <c r="AT5" s="572">
        <f t="shared" si="3"/>
        <v>0.1</v>
      </c>
      <c r="AU5" s="572">
        <f t="shared" si="3"/>
        <v>0.1</v>
      </c>
      <c r="AV5" s="572">
        <f t="shared" si="3"/>
        <v>0.1</v>
      </c>
      <c r="AW5" s="572">
        <f t="shared" si="3"/>
        <v>0.1</v>
      </c>
      <c r="AZ5" s="1231">
        <f>+AL32</f>
        <v>-2901.8099999986589</v>
      </c>
      <c r="BA5" s="1231">
        <f t="shared" ref="BA5:BK5" si="4">+AM32</f>
        <v>-2496.6499999994412</v>
      </c>
      <c r="BB5" s="1231">
        <f t="shared" si="4"/>
        <v>-3483.6700000000792</v>
      </c>
      <c r="BC5" s="1231">
        <f t="shared" si="4"/>
        <v>-2584.2900000002846</v>
      </c>
      <c r="BD5" s="1231">
        <f t="shared" si="4"/>
        <v>-2395.8499999994528</v>
      </c>
      <c r="BE5" s="1231">
        <f t="shared" si="4"/>
        <v>-1465.3799999998882</v>
      </c>
      <c r="BF5" s="1231">
        <f t="shared" si="4"/>
        <v>-2664.2900000000068</v>
      </c>
      <c r="BG5" s="1231">
        <f t="shared" si="4"/>
        <v>-1659.1900000000605</v>
      </c>
      <c r="BH5" s="1231">
        <f t="shared" si="4"/>
        <v>-1011.9499999998952</v>
      </c>
      <c r="BI5" s="1231">
        <f t="shared" si="4"/>
        <v>-118.34999999997206</v>
      </c>
      <c r="BJ5" s="1231">
        <f t="shared" si="4"/>
        <v>-83.169999999925494</v>
      </c>
      <c r="BK5" s="1231">
        <f t="shared" si="4"/>
        <v>-2910.0100000000093</v>
      </c>
      <c r="BL5" s="1231">
        <f>SUM(AZ5:BK5)</f>
        <v>-23774.609999997676</v>
      </c>
    </row>
    <row r="6" spans="1:64" x14ac:dyDescent="0.2">
      <c r="B6" s="1232" t="s">
        <v>683</v>
      </c>
      <c r="C6" s="1233"/>
      <c r="D6" s="1234"/>
      <c r="E6" s="1233"/>
      <c r="F6" s="1233"/>
      <c r="G6" s="1233"/>
      <c r="H6" s="1234"/>
      <c r="I6" s="1233"/>
      <c r="J6" s="1233"/>
      <c r="K6" s="1233"/>
      <c r="L6" s="1234"/>
      <c r="M6" s="1233"/>
      <c r="N6" s="1235"/>
      <c r="O6" s="1235"/>
      <c r="P6" s="1235"/>
      <c r="Q6" s="1235"/>
      <c r="R6" s="1235"/>
      <c r="S6" s="1236"/>
      <c r="T6" s="1236"/>
      <c r="U6" s="1236"/>
      <c r="V6" s="1236"/>
      <c r="W6" s="1236"/>
      <c r="X6" s="1235"/>
      <c r="Y6" s="1235"/>
      <c r="AL6" s="572"/>
      <c r="AM6" s="572"/>
      <c r="AN6" s="572"/>
      <c r="AO6" s="572"/>
      <c r="AP6" s="572"/>
      <c r="AQ6" s="572"/>
      <c r="AR6" s="572"/>
      <c r="AS6" s="572"/>
      <c r="AT6" s="572"/>
      <c r="AU6" s="572"/>
      <c r="AV6" s="572"/>
      <c r="AW6" s="572"/>
      <c r="AY6" s="1237"/>
      <c r="BA6" s="1238"/>
    </row>
    <row r="7" spans="1:64" x14ac:dyDescent="0.2">
      <c r="A7" s="1239" t="s">
        <v>52</v>
      </c>
      <c r="B7" s="1080" t="s">
        <v>53</v>
      </c>
      <c r="C7" s="569">
        <f>SUM(N7:Y7)</f>
        <v>0</v>
      </c>
      <c r="D7" s="574">
        <f>SUM(Z7:AK7)</f>
        <v>17452848.400000002</v>
      </c>
      <c r="E7" s="569">
        <f ca="1">SUM(AL7:AW7)+SUM(AZ7:BK7)</f>
        <v>182072692.31999999</v>
      </c>
      <c r="F7" s="569"/>
      <c r="G7" s="569">
        <f>SUM(N7:P7,X7:Y7)</f>
        <v>0</v>
      </c>
      <c r="H7" s="574">
        <f>SUM(Z7:AB7,AJ7:AK7)</f>
        <v>12576146.1</v>
      </c>
      <c r="I7" s="569">
        <f ca="1">SUM(AL7:AN7,AV7:AW7)+SUM(AZ7:BB7,BJ7:BK7)</f>
        <v>117594858.14</v>
      </c>
      <c r="J7" s="569"/>
      <c r="K7" s="569">
        <f>SUM(Q7:W7)</f>
        <v>0</v>
      </c>
      <c r="L7" s="574">
        <f>SUM(AC7:AI7)</f>
        <v>4876702.3000000007</v>
      </c>
      <c r="M7" s="569">
        <f ca="1">SUM(AO7:AU7)+SUM(BC7:BI7)</f>
        <v>64477834.18</v>
      </c>
      <c r="N7" s="569"/>
      <c r="O7" s="569"/>
      <c r="P7" s="569"/>
      <c r="Q7" s="569"/>
      <c r="R7" s="569"/>
      <c r="S7" s="569"/>
      <c r="T7" s="569"/>
      <c r="U7" s="569"/>
      <c r="V7" s="569"/>
      <c r="W7" s="569"/>
      <c r="X7" s="569"/>
      <c r="Y7" s="569"/>
      <c r="Z7" s="1240">
        <f>(SUMIFS('Apr11-Mar12 Billed-RETAIL'!$I$5:$I$148,'Apr11-Mar12 Billed-RETAIL'!$B$5:$B$148,SBR!Z$4,'Apr11-Mar12 Billed-RETAIL'!$C$5:$C$148,SBR!$A7)+SUMIFS('Apr11-Mar12 Billed-RETAIL'!$J$5:$J$148,'Apr11-Mar12 Billed-RETAIL'!$B$5:$B$148,SBR!Z$4,'Apr11-Mar12 Billed-RETAIL'!$C$5:$C$148,SBR!$A7))*0.1</f>
        <v>3446127.6</v>
      </c>
      <c r="AA7" s="1240">
        <f>(SUMIFS('Apr11-Mar12 Billed-RETAIL'!$I$5:$I$148,'Apr11-Mar12 Billed-RETAIL'!$B$5:$B$148,SBR!AA$4,'Apr11-Mar12 Billed-RETAIL'!$C$5:$C$148,SBR!$A7)+SUMIFS('Apr11-Mar12 Billed-RETAIL'!$J$5:$J$148,'Apr11-Mar12 Billed-RETAIL'!$B$5:$B$148,SBR!AA$4,'Apr11-Mar12 Billed-RETAIL'!$C$5:$C$148,SBR!$A7))*0.1</f>
        <v>3295233.9000000004</v>
      </c>
      <c r="AB7" s="1240">
        <f>(SUMIFS('Apr11-Mar12 Billed-RETAIL'!$I$5:$I$148,'Apr11-Mar12 Billed-RETAIL'!$B$5:$B$148,SBR!AB$4,'Apr11-Mar12 Billed-RETAIL'!$C$5:$C$148,SBR!$A7)+SUMIFS('Apr11-Mar12 Billed-RETAIL'!$J$5:$J$148,'Apr11-Mar12 Billed-RETAIL'!$B$5:$B$148,SBR!AB$4,'Apr11-Mar12 Billed-RETAIL'!$C$5:$C$148,SBR!$A7))*0.1</f>
        <v>2236551.4</v>
      </c>
      <c r="AC7" s="1240">
        <f>(SUMIFS('Apr11-Mar12 Billed-RETAIL'!$I$5:$I$148,'Apr11-Mar12 Billed-RETAIL'!$B$5:$B$148,SBR!AC$4,'Apr11-Mar12 Billed-RETAIL'!$C$5:$C$148,SBR!$A7)+SUMIFS('Apr11-Mar12 Billed-RETAIL'!$J$5:$J$148,'Apr11-Mar12 Billed-RETAIL'!$B$5:$B$148,SBR!AC$4,'Apr11-Mar12 Billed-RETAIL'!$C$5:$C$148,SBR!$A7))*0.1</f>
        <v>1761828.7000000002</v>
      </c>
      <c r="AD7" s="1240">
        <f>(SUMIFS('Apr11-Mar12 Billed-RETAIL'!$I$5:$I$148,'Apr11-Mar12 Billed-RETAIL'!$B$5:$B$148,SBR!AD$4,'Apr11-Mar12 Billed-RETAIL'!$C$5:$C$148,SBR!$A7)+SUMIFS('Apr11-Mar12 Billed-RETAIL'!$J$5:$J$148,'Apr11-Mar12 Billed-RETAIL'!$B$5:$B$148,SBR!AD$4,'Apr11-Mar12 Billed-RETAIL'!$C$5:$C$148,SBR!$A7))*0.1</f>
        <v>862200.20000000007</v>
      </c>
      <c r="AE7" s="1240">
        <f>(SUMIFS('Apr11-Mar12 Billed-RETAIL'!$I$5:$I$148,'Apr11-Mar12 Billed-RETAIL'!$B$5:$B$148,SBR!AE$4,'Apr11-Mar12 Billed-RETAIL'!$C$5:$C$148,SBR!$A7)+SUMIFS('Apr11-Mar12 Billed-RETAIL'!$J$5:$J$148,'Apr11-Mar12 Billed-RETAIL'!$B$5:$B$148,SBR!AE$4,'Apr11-Mar12 Billed-RETAIL'!$C$5:$C$148,SBR!$A7))*0.1</f>
        <v>543262.1</v>
      </c>
      <c r="AF7" s="1240">
        <f>(SUMIFS('Apr11-Mar12 Billed-RETAIL'!$I$5:$I$148,'Apr11-Mar12 Billed-RETAIL'!$B$5:$B$148,SBR!AF$4,'Apr11-Mar12 Billed-RETAIL'!$C$5:$C$148,SBR!$A7)+SUMIFS('Apr11-Mar12 Billed-RETAIL'!$J$5:$J$148,'Apr11-Mar12 Billed-RETAIL'!$B$5:$B$148,SBR!AF$4,'Apr11-Mar12 Billed-RETAIL'!$C$5:$C$148,SBR!$A7))*0.1</f>
        <v>383782.80000000005</v>
      </c>
      <c r="AG7" s="1240">
        <f>(SUMIFS('Apr11-Mar12 Billed-RETAIL'!$I$5:$I$148,'Apr11-Mar12 Billed-RETAIL'!$B$5:$B$148,SBR!AG$4,'Apr11-Mar12 Billed-RETAIL'!$C$5:$C$148,SBR!$A7)+SUMIFS('Apr11-Mar12 Billed-RETAIL'!$J$5:$J$148,'Apr11-Mar12 Billed-RETAIL'!$B$5:$B$148,SBR!AG$4,'Apr11-Mar12 Billed-RETAIL'!$C$5:$C$148,SBR!$A7))*0.1</f>
        <v>359025.5</v>
      </c>
      <c r="AH7" s="1240">
        <f>(SUMIFS('Apr11-Mar12 Billed-RETAIL'!$I$5:$I$148,'Apr11-Mar12 Billed-RETAIL'!$B$5:$B$148,SBR!AH$4,'Apr11-Mar12 Billed-RETAIL'!$C$5:$C$148,SBR!$A7)+SUMIFS('Apr11-Mar12 Billed-RETAIL'!$J$5:$J$148,'Apr11-Mar12 Billed-RETAIL'!$B$5:$B$148,SBR!AH$4,'Apr11-Mar12 Billed-RETAIL'!$C$5:$C$148,SBR!$A7))*0.1</f>
        <v>392243.9</v>
      </c>
      <c r="AI7" s="1240">
        <f>(SUMIFS('Apr11-Mar12 Billed-RETAIL'!$I$5:$I$148,'Apr11-Mar12 Billed-RETAIL'!$B$5:$B$148,SBR!AI$4,'Apr11-Mar12 Billed-RETAIL'!$C$5:$C$148,SBR!$A7)+SUMIFS('Apr11-Mar12 Billed-RETAIL'!$J$5:$J$148,'Apr11-Mar12 Billed-RETAIL'!$B$5:$B$148,SBR!AI$4,'Apr11-Mar12 Billed-RETAIL'!$C$5:$C$148,SBR!$A7))*0.1</f>
        <v>574359.1</v>
      </c>
      <c r="AJ7" s="1240">
        <f>(SUMIFS('Apr11-Mar12 Billed-RETAIL'!$I$5:$I$148,'Apr11-Mar12 Billed-RETAIL'!$B$5:$B$148,SBR!AJ$4,'Apr11-Mar12 Billed-RETAIL'!$C$5:$C$148,SBR!$A7)+SUMIFS('Apr11-Mar12 Billed-RETAIL'!$J$5:$J$148,'Apr11-Mar12 Billed-RETAIL'!$B$5:$B$148,SBR!AJ$4,'Apr11-Mar12 Billed-RETAIL'!$C$5:$C$148,SBR!$A7))*0.1</f>
        <v>1298255.6000000001</v>
      </c>
      <c r="AK7" s="1240">
        <f>(SUMIFS('Apr11-Mar12 Billed-RETAIL'!$I$5:$I$148,'Apr11-Mar12 Billed-RETAIL'!$B$5:$B$148,SBR!AK$4,'Apr11-Mar12 Billed-RETAIL'!$C$5:$C$148,SBR!$A7)+SUMIFS('Apr11-Mar12 Billed-RETAIL'!$J$5:$J$148,'Apr11-Mar12 Billed-RETAIL'!$B$5:$B$148,SBR!AK$4,'Apr11-Mar12 Billed-RETAIL'!$C$5:$C$148,SBR!$A7))*0.1</f>
        <v>2299977.6</v>
      </c>
      <c r="AL7" s="1241">
        <f ca="1">SUMIFS('Apr11-Mar12 Billed-RETAIL'!$AW$5:$AW$148,'Apr11-Mar12 Billed-RETAIL'!$B$5:$B$148,SBR!AL$4,'Apr11-Mar12 Billed-RETAIL'!$C$5:$C$148,SBR!$A7)</f>
        <v>31335922.239999998</v>
      </c>
      <c r="AM7" s="1241">
        <f ca="1">SUMIFS('Apr11-Mar12 Billed-RETAIL'!$AW$5:$AW$148,'Apr11-Mar12 Billed-RETAIL'!$B$5:$B$148,SBR!AM$4,'Apr11-Mar12 Billed-RETAIL'!$C$5:$C$148,SBR!$A7)</f>
        <v>29171678.940000001</v>
      </c>
      <c r="AN7" s="1241">
        <f ca="1">SUMIFS('Apr11-Mar12 Billed-RETAIL'!$AW$5:$AW$148,'Apr11-Mar12 Billed-RETAIL'!$B$5:$B$148,SBR!AN$4,'Apr11-Mar12 Billed-RETAIL'!$C$5:$C$148,SBR!$A7)</f>
        <v>21143462.219999999</v>
      </c>
      <c r="AO7" s="1241">
        <f ca="1">SUMIFS('Apr11-Mar12 Billed-RETAIL'!$AW$5:$AW$148,'Apr11-Mar12 Billed-RETAIL'!$B$5:$B$148,SBR!AO$4,'Apr11-Mar12 Billed-RETAIL'!$C$5:$C$148,SBR!$A7)</f>
        <v>17811522.91</v>
      </c>
      <c r="AP7" s="1241">
        <f ca="1">SUMIFS('Apr11-Mar12 Billed-RETAIL'!$AW$5:$AW$148,'Apr11-Mar12 Billed-RETAIL'!$B$5:$B$148,SBR!AP$4,'Apr11-Mar12 Billed-RETAIL'!$C$5:$C$148,SBR!$A7)</f>
        <v>10404770.49</v>
      </c>
      <c r="AQ7" s="1241">
        <f ca="1">SUMIFS('Apr11-Mar12 Billed-RETAIL'!$AW$5:$AW$148,'Apr11-Mar12 Billed-RETAIL'!$B$5:$B$148,SBR!AQ$4,'Apr11-Mar12 Billed-RETAIL'!$C$5:$C$148,SBR!$A7)</f>
        <v>8008686.75</v>
      </c>
      <c r="AR7" s="1241">
        <f ca="1">SUMIFS('Apr11-Mar12 Billed-RETAIL'!$AW$5:$AW$148,'Apr11-Mar12 Billed-RETAIL'!$B$5:$B$148,SBR!AR$4,'Apr11-Mar12 Billed-RETAIL'!$C$5:$C$148,SBR!$A7)</f>
        <v>6713044.0300000003</v>
      </c>
      <c r="AS7" s="1241">
        <f ca="1">SUMIFS('Apr11-Mar12 Billed-RETAIL'!$AW$5:$AW$148,'Apr11-Mar12 Billed-RETAIL'!$B$5:$B$148,SBR!AS$4,'Apr11-Mar12 Billed-RETAIL'!$C$5:$C$148,SBR!$A7)</f>
        <v>6524841.4699999997</v>
      </c>
      <c r="AT7" s="1241">
        <f ca="1">SUMIFS('Apr11-Mar12 Billed-RETAIL'!$AW$5:$AW$148,'Apr11-Mar12 Billed-RETAIL'!$B$5:$B$148,SBR!AT$4,'Apr11-Mar12 Billed-RETAIL'!$C$5:$C$148,SBR!$A7)</f>
        <v>6783188.2199999997</v>
      </c>
      <c r="AU7" s="1241">
        <f ca="1">SUMIFS('Apr11-Mar12 Billed-RETAIL'!$AW$5:$AW$148,'Apr11-Mar12 Billed-RETAIL'!$B$5:$B$148,SBR!AU$4,'Apr11-Mar12 Billed-RETAIL'!$C$5:$C$148,SBR!$A7)</f>
        <v>8240119.1799999997</v>
      </c>
      <c r="AV7" s="1241">
        <f ca="1">SUMIFS('Apr11-Mar12 Billed-RETAIL'!$AW$5:$AW$148,'Apr11-Mar12 Billed-RETAIL'!$B$5:$B$148,SBR!AV$4,'Apr11-Mar12 Billed-RETAIL'!$C$5:$C$148,SBR!$A7)</f>
        <v>13907687.6</v>
      </c>
      <c r="AW7" s="1241">
        <f ca="1">SUMIFS('Apr11-Mar12 Billed-RETAIL'!$AW$5:$AW$148,'Apr11-Mar12 Billed-RETAIL'!$B$5:$B$148,SBR!AW$4,'Apr11-Mar12 Billed-RETAIL'!$C$5:$C$148,SBR!$A7)</f>
        <v>22044539.100000001</v>
      </c>
      <c r="AX7" s="571"/>
      <c r="AY7" s="571"/>
      <c r="AZ7" s="1242">
        <f ca="1">ROUND((AL7/SUM(AL$11+AL$17))*AZ$5,2)</f>
        <v>-2058.4699999999998</v>
      </c>
      <c r="BA7" s="1242">
        <f t="shared" ref="BA7:BK10" ca="1" si="5">ROUND((AM7/SUM(AM$11+AM$17))*BA$5,2)</f>
        <v>-1782.93</v>
      </c>
      <c r="BB7" s="1242">
        <f t="shared" ca="1" si="5"/>
        <v>-2454.3000000000002</v>
      </c>
      <c r="BC7" s="1242">
        <f t="shared" ca="1" si="5"/>
        <v>-1835.93</v>
      </c>
      <c r="BD7" s="1242">
        <f t="shared" ca="1" si="5"/>
        <v>-1691.19</v>
      </c>
      <c r="BE7" s="1242">
        <f t="shared" ca="1" si="5"/>
        <v>-1027.6300000000001</v>
      </c>
      <c r="BF7" s="1242">
        <f t="shared" ca="1" si="5"/>
        <v>-1859.18</v>
      </c>
      <c r="BG7" s="1242">
        <f t="shared" ca="1" si="5"/>
        <v>-1153.24</v>
      </c>
      <c r="BH7" s="1242">
        <f t="shared" ca="1" si="5"/>
        <v>-689.62</v>
      </c>
      <c r="BI7" s="1242">
        <f t="shared" ca="1" si="5"/>
        <v>-82.08</v>
      </c>
      <c r="BJ7" s="1242">
        <f t="shared" ca="1" si="5"/>
        <v>-60.34</v>
      </c>
      <c r="BK7" s="1242">
        <f t="shared" ca="1" si="5"/>
        <v>-2075.92</v>
      </c>
      <c r="BL7" s="1242"/>
    </row>
    <row r="8" spans="1:64" x14ac:dyDescent="0.2">
      <c r="A8" s="1239" t="s">
        <v>55</v>
      </c>
      <c r="B8" s="1080" t="s">
        <v>56</v>
      </c>
      <c r="C8" s="569">
        <f>SUM(N8:Y8)</f>
        <v>0</v>
      </c>
      <c r="D8" s="574">
        <f>SUM(Z8:AK8)</f>
        <v>1047.9000000000001</v>
      </c>
      <c r="E8" s="569">
        <f ca="1">SUM(AL8:AW8)+SUM(AZ8:BK8)</f>
        <v>5035.26</v>
      </c>
      <c r="F8" s="569"/>
      <c r="G8" s="569">
        <f>SUM(N8:P8,X8:Y8)</f>
        <v>0</v>
      </c>
      <c r="H8" s="574">
        <f>SUM(Z8:AB8,AJ8:AK8)</f>
        <v>742.60000000000014</v>
      </c>
      <c r="I8" s="569">
        <f ca="1">SUM(AL8:AN8,AV8:AW8)+SUM(AZ8:BB8,BJ8:BK8)</f>
        <v>3509.76</v>
      </c>
      <c r="J8" s="569"/>
      <c r="K8" s="569">
        <f>SUM(Q8:W8)</f>
        <v>0</v>
      </c>
      <c r="L8" s="574">
        <f>SUM(AC8:AI8)</f>
        <v>305.3</v>
      </c>
      <c r="M8" s="569">
        <f ca="1">SUM(AO8:AU8)+SUM(BC8:BI8)</f>
        <v>1525.5</v>
      </c>
      <c r="N8" s="569"/>
      <c r="O8" s="569"/>
      <c r="P8" s="569"/>
      <c r="Q8" s="569"/>
      <c r="R8" s="569"/>
      <c r="S8" s="569"/>
      <c r="T8" s="569"/>
      <c r="U8" s="569"/>
      <c r="V8" s="569"/>
      <c r="W8" s="569"/>
      <c r="X8" s="569"/>
      <c r="Y8" s="569"/>
      <c r="Z8" s="1240">
        <f>(SUMIFS('Apr11-Mar12 Billed-RETAIL'!$I$5:$I$148,'Apr11-Mar12 Billed-RETAIL'!$B$5:$B$148,SBR!Z$4,'Apr11-Mar12 Billed-RETAIL'!$C$5:$C$148,SBR!$A8)+SUMIFS('Apr11-Mar12 Billed-RETAIL'!$J$5:$J$148,'Apr11-Mar12 Billed-RETAIL'!$B$5:$B$148,SBR!Z$4,'Apr11-Mar12 Billed-RETAIL'!$C$5:$C$148,SBR!$A8))*0.1</f>
        <v>350.40000000000003</v>
      </c>
      <c r="AA8" s="1240">
        <f>(SUMIFS('Apr11-Mar12 Billed-RETAIL'!$I$5:$I$148,'Apr11-Mar12 Billed-RETAIL'!$B$5:$B$148,SBR!AA$4,'Apr11-Mar12 Billed-RETAIL'!$C$5:$C$148,SBR!$A8)+SUMIFS('Apr11-Mar12 Billed-RETAIL'!$J$5:$J$148,'Apr11-Mar12 Billed-RETAIL'!$B$5:$B$148,SBR!AA$4,'Apr11-Mar12 Billed-RETAIL'!$C$5:$C$148,SBR!$A8))*0.1</f>
        <v>0</v>
      </c>
      <c r="AB8" s="1240">
        <f>(SUMIFS('Apr11-Mar12 Billed-RETAIL'!$I$5:$I$148,'Apr11-Mar12 Billed-RETAIL'!$B$5:$B$148,SBR!AB$4,'Apr11-Mar12 Billed-RETAIL'!$C$5:$C$148,SBR!$A8)+SUMIFS('Apr11-Mar12 Billed-RETAIL'!$J$5:$J$148,'Apr11-Mar12 Billed-RETAIL'!$B$5:$B$148,SBR!AB$4,'Apr11-Mar12 Billed-RETAIL'!$C$5:$C$148,SBR!$A8))*0.1</f>
        <v>0</v>
      </c>
      <c r="AC8" s="1240">
        <f>(SUMIFS('Apr11-Mar12 Billed-RETAIL'!$I$5:$I$148,'Apr11-Mar12 Billed-RETAIL'!$B$5:$B$148,SBR!AC$4,'Apr11-Mar12 Billed-RETAIL'!$C$5:$C$148,SBR!$A8)+SUMIFS('Apr11-Mar12 Billed-RETAIL'!$J$5:$J$148,'Apr11-Mar12 Billed-RETAIL'!$B$5:$B$148,SBR!AC$4,'Apr11-Mar12 Billed-RETAIL'!$C$5:$C$148,SBR!$A8))*0.1</f>
        <v>147.9</v>
      </c>
      <c r="AD8" s="1240">
        <f>(SUMIFS('Apr11-Mar12 Billed-RETAIL'!$I$5:$I$148,'Apr11-Mar12 Billed-RETAIL'!$B$5:$B$148,SBR!AD$4,'Apr11-Mar12 Billed-RETAIL'!$C$5:$C$148,SBR!$A8)+SUMIFS('Apr11-Mar12 Billed-RETAIL'!$J$5:$J$148,'Apr11-Mar12 Billed-RETAIL'!$B$5:$B$148,SBR!AD$4,'Apr11-Mar12 Billed-RETAIL'!$C$5:$C$148,SBR!$A8))*0.1</f>
        <v>52.800000000000004</v>
      </c>
      <c r="AE8" s="1240">
        <f>(SUMIFS('Apr11-Mar12 Billed-RETAIL'!$I$5:$I$148,'Apr11-Mar12 Billed-RETAIL'!$B$5:$B$148,SBR!AE$4,'Apr11-Mar12 Billed-RETAIL'!$C$5:$C$148,SBR!$A8)+SUMIFS('Apr11-Mar12 Billed-RETAIL'!$J$5:$J$148,'Apr11-Mar12 Billed-RETAIL'!$B$5:$B$148,SBR!AE$4,'Apr11-Mar12 Billed-RETAIL'!$C$5:$C$148,SBR!$A8))*0.1</f>
        <v>17.8</v>
      </c>
      <c r="AF8" s="1240">
        <f>(SUMIFS('Apr11-Mar12 Billed-RETAIL'!$I$5:$I$148,'Apr11-Mar12 Billed-RETAIL'!$B$5:$B$148,SBR!AF$4,'Apr11-Mar12 Billed-RETAIL'!$C$5:$C$148,SBR!$A8)+SUMIFS('Apr11-Mar12 Billed-RETAIL'!$J$5:$J$148,'Apr11-Mar12 Billed-RETAIL'!$B$5:$B$148,SBR!AF$4,'Apr11-Mar12 Billed-RETAIL'!$C$5:$C$148,SBR!$A8))*0.1</f>
        <v>4.9000000000000004</v>
      </c>
      <c r="AG8" s="1240">
        <f>(SUMIFS('Apr11-Mar12 Billed-RETAIL'!$I$5:$I$148,'Apr11-Mar12 Billed-RETAIL'!$B$5:$B$148,SBR!AG$4,'Apr11-Mar12 Billed-RETAIL'!$C$5:$C$148,SBR!$A8)+SUMIFS('Apr11-Mar12 Billed-RETAIL'!$J$5:$J$148,'Apr11-Mar12 Billed-RETAIL'!$B$5:$B$148,SBR!AG$4,'Apr11-Mar12 Billed-RETAIL'!$C$5:$C$148,SBR!$A8))*0.1</f>
        <v>2.7</v>
      </c>
      <c r="AH8" s="1240">
        <f>(SUMIFS('Apr11-Mar12 Billed-RETAIL'!$I$5:$I$148,'Apr11-Mar12 Billed-RETAIL'!$B$5:$B$148,SBR!AH$4,'Apr11-Mar12 Billed-RETAIL'!$C$5:$C$148,SBR!$A8)+SUMIFS('Apr11-Mar12 Billed-RETAIL'!$J$5:$J$148,'Apr11-Mar12 Billed-RETAIL'!$B$5:$B$148,SBR!AH$4,'Apr11-Mar12 Billed-RETAIL'!$C$5:$C$148,SBR!$A8))*0.1</f>
        <v>17</v>
      </c>
      <c r="AI8" s="1240">
        <f>(SUMIFS('Apr11-Mar12 Billed-RETAIL'!$I$5:$I$148,'Apr11-Mar12 Billed-RETAIL'!$B$5:$B$148,SBR!AI$4,'Apr11-Mar12 Billed-RETAIL'!$C$5:$C$148,SBR!$A8)+SUMIFS('Apr11-Mar12 Billed-RETAIL'!$J$5:$J$148,'Apr11-Mar12 Billed-RETAIL'!$B$5:$B$148,SBR!AI$4,'Apr11-Mar12 Billed-RETAIL'!$C$5:$C$148,SBR!$A8))*0.1</f>
        <v>62.2</v>
      </c>
      <c r="AJ8" s="1240">
        <f>(SUMIFS('Apr11-Mar12 Billed-RETAIL'!$I$5:$I$148,'Apr11-Mar12 Billed-RETAIL'!$B$5:$B$148,SBR!AJ$4,'Apr11-Mar12 Billed-RETAIL'!$C$5:$C$148,SBR!$A8)+SUMIFS('Apr11-Mar12 Billed-RETAIL'!$J$5:$J$148,'Apr11-Mar12 Billed-RETAIL'!$B$5:$B$148,SBR!AJ$4,'Apr11-Mar12 Billed-RETAIL'!$C$5:$C$148,SBR!$A8))*0.1</f>
        <v>172</v>
      </c>
      <c r="AK8" s="1240">
        <f>(SUMIFS('Apr11-Mar12 Billed-RETAIL'!$I$5:$I$148,'Apr11-Mar12 Billed-RETAIL'!$B$5:$B$148,SBR!AK$4,'Apr11-Mar12 Billed-RETAIL'!$C$5:$C$148,SBR!$A8)+SUMIFS('Apr11-Mar12 Billed-RETAIL'!$J$5:$J$148,'Apr11-Mar12 Billed-RETAIL'!$B$5:$B$148,SBR!AK$4,'Apr11-Mar12 Billed-RETAIL'!$C$5:$C$148,SBR!$A8))*0.1</f>
        <v>220.20000000000002</v>
      </c>
      <c r="AL8" s="1241">
        <f ca="1">SUMIFS('Apr11-Mar12 Billed-RETAIL'!$AW$5:$AW$148,'Apr11-Mar12 Billed-RETAIL'!$B$5:$B$148,SBR!AL$4,'Apr11-Mar12 Billed-RETAIL'!$C$5:$C$148,SBR!$A8)</f>
        <v>1650.53</v>
      </c>
      <c r="AM8" s="1241">
        <f ca="1">SUMIFS('Apr11-Mar12 Billed-RETAIL'!$AW$5:$AW$148,'Apr11-Mar12 Billed-RETAIL'!$B$5:$B$148,SBR!AM$4,'Apr11-Mar12 Billed-RETAIL'!$C$5:$C$148,SBR!$A8)</f>
        <v>0</v>
      </c>
      <c r="AN8" s="1241">
        <f ca="1">SUMIFS('Apr11-Mar12 Billed-RETAIL'!$AW$5:$AW$148,'Apr11-Mar12 Billed-RETAIL'!$B$5:$B$148,SBR!AN$4,'Apr11-Mar12 Billed-RETAIL'!$C$5:$C$148,SBR!$A8)</f>
        <v>0</v>
      </c>
      <c r="AO8" s="1241">
        <f ca="1">SUMIFS('Apr11-Mar12 Billed-RETAIL'!$AW$5:$AW$148,'Apr11-Mar12 Billed-RETAIL'!$B$5:$B$148,SBR!AO$4,'Apr11-Mar12 Billed-RETAIL'!$C$5:$C$148,SBR!$A8)</f>
        <v>713.5</v>
      </c>
      <c r="AP8" s="1241">
        <f ca="1">SUMIFS('Apr11-Mar12 Billed-RETAIL'!$AW$5:$AW$148,'Apr11-Mar12 Billed-RETAIL'!$B$5:$B$148,SBR!AP$4,'Apr11-Mar12 Billed-RETAIL'!$C$5:$C$148,SBR!$A8)</f>
        <v>270.33999999999997</v>
      </c>
      <c r="AQ8" s="1241">
        <f ca="1">SUMIFS('Apr11-Mar12 Billed-RETAIL'!$AW$5:$AW$148,'Apr11-Mar12 Billed-RETAIL'!$B$5:$B$148,SBR!AQ$4,'Apr11-Mar12 Billed-RETAIL'!$C$5:$C$148,SBR!$A8)</f>
        <v>92.4</v>
      </c>
      <c r="AR8" s="1241">
        <f ca="1">SUMIFS('Apr11-Mar12 Billed-RETAIL'!$AW$5:$AW$148,'Apr11-Mar12 Billed-RETAIL'!$B$5:$B$148,SBR!AR$4,'Apr11-Mar12 Billed-RETAIL'!$C$5:$C$148,SBR!$A8)</f>
        <v>25.8</v>
      </c>
      <c r="AS8" s="1241">
        <f ca="1">SUMIFS('Apr11-Mar12 Billed-RETAIL'!$AW$5:$AW$148,'Apr11-Mar12 Billed-RETAIL'!$B$5:$B$148,SBR!AS$4,'Apr11-Mar12 Billed-RETAIL'!$C$5:$C$148,SBR!$A8)</f>
        <v>14.41</v>
      </c>
      <c r="AT8" s="1241">
        <f ca="1">SUMIFS('Apr11-Mar12 Billed-RETAIL'!$AW$5:$AW$148,'Apr11-Mar12 Billed-RETAIL'!$B$5:$B$148,SBR!AT$4,'Apr11-Mar12 Billed-RETAIL'!$C$5:$C$148,SBR!$A8)</f>
        <v>88.12</v>
      </c>
      <c r="AU8" s="1241">
        <f ca="1">SUMIFS('Apr11-Mar12 Billed-RETAIL'!$AW$5:$AW$148,'Apr11-Mar12 Billed-RETAIL'!$B$5:$B$148,SBR!AU$4,'Apr11-Mar12 Billed-RETAIL'!$C$5:$C$148,SBR!$A8)</f>
        <v>321.07</v>
      </c>
      <c r="AV8" s="1241">
        <f ca="1">SUMIFS('Apr11-Mar12 Billed-RETAIL'!$AW$5:$AW$148,'Apr11-Mar12 Billed-RETAIL'!$B$5:$B$148,SBR!AV$4,'Apr11-Mar12 Billed-RETAIL'!$C$5:$C$148,SBR!$A8)</f>
        <v>822.01</v>
      </c>
      <c r="AW8" s="1241">
        <f ca="1">SUMIFS('Apr11-Mar12 Billed-RETAIL'!$AW$5:$AW$148,'Apr11-Mar12 Billed-RETAIL'!$B$5:$B$148,SBR!AW$4,'Apr11-Mar12 Billed-RETAIL'!$C$5:$C$148,SBR!$A8)</f>
        <v>1037.43</v>
      </c>
      <c r="AX8" s="571"/>
      <c r="AY8" s="571"/>
      <c r="AZ8" s="1242">
        <f ca="1">ROUND((AL8/SUM(AL$11+AL$17))*AZ$5,2)</f>
        <v>-0.11</v>
      </c>
      <c r="BA8" s="1242">
        <f t="shared" ca="1" si="5"/>
        <v>0</v>
      </c>
      <c r="BB8" s="1242">
        <f t="shared" ca="1" si="5"/>
        <v>0</v>
      </c>
      <c r="BC8" s="1242">
        <f t="shared" ca="1" si="5"/>
        <v>-7.0000000000000007E-2</v>
      </c>
      <c r="BD8" s="1242">
        <f t="shared" ca="1" si="5"/>
        <v>-0.04</v>
      </c>
      <c r="BE8" s="1242">
        <f t="shared" ca="1" si="5"/>
        <v>-0.01</v>
      </c>
      <c r="BF8" s="1242">
        <f t="shared" ca="1" si="5"/>
        <v>-0.01</v>
      </c>
      <c r="BG8" s="1242">
        <f t="shared" ca="1" si="5"/>
        <v>0</v>
      </c>
      <c r="BH8" s="1242">
        <f t="shared" ca="1" si="5"/>
        <v>-0.01</v>
      </c>
      <c r="BI8" s="1242">
        <f t="shared" ca="1" si="5"/>
        <v>0</v>
      </c>
      <c r="BJ8" s="1242">
        <f t="shared" ca="1" si="5"/>
        <v>0</v>
      </c>
      <c r="BK8" s="1242">
        <f t="shared" ca="1" si="5"/>
        <v>-0.1</v>
      </c>
      <c r="BL8" s="1242"/>
    </row>
    <row r="9" spans="1:64" x14ac:dyDescent="0.2">
      <c r="A9" s="1239" t="s">
        <v>59</v>
      </c>
      <c r="B9" s="1080" t="s">
        <v>60</v>
      </c>
      <c r="C9" s="569">
        <f>SUM(N9:Y9)</f>
        <v>0</v>
      </c>
      <c r="D9" s="574">
        <f>SUM(Z9:AK9)</f>
        <v>1255.9000000000001</v>
      </c>
      <c r="E9" s="569">
        <f ca="1">SUM(AL9:AW9)+SUM(AZ9:BK9)</f>
        <v>10518.13</v>
      </c>
      <c r="F9" s="569"/>
      <c r="G9" s="569">
        <f>SUM(N9:P9,X9:Y9)</f>
        <v>0</v>
      </c>
      <c r="H9" s="574">
        <f>SUM(Z9:AB9,AJ9:AK9)</f>
        <v>938.80000000000007</v>
      </c>
      <c r="I9" s="569">
        <f ca="1">SUM(AL9:AN9,AV9:AW9)+SUM(AZ9:BB9,BJ9:BK9)</f>
        <v>7631.4599999999991</v>
      </c>
      <c r="J9" s="569"/>
      <c r="K9" s="569">
        <f>SUM(Q9:W9)</f>
        <v>0</v>
      </c>
      <c r="L9" s="574">
        <f>SUM(AC9:AI9)</f>
        <v>317.10000000000002</v>
      </c>
      <c r="M9" s="569">
        <f ca="1">SUM(AO9:AU9)+SUM(BC9:BI9)</f>
        <v>2886.67</v>
      </c>
      <c r="N9" s="569"/>
      <c r="O9" s="569"/>
      <c r="P9" s="569"/>
      <c r="Q9" s="569"/>
      <c r="R9" s="569"/>
      <c r="S9" s="569"/>
      <c r="T9" s="569"/>
      <c r="U9" s="569"/>
      <c r="V9" s="569"/>
      <c r="W9" s="569"/>
      <c r="X9" s="569"/>
      <c r="Y9" s="569"/>
      <c r="Z9" s="1240">
        <f>(SUMIFS('Apr11-Mar12 Billed-RETAIL'!$I$5:$I$148,'Apr11-Mar12 Billed-RETAIL'!$B$5:$B$148,SBR!Z$4,'Apr11-Mar12 Billed-RETAIL'!$C$5:$C$148,SBR!$A9)+SUMIFS('Apr11-Mar12 Billed-RETAIL'!$J$5:$J$148,'Apr11-Mar12 Billed-RETAIL'!$B$5:$B$148,SBR!Z$4,'Apr11-Mar12 Billed-RETAIL'!$C$5:$C$148,SBR!$A9))*0.1</f>
        <v>282.40000000000003</v>
      </c>
      <c r="AA9" s="1240">
        <f>(SUMIFS('Apr11-Mar12 Billed-RETAIL'!$I$5:$I$148,'Apr11-Mar12 Billed-RETAIL'!$B$5:$B$148,SBR!AA$4,'Apr11-Mar12 Billed-RETAIL'!$C$5:$C$148,SBR!$A9)+SUMIFS('Apr11-Mar12 Billed-RETAIL'!$J$5:$J$148,'Apr11-Mar12 Billed-RETAIL'!$B$5:$B$148,SBR!AA$4,'Apr11-Mar12 Billed-RETAIL'!$C$5:$C$148,SBR!$A9))*0.1</f>
        <v>265.90000000000003</v>
      </c>
      <c r="AB9" s="1240">
        <f>(SUMIFS('Apr11-Mar12 Billed-RETAIL'!$I$5:$I$148,'Apr11-Mar12 Billed-RETAIL'!$B$5:$B$148,SBR!AB$4,'Apr11-Mar12 Billed-RETAIL'!$C$5:$C$148,SBR!$A9)+SUMIFS('Apr11-Mar12 Billed-RETAIL'!$J$5:$J$148,'Apr11-Mar12 Billed-RETAIL'!$B$5:$B$148,SBR!AB$4,'Apr11-Mar12 Billed-RETAIL'!$C$5:$C$148,SBR!$A9))*0.1</f>
        <v>156.60000000000002</v>
      </c>
      <c r="AC9" s="1240">
        <f>(SUMIFS('Apr11-Mar12 Billed-RETAIL'!$I$5:$I$148,'Apr11-Mar12 Billed-RETAIL'!$B$5:$B$148,SBR!AC$4,'Apr11-Mar12 Billed-RETAIL'!$C$5:$C$148,SBR!$A9)+SUMIFS('Apr11-Mar12 Billed-RETAIL'!$J$5:$J$148,'Apr11-Mar12 Billed-RETAIL'!$B$5:$B$148,SBR!AC$4,'Apr11-Mar12 Billed-RETAIL'!$C$5:$C$148,SBR!$A9))*0.1</f>
        <v>100.4</v>
      </c>
      <c r="AD9" s="1240">
        <f>(SUMIFS('Apr11-Mar12 Billed-RETAIL'!$I$5:$I$148,'Apr11-Mar12 Billed-RETAIL'!$B$5:$B$148,SBR!AD$4,'Apr11-Mar12 Billed-RETAIL'!$C$5:$C$148,SBR!$A9)+SUMIFS('Apr11-Mar12 Billed-RETAIL'!$J$5:$J$148,'Apr11-Mar12 Billed-RETAIL'!$B$5:$B$148,SBR!AD$4,'Apr11-Mar12 Billed-RETAIL'!$C$5:$C$148,SBR!$A9))*0.1</f>
        <v>42.7</v>
      </c>
      <c r="AE9" s="1240">
        <f>(SUMIFS('Apr11-Mar12 Billed-RETAIL'!$I$5:$I$148,'Apr11-Mar12 Billed-RETAIL'!$B$5:$B$148,SBR!AE$4,'Apr11-Mar12 Billed-RETAIL'!$C$5:$C$148,SBR!$A9)+SUMIFS('Apr11-Mar12 Billed-RETAIL'!$J$5:$J$148,'Apr11-Mar12 Billed-RETAIL'!$B$5:$B$148,SBR!AE$4,'Apr11-Mar12 Billed-RETAIL'!$C$5:$C$148,SBR!$A9))*0.1</f>
        <v>33.5</v>
      </c>
      <c r="AF9" s="1240">
        <f>(SUMIFS('Apr11-Mar12 Billed-RETAIL'!$I$5:$I$148,'Apr11-Mar12 Billed-RETAIL'!$B$5:$B$148,SBR!AF$4,'Apr11-Mar12 Billed-RETAIL'!$C$5:$C$148,SBR!$A9)+SUMIFS('Apr11-Mar12 Billed-RETAIL'!$J$5:$J$148,'Apr11-Mar12 Billed-RETAIL'!$B$5:$B$148,SBR!AF$4,'Apr11-Mar12 Billed-RETAIL'!$C$5:$C$148,SBR!$A9))*0.1</f>
        <v>34.5</v>
      </c>
      <c r="AG9" s="1240">
        <f>(SUMIFS('Apr11-Mar12 Billed-RETAIL'!$I$5:$I$148,'Apr11-Mar12 Billed-RETAIL'!$B$5:$B$148,SBR!AG$4,'Apr11-Mar12 Billed-RETAIL'!$C$5:$C$148,SBR!$A9)+SUMIFS('Apr11-Mar12 Billed-RETAIL'!$J$5:$J$148,'Apr11-Mar12 Billed-RETAIL'!$B$5:$B$148,SBR!AG$4,'Apr11-Mar12 Billed-RETAIL'!$C$5:$C$148,SBR!$A9))*0.1</f>
        <v>32.200000000000003</v>
      </c>
      <c r="AH9" s="1240">
        <f>(SUMIFS('Apr11-Mar12 Billed-RETAIL'!$I$5:$I$148,'Apr11-Mar12 Billed-RETAIL'!$B$5:$B$148,SBR!AH$4,'Apr11-Mar12 Billed-RETAIL'!$C$5:$C$148,SBR!$A9)+SUMIFS('Apr11-Mar12 Billed-RETAIL'!$J$5:$J$148,'Apr11-Mar12 Billed-RETAIL'!$B$5:$B$148,SBR!AH$4,'Apr11-Mar12 Billed-RETAIL'!$C$5:$C$148,SBR!$A9))*0.1</f>
        <v>35.5</v>
      </c>
      <c r="AI9" s="1240">
        <f>(SUMIFS('Apr11-Mar12 Billed-RETAIL'!$I$5:$I$148,'Apr11-Mar12 Billed-RETAIL'!$B$5:$B$148,SBR!AI$4,'Apr11-Mar12 Billed-RETAIL'!$C$5:$C$148,SBR!$A9)+SUMIFS('Apr11-Mar12 Billed-RETAIL'!$J$5:$J$148,'Apr11-Mar12 Billed-RETAIL'!$B$5:$B$148,SBR!AI$4,'Apr11-Mar12 Billed-RETAIL'!$C$5:$C$148,SBR!$A9))*0.1</f>
        <v>38.300000000000004</v>
      </c>
      <c r="AJ9" s="1240">
        <f>(SUMIFS('Apr11-Mar12 Billed-RETAIL'!$I$5:$I$148,'Apr11-Mar12 Billed-RETAIL'!$B$5:$B$148,SBR!AJ$4,'Apr11-Mar12 Billed-RETAIL'!$C$5:$C$148,SBR!$A9)+SUMIFS('Apr11-Mar12 Billed-RETAIL'!$J$5:$J$148,'Apr11-Mar12 Billed-RETAIL'!$B$5:$B$148,SBR!AJ$4,'Apr11-Mar12 Billed-RETAIL'!$C$5:$C$148,SBR!$A9))*0.1</f>
        <v>69.8</v>
      </c>
      <c r="AK9" s="1240">
        <f>(SUMIFS('Apr11-Mar12 Billed-RETAIL'!$I$5:$I$148,'Apr11-Mar12 Billed-RETAIL'!$B$5:$B$148,SBR!AK$4,'Apr11-Mar12 Billed-RETAIL'!$C$5:$C$148,SBR!$A9)+SUMIFS('Apr11-Mar12 Billed-RETAIL'!$J$5:$J$148,'Apr11-Mar12 Billed-RETAIL'!$B$5:$B$148,SBR!AK$4,'Apr11-Mar12 Billed-RETAIL'!$C$5:$C$148,SBR!$A9))*0.1</f>
        <v>164.10000000000002</v>
      </c>
      <c r="AL9" s="1241">
        <f ca="1">SUMIFS('Apr11-Mar12 Billed-RETAIL'!$AW$5:$AW$148,'Apr11-Mar12 Billed-RETAIL'!$B$5:$B$148,SBR!AL$4,'Apr11-Mar12 Billed-RETAIL'!$C$5:$C$148,SBR!$A9)</f>
        <v>2320.2199999999998</v>
      </c>
      <c r="AM9" s="1241">
        <f ca="1">SUMIFS('Apr11-Mar12 Billed-RETAIL'!$AW$5:$AW$148,'Apr11-Mar12 Billed-RETAIL'!$B$5:$B$148,SBR!AM$4,'Apr11-Mar12 Billed-RETAIL'!$C$5:$C$148,SBR!$A9)</f>
        <v>2098.15</v>
      </c>
      <c r="AN9" s="1241">
        <f ca="1">SUMIFS('Apr11-Mar12 Billed-RETAIL'!$AW$5:$AW$148,'Apr11-Mar12 Billed-RETAIL'!$B$5:$B$148,SBR!AN$4,'Apr11-Mar12 Billed-RETAIL'!$C$5:$C$148,SBR!$A9)</f>
        <v>1260.1600000000001</v>
      </c>
      <c r="AO9" s="1241">
        <f ca="1">SUMIFS('Apr11-Mar12 Billed-RETAIL'!$AW$5:$AW$148,'Apr11-Mar12 Billed-RETAIL'!$B$5:$B$148,SBR!AO$4,'Apr11-Mar12 Billed-RETAIL'!$C$5:$C$148,SBR!$A9)</f>
        <v>852.09</v>
      </c>
      <c r="AP9" s="1241">
        <f ca="1">SUMIFS('Apr11-Mar12 Billed-RETAIL'!$AW$5:$AW$148,'Apr11-Mar12 Billed-RETAIL'!$B$5:$B$148,SBR!AP$4,'Apr11-Mar12 Billed-RETAIL'!$C$5:$C$148,SBR!$A9)</f>
        <v>386.4</v>
      </c>
      <c r="AQ9" s="1241">
        <f ca="1">SUMIFS('Apr11-Mar12 Billed-RETAIL'!$AW$5:$AW$148,'Apr11-Mar12 Billed-RETAIL'!$B$5:$B$148,SBR!AQ$4,'Apr11-Mar12 Billed-RETAIL'!$C$5:$C$148,SBR!$A9)</f>
        <v>319.42</v>
      </c>
      <c r="AR9" s="1241">
        <f ca="1">SUMIFS('Apr11-Mar12 Billed-RETAIL'!$AW$5:$AW$148,'Apr11-Mar12 Billed-RETAIL'!$B$5:$B$148,SBR!AR$4,'Apr11-Mar12 Billed-RETAIL'!$C$5:$C$148,SBR!$A9)</f>
        <v>327.47000000000003</v>
      </c>
      <c r="AS9" s="1241">
        <f ca="1">SUMIFS('Apr11-Mar12 Billed-RETAIL'!$AW$5:$AW$148,'Apr11-Mar12 Billed-RETAIL'!$B$5:$B$148,SBR!AS$4,'Apr11-Mar12 Billed-RETAIL'!$C$5:$C$148,SBR!$A9)</f>
        <v>308.8</v>
      </c>
      <c r="AT9" s="1241">
        <f ca="1">SUMIFS('Apr11-Mar12 Billed-RETAIL'!$AW$5:$AW$148,'Apr11-Mar12 Billed-RETAIL'!$B$5:$B$148,SBR!AT$4,'Apr11-Mar12 Billed-RETAIL'!$C$5:$C$148,SBR!$A9)</f>
        <v>335.17</v>
      </c>
      <c r="AU9" s="1241">
        <f ca="1">SUMIFS('Apr11-Mar12 Billed-RETAIL'!$AW$5:$AW$148,'Apr11-Mar12 Billed-RETAIL'!$B$5:$B$148,SBR!AU$4,'Apr11-Mar12 Billed-RETAIL'!$C$5:$C$148,SBR!$A9)</f>
        <v>357.68</v>
      </c>
      <c r="AV9" s="1241">
        <f ca="1">SUMIFS('Apr11-Mar12 Billed-RETAIL'!$AW$5:$AW$148,'Apr11-Mar12 Billed-RETAIL'!$B$5:$B$148,SBR!AV$4,'Apr11-Mar12 Billed-RETAIL'!$C$5:$C$148,SBR!$A9)</f>
        <v>599.11</v>
      </c>
      <c r="AW9" s="1241">
        <f ca="1">SUMIFS('Apr11-Mar12 Billed-RETAIL'!$AW$5:$AW$148,'Apr11-Mar12 Billed-RETAIL'!$B$5:$B$148,SBR!AW$4,'Apr11-Mar12 Billed-RETAIL'!$C$5:$C$148,SBR!$A9)</f>
        <v>1354.38</v>
      </c>
      <c r="AX9" s="571"/>
      <c r="AY9" s="571"/>
      <c r="AZ9" s="1242">
        <f ca="1">ROUND((AL9/SUM(AL$11+AL$17))*AZ$5,2)</f>
        <v>-0.15</v>
      </c>
      <c r="BA9" s="1242">
        <f t="shared" ca="1" si="5"/>
        <v>-0.13</v>
      </c>
      <c r="BB9" s="1242">
        <f t="shared" ca="1" si="5"/>
        <v>-0.15</v>
      </c>
      <c r="BC9" s="1242">
        <f t="shared" ca="1" si="5"/>
        <v>-0.09</v>
      </c>
      <c r="BD9" s="1242">
        <f t="shared" ca="1" si="5"/>
        <v>-0.06</v>
      </c>
      <c r="BE9" s="1242">
        <f t="shared" ca="1" si="5"/>
        <v>-0.04</v>
      </c>
      <c r="BF9" s="1242">
        <f t="shared" ca="1" si="5"/>
        <v>-0.09</v>
      </c>
      <c r="BG9" s="1242">
        <f t="shared" ca="1" si="5"/>
        <v>-0.05</v>
      </c>
      <c r="BH9" s="1242">
        <f t="shared" ca="1" si="5"/>
        <v>-0.03</v>
      </c>
      <c r="BI9" s="1242">
        <f t="shared" ca="1" si="5"/>
        <v>0</v>
      </c>
      <c r="BJ9" s="1242">
        <f t="shared" ca="1" si="5"/>
        <v>0</v>
      </c>
      <c r="BK9" s="1242">
        <f t="shared" ca="1" si="5"/>
        <v>-0.13</v>
      </c>
      <c r="BL9" s="1242"/>
    </row>
    <row r="10" spans="1:64" ht="15" x14ac:dyDescent="0.35">
      <c r="A10" s="1239" t="s">
        <v>49</v>
      </c>
      <c r="B10" s="1080" t="s">
        <v>50</v>
      </c>
      <c r="C10" s="577">
        <f>SUM(N10:Y10)</f>
        <v>0</v>
      </c>
      <c r="D10" s="578">
        <f>SUM(Z10:AK10)</f>
        <v>38.4</v>
      </c>
      <c r="E10" s="577">
        <f ca="1">SUM(AL10:AW10)+SUM(AZ10:BK10)</f>
        <v>598.7299999999999</v>
      </c>
      <c r="F10" s="589"/>
      <c r="G10" s="1243">
        <f>SUM(N10:P10,X10:Y10)</f>
        <v>0</v>
      </c>
      <c r="H10" s="1244">
        <f>SUM(Z10:AB10,AJ10:AK10)</f>
        <v>16</v>
      </c>
      <c r="I10" s="1243">
        <f ca="1">SUM(AL10:AN10,AV10:AW10)+SUM(AZ10:BB10,BJ10:BK10)</f>
        <v>245.22000000000003</v>
      </c>
      <c r="J10" s="569"/>
      <c r="K10" s="1243">
        <f>SUM(Q10:W10)</f>
        <v>0</v>
      </c>
      <c r="L10" s="1244">
        <f>SUM(AC10:AI10)</f>
        <v>22.4</v>
      </c>
      <c r="M10" s="1243">
        <f ca="1">SUM(AO10:AU10)+SUM(BC10:BI10)</f>
        <v>353.51</v>
      </c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1245">
        <f>(SUMIFS('Apr11-Mar12 Billed-RETAIL'!$I$5:$I$148,'Apr11-Mar12 Billed-RETAIL'!$B$5:$B$148,SBR!Z$4,'Apr11-Mar12 Billed-RETAIL'!$C$5:$C$148,SBR!$A10)+SUMIFS('Apr11-Mar12 Billed-RETAIL'!$J$5:$J$148,'Apr11-Mar12 Billed-RETAIL'!$B$5:$B$148,SBR!Z$4,'Apr11-Mar12 Billed-RETAIL'!$C$5:$C$148,SBR!$A10))*0.1</f>
        <v>3.2</v>
      </c>
      <c r="AA10" s="1245">
        <f>(SUMIFS('Apr11-Mar12 Billed-RETAIL'!$I$5:$I$148,'Apr11-Mar12 Billed-RETAIL'!$B$5:$B$148,SBR!AA$4,'Apr11-Mar12 Billed-RETAIL'!$C$5:$C$148,SBR!$A10)+SUMIFS('Apr11-Mar12 Billed-RETAIL'!$J$5:$J$148,'Apr11-Mar12 Billed-RETAIL'!$B$5:$B$148,SBR!AA$4,'Apr11-Mar12 Billed-RETAIL'!$C$5:$C$148,SBR!$A10))*0.1</f>
        <v>3.2</v>
      </c>
      <c r="AB10" s="1245">
        <f>(SUMIFS('Apr11-Mar12 Billed-RETAIL'!$I$5:$I$148,'Apr11-Mar12 Billed-RETAIL'!$B$5:$B$148,SBR!AB$4,'Apr11-Mar12 Billed-RETAIL'!$C$5:$C$148,SBR!$A10)+SUMIFS('Apr11-Mar12 Billed-RETAIL'!$J$5:$J$148,'Apr11-Mar12 Billed-RETAIL'!$B$5:$B$148,SBR!AB$4,'Apr11-Mar12 Billed-RETAIL'!$C$5:$C$148,SBR!$A10))*0.1</f>
        <v>3.2</v>
      </c>
      <c r="AC10" s="1245">
        <f>(SUMIFS('Apr11-Mar12 Billed-RETAIL'!$I$5:$I$148,'Apr11-Mar12 Billed-RETAIL'!$B$5:$B$148,SBR!AC$4,'Apr11-Mar12 Billed-RETAIL'!$C$5:$C$148,SBR!$A10)+SUMIFS('Apr11-Mar12 Billed-RETAIL'!$J$5:$J$148,'Apr11-Mar12 Billed-RETAIL'!$B$5:$B$148,SBR!AC$4,'Apr11-Mar12 Billed-RETAIL'!$C$5:$C$148,SBR!$A10))*0.1</f>
        <v>3.2</v>
      </c>
      <c r="AD10" s="1245">
        <f>(SUMIFS('Apr11-Mar12 Billed-RETAIL'!$I$5:$I$148,'Apr11-Mar12 Billed-RETAIL'!$B$5:$B$148,SBR!AD$4,'Apr11-Mar12 Billed-RETAIL'!$C$5:$C$148,SBR!$A10)+SUMIFS('Apr11-Mar12 Billed-RETAIL'!$J$5:$J$148,'Apr11-Mar12 Billed-RETAIL'!$B$5:$B$148,SBR!AD$4,'Apr11-Mar12 Billed-RETAIL'!$C$5:$C$148,SBR!$A10))*0.1</f>
        <v>3.2</v>
      </c>
      <c r="AE10" s="1245">
        <f>(SUMIFS('Apr11-Mar12 Billed-RETAIL'!$I$5:$I$148,'Apr11-Mar12 Billed-RETAIL'!$B$5:$B$148,SBR!AE$4,'Apr11-Mar12 Billed-RETAIL'!$C$5:$C$148,SBR!$A10)+SUMIFS('Apr11-Mar12 Billed-RETAIL'!$J$5:$J$148,'Apr11-Mar12 Billed-RETAIL'!$B$5:$B$148,SBR!AE$4,'Apr11-Mar12 Billed-RETAIL'!$C$5:$C$148,SBR!$A10))*0.1</f>
        <v>3.2</v>
      </c>
      <c r="AF10" s="1245">
        <f>(SUMIFS('Apr11-Mar12 Billed-RETAIL'!$I$5:$I$148,'Apr11-Mar12 Billed-RETAIL'!$B$5:$B$148,SBR!AF$4,'Apr11-Mar12 Billed-RETAIL'!$C$5:$C$148,SBR!$A10)+SUMIFS('Apr11-Mar12 Billed-RETAIL'!$J$5:$J$148,'Apr11-Mar12 Billed-RETAIL'!$B$5:$B$148,SBR!AF$4,'Apr11-Mar12 Billed-RETAIL'!$C$5:$C$148,SBR!$A10))*0.1</f>
        <v>3.2</v>
      </c>
      <c r="AG10" s="1245">
        <f>(SUMIFS('Apr11-Mar12 Billed-RETAIL'!$I$5:$I$148,'Apr11-Mar12 Billed-RETAIL'!$B$5:$B$148,SBR!AG$4,'Apr11-Mar12 Billed-RETAIL'!$C$5:$C$148,SBR!$A10)+SUMIFS('Apr11-Mar12 Billed-RETAIL'!$J$5:$J$148,'Apr11-Mar12 Billed-RETAIL'!$B$5:$B$148,SBR!AG$4,'Apr11-Mar12 Billed-RETAIL'!$C$5:$C$148,SBR!$A10))*0.1</f>
        <v>3.2</v>
      </c>
      <c r="AH10" s="1245">
        <f>(SUMIFS('Apr11-Mar12 Billed-RETAIL'!$I$5:$I$148,'Apr11-Mar12 Billed-RETAIL'!$B$5:$B$148,SBR!AH$4,'Apr11-Mar12 Billed-RETAIL'!$C$5:$C$148,SBR!$A10)+SUMIFS('Apr11-Mar12 Billed-RETAIL'!$J$5:$J$148,'Apr11-Mar12 Billed-RETAIL'!$B$5:$B$148,SBR!AH$4,'Apr11-Mar12 Billed-RETAIL'!$C$5:$C$148,SBR!$A10))*0.1</f>
        <v>3.2</v>
      </c>
      <c r="AI10" s="1245">
        <f>(SUMIFS('Apr11-Mar12 Billed-RETAIL'!$I$5:$I$148,'Apr11-Mar12 Billed-RETAIL'!$B$5:$B$148,SBR!AI$4,'Apr11-Mar12 Billed-RETAIL'!$C$5:$C$148,SBR!$A10)+SUMIFS('Apr11-Mar12 Billed-RETAIL'!$J$5:$J$148,'Apr11-Mar12 Billed-RETAIL'!$B$5:$B$148,SBR!AI$4,'Apr11-Mar12 Billed-RETAIL'!$C$5:$C$148,SBR!$A10))*0.1</f>
        <v>3.2</v>
      </c>
      <c r="AJ10" s="1245">
        <f>(SUMIFS('Apr11-Mar12 Billed-RETAIL'!$I$5:$I$148,'Apr11-Mar12 Billed-RETAIL'!$B$5:$B$148,SBR!AJ$4,'Apr11-Mar12 Billed-RETAIL'!$C$5:$C$148,SBR!$A10)+SUMIFS('Apr11-Mar12 Billed-RETAIL'!$J$5:$J$148,'Apr11-Mar12 Billed-RETAIL'!$B$5:$B$148,SBR!AJ$4,'Apr11-Mar12 Billed-RETAIL'!$C$5:$C$148,SBR!$A10))*0.1</f>
        <v>3.2</v>
      </c>
      <c r="AK10" s="1245">
        <f>(SUMIFS('Apr11-Mar12 Billed-RETAIL'!$I$5:$I$148,'Apr11-Mar12 Billed-RETAIL'!$B$5:$B$148,SBR!AK$4,'Apr11-Mar12 Billed-RETAIL'!$C$5:$C$148,SBR!$A10)+SUMIFS('Apr11-Mar12 Billed-RETAIL'!$J$5:$J$148,'Apr11-Mar12 Billed-RETAIL'!$B$5:$B$148,SBR!AK$4,'Apr11-Mar12 Billed-RETAIL'!$C$5:$C$148,SBR!$A10))*0.1</f>
        <v>3.2</v>
      </c>
      <c r="AL10" s="1246">
        <f ca="1">SUMIFS('Apr11-Mar12 Billed-RETAIL'!$AW$5:$AW$148,'Apr11-Mar12 Billed-RETAIL'!$B$5:$B$148,SBR!AL$4,'Apr11-Mar12 Billed-RETAIL'!$C$5:$C$148,SBR!$A10)</f>
        <v>49.5</v>
      </c>
      <c r="AM10" s="1246">
        <f ca="1">SUMIFS('Apr11-Mar12 Billed-RETAIL'!$AW$5:$AW$148,'Apr11-Mar12 Billed-RETAIL'!$B$5:$B$148,SBR!AM$4,'Apr11-Mar12 Billed-RETAIL'!$C$5:$C$148,SBR!$A10)</f>
        <v>48.5</v>
      </c>
      <c r="AN10" s="1246">
        <f ca="1">SUMIFS('Apr11-Mar12 Billed-RETAIL'!$AW$5:$AW$148,'Apr11-Mar12 Billed-RETAIL'!$B$5:$B$148,SBR!AN$4,'Apr11-Mar12 Billed-RETAIL'!$C$5:$C$148,SBR!$A10)</f>
        <v>48.17</v>
      </c>
      <c r="AO10" s="1246">
        <f ca="1">SUMIFS('Apr11-Mar12 Billed-RETAIL'!$AW$5:$AW$148,'Apr11-Mar12 Billed-RETAIL'!$B$5:$B$148,SBR!AO$4,'Apr11-Mar12 Billed-RETAIL'!$C$5:$C$148,SBR!$A10)</f>
        <v>49.6</v>
      </c>
      <c r="AP10" s="1246">
        <f ca="1">SUMIFS('Apr11-Mar12 Billed-RETAIL'!$AW$5:$AW$148,'Apr11-Mar12 Billed-RETAIL'!$B$5:$B$148,SBR!AP$4,'Apr11-Mar12 Billed-RETAIL'!$C$5:$C$148,SBR!$A10)</f>
        <v>50.35</v>
      </c>
      <c r="AQ10" s="1246">
        <f ca="1">SUMIFS('Apr11-Mar12 Billed-RETAIL'!$AW$5:$AW$148,'Apr11-Mar12 Billed-RETAIL'!$B$5:$B$148,SBR!AQ$4,'Apr11-Mar12 Billed-RETAIL'!$C$5:$C$148,SBR!$A10)</f>
        <v>50.74</v>
      </c>
      <c r="AR10" s="1246">
        <f ca="1">SUMIFS('Apr11-Mar12 Billed-RETAIL'!$AW$5:$AW$148,'Apr11-Mar12 Billed-RETAIL'!$B$5:$B$148,SBR!AR$4,'Apr11-Mar12 Billed-RETAIL'!$C$5:$C$148,SBR!$A10)</f>
        <v>50.74</v>
      </c>
      <c r="AS10" s="1246">
        <f ca="1">SUMIFS('Apr11-Mar12 Billed-RETAIL'!$AW$5:$AW$148,'Apr11-Mar12 Billed-RETAIL'!$B$5:$B$148,SBR!AS$4,'Apr11-Mar12 Billed-RETAIL'!$C$5:$C$148,SBR!$A10)</f>
        <v>50.72</v>
      </c>
      <c r="AT10" s="1246">
        <f ca="1">SUMIFS('Apr11-Mar12 Billed-RETAIL'!$AW$5:$AW$148,'Apr11-Mar12 Billed-RETAIL'!$B$5:$B$148,SBR!AT$4,'Apr11-Mar12 Billed-RETAIL'!$C$5:$C$148,SBR!$A10)</f>
        <v>50.71</v>
      </c>
      <c r="AU10" s="1246">
        <f ca="1">SUMIFS('Apr11-Mar12 Billed-RETAIL'!$AW$5:$AW$148,'Apr11-Mar12 Billed-RETAIL'!$B$5:$B$148,SBR!AU$4,'Apr11-Mar12 Billed-RETAIL'!$C$5:$C$148,SBR!$A10)</f>
        <v>50.71</v>
      </c>
      <c r="AV10" s="1246">
        <f ca="1">SUMIFS('Apr11-Mar12 Billed-RETAIL'!$AW$5:$AW$148,'Apr11-Mar12 Billed-RETAIL'!$B$5:$B$148,SBR!AV$4,'Apr11-Mar12 Billed-RETAIL'!$C$5:$C$148,SBR!$A10)</f>
        <v>49.78</v>
      </c>
      <c r="AW10" s="1246">
        <f ca="1">SUMIFS('Apr11-Mar12 Billed-RETAIL'!$AW$5:$AW$148,'Apr11-Mar12 Billed-RETAIL'!$B$5:$B$148,SBR!AW$4,'Apr11-Mar12 Billed-RETAIL'!$C$5:$C$148,SBR!$A10)</f>
        <v>49.28</v>
      </c>
      <c r="AX10" s="571"/>
      <c r="AY10" s="571"/>
      <c r="AZ10" s="1247">
        <f ca="1">ROUND((AL10/SUM(AL$11+AL$17))*AZ$5,2)</f>
        <v>0</v>
      </c>
      <c r="BA10" s="1247">
        <f t="shared" ca="1" si="5"/>
        <v>0</v>
      </c>
      <c r="BB10" s="1247">
        <f t="shared" ca="1" si="5"/>
        <v>-0.01</v>
      </c>
      <c r="BC10" s="1247">
        <f t="shared" ca="1" si="5"/>
        <v>-0.01</v>
      </c>
      <c r="BD10" s="1247">
        <f t="shared" ca="1" si="5"/>
        <v>-0.01</v>
      </c>
      <c r="BE10" s="1247">
        <f t="shared" ca="1" si="5"/>
        <v>-0.01</v>
      </c>
      <c r="BF10" s="1247">
        <f t="shared" ca="1" si="5"/>
        <v>-0.01</v>
      </c>
      <c r="BG10" s="1247">
        <f t="shared" ca="1" si="5"/>
        <v>-0.01</v>
      </c>
      <c r="BH10" s="1247">
        <f t="shared" ca="1" si="5"/>
        <v>-0.01</v>
      </c>
      <c r="BI10" s="1247">
        <f t="shared" ca="1" si="5"/>
        <v>0</v>
      </c>
      <c r="BJ10" s="1247">
        <f t="shared" ca="1" si="5"/>
        <v>0</v>
      </c>
      <c r="BK10" s="1247">
        <f t="shared" ca="1" si="5"/>
        <v>0</v>
      </c>
      <c r="BL10" s="1247"/>
    </row>
    <row r="11" spans="1:64" x14ac:dyDescent="0.2">
      <c r="B11" s="579" t="s">
        <v>684</v>
      </c>
      <c r="C11" s="569">
        <f>SUM(N11:Y11)</f>
        <v>3492362</v>
      </c>
      <c r="D11" s="574">
        <f>SUM(Z11:AK11)</f>
        <v>17455190.600000001</v>
      </c>
      <c r="E11" s="569">
        <f ca="1">SUM(AL11:AW11)+SUM(AZ11:BK11)</f>
        <v>182088844.44</v>
      </c>
      <c r="F11" s="569"/>
      <c r="G11" s="569">
        <f>SUM(N11:P11,X11:Y11)</f>
        <v>1456356</v>
      </c>
      <c r="H11" s="574">
        <f>SUM(Z11:AB11,AJ11:AK11)</f>
        <v>12577843.5</v>
      </c>
      <c r="I11" s="569">
        <f ca="1">SUM(AL11:AN11,AV11:AW11)+SUM(AZ11:BB11,BJ11:BK11)</f>
        <v>117606244.58</v>
      </c>
      <c r="J11" s="569"/>
      <c r="K11" s="569">
        <f>SUM(Q11:W11)</f>
        <v>2036006</v>
      </c>
      <c r="L11" s="574">
        <f>SUM(AC11:AI11)</f>
        <v>4877347.0999999996</v>
      </c>
      <c r="M11" s="569">
        <f ca="1">SUM(AO11:AU11)+SUM(BC11:BI11)</f>
        <v>64482599.859999999</v>
      </c>
      <c r="N11" s="580">
        <v>293808</v>
      </c>
      <c r="O11" s="580">
        <v>291711</v>
      </c>
      <c r="P11" s="580">
        <v>292094</v>
      </c>
      <c r="Q11" s="580">
        <v>291768</v>
      </c>
      <c r="R11" s="580">
        <v>291149</v>
      </c>
      <c r="S11" s="580">
        <v>291181</v>
      </c>
      <c r="T11" s="580">
        <v>290107</v>
      </c>
      <c r="U11" s="580">
        <v>291137</v>
      </c>
      <c r="V11" s="580">
        <v>290586</v>
      </c>
      <c r="W11" s="580">
        <v>290078</v>
      </c>
      <c r="X11" s="580">
        <v>286991</v>
      </c>
      <c r="Y11" s="580">
        <v>291752</v>
      </c>
      <c r="Z11" s="583">
        <f t="shared" ref="Z11:AL11" si="6">SUM(Z7:Z10)</f>
        <v>3446763.6</v>
      </c>
      <c r="AA11" s="583">
        <f t="shared" si="6"/>
        <v>3295503.0000000005</v>
      </c>
      <c r="AB11" s="583">
        <f t="shared" si="6"/>
        <v>2236711.2000000002</v>
      </c>
      <c r="AC11" s="583">
        <f t="shared" si="6"/>
        <v>1762080.2</v>
      </c>
      <c r="AD11" s="583">
        <f t="shared" si="6"/>
        <v>862298.9</v>
      </c>
      <c r="AE11" s="583">
        <f t="shared" si="6"/>
        <v>543316.6</v>
      </c>
      <c r="AF11" s="583">
        <f t="shared" si="6"/>
        <v>383825.40000000008</v>
      </c>
      <c r="AG11" s="583">
        <f t="shared" si="6"/>
        <v>359063.60000000003</v>
      </c>
      <c r="AH11" s="583">
        <f t="shared" si="6"/>
        <v>392299.60000000003</v>
      </c>
      <c r="AI11" s="583">
        <f t="shared" si="6"/>
        <v>574462.79999999993</v>
      </c>
      <c r="AJ11" s="583">
        <f t="shared" si="6"/>
        <v>1298500.6000000001</v>
      </c>
      <c r="AK11" s="583">
        <f t="shared" si="6"/>
        <v>2300365.1000000006</v>
      </c>
      <c r="AL11" s="1248">
        <f t="shared" ca="1" si="6"/>
        <v>31339942.489999998</v>
      </c>
      <c r="AM11" s="1248">
        <f t="shared" ref="AM11:AW11" ca="1" si="7">SUM(AM7:AM10)</f>
        <v>29173825.59</v>
      </c>
      <c r="AN11" s="1248">
        <f t="shared" ca="1" si="7"/>
        <v>21144770.550000001</v>
      </c>
      <c r="AO11" s="1248">
        <f t="shared" ca="1" si="7"/>
        <v>17813138.100000001</v>
      </c>
      <c r="AP11" s="1248">
        <f t="shared" ca="1" si="7"/>
        <v>10405477.58</v>
      </c>
      <c r="AQ11" s="1248">
        <f t="shared" ca="1" si="7"/>
        <v>8009149.3100000005</v>
      </c>
      <c r="AR11" s="1248">
        <f t="shared" ca="1" si="7"/>
        <v>6713448.04</v>
      </c>
      <c r="AS11" s="1248">
        <f t="shared" ca="1" si="7"/>
        <v>6525215.3999999994</v>
      </c>
      <c r="AT11" s="1248">
        <f t="shared" ca="1" si="7"/>
        <v>6783662.2199999997</v>
      </c>
      <c r="AU11" s="1248">
        <f t="shared" ca="1" si="7"/>
        <v>8240848.6399999997</v>
      </c>
      <c r="AV11" s="1248">
        <f t="shared" ca="1" si="7"/>
        <v>13909158.499999998</v>
      </c>
      <c r="AW11" s="1248">
        <f t="shared" ca="1" si="7"/>
        <v>22046980.190000001</v>
      </c>
      <c r="AX11" s="571"/>
      <c r="AY11" s="571"/>
      <c r="AZ11" s="1242">
        <f ca="1">SUM(AZ7:AZ10)</f>
        <v>-2058.73</v>
      </c>
      <c r="BA11" s="1242">
        <f t="shared" ref="BA11:BK11" ca="1" si="8">SUM(BA7:BA10)</f>
        <v>-1783.0600000000002</v>
      </c>
      <c r="BB11" s="1242">
        <f t="shared" ca="1" si="8"/>
        <v>-2454.4600000000005</v>
      </c>
      <c r="BC11" s="1242">
        <f t="shared" ca="1" si="8"/>
        <v>-1836.1</v>
      </c>
      <c r="BD11" s="1242">
        <f t="shared" ca="1" si="8"/>
        <v>-1691.3</v>
      </c>
      <c r="BE11" s="1242">
        <f t="shared" ca="1" si="8"/>
        <v>-1027.69</v>
      </c>
      <c r="BF11" s="1242">
        <f t="shared" ca="1" si="8"/>
        <v>-1859.29</v>
      </c>
      <c r="BG11" s="1242">
        <f t="shared" ca="1" si="8"/>
        <v>-1153.3</v>
      </c>
      <c r="BH11" s="1242">
        <f t="shared" ca="1" si="8"/>
        <v>-689.67</v>
      </c>
      <c r="BI11" s="1242">
        <f t="shared" ca="1" si="8"/>
        <v>-82.08</v>
      </c>
      <c r="BJ11" s="1242">
        <f t="shared" ca="1" si="8"/>
        <v>-60.34</v>
      </c>
      <c r="BK11" s="1242">
        <f t="shared" ca="1" si="8"/>
        <v>-2076.15</v>
      </c>
      <c r="BL11" s="1242">
        <f ca="1">SUM(AZ11:BK11)</f>
        <v>-16772.170000000002</v>
      </c>
    </row>
    <row r="12" spans="1:64" x14ac:dyDescent="0.2">
      <c r="B12" s="1249"/>
      <c r="C12" s="580"/>
      <c r="D12" s="1250"/>
      <c r="E12" s="580"/>
      <c r="F12" s="580"/>
      <c r="G12" s="580"/>
      <c r="H12" s="1250"/>
      <c r="I12" s="580"/>
      <c r="J12" s="580"/>
      <c r="K12" s="580"/>
      <c r="L12" s="1250"/>
      <c r="M12" s="580"/>
      <c r="N12" s="1249"/>
      <c r="O12" s="1249"/>
      <c r="P12" s="1249"/>
      <c r="Q12" s="1249"/>
      <c r="R12" s="1249"/>
      <c r="S12" s="1249"/>
      <c r="T12" s="1249"/>
      <c r="U12" s="1249"/>
      <c r="V12" s="1249"/>
      <c r="W12" s="1249"/>
      <c r="X12" s="1249"/>
      <c r="Y12" s="1249"/>
      <c r="Z12" s="585"/>
      <c r="AA12" s="585"/>
      <c r="AB12" s="585"/>
      <c r="AC12" s="585"/>
      <c r="AD12" s="585"/>
      <c r="AE12" s="585"/>
      <c r="AF12" s="585"/>
      <c r="AG12" s="585"/>
      <c r="AH12" s="585"/>
      <c r="AI12" s="585"/>
      <c r="AJ12" s="585"/>
      <c r="AK12" s="585"/>
      <c r="AL12" s="1248"/>
      <c r="AM12" s="1248"/>
      <c r="AN12" s="1248"/>
      <c r="AO12" s="1248"/>
      <c r="AP12" s="1248"/>
      <c r="AQ12" s="1248"/>
      <c r="AR12" s="1248"/>
      <c r="AS12" s="1248"/>
      <c r="AT12" s="1248"/>
      <c r="AU12" s="1248"/>
      <c r="AV12" s="1248"/>
      <c r="AW12" s="1248"/>
      <c r="AX12" s="571"/>
      <c r="AY12" s="571"/>
      <c r="AZ12" s="1231"/>
      <c r="BA12" s="1231"/>
      <c r="BB12" s="1231"/>
      <c r="BC12" s="1231"/>
      <c r="BD12" s="1231"/>
      <c r="BE12" s="1231"/>
      <c r="BF12" s="1231"/>
      <c r="BG12" s="1231"/>
      <c r="BH12" s="1231"/>
      <c r="BI12" s="1231"/>
      <c r="BJ12" s="1231"/>
      <c r="BK12" s="1231"/>
      <c r="BL12" s="1231"/>
    </row>
    <row r="13" spans="1:64" x14ac:dyDescent="0.2">
      <c r="A13" s="1080" t="s">
        <v>37</v>
      </c>
      <c r="B13" s="1080" t="s">
        <v>38</v>
      </c>
      <c r="C13" s="569">
        <f>SUM(N13:Y13)</f>
        <v>300887</v>
      </c>
      <c r="D13" s="574">
        <f>SUM(Z13:AK13)</f>
        <v>8839044.8000000007</v>
      </c>
      <c r="E13" s="569">
        <f ca="1">SUM(AL13:AW13)+SUM(AZ13:BK13)</f>
        <v>74819735.939999998</v>
      </c>
      <c r="F13" s="569"/>
      <c r="G13" s="569">
        <f>SUM(N13:P13,X13:Y13)</f>
        <v>126021</v>
      </c>
      <c r="H13" s="574">
        <f>SUM(Z13:AB13,AJ13:AK13)</f>
        <v>5928578.3000000007</v>
      </c>
      <c r="I13" s="569">
        <f ca="1">SUM(AL13:AN13,AV13:AW13)+SUM(AZ13:BB13,BJ13:BK13)</f>
        <v>47390012.620000005</v>
      </c>
      <c r="J13" s="569"/>
      <c r="K13" s="569">
        <f>SUM(Q13:W13)</f>
        <v>174866</v>
      </c>
      <c r="L13" s="574">
        <f>SUM(AC13:AI13)</f>
        <v>2910466.5</v>
      </c>
      <c r="M13" s="569">
        <f ca="1">SUM(AO13:AU13)+SUM(BC13:BI13)</f>
        <v>27429723.320000008</v>
      </c>
      <c r="N13" s="569">
        <f>SUMIFS('Apr11-Mar12 Billed-RETAIL'!$G$5:$G$148,'Apr11-Mar12 Billed-RETAIL'!$B$5:$B$148,SBR!N$4,'Apr11-Mar12 Billed-RETAIL'!$C$5:$C$148,SBR!$A13)+SUMIFS('Apr11-Mar12 Billed-RETAIL'!$H$5:$H$148,'Apr11-Mar12 Billed-RETAIL'!$B$5:$B$148,SBR!N$4,'Apr11-Mar12 Billed-RETAIL'!$C$5:$C$148,SBR!$A13)+SUMIFS('Apr11-Mar12 Billed-RETAIL'!$AE$5:$AE$148,'Apr11-Mar12 Billed-RETAIL'!$B$5:$B$148,SBR!N$4,'Apr11-Mar12 Billed-RETAIL'!$C$5:$C$148,SBR!$A13)+SUMIFS('Apr11-Mar12 Billed-RETAIL'!$AF$5:$AF$148,'Apr11-Mar12 Billed-RETAIL'!$B$5:$B$148,SBR!N$4,'Apr11-Mar12 Billed-RETAIL'!$C$5:$C$148,SBR!$A13)</f>
        <v>25753</v>
      </c>
      <c r="O13" s="569">
        <f>SUMIFS('Apr11-Mar12 Billed-RETAIL'!$G$5:$G$148,'Apr11-Mar12 Billed-RETAIL'!$B$5:$B$148,SBR!O$4,'Apr11-Mar12 Billed-RETAIL'!$C$5:$C$148,SBR!$A13)+SUMIFS('Apr11-Mar12 Billed-RETAIL'!$H$5:$H$148,'Apr11-Mar12 Billed-RETAIL'!$B$5:$B$148,SBR!O$4,'Apr11-Mar12 Billed-RETAIL'!$C$5:$C$148,SBR!$A13)+SUMIFS('Apr11-Mar12 Billed-RETAIL'!$AE$5:$AE$148,'Apr11-Mar12 Billed-RETAIL'!$B$5:$B$148,SBR!O$4,'Apr11-Mar12 Billed-RETAIL'!$C$5:$C$148,SBR!$A13)+SUMIFS('Apr11-Mar12 Billed-RETAIL'!$AF$5:$AF$148,'Apr11-Mar12 Billed-RETAIL'!$B$5:$B$148,SBR!O$4,'Apr11-Mar12 Billed-RETAIL'!$C$5:$C$148,SBR!$A13)</f>
        <v>25339</v>
      </c>
      <c r="P13" s="569">
        <f>SUMIFS('Apr11-Mar12 Billed-RETAIL'!$G$5:$G$148,'Apr11-Mar12 Billed-RETAIL'!$B$5:$B$148,SBR!P$4,'Apr11-Mar12 Billed-RETAIL'!$C$5:$C$148,SBR!$A13)+SUMIFS('Apr11-Mar12 Billed-RETAIL'!$H$5:$H$148,'Apr11-Mar12 Billed-RETAIL'!$B$5:$B$148,SBR!P$4,'Apr11-Mar12 Billed-RETAIL'!$C$5:$C$148,SBR!$A13)+SUMIFS('Apr11-Mar12 Billed-RETAIL'!$AE$5:$AE$148,'Apr11-Mar12 Billed-RETAIL'!$B$5:$B$148,SBR!P$4,'Apr11-Mar12 Billed-RETAIL'!$C$5:$C$148,SBR!$A13)+SUMIFS('Apr11-Mar12 Billed-RETAIL'!$AF$5:$AF$148,'Apr11-Mar12 Billed-RETAIL'!$B$5:$B$148,SBR!P$4,'Apr11-Mar12 Billed-RETAIL'!$C$5:$C$148,SBR!$A13)</f>
        <v>25234</v>
      </c>
      <c r="Q13" s="569">
        <f>SUMIFS('Apr11-Mar12 Billed-RETAIL'!$G$5:$G$148,'Apr11-Mar12 Billed-RETAIL'!$B$5:$B$148,SBR!Q$4,'Apr11-Mar12 Billed-RETAIL'!$C$5:$C$148,SBR!$A13)+SUMIFS('Apr11-Mar12 Billed-RETAIL'!$H$5:$H$148,'Apr11-Mar12 Billed-RETAIL'!$B$5:$B$148,SBR!Q$4,'Apr11-Mar12 Billed-RETAIL'!$C$5:$C$148,SBR!$A13)+SUMIFS('Apr11-Mar12 Billed-RETAIL'!$AE$5:$AE$148,'Apr11-Mar12 Billed-RETAIL'!$B$5:$B$148,SBR!Q$4,'Apr11-Mar12 Billed-RETAIL'!$C$5:$C$148,SBR!$A13)+SUMIFS('Apr11-Mar12 Billed-RETAIL'!$AF$5:$AF$148,'Apr11-Mar12 Billed-RETAIL'!$B$5:$B$148,SBR!Q$4,'Apr11-Mar12 Billed-RETAIL'!$C$5:$C$148,SBR!$A13)</f>
        <v>25153</v>
      </c>
      <c r="R13" s="569">
        <f>SUMIFS('Apr11-Mar12 Billed-RETAIL'!$G$5:$G$148,'Apr11-Mar12 Billed-RETAIL'!$B$5:$B$148,SBR!R$4,'Apr11-Mar12 Billed-RETAIL'!$C$5:$C$148,SBR!$A13)+SUMIFS('Apr11-Mar12 Billed-RETAIL'!$H$5:$H$148,'Apr11-Mar12 Billed-RETAIL'!$B$5:$B$148,SBR!R$4,'Apr11-Mar12 Billed-RETAIL'!$C$5:$C$148,SBR!$A13)+SUMIFS('Apr11-Mar12 Billed-RETAIL'!$AE$5:$AE$148,'Apr11-Mar12 Billed-RETAIL'!$B$5:$B$148,SBR!R$4,'Apr11-Mar12 Billed-RETAIL'!$C$5:$C$148,SBR!$A13)+SUMIFS('Apr11-Mar12 Billed-RETAIL'!$AF$5:$AF$148,'Apr11-Mar12 Billed-RETAIL'!$B$5:$B$148,SBR!R$4,'Apr11-Mar12 Billed-RETAIL'!$C$5:$C$148,SBR!$A13)</f>
        <v>24976</v>
      </c>
      <c r="S13" s="569">
        <f>SUMIFS('Apr11-Mar12 Billed-RETAIL'!$G$5:$G$148,'Apr11-Mar12 Billed-RETAIL'!$B$5:$B$148,SBR!S$4,'Apr11-Mar12 Billed-RETAIL'!$C$5:$C$148,SBR!$A13)+SUMIFS('Apr11-Mar12 Billed-RETAIL'!$H$5:$H$148,'Apr11-Mar12 Billed-RETAIL'!$B$5:$B$148,SBR!S$4,'Apr11-Mar12 Billed-RETAIL'!$C$5:$C$148,SBR!$A13)+SUMIFS('Apr11-Mar12 Billed-RETAIL'!$AE$5:$AE$148,'Apr11-Mar12 Billed-RETAIL'!$B$5:$B$148,SBR!S$4,'Apr11-Mar12 Billed-RETAIL'!$C$5:$C$148,SBR!$A13)+SUMIFS('Apr11-Mar12 Billed-RETAIL'!$AF$5:$AF$148,'Apr11-Mar12 Billed-RETAIL'!$B$5:$B$148,SBR!S$4,'Apr11-Mar12 Billed-RETAIL'!$C$5:$C$148,SBR!$A13)</f>
        <v>25009</v>
      </c>
      <c r="T13" s="569">
        <f>SUMIFS('Apr11-Mar12 Billed-RETAIL'!$G$5:$G$148,'Apr11-Mar12 Billed-RETAIL'!$B$5:$B$148,SBR!T$4,'Apr11-Mar12 Billed-RETAIL'!$C$5:$C$148,SBR!$A13)+SUMIFS('Apr11-Mar12 Billed-RETAIL'!$H$5:$H$148,'Apr11-Mar12 Billed-RETAIL'!$B$5:$B$148,SBR!T$4,'Apr11-Mar12 Billed-RETAIL'!$C$5:$C$148,SBR!$A13)+SUMIFS('Apr11-Mar12 Billed-RETAIL'!$AE$5:$AE$148,'Apr11-Mar12 Billed-RETAIL'!$B$5:$B$148,SBR!T$4,'Apr11-Mar12 Billed-RETAIL'!$C$5:$C$148,SBR!$A13)+SUMIFS('Apr11-Mar12 Billed-RETAIL'!$AF$5:$AF$148,'Apr11-Mar12 Billed-RETAIL'!$B$5:$B$148,SBR!T$4,'Apr11-Mar12 Billed-RETAIL'!$C$5:$C$148,SBR!$A13)</f>
        <v>24285</v>
      </c>
      <c r="U13" s="569">
        <f>SUMIFS('Apr11-Mar12 Billed-RETAIL'!$G$5:$G$148,'Apr11-Mar12 Billed-RETAIL'!$B$5:$B$148,SBR!U$4,'Apr11-Mar12 Billed-RETAIL'!$C$5:$C$148,SBR!$A13)+SUMIFS('Apr11-Mar12 Billed-RETAIL'!$H$5:$H$148,'Apr11-Mar12 Billed-RETAIL'!$B$5:$B$148,SBR!U$4,'Apr11-Mar12 Billed-RETAIL'!$C$5:$C$148,SBR!$A13)+SUMIFS('Apr11-Mar12 Billed-RETAIL'!$AE$5:$AE$148,'Apr11-Mar12 Billed-RETAIL'!$B$5:$B$148,SBR!U$4,'Apr11-Mar12 Billed-RETAIL'!$C$5:$C$148,SBR!$A13)+SUMIFS('Apr11-Mar12 Billed-RETAIL'!$AF$5:$AF$148,'Apr11-Mar12 Billed-RETAIL'!$B$5:$B$148,SBR!U$4,'Apr11-Mar12 Billed-RETAIL'!$C$5:$C$148,SBR!$A13)</f>
        <v>25680</v>
      </c>
      <c r="V13" s="569">
        <f>SUMIFS('Apr11-Mar12 Billed-RETAIL'!$G$5:$G$148,'Apr11-Mar12 Billed-RETAIL'!$B$5:$B$148,SBR!V$4,'Apr11-Mar12 Billed-RETAIL'!$C$5:$C$148,SBR!$A13)+SUMIFS('Apr11-Mar12 Billed-RETAIL'!$H$5:$H$148,'Apr11-Mar12 Billed-RETAIL'!$B$5:$B$148,SBR!V$4,'Apr11-Mar12 Billed-RETAIL'!$C$5:$C$148,SBR!$A13)+SUMIFS('Apr11-Mar12 Billed-RETAIL'!$AE$5:$AE$148,'Apr11-Mar12 Billed-RETAIL'!$B$5:$B$148,SBR!V$4,'Apr11-Mar12 Billed-RETAIL'!$C$5:$C$148,SBR!$A13)+SUMIFS('Apr11-Mar12 Billed-RETAIL'!$AF$5:$AF$148,'Apr11-Mar12 Billed-RETAIL'!$B$5:$B$148,SBR!V$4,'Apr11-Mar12 Billed-RETAIL'!$C$5:$C$148,SBR!$A13)</f>
        <v>24997</v>
      </c>
      <c r="W13" s="569">
        <f>SUMIFS('Apr11-Mar12 Billed-RETAIL'!$G$5:$G$148,'Apr11-Mar12 Billed-RETAIL'!$B$5:$B$148,SBR!W$4,'Apr11-Mar12 Billed-RETAIL'!$C$5:$C$148,SBR!$A13)+SUMIFS('Apr11-Mar12 Billed-RETAIL'!$H$5:$H$148,'Apr11-Mar12 Billed-RETAIL'!$B$5:$B$148,SBR!W$4,'Apr11-Mar12 Billed-RETAIL'!$C$5:$C$148,SBR!$A13)+SUMIFS('Apr11-Mar12 Billed-RETAIL'!$AE$5:$AE$148,'Apr11-Mar12 Billed-RETAIL'!$B$5:$B$148,SBR!W$4,'Apr11-Mar12 Billed-RETAIL'!$C$5:$C$148,SBR!$A13)+SUMIFS('Apr11-Mar12 Billed-RETAIL'!$AF$5:$AF$148,'Apr11-Mar12 Billed-RETAIL'!$B$5:$B$148,SBR!W$4,'Apr11-Mar12 Billed-RETAIL'!$C$5:$C$148,SBR!$A13)</f>
        <v>24766</v>
      </c>
      <c r="X13" s="569">
        <f>SUMIFS('Apr11-Mar12 Billed-RETAIL'!$G$5:$G$148,'Apr11-Mar12 Billed-RETAIL'!$B$5:$B$148,SBR!X$4,'Apr11-Mar12 Billed-RETAIL'!$C$5:$C$148,SBR!$A13)+SUMIFS('Apr11-Mar12 Billed-RETAIL'!$H$5:$H$148,'Apr11-Mar12 Billed-RETAIL'!$B$5:$B$148,SBR!X$4,'Apr11-Mar12 Billed-RETAIL'!$C$5:$C$148,SBR!$A13)+SUMIFS('Apr11-Mar12 Billed-RETAIL'!$AE$5:$AE$148,'Apr11-Mar12 Billed-RETAIL'!$B$5:$B$148,SBR!X$4,'Apr11-Mar12 Billed-RETAIL'!$C$5:$C$148,SBR!$A13)+SUMIFS('Apr11-Mar12 Billed-RETAIL'!$AF$5:$AF$148,'Apr11-Mar12 Billed-RETAIL'!$B$5:$B$148,SBR!X$4,'Apr11-Mar12 Billed-RETAIL'!$C$5:$C$148,SBR!$A13)</f>
        <v>24238</v>
      </c>
      <c r="Y13" s="569">
        <f>SUMIFS('Apr11-Mar12 Billed-RETAIL'!$G$5:$G$148,'Apr11-Mar12 Billed-RETAIL'!$B$5:$B$148,SBR!Y$4,'Apr11-Mar12 Billed-RETAIL'!$C$5:$C$148,SBR!$A13)+SUMIFS('Apr11-Mar12 Billed-RETAIL'!$H$5:$H$148,'Apr11-Mar12 Billed-RETAIL'!$B$5:$B$148,SBR!Y$4,'Apr11-Mar12 Billed-RETAIL'!$C$5:$C$148,SBR!$A13)+SUMIFS('Apr11-Mar12 Billed-RETAIL'!$AE$5:$AE$148,'Apr11-Mar12 Billed-RETAIL'!$B$5:$B$148,SBR!Y$4,'Apr11-Mar12 Billed-RETAIL'!$C$5:$C$148,SBR!$A13)+SUMIFS('Apr11-Mar12 Billed-RETAIL'!$AF$5:$AF$148,'Apr11-Mar12 Billed-RETAIL'!$B$5:$B$148,SBR!Y$4,'Apr11-Mar12 Billed-RETAIL'!$C$5:$C$148,SBR!$A13)</f>
        <v>25457</v>
      </c>
      <c r="Z13" s="1240">
        <f>(SUMIFS('Apr11-Mar12 Billed-RETAIL'!$I$5:$I$148,'Apr11-Mar12 Billed-RETAIL'!$B$5:$B$148,SBR!Z$4,'Apr11-Mar12 Billed-RETAIL'!$C$5:$C$148,SBR!$A13)+SUMIFS('Apr11-Mar12 Billed-RETAIL'!$J$5:$J$148,'Apr11-Mar12 Billed-RETAIL'!$B$5:$B$148,SBR!Z$4,'Apr11-Mar12 Billed-RETAIL'!$C$5:$C$148,SBR!$A13))*0.1</f>
        <v>1623321.4000000001</v>
      </c>
      <c r="AA13" s="1240">
        <f>(SUMIFS('Apr11-Mar12 Billed-RETAIL'!$I$5:$I$148,'Apr11-Mar12 Billed-RETAIL'!$B$5:$B$148,SBR!AA$4,'Apr11-Mar12 Billed-RETAIL'!$C$5:$C$148,SBR!$A13)+SUMIFS('Apr11-Mar12 Billed-RETAIL'!$J$5:$J$148,'Apr11-Mar12 Billed-RETAIL'!$B$5:$B$148,SBR!AA$4,'Apr11-Mar12 Billed-RETAIL'!$C$5:$C$148,SBR!$A13))*0.1</f>
        <v>1518614.8</v>
      </c>
      <c r="AB13" s="1240">
        <f>(SUMIFS('Apr11-Mar12 Billed-RETAIL'!$I$5:$I$148,'Apr11-Mar12 Billed-RETAIL'!$B$5:$B$148,SBR!AB$4,'Apr11-Mar12 Billed-RETAIL'!$C$5:$C$148,SBR!$A13)+SUMIFS('Apr11-Mar12 Billed-RETAIL'!$J$5:$J$148,'Apr11-Mar12 Billed-RETAIL'!$B$5:$B$148,SBR!AB$4,'Apr11-Mar12 Billed-RETAIL'!$C$5:$C$148,SBR!$A13))*0.1</f>
        <v>1117794.4000000001</v>
      </c>
      <c r="AC13" s="1240">
        <f>(SUMIFS('Apr11-Mar12 Billed-RETAIL'!$I$5:$I$148,'Apr11-Mar12 Billed-RETAIL'!$B$5:$B$148,SBR!AC$4,'Apr11-Mar12 Billed-RETAIL'!$C$5:$C$148,SBR!$A13)+SUMIFS('Apr11-Mar12 Billed-RETAIL'!$J$5:$J$148,'Apr11-Mar12 Billed-RETAIL'!$B$5:$B$148,SBR!AC$4,'Apr11-Mar12 Billed-RETAIL'!$C$5:$C$148,SBR!$A13))*0.1</f>
        <v>874147.4</v>
      </c>
      <c r="AD13" s="1240">
        <f>(SUMIFS('Apr11-Mar12 Billed-RETAIL'!$I$5:$I$148,'Apr11-Mar12 Billed-RETAIL'!$B$5:$B$148,SBR!AD$4,'Apr11-Mar12 Billed-RETAIL'!$C$5:$C$148,SBR!$A13)+SUMIFS('Apr11-Mar12 Billed-RETAIL'!$J$5:$J$148,'Apr11-Mar12 Billed-RETAIL'!$B$5:$B$148,SBR!AD$4,'Apr11-Mar12 Billed-RETAIL'!$C$5:$C$148,SBR!$A13))*0.1</f>
        <v>478744.60000000003</v>
      </c>
      <c r="AE13" s="1240">
        <f>(SUMIFS('Apr11-Mar12 Billed-RETAIL'!$I$5:$I$148,'Apr11-Mar12 Billed-RETAIL'!$B$5:$B$148,SBR!AE$4,'Apr11-Mar12 Billed-RETAIL'!$C$5:$C$148,SBR!$A13)+SUMIFS('Apr11-Mar12 Billed-RETAIL'!$J$5:$J$148,'Apr11-Mar12 Billed-RETAIL'!$B$5:$B$148,SBR!AE$4,'Apr11-Mar12 Billed-RETAIL'!$C$5:$C$148,SBR!$A13))*0.1</f>
        <v>339845.7</v>
      </c>
      <c r="AF13" s="1240">
        <f>(SUMIFS('Apr11-Mar12 Billed-RETAIL'!$I$5:$I$148,'Apr11-Mar12 Billed-RETAIL'!$B$5:$B$148,SBR!AF$4,'Apr11-Mar12 Billed-RETAIL'!$C$5:$C$148,SBR!$A13)+SUMIFS('Apr11-Mar12 Billed-RETAIL'!$J$5:$J$148,'Apr11-Mar12 Billed-RETAIL'!$B$5:$B$148,SBR!AF$4,'Apr11-Mar12 Billed-RETAIL'!$C$5:$C$148,SBR!$A13))*0.1</f>
        <v>273990.8</v>
      </c>
      <c r="AG13" s="1240">
        <f>(SUMIFS('Apr11-Mar12 Billed-RETAIL'!$I$5:$I$148,'Apr11-Mar12 Billed-RETAIL'!$B$5:$B$148,SBR!AG$4,'Apr11-Mar12 Billed-RETAIL'!$C$5:$C$148,SBR!$A13)+SUMIFS('Apr11-Mar12 Billed-RETAIL'!$J$5:$J$148,'Apr11-Mar12 Billed-RETAIL'!$B$5:$B$148,SBR!AG$4,'Apr11-Mar12 Billed-RETAIL'!$C$5:$C$148,SBR!$A13))*0.1</f>
        <v>261795.90000000002</v>
      </c>
      <c r="AH13" s="1240">
        <f>(SUMIFS('Apr11-Mar12 Billed-RETAIL'!$I$5:$I$148,'Apr11-Mar12 Billed-RETAIL'!$B$5:$B$148,SBR!AH$4,'Apr11-Mar12 Billed-RETAIL'!$C$5:$C$148,SBR!$A13)+SUMIFS('Apr11-Mar12 Billed-RETAIL'!$J$5:$J$148,'Apr11-Mar12 Billed-RETAIL'!$B$5:$B$148,SBR!AH$4,'Apr11-Mar12 Billed-RETAIL'!$C$5:$C$148,SBR!$A13))*0.1</f>
        <v>308053.8</v>
      </c>
      <c r="AI13" s="1240">
        <f>(SUMIFS('Apr11-Mar12 Billed-RETAIL'!$I$5:$I$148,'Apr11-Mar12 Billed-RETAIL'!$B$5:$B$148,SBR!AI$4,'Apr11-Mar12 Billed-RETAIL'!$C$5:$C$148,SBR!$A13)+SUMIFS('Apr11-Mar12 Billed-RETAIL'!$J$5:$J$148,'Apr11-Mar12 Billed-RETAIL'!$B$5:$B$148,SBR!AI$4,'Apr11-Mar12 Billed-RETAIL'!$C$5:$C$148,SBR!$A13))*0.1</f>
        <v>373888.30000000005</v>
      </c>
      <c r="AJ13" s="1240">
        <f>(SUMIFS('Apr11-Mar12 Billed-RETAIL'!$I$5:$I$148,'Apr11-Mar12 Billed-RETAIL'!$B$5:$B$148,SBR!AJ$4,'Apr11-Mar12 Billed-RETAIL'!$C$5:$C$148,SBR!$A13)+SUMIFS('Apr11-Mar12 Billed-RETAIL'!$J$5:$J$148,'Apr11-Mar12 Billed-RETAIL'!$B$5:$B$148,SBR!AJ$4,'Apr11-Mar12 Billed-RETAIL'!$C$5:$C$148,SBR!$A13))*0.1</f>
        <v>591229.4</v>
      </c>
      <c r="AK13" s="1240">
        <f>(SUMIFS('Apr11-Mar12 Billed-RETAIL'!$I$5:$I$148,'Apr11-Mar12 Billed-RETAIL'!$B$5:$B$148,SBR!AK$4,'Apr11-Mar12 Billed-RETAIL'!$C$5:$C$148,SBR!$A13)+SUMIFS('Apr11-Mar12 Billed-RETAIL'!$J$5:$J$148,'Apr11-Mar12 Billed-RETAIL'!$B$5:$B$148,SBR!AK$4,'Apr11-Mar12 Billed-RETAIL'!$C$5:$C$148,SBR!$A13))*0.1</f>
        <v>1077618.3</v>
      </c>
      <c r="AL13" s="1241">
        <f ca="1">SUMIFS('Apr11-Mar12 Billed-RETAIL'!$AW$5:$AW$148,'Apr11-Mar12 Billed-RETAIL'!$B$5:$B$148,SBR!AL$4,'Apr11-Mar12 Billed-RETAIL'!$C$5:$C$148,SBR!$A13)</f>
        <v>12814038.439999999</v>
      </c>
      <c r="AM13" s="1241">
        <f ca="1">SUMIFS('Apr11-Mar12 Billed-RETAIL'!$AW$5:$AW$148,'Apr11-Mar12 Billed-RETAIL'!$B$5:$B$148,SBR!AM$4,'Apr11-Mar12 Billed-RETAIL'!$C$5:$C$148,SBR!$A13)</f>
        <v>11655669.619999999</v>
      </c>
      <c r="AN13" s="1241">
        <f ca="1">SUMIFS('Apr11-Mar12 Billed-RETAIL'!$AW$5:$AW$148,'Apr11-Mar12 Billed-RETAIL'!$B$5:$B$148,SBR!AN$4,'Apr11-Mar12 Billed-RETAIL'!$C$5:$C$148,SBR!$A13)</f>
        <v>8846713.5800000001</v>
      </c>
      <c r="AO13" s="1241">
        <f ca="1">SUMIFS('Apr11-Mar12 Billed-RETAIL'!$AW$5:$AW$148,'Apr11-Mar12 Billed-RETAIL'!$B$5:$B$148,SBR!AO$4,'Apr11-Mar12 Billed-RETAIL'!$C$5:$C$148,SBR!$A13)</f>
        <v>7234368.7800000003</v>
      </c>
      <c r="AP13" s="1241">
        <f ca="1">SUMIFS('Apr11-Mar12 Billed-RETAIL'!$AW$5:$AW$148,'Apr11-Mar12 Billed-RETAIL'!$B$5:$B$148,SBR!AP$4,'Apr11-Mar12 Billed-RETAIL'!$C$5:$C$148,SBR!$A13)</f>
        <v>4313032.93</v>
      </c>
      <c r="AQ13" s="1241">
        <f ca="1">SUMIFS('Apr11-Mar12 Billed-RETAIL'!$AW$5:$AW$148,'Apr11-Mar12 Billed-RETAIL'!$B$5:$B$148,SBR!AQ$4,'Apr11-Mar12 Billed-RETAIL'!$C$5:$C$148,SBR!$A13)</f>
        <v>3389940.67</v>
      </c>
      <c r="AR13" s="1241">
        <f ca="1">SUMIFS('Apr11-Mar12 Billed-RETAIL'!$AW$5:$AW$148,'Apr11-Mar12 Billed-RETAIL'!$B$5:$B$148,SBR!AR$4,'Apr11-Mar12 Billed-RETAIL'!$C$5:$C$148,SBR!$A13)</f>
        <v>2884745.68</v>
      </c>
      <c r="AS13" s="1241">
        <f ca="1">SUMIFS('Apr11-Mar12 Billed-RETAIL'!$AW$5:$AW$148,'Apr11-Mar12 Billed-RETAIL'!$B$5:$B$148,SBR!AS$4,'Apr11-Mar12 Billed-RETAIL'!$C$5:$C$148,SBR!$A13)</f>
        <v>2842466.19</v>
      </c>
      <c r="AT13" s="1241">
        <f ca="1">SUMIFS('Apr11-Mar12 Billed-RETAIL'!$AW$5:$AW$148,'Apr11-Mar12 Billed-RETAIL'!$B$5:$B$148,SBR!AT$4,'Apr11-Mar12 Billed-RETAIL'!$C$5:$C$148,SBR!$A13)</f>
        <v>3149292.35</v>
      </c>
      <c r="AU13" s="1241">
        <f ca="1">SUMIFS('Apr11-Mar12 Billed-RETAIL'!$AW$5:$AW$148,'Apr11-Mar12 Billed-RETAIL'!$B$5:$B$148,SBR!AU$4,'Apr11-Mar12 Billed-RETAIL'!$C$5:$C$148,SBR!$A13)</f>
        <v>3619415.96</v>
      </c>
      <c r="AV13" s="1241">
        <f ca="1">SUMIFS('Apr11-Mar12 Billed-RETAIL'!$AW$5:$AW$148,'Apr11-Mar12 Billed-RETAIL'!$B$5:$B$148,SBR!AV$4,'Apr11-Mar12 Billed-RETAIL'!$C$5:$C$148,SBR!$A13)</f>
        <v>5241851.8899999997</v>
      </c>
      <c r="AW13" s="1241">
        <f ca="1">SUMIFS('Apr11-Mar12 Billed-RETAIL'!$AW$5:$AW$148,'Apr11-Mar12 Billed-RETAIL'!$B$5:$B$148,SBR!AW$4,'Apr11-Mar12 Billed-RETAIL'!$C$5:$C$148,SBR!$A13)</f>
        <v>8835174.8800000008</v>
      </c>
      <c r="AX13" s="571"/>
      <c r="AY13" s="571"/>
      <c r="AZ13" s="1242">
        <f ca="1">ROUND((AL13/SUM(AL$11+AL$17))*AZ$5,2)</f>
        <v>-841.76</v>
      </c>
      <c r="BA13" s="1242">
        <f t="shared" ref="BA13:BK13" ca="1" si="9">ROUND((AM13/SUM(AM$11+AM$17))*BA$5,2)</f>
        <v>-712.38</v>
      </c>
      <c r="BB13" s="1242">
        <f t="shared" ca="1" si="9"/>
        <v>-1026.9100000000001</v>
      </c>
      <c r="BC13" s="1242">
        <f t="shared" ca="1" si="9"/>
        <v>-745.68</v>
      </c>
      <c r="BD13" s="1242">
        <f t="shared" ca="1" si="9"/>
        <v>-701.04</v>
      </c>
      <c r="BE13" s="1242">
        <f t="shared" ca="1" si="9"/>
        <v>-434.98</v>
      </c>
      <c r="BF13" s="1242">
        <f t="shared" ca="1" si="9"/>
        <v>-798.93</v>
      </c>
      <c r="BG13" s="1242">
        <f t="shared" ca="1" si="9"/>
        <v>-502.39</v>
      </c>
      <c r="BH13" s="1242">
        <f t="shared" ca="1" si="9"/>
        <v>-320.17</v>
      </c>
      <c r="BI13" s="1242">
        <f t="shared" ca="1" si="9"/>
        <v>-36.049999999999997</v>
      </c>
      <c r="BJ13" s="1242">
        <f t="shared" ca="1" si="9"/>
        <v>-22.74</v>
      </c>
      <c r="BK13" s="1242">
        <f t="shared" ca="1" si="9"/>
        <v>-832</v>
      </c>
      <c r="BL13" s="1242"/>
    </row>
    <row r="14" spans="1:64" x14ac:dyDescent="0.2">
      <c r="A14" s="1080" t="s">
        <v>34</v>
      </c>
      <c r="B14" s="1080" t="s">
        <v>35</v>
      </c>
      <c r="C14" s="569">
        <f>SUM(N14:Y14)</f>
        <v>228</v>
      </c>
      <c r="D14" s="574">
        <f>SUM(Z14:AK14)</f>
        <v>429.60000000000008</v>
      </c>
      <c r="E14" s="569">
        <f ca="1">SUM(AL14:AW14)+SUM(AZ14:BK14)</f>
        <v>9939.4000000000015</v>
      </c>
      <c r="F14" s="569"/>
      <c r="G14" s="569">
        <f>SUM(N14:P14,X14:Y14)</f>
        <v>95</v>
      </c>
      <c r="H14" s="574">
        <f>SUM(Z14:AB14,AJ14:AK14)</f>
        <v>179.00000000000003</v>
      </c>
      <c r="I14" s="569">
        <f ca="1">SUM(AL14:AN14,AV14:AW14)+SUM(AZ14:BB14,BJ14:BK14)</f>
        <v>4088.2400000000002</v>
      </c>
      <c r="J14" s="569"/>
      <c r="K14" s="569">
        <f>SUM(Q14:W14)</f>
        <v>133</v>
      </c>
      <c r="L14" s="574">
        <f>SUM(AC14:AI14)</f>
        <v>250.60000000000005</v>
      </c>
      <c r="M14" s="569">
        <f ca="1">SUM(AO14:AU14)+SUM(BC14:BI14)</f>
        <v>5851.16</v>
      </c>
      <c r="N14" s="569">
        <f>SUMIFS('Apr11-Mar12 Billed-RETAIL'!$G$5:$G$148,'Apr11-Mar12 Billed-RETAIL'!$B$5:$B$148,SBR!N$4,'Apr11-Mar12 Billed-RETAIL'!$C$5:$C$148,SBR!$A14)+SUMIFS('Apr11-Mar12 Billed-RETAIL'!$H$5:$H$148,'Apr11-Mar12 Billed-RETAIL'!$B$5:$B$148,SBR!N$4,'Apr11-Mar12 Billed-RETAIL'!$C$5:$C$148,SBR!$A14)+SUMIFS('Apr11-Mar12 Billed-RETAIL'!$AE$5:$AE$148,'Apr11-Mar12 Billed-RETAIL'!$B$5:$B$148,SBR!N$4,'Apr11-Mar12 Billed-RETAIL'!$C$5:$C$148,SBR!$A14)+SUMIFS('Apr11-Mar12 Billed-RETAIL'!$AF$5:$AF$148,'Apr11-Mar12 Billed-RETAIL'!$B$5:$B$148,SBR!N$4,'Apr11-Mar12 Billed-RETAIL'!$C$5:$C$148,SBR!$A14)</f>
        <v>19</v>
      </c>
      <c r="O14" s="569">
        <f>SUMIFS('Apr11-Mar12 Billed-RETAIL'!$G$5:$G$148,'Apr11-Mar12 Billed-RETAIL'!$B$5:$B$148,SBR!O$4,'Apr11-Mar12 Billed-RETAIL'!$C$5:$C$148,SBR!$A14)+SUMIFS('Apr11-Mar12 Billed-RETAIL'!$H$5:$H$148,'Apr11-Mar12 Billed-RETAIL'!$B$5:$B$148,SBR!O$4,'Apr11-Mar12 Billed-RETAIL'!$C$5:$C$148,SBR!$A14)+SUMIFS('Apr11-Mar12 Billed-RETAIL'!$AE$5:$AE$148,'Apr11-Mar12 Billed-RETAIL'!$B$5:$B$148,SBR!O$4,'Apr11-Mar12 Billed-RETAIL'!$C$5:$C$148,SBR!$A14)+SUMIFS('Apr11-Mar12 Billed-RETAIL'!$AF$5:$AF$148,'Apr11-Mar12 Billed-RETAIL'!$B$5:$B$148,SBR!O$4,'Apr11-Mar12 Billed-RETAIL'!$C$5:$C$148,SBR!$A14)</f>
        <v>19</v>
      </c>
      <c r="P14" s="569">
        <f>SUMIFS('Apr11-Mar12 Billed-RETAIL'!$G$5:$G$148,'Apr11-Mar12 Billed-RETAIL'!$B$5:$B$148,SBR!P$4,'Apr11-Mar12 Billed-RETAIL'!$C$5:$C$148,SBR!$A14)+SUMIFS('Apr11-Mar12 Billed-RETAIL'!$H$5:$H$148,'Apr11-Mar12 Billed-RETAIL'!$B$5:$B$148,SBR!P$4,'Apr11-Mar12 Billed-RETAIL'!$C$5:$C$148,SBR!$A14)+SUMIFS('Apr11-Mar12 Billed-RETAIL'!$AE$5:$AE$148,'Apr11-Mar12 Billed-RETAIL'!$B$5:$B$148,SBR!P$4,'Apr11-Mar12 Billed-RETAIL'!$C$5:$C$148,SBR!$A14)+SUMIFS('Apr11-Mar12 Billed-RETAIL'!$AF$5:$AF$148,'Apr11-Mar12 Billed-RETAIL'!$B$5:$B$148,SBR!P$4,'Apr11-Mar12 Billed-RETAIL'!$C$5:$C$148,SBR!$A14)</f>
        <v>19</v>
      </c>
      <c r="Q14" s="569">
        <f>SUMIFS('Apr11-Mar12 Billed-RETAIL'!$G$5:$G$148,'Apr11-Mar12 Billed-RETAIL'!$B$5:$B$148,SBR!Q$4,'Apr11-Mar12 Billed-RETAIL'!$C$5:$C$148,SBR!$A14)+SUMIFS('Apr11-Mar12 Billed-RETAIL'!$H$5:$H$148,'Apr11-Mar12 Billed-RETAIL'!$B$5:$B$148,SBR!Q$4,'Apr11-Mar12 Billed-RETAIL'!$C$5:$C$148,SBR!$A14)+SUMIFS('Apr11-Mar12 Billed-RETAIL'!$AE$5:$AE$148,'Apr11-Mar12 Billed-RETAIL'!$B$5:$B$148,SBR!Q$4,'Apr11-Mar12 Billed-RETAIL'!$C$5:$C$148,SBR!$A14)+SUMIFS('Apr11-Mar12 Billed-RETAIL'!$AF$5:$AF$148,'Apr11-Mar12 Billed-RETAIL'!$B$5:$B$148,SBR!Q$4,'Apr11-Mar12 Billed-RETAIL'!$C$5:$C$148,SBR!$A14)</f>
        <v>19</v>
      </c>
      <c r="R14" s="569">
        <f>SUMIFS('Apr11-Mar12 Billed-RETAIL'!$G$5:$G$148,'Apr11-Mar12 Billed-RETAIL'!$B$5:$B$148,SBR!R$4,'Apr11-Mar12 Billed-RETAIL'!$C$5:$C$148,SBR!$A14)+SUMIFS('Apr11-Mar12 Billed-RETAIL'!$H$5:$H$148,'Apr11-Mar12 Billed-RETAIL'!$B$5:$B$148,SBR!R$4,'Apr11-Mar12 Billed-RETAIL'!$C$5:$C$148,SBR!$A14)+SUMIFS('Apr11-Mar12 Billed-RETAIL'!$AE$5:$AE$148,'Apr11-Mar12 Billed-RETAIL'!$B$5:$B$148,SBR!R$4,'Apr11-Mar12 Billed-RETAIL'!$C$5:$C$148,SBR!$A14)+SUMIFS('Apr11-Mar12 Billed-RETAIL'!$AF$5:$AF$148,'Apr11-Mar12 Billed-RETAIL'!$B$5:$B$148,SBR!R$4,'Apr11-Mar12 Billed-RETAIL'!$C$5:$C$148,SBR!$A14)</f>
        <v>19</v>
      </c>
      <c r="S14" s="569">
        <f>SUMIFS('Apr11-Mar12 Billed-RETAIL'!$G$5:$G$148,'Apr11-Mar12 Billed-RETAIL'!$B$5:$B$148,SBR!S$4,'Apr11-Mar12 Billed-RETAIL'!$C$5:$C$148,SBR!$A14)+SUMIFS('Apr11-Mar12 Billed-RETAIL'!$H$5:$H$148,'Apr11-Mar12 Billed-RETAIL'!$B$5:$B$148,SBR!S$4,'Apr11-Mar12 Billed-RETAIL'!$C$5:$C$148,SBR!$A14)+SUMIFS('Apr11-Mar12 Billed-RETAIL'!$AE$5:$AE$148,'Apr11-Mar12 Billed-RETAIL'!$B$5:$B$148,SBR!S$4,'Apr11-Mar12 Billed-RETAIL'!$C$5:$C$148,SBR!$A14)+SUMIFS('Apr11-Mar12 Billed-RETAIL'!$AF$5:$AF$148,'Apr11-Mar12 Billed-RETAIL'!$B$5:$B$148,SBR!S$4,'Apr11-Mar12 Billed-RETAIL'!$C$5:$C$148,SBR!$A14)</f>
        <v>19</v>
      </c>
      <c r="T14" s="569">
        <f>SUMIFS('Apr11-Mar12 Billed-RETAIL'!$G$5:$G$148,'Apr11-Mar12 Billed-RETAIL'!$B$5:$B$148,SBR!T$4,'Apr11-Mar12 Billed-RETAIL'!$C$5:$C$148,SBR!$A14)+SUMIFS('Apr11-Mar12 Billed-RETAIL'!$H$5:$H$148,'Apr11-Mar12 Billed-RETAIL'!$B$5:$B$148,SBR!T$4,'Apr11-Mar12 Billed-RETAIL'!$C$5:$C$148,SBR!$A14)+SUMIFS('Apr11-Mar12 Billed-RETAIL'!$AE$5:$AE$148,'Apr11-Mar12 Billed-RETAIL'!$B$5:$B$148,SBR!T$4,'Apr11-Mar12 Billed-RETAIL'!$C$5:$C$148,SBR!$A14)+SUMIFS('Apr11-Mar12 Billed-RETAIL'!$AF$5:$AF$148,'Apr11-Mar12 Billed-RETAIL'!$B$5:$B$148,SBR!T$4,'Apr11-Mar12 Billed-RETAIL'!$C$5:$C$148,SBR!$A14)</f>
        <v>19</v>
      </c>
      <c r="U14" s="569">
        <f>SUMIFS('Apr11-Mar12 Billed-RETAIL'!$G$5:$G$148,'Apr11-Mar12 Billed-RETAIL'!$B$5:$B$148,SBR!U$4,'Apr11-Mar12 Billed-RETAIL'!$C$5:$C$148,SBR!$A14)+SUMIFS('Apr11-Mar12 Billed-RETAIL'!$H$5:$H$148,'Apr11-Mar12 Billed-RETAIL'!$B$5:$B$148,SBR!U$4,'Apr11-Mar12 Billed-RETAIL'!$C$5:$C$148,SBR!$A14)+SUMIFS('Apr11-Mar12 Billed-RETAIL'!$AE$5:$AE$148,'Apr11-Mar12 Billed-RETAIL'!$B$5:$B$148,SBR!U$4,'Apr11-Mar12 Billed-RETAIL'!$C$5:$C$148,SBR!$A14)+SUMIFS('Apr11-Mar12 Billed-RETAIL'!$AF$5:$AF$148,'Apr11-Mar12 Billed-RETAIL'!$B$5:$B$148,SBR!U$4,'Apr11-Mar12 Billed-RETAIL'!$C$5:$C$148,SBR!$A14)</f>
        <v>19</v>
      </c>
      <c r="V14" s="569">
        <f>SUMIFS('Apr11-Mar12 Billed-RETAIL'!$G$5:$G$148,'Apr11-Mar12 Billed-RETAIL'!$B$5:$B$148,SBR!V$4,'Apr11-Mar12 Billed-RETAIL'!$C$5:$C$148,SBR!$A14)+SUMIFS('Apr11-Mar12 Billed-RETAIL'!$H$5:$H$148,'Apr11-Mar12 Billed-RETAIL'!$B$5:$B$148,SBR!V$4,'Apr11-Mar12 Billed-RETAIL'!$C$5:$C$148,SBR!$A14)+SUMIFS('Apr11-Mar12 Billed-RETAIL'!$AE$5:$AE$148,'Apr11-Mar12 Billed-RETAIL'!$B$5:$B$148,SBR!V$4,'Apr11-Mar12 Billed-RETAIL'!$C$5:$C$148,SBR!$A14)+SUMIFS('Apr11-Mar12 Billed-RETAIL'!$AF$5:$AF$148,'Apr11-Mar12 Billed-RETAIL'!$B$5:$B$148,SBR!V$4,'Apr11-Mar12 Billed-RETAIL'!$C$5:$C$148,SBR!$A14)</f>
        <v>19</v>
      </c>
      <c r="W14" s="569">
        <f>SUMIFS('Apr11-Mar12 Billed-RETAIL'!$G$5:$G$148,'Apr11-Mar12 Billed-RETAIL'!$B$5:$B$148,SBR!W$4,'Apr11-Mar12 Billed-RETAIL'!$C$5:$C$148,SBR!$A14)+SUMIFS('Apr11-Mar12 Billed-RETAIL'!$H$5:$H$148,'Apr11-Mar12 Billed-RETAIL'!$B$5:$B$148,SBR!W$4,'Apr11-Mar12 Billed-RETAIL'!$C$5:$C$148,SBR!$A14)+SUMIFS('Apr11-Mar12 Billed-RETAIL'!$AE$5:$AE$148,'Apr11-Mar12 Billed-RETAIL'!$B$5:$B$148,SBR!W$4,'Apr11-Mar12 Billed-RETAIL'!$C$5:$C$148,SBR!$A14)+SUMIFS('Apr11-Mar12 Billed-RETAIL'!$AF$5:$AF$148,'Apr11-Mar12 Billed-RETAIL'!$B$5:$B$148,SBR!W$4,'Apr11-Mar12 Billed-RETAIL'!$C$5:$C$148,SBR!$A14)</f>
        <v>19</v>
      </c>
      <c r="X14" s="569">
        <f>SUMIFS('Apr11-Mar12 Billed-RETAIL'!$G$5:$G$148,'Apr11-Mar12 Billed-RETAIL'!$B$5:$B$148,SBR!X$4,'Apr11-Mar12 Billed-RETAIL'!$C$5:$C$148,SBR!$A14)+SUMIFS('Apr11-Mar12 Billed-RETAIL'!$H$5:$H$148,'Apr11-Mar12 Billed-RETAIL'!$B$5:$B$148,SBR!X$4,'Apr11-Mar12 Billed-RETAIL'!$C$5:$C$148,SBR!$A14)+SUMIFS('Apr11-Mar12 Billed-RETAIL'!$AE$5:$AE$148,'Apr11-Mar12 Billed-RETAIL'!$B$5:$B$148,SBR!X$4,'Apr11-Mar12 Billed-RETAIL'!$C$5:$C$148,SBR!$A14)+SUMIFS('Apr11-Mar12 Billed-RETAIL'!$AF$5:$AF$148,'Apr11-Mar12 Billed-RETAIL'!$B$5:$B$148,SBR!X$4,'Apr11-Mar12 Billed-RETAIL'!$C$5:$C$148,SBR!$A14)</f>
        <v>19</v>
      </c>
      <c r="Y14" s="569">
        <f>SUMIFS('Apr11-Mar12 Billed-RETAIL'!$G$5:$G$148,'Apr11-Mar12 Billed-RETAIL'!$B$5:$B$148,SBR!Y$4,'Apr11-Mar12 Billed-RETAIL'!$C$5:$C$148,SBR!$A14)+SUMIFS('Apr11-Mar12 Billed-RETAIL'!$H$5:$H$148,'Apr11-Mar12 Billed-RETAIL'!$B$5:$B$148,SBR!Y$4,'Apr11-Mar12 Billed-RETAIL'!$C$5:$C$148,SBR!$A14)+SUMIFS('Apr11-Mar12 Billed-RETAIL'!$AE$5:$AE$148,'Apr11-Mar12 Billed-RETAIL'!$B$5:$B$148,SBR!Y$4,'Apr11-Mar12 Billed-RETAIL'!$C$5:$C$148,SBR!$A14)+SUMIFS('Apr11-Mar12 Billed-RETAIL'!$AF$5:$AF$148,'Apr11-Mar12 Billed-RETAIL'!$B$5:$B$148,SBR!Y$4,'Apr11-Mar12 Billed-RETAIL'!$C$5:$C$148,SBR!$A14)</f>
        <v>19</v>
      </c>
      <c r="Z14" s="1240">
        <f>(SUMIFS('Apr11-Mar12 Billed-RETAIL'!$I$5:$I$148,'Apr11-Mar12 Billed-RETAIL'!$B$5:$B$148,SBR!Z$4,'Apr11-Mar12 Billed-RETAIL'!$C$5:$C$148,SBR!$A14)+SUMIFS('Apr11-Mar12 Billed-RETAIL'!$J$5:$J$148,'Apr11-Mar12 Billed-RETAIL'!$B$5:$B$148,SBR!Z$4,'Apr11-Mar12 Billed-RETAIL'!$C$5:$C$148,SBR!$A14))*0.1</f>
        <v>35.800000000000004</v>
      </c>
      <c r="AA14" s="1240">
        <f>(SUMIFS('Apr11-Mar12 Billed-RETAIL'!$I$5:$I$148,'Apr11-Mar12 Billed-RETAIL'!$B$5:$B$148,SBR!AA$4,'Apr11-Mar12 Billed-RETAIL'!$C$5:$C$148,SBR!$A14)+SUMIFS('Apr11-Mar12 Billed-RETAIL'!$J$5:$J$148,'Apr11-Mar12 Billed-RETAIL'!$B$5:$B$148,SBR!AA$4,'Apr11-Mar12 Billed-RETAIL'!$C$5:$C$148,SBR!$A14))*0.1</f>
        <v>35.800000000000004</v>
      </c>
      <c r="AB14" s="1240">
        <f>(SUMIFS('Apr11-Mar12 Billed-RETAIL'!$I$5:$I$148,'Apr11-Mar12 Billed-RETAIL'!$B$5:$B$148,SBR!AB$4,'Apr11-Mar12 Billed-RETAIL'!$C$5:$C$148,SBR!$A14)+SUMIFS('Apr11-Mar12 Billed-RETAIL'!$J$5:$J$148,'Apr11-Mar12 Billed-RETAIL'!$B$5:$B$148,SBR!AB$4,'Apr11-Mar12 Billed-RETAIL'!$C$5:$C$148,SBR!$A14))*0.1</f>
        <v>35.800000000000004</v>
      </c>
      <c r="AC14" s="1240">
        <f>(SUMIFS('Apr11-Mar12 Billed-RETAIL'!$I$5:$I$148,'Apr11-Mar12 Billed-RETAIL'!$B$5:$B$148,SBR!AC$4,'Apr11-Mar12 Billed-RETAIL'!$C$5:$C$148,SBR!$A14)+SUMIFS('Apr11-Mar12 Billed-RETAIL'!$J$5:$J$148,'Apr11-Mar12 Billed-RETAIL'!$B$5:$B$148,SBR!AC$4,'Apr11-Mar12 Billed-RETAIL'!$C$5:$C$148,SBR!$A14))*0.1</f>
        <v>35.800000000000004</v>
      </c>
      <c r="AD14" s="1240">
        <f>(SUMIFS('Apr11-Mar12 Billed-RETAIL'!$I$5:$I$148,'Apr11-Mar12 Billed-RETAIL'!$B$5:$B$148,SBR!AD$4,'Apr11-Mar12 Billed-RETAIL'!$C$5:$C$148,SBR!$A14)+SUMIFS('Apr11-Mar12 Billed-RETAIL'!$J$5:$J$148,'Apr11-Mar12 Billed-RETAIL'!$B$5:$B$148,SBR!AD$4,'Apr11-Mar12 Billed-RETAIL'!$C$5:$C$148,SBR!$A14))*0.1</f>
        <v>35.800000000000004</v>
      </c>
      <c r="AE14" s="1240">
        <f>(SUMIFS('Apr11-Mar12 Billed-RETAIL'!$I$5:$I$148,'Apr11-Mar12 Billed-RETAIL'!$B$5:$B$148,SBR!AE$4,'Apr11-Mar12 Billed-RETAIL'!$C$5:$C$148,SBR!$A14)+SUMIFS('Apr11-Mar12 Billed-RETAIL'!$J$5:$J$148,'Apr11-Mar12 Billed-RETAIL'!$B$5:$B$148,SBR!AE$4,'Apr11-Mar12 Billed-RETAIL'!$C$5:$C$148,SBR!$A14))*0.1</f>
        <v>35.800000000000004</v>
      </c>
      <c r="AF14" s="1240">
        <f>(SUMIFS('Apr11-Mar12 Billed-RETAIL'!$I$5:$I$148,'Apr11-Mar12 Billed-RETAIL'!$B$5:$B$148,SBR!AF$4,'Apr11-Mar12 Billed-RETAIL'!$C$5:$C$148,SBR!$A14)+SUMIFS('Apr11-Mar12 Billed-RETAIL'!$J$5:$J$148,'Apr11-Mar12 Billed-RETAIL'!$B$5:$B$148,SBR!AF$4,'Apr11-Mar12 Billed-RETAIL'!$C$5:$C$148,SBR!$A14))*0.1</f>
        <v>35.800000000000004</v>
      </c>
      <c r="AG14" s="1240">
        <f>(SUMIFS('Apr11-Mar12 Billed-RETAIL'!$I$5:$I$148,'Apr11-Mar12 Billed-RETAIL'!$B$5:$B$148,SBR!AG$4,'Apr11-Mar12 Billed-RETAIL'!$C$5:$C$148,SBR!$A14)+SUMIFS('Apr11-Mar12 Billed-RETAIL'!$J$5:$J$148,'Apr11-Mar12 Billed-RETAIL'!$B$5:$B$148,SBR!AG$4,'Apr11-Mar12 Billed-RETAIL'!$C$5:$C$148,SBR!$A14))*0.1</f>
        <v>35.800000000000004</v>
      </c>
      <c r="AH14" s="1240">
        <f>(SUMIFS('Apr11-Mar12 Billed-RETAIL'!$I$5:$I$148,'Apr11-Mar12 Billed-RETAIL'!$B$5:$B$148,SBR!AH$4,'Apr11-Mar12 Billed-RETAIL'!$C$5:$C$148,SBR!$A14)+SUMIFS('Apr11-Mar12 Billed-RETAIL'!$J$5:$J$148,'Apr11-Mar12 Billed-RETAIL'!$B$5:$B$148,SBR!AH$4,'Apr11-Mar12 Billed-RETAIL'!$C$5:$C$148,SBR!$A14))*0.1</f>
        <v>35.800000000000004</v>
      </c>
      <c r="AI14" s="1240">
        <f>(SUMIFS('Apr11-Mar12 Billed-RETAIL'!$I$5:$I$148,'Apr11-Mar12 Billed-RETAIL'!$B$5:$B$148,SBR!AI$4,'Apr11-Mar12 Billed-RETAIL'!$C$5:$C$148,SBR!$A14)+SUMIFS('Apr11-Mar12 Billed-RETAIL'!$J$5:$J$148,'Apr11-Mar12 Billed-RETAIL'!$B$5:$B$148,SBR!AI$4,'Apr11-Mar12 Billed-RETAIL'!$C$5:$C$148,SBR!$A14))*0.1</f>
        <v>35.800000000000004</v>
      </c>
      <c r="AJ14" s="1240">
        <f>(SUMIFS('Apr11-Mar12 Billed-RETAIL'!$I$5:$I$148,'Apr11-Mar12 Billed-RETAIL'!$B$5:$B$148,SBR!AJ$4,'Apr11-Mar12 Billed-RETAIL'!$C$5:$C$148,SBR!$A14)+SUMIFS('Apr11-Mar12 Billed-RETAIL'!$J$5:$J$148,'Apr11-Mar12 Billed-RETAIL'!$B$5:$B$148,SBR!AJ$4,'Apr11-Mar12 Billed-RETAIL'!$C$5:$C$148,SBR!$A14))*0.1</f>
        <v>35.800000000000004</v>
      </c>
      <c r="AK14" s="1240">
        <f>(SUMIFS('Apr11-Mar12 Billed-RETAIL'!$I$5:$I$148,'Apr11-Mar12 Billed-RETAIL'!$B$5:$B$148,SBR!AK$4,'Apr11-Mar12 Billed-RETAIL'!$C$5:$C$148,SBR!$A14)+SUMIFS('Apr11-Mar12 Billed-RETAIL'!$J$5:$J$148,'Apr11-Mar12 Billed-RETAIL'!$B$5:$B$148,SBR!AK$4,'Apr11-Mar12 Billed-RETAIL'!$C$5:$C$148,SBR!$A14))*0.1</f>
        <v>35.800000000000004</v>
      </c>
      <c r="AL14" s="1241">
        <f ca="1">SUMIFS('Apr11-Mar12 Billed-RETAIL'!$AW$5:$AW$148,'Apr11-Mar12 Billed-RETAIL'!$B$5:$B$148,SBR!AL$4,'Apr11-Mar12 Billed-RETAIL'!$C$5:$C$148,SBR!$A14)</f>
        <v>822.17</v>
      </c>
      <c r="AM14" s="1241">
        <f ca="1">SUMIFS('Apr11-Mar12 Billed-RETAIL'!$AW$5:$AW$148,'Apr11-Mar12 Billed-RETAIL'!$B$5:$B$148,SBR!AM$4,'Apr11-Mar12 Billed-RETAIL'!$C$5:$C$148,SBR!$A14)</f>
        <v>810.84</v>
      </c>
      <c r="AN14" s="1241">
        <f ca="1">SUMIFS('Apr11-Mar12 Billed-RETAIL'!$AW$5:$AW$148,'Apr11-Mar12 Billed-RETAIL'!$B$5:$B$148,SBR!AN$4,'Apr11-Mar12 Billed-RETAIL'!$C$5:$C$148,SBR!$A14)</f>
        <v>807.21</v>
      </c>
      <c r="AO14" s="1241">
        <f ca="1">SUMIFS('Apr11-Mar12 Billed-RETAIL'!$AW$5:$AW$148,'Apr11-Mar12 Billed-RETAIL'!$B$5:$B$148,SBR!AO$4,'Apr11-Mar12 Billed-RETAIL'!$C$5:$C$148,SBR!$A14)</f>
        <v>826.08</v>
      </c>
      <c r="AP14" s="1241">
        <f ca="1">SUMIFS('Apr11-Mar12 Billed-RETAIL'!$AW$5:$AW$148,'Apr11-Mar12 Billed-RETAIL'!$B$5:$B$148,SBR!AP$4,'Apr11-Mar12 Billed-RETAIL'!$C$5:$C$148,SBR!$A14)</f>
        <v>834.97</v>
      </c>
      <c r="AQ14" s="1241">
        <f ca="1">SUMIFS('Apr11-Mar12 Billed-RETAIL'!$AW$5:$AW$148,'Apr11-Mar12 Billed-RETAIL'!$B$5:$B$148,SBR!AQ$4,'Apr11-Mar12 Billed-RETAIL'!$C$5:$C$148,SBR!$A14)</f>
        <v>838.35</v>
      </c>
      <c r="AR14" s="1241">
        <f ca="1">SUMIFS('Apr11-Mar12 Billed-RETAIL'!$AW$5:$AW$148,'Apr11-Mar12 Billed-RETAIL'!$B$5:$B$148,SBR!AR$4,'Apr11-Mar12 Billed-RETAIL'!$C$5:$C$148,SBR!$A14)</f>
        <v>838.35</v>
      </c>
      <c r="AS14" s="1241">
        <f ca="1">SUMIFS('Apr11-Mar12 Billed-RETAIL'!$AW$5:$AW$148,'Apr11-Mar12 Billed-RETAIL'!$B$5:$B$148,SBR!AS$4,'Apr11-Mar12 Billed-RETAIL'!$C$5:$C$148,SBR!$A14)</f>
        <v>838.13</v>
      </c>
      <c r="AT14" s="1241">
        <f ca="1">SUMIFS('Apr11-Mar12 Billed-RETAIL'!$AW$5:$AW$148,'Apr11-Mar12 Billed-RETAIL'!$B$5:$B$148,SBR!AT$4,'Apr11-Mar12 Billed-RETAIL'!$C$5:$C$148,SBR!$A14)</f>
        <v>838.02</v>
      </c>
      <c r="AU14" s="1241">
        <f ca="1">SUMIFS('Apr11-Mar12 Billed-RETAIL'!$AW$5:$AW$148,'Apr11-Mar12 Billed-RETAIL'!$B$5:$B$148,SBR!AU$4,'Apr11-Mar12 Billed-RETAIL'!$C$5:$C$148,SBR!$A14)</f>
        <v>838.02</v>
      </c>
      <c r="AV14" s="1241">
        <f ca="1">SUMIFS('Apr11-Mar12 Billed-RETAIL'!$AW$5:$AW$148,'Apr11-Mar12 Billed-RETAIL'!$B$5:$B$148,SBR!AV$4,'Apr11-Mar12 Billed-RETAIL'!$C$5:$C$148,SBR!$A14)</f>
        <v>826.19</v>
      </c>
      <c r="AW14" s="1241">
        <f ca="1">SUMIFS('Apr11-Mar12 Billed-RETAIL'!$AW$5:$AW$148,'Apr11-Mar12 Billed-RETAIL'!$B$5:$B$148,SBR!AW$4,'Apr11-Mar12 Billed-RETAIL'!$C$5:$C$148,SBR!$A14)</f>
        <v>822.1</v>
      </c>
      <c r="AX14" s="571"/>
      <c r="AY14" s="571"/>
      <c r="AZ14" s="1242">
        <f t="shared" ref="AZ14:BK16" ca="1" si="10">ROUND((AL14/AL$31)*AZ$5,2)</f>
        <v>-0.05</v>
      </c>
      <c r="BA14" s="1242">
        <f t="shared" ca="1" si="10"/>
        <v>-0.05</v>
      </c>
      <c r="BB14" s="1242">
        <f t="shared" ca="1" si="10"/>
        <v>-0.09</v>
      </c>
      <c r="BC14" s="1242">
        <f t="shared" ca="1" si="10"/>
        <v>-0.08</v>
      </c>
      <c r="BD14" s="1242">
        <f t="shared" ca="1" si="10"/>
        <v>-0.13</v>
      </c>
      <c r="BE14" s="1242">
        <f t="shared" ca="1" si="10"/>
        <v>-0.1</v>
      </c>
      <c r="BF14" s="1242">
        <f t="shared" ca="1" si="10"/>
        <v>-0.22</v>
      </c>
      <c r="BG14" s="1242">
        <f t="shared" ca="1" si="10"/>
        <v>-0.14000000000000001</v>
      </c>
      <c r="BH14" s="1242">
        <f t="shared" ca="1" si="10"/>
        <v>-0.08</v>
      </c>
      <c r="BI14" s="1242">
        <f t="shared" ca="1" si="10"/>
        <v>-0.01</v>
      </c>
      <c r="BJ14" s="1242">
        <f t="shared" ca="1" si="10"/>
        <v>0</v>
      </c>
      <c r="BK14" s="1242">
        <f t="shared" ca="1" si="10"/>
        <v>-0.08</v>
      </c>
      <c r="BL14" s="1242"/>
    </row>
    <row r="15" spans="1:64" x14ac:dyDescent="0.2">
      <c r="A15" s="1080" t="s">
        <v>41</v>
      </c>
      <c r="B15" s="1080" t="s">
        <v>42</v>
      </c>
      <c r="C15" s="569"/>
      <c r="D15" s="574">
        <f>SUM(Z15:AK15)</f>
        <v>737.09999999999991</v>
      </c>
      <c r="E15" s="569">
        <f ca="1">SUM(AL15:AW15)+SUM(AZ15:BK15)</f>
        <v>229110.66999999998</v>
      </c>
      <c r="F15" s="569"/>
      <c r="G15" s="569">
        <f>SUM(N15:P15,X15:Y15)</f>
        <v>3100</v>
      </c>
      <c r="H15" s="574">
        <f>SUM(Z15:AB15,AJ15:AK15)</f>
        <v>306.30000000000007</v>
      </c>
      <c r="I15" s="569">
        <f ca="1">SUM(AL15:AN15,AV15:AW15)+SUM(AZ15:BB15,BJ15:BK15)</f>
        <v>95146.809999999983</v>
      </c>
      <c r="J15" s="569"/>
      <c r="K15" s="569">
        <f>SUM(Q15:W15)</f>
        <v>4359</v>
      </c>
      <c r="L15" s="574">
        <f>SUM(AC15:AI15)</f>
        <v>430.8</v>
      </c>
      <c r="M15" s="569">
        <f ca="1">SUM(AO15:AU15)+SUM(BC15:BI15)</f>
        <v>133963.86000000002</v>
      </c>
      <c r="N15" s="569">
        <f>SUMIFS('Apr11-Mar12 Billed-RETAIL'!$G$5:$G$148,'Apr11-Mar12 Billed-RETAIL'!$B$5:$B$148,SBR!N$4,'Apr11-Mar12 Billed-RETAIL'!$C$5:$C$148,SBR!$A15)+SUMIFS('Apr11-Mar12 Billed-RETAIL'!$H$5:$H$148,'Apr11-Mar12 Billed-RETAIL'!$B$5:$B$148,SBR!N$4,'Apr11-Mar12 Billed-RETAIL'!$C$5:$C$148,SBR!$A15)+SUMIFS('Apr11-Mar12 Billed-RETAIL'!$AE$5:$AE$148,'Apr11-Mar12 Billed-RETAIL'!$B$5:$B$148,SBR!N$4,'Apr11-Mar12 Billed-RETAIL'!$C$5:$C$148,SBR!$A15)+SUMIFS('Apr11-Mar12 Billed-RETAIL'!$AF$5:$AF$148,'Apr11-Mar12 Billed-RETAIL'!$B$5:$B$148,SBR!N$4,'Apr11-Mar12 Billed-RETAIL'!$C$5:$C$148,SBR!$A15)</f>
        <v>624</v>
      </c>
      <c r="O15" s="569">
        <f>SUMIFS('Apr11-Mar12 Billed-RETAIL'!$G$5:$G$148,'Apr11-Mar12 Billed-RETAIL'!$B$5:$B$148,SBR!O$4,'Apr11-Mar12 Billed-RETAIL'!$C$5:$C$148,SBR!$A15)+SUMIFS('Apr11-Mar12 Billed-RETAIL'!$H$5:$H$148,'Apr11-Mar12 Billed-RETAIL'!$B$5:$B$148,SBR!O$4,'Apr11-Mar12 Billed-RETAIL'!$C$5:$C$148,SBR!$A15)+SUMIFS('Apr11-Mar12 Billed-RETAIL'!$AE$5:$AE$148,'Apr11-Mar12 Billed-RETAIL'!$B$5:$B$148,SBR!O$4,'Apr11-Mar12 Billed-RETAIL'!$C$5:$C$148,SBR!$A15)+SUMIFS('Apr11-Mar12 Billed-RETAIL'!$AF$5:$AF$148,'Apr11-Mar12 Billed-RETAIL'!$B$5:$B$148,SBR!O$4,'Apr11-Mar12 Billed-RETAIL'!$C$5:$C$148,SBR!$A15)</f>
        <v>620</v>
      </c>
      <c r="P15" s="569">
        <f>SUMIFS('Apr11-Mar12 Billed-RETAIL'!$G$5:$G$148,'Apr11-Mar12 Billed-RETAIL'!$B$5:$B$148,SBR!P$4,'Apr11-Mar12 Billed-RETAIL'!$C$5:$C$148,SBR!$A15)+SUMIFS('Apr11-Mar12 Billed-RETAIL'!$H$5:$H$148,'Apr11-Mar12 Billed-RETAIL'!$B$5:$B$148,SBR!P$4,'Apr11-Mar12 Billed-RETAIL'!$C$5:$C$148,SBR!$A15)+SUMIFS('Apr11-Mar12 Billed-RETAIL'!$AE$5:$AE$148,'Apr11-Mar12 Billed-RETAIL'!$B$5:$B$148,SBR!P$4,'Apr11-Mar12 Billed-RETAIL'!$C$5:$C$148,SBR!$A15)+SUMIFS('Apr11-Mar12 Billed-RETAIL'!$AF$5:$AF$148,'Apr11-Mar12 Billed-RETAIL'!$B$5:$B$148,SBR!P$4,'Apr11-Mar12 Billed-RETAIL'!$C$5:$C$148,SBR!$A15)</f>
        <v>620</v>
      </c>
      <c r="Q15" s="569">
        <f>SUMIFS('Apr11-Mar12 Billed-RETAIL'!$G$5:$G$148,'Apr11-Mar12 Billed-RETAIL'!$B$5:$B$148,SBR!Q$4,'Apr11-Mar12 Billed-RETAIL'!$C$5:$C$148,SBR!$A15)+SUMIFS('Apr11-Mar12 Billed-RETAIL'!$H$5:$H$148,'Apr11-Mar12 Billed-RETAIL'!$B$5:$B$148,SBR!Q$4,'Apr11-Mar12 Billed-RETAIL'!$C$5:$C$148,SBR!$A15)+SUMIFS('Apr11-Mar12 Billed-RETAIL'!$AE$5:$AE$148,'Apr11-Mar12 Billed-RETAIL'!$B$5:$B$148,SBR!Q$4,'Apr11-Mar12 Billed-RETAIL'!$C$5:$C$148,SBR!$A15)+SUMIFS('Apr11-Mar12 Billed-RETAIL'!$AF$5:$AF$148,'Apr11-Mar12 Billed-RETAIL'!$B$5:$B$148,SBR!Q$4,'Apr11-Mar12 Billed-RETAIL'!$C$5:$C$148,SBR!$A15)</f>
        <v>617</v>
      </c>
      <c r="R15" s="569">
        <f>SUMIFS('Apr11-Mar12 Billed-RETAIL'!$G$5:$G$148,'Apr11-Mar12 Billed-RETAIL'!$B$5:$B$148,SBR!R$4,'Apr11-Mar12 Billed-RETAIL'!$C$5:$C$148,SBR!$A15)+SUMIFS('Apr11-Mar12 Billed-RETAIL'!$H$5:$H$148,'Apr11-Mar12 Billed-RETAIL'!$B$5:$B$148,SBR!R$4,'Apr11-Mar12 Billed-RETAIL'!$C$5:$C$148,SBR!$A15)+SUMIFS('Apr11-Mar12 Billed-RETAIL'!$AE$5:$AE$148,'Apr11-Mar12 Billed-RETAIL'!$B$5:$B$148,SBR!R$4,'Apr11-Mar12 Billed-RETAIL'!$C$5:$C$148,SBR!$A15)+SUMIFS('Apr11-Mar12 Billed-RETAIL'!$AF$5:$AF$148,'Apr11-Mar12 Billed-RETAIL'!$B$5:$B$148,SBR!R$4,'Apr11-Mar12 Billed-RETAIL'!$C$5:$C$148,SBR!$A15)</f>
        <v>617</v>
      </c>
      <c r="S15" s="569">
        <f>SUMIFS('Apr11-Mar12 Billed-RETAIL'!$G$5:$G$148,'Apr11-Mar12 Billed-RETAIL'!$B$5:$B$148,SBR!S$4,'Apr11-Mar12 Billed-RETAIL'!$C$5:$C$148,SBR!$A15)+SUMIFS('Apr11-Mar12 Billed-RETAIL'!$H$5:$H$148,'Apr11-Mar12 Billed-RETAIL'!$B$5:$B$148,SBR!S$4,'Apr11-Mar12 Billed-RETAIL'!$C$5:$C$148,SBR!$A15)+SUMIFS('Apr11-Mar12 Billed-RETAIL'!$AE$5:$AE$148,'Apr11-Mar12 Billed-RETAIL'!$B$5:$B$148,SBR!S$4,'Apr11-Mar12 Billed-RETAIL'!$C$5:$C$148,SBR!$A15)+SUMIFS('Apr11-Mar12 Billed-RETAIL'!$AF$5:$AF$148,'Apr11-Mar12 Billed-RETAIL'!$B$5:$B$148,SBR!S$4,'Apr11-Mar12 Billed-RETAIL'!$C$5:$C$148,SBR!$A15)</f>
        <v>625</v>
      </c>
      <c r="T15" s="569">
        <f>SUMIFS('Apr11-Mar12 Billed-RETAIL'!$G$5:$G$148,'Apr11-Mar12 Billed-RETAIL'!$B$5:$B$148,SBR!T$4,'Apr11-Mar12 Billed-RETAIL'!$C$5:$C$148,SBR!$A15)+SUMIFS('Apr11-Mar12 Billed-RETAIL'!$H$5:$H$148,'Apr11-Mar12 Billed-RETAIL'!$B$5:$B$148,SBR!T$4,'Apr11-Mar12 Billed-RETAIL'!$C$5:$C$148,SBR!$A15)+SUMIFS('Apr11-Mar12 Billed-RETAIL'!$AE$5:$AE$148,'Apr11-Mar12 Billed-RETAIL'!$B$5:$B$148,SBR!T$4,'Apr11-Mar12 Billed-RETAIL'!$C$5:$C$148,SBR!$A15)+SUMIFS('Apr11-Mar12 Billed-RETAIL'!$AF$5:$AF$148,'Apr11-Mar12 Billed-RETAIL'!$B$5:$B$148,SBR!T$4,'Apr11-Mar12 Billed-RETAIL'!$C$5:$C$148,SBR!$A15)</f>
        <v>639</v>
      </c>
      <c r="U15" s="569">
        <f>SUMIFS('Apr11-Mar12 Billed-RETAIL'!$G$5:$G$148,'Apr11-Mar12 Billed-RETAIL'!$B$5:$B$148,SBR!U$4,'Apr11-Mar12 Billed-RETAIL'!$C$5:$C$148,SBR!$A15)+SUMIFS('Apr11-Mar12 Billed-RETAIL'!$H$5:$H$148,'Apr11-Mar12 Billed-RETAIL'!$B$5:$B$148,SBR!U$4,'Apr11-Mar12 Billed-RETAIL'!$C$5:$C$148,SBR!$A15)+SUMIFS('Apr11-Mar12 Billed-RETAIL'!$AE$5:$AE$148,'Apr11-Mar12 Billed-RETAIL'!$B$5:$B$148,SBR!U$4,'Apr11-Mar12 Billed-RETAIL'!$C$5:$C$148,SBR!$A15)+SUMIFS('Apr11-Mar12 Billed-RETAIL'!$AF$5:$AF$148,'Apr11-Mar12 Billed-RETAIL'!$B$5:$B$148,SBR!U$4,'Apr11-Mar12 Billed-RETAIL'!$C$5:$C$148,SBR!$A15)</f>
        <v>621</v>
      </c>
      <c r="V15" s="569">
        <f>SUMIFS('Apr11-Mar12 Billed-RETAIL'!$G$5:$G$148,'Apr11-Mar12 Billed-RETAIL'!$B$5:$B$148,SBR!V$4,'Apr11-Mar12 Billed-RETAIL'!$C$5:$C$148,SBR!$A15)+SUMIFS('Apr11-Mar12 Billed-RETAIL'!$H$5:$H$148,'Apr11-Mar12 Billed-RETAIL'!$B$5:$B$148,SBR!V$4,'Apr11-Mar12 Billed-RETAIL'!$C$5:$C$148,SBR!$A15)+SUMIFS('Apr11-Mar12 Billed-RETAIL'!$AE$5:$AE$148,'Apr11-Mar12 Billed-RETAIL'!$B$5:$B$148,SBR!V$4,'Apr11-Mar12 Billed-RETAIL'!$C$5:$C$148,SBR!$A15)+SUMIFS('Apr11-Mar12 Billed-RETAIL'!$AF$5:$AF$148,'Apr11-Mar12 Billed-RETAIL'!$B$5:$B$148,SBR!V$4,'Apr11-Mar12 Billed-RETAIL'!$C$5:$C$148,SBR!$A15)</f>
        <v>620</v>
      </c>
      <c r="W15" s="569">
        <f>SUMIFS('Apr11-Mar12 Billed-RETAIL'!$G$5:$G$148,'Apr11-Mar12 Billed-RETAIL'!$B$5:$B$148,SBR!W$4,'Apr11-Mar12 Billed-RETAIL'!$C$5:$C$148,SBR!$A15)+SUMIFS('Apr11-Mar12 Billed-RETAIL'!$H$5:$H$148,'Apr11-Mar12 Billed-RETAIL'!$B$5:$B$148,SBR!W$4,'Apr11-Mar12 Billed-RETAIL'!$C$5:$C$148,SBR!$A15)+SUMIFS('Apr11-Mar12 Billed-RETAIL'!$AE$5:$AE$148,'Apr11-Mar12 Billed-RETAIL'!$B$5:$B$148,SBR!W$4,'Apr11-Mar12 Billed-RETAIL'!$C$5:$C$148,SBR!$A15)+SUMIFS('Apr11-Mar12 Billed-RETAIL'!$AF$5:$AF$148,'Apr11-Mar12 Billed-RETAIL'!$B$5:$B$148,SBR!W$4,'Apr11-Mar12 Billed-RETAIL'!$C$5:$C$148,SBR!$A15)</f>
        <v>620</v>
      </c>
      <c r="X15" s="569">
        <f>SUMIFS('Apr11-Mar12 Billed-RETAIL'!$G$5:$G$148,'Apr11-Mar12 Billed-RETAIL'!$B$5:$B$148,SBR!X$4,'Apr11-Mar12 Billed-RETAIL'!$C$5:$C$148,SBR!$A15)+SUMIFS('Apr11-Mar12 Billed-RETAIL'!$H$5:$H$148,'Apr11-Mar12 Billed-RETAIL'!$B$5:$B$148,SBR!X$4,'Apr11-Mar12 Billed-RETAIL'!$C$5:$C$148,SBR!$A15)+SUMIFS('Apr11-Mar12 Billed-RETAIL'!$AE$5:$AE$148,'Apr11-Mar12 Billed-RETAIL'!$B$5:$B$148,SBR!X$4,'Apr11-Mar12 Billed-RETAIL'!$C$5:$C$148,SBR!$A15)+SUMIFS('Apr11-Mar12 Billed-RETAIL'!$AF$5:$AF$148,'Apr11-Mar12 Billed-RETAIL'!$B$5:$B$148,SBR!X$4,'Apr11-Mar12 Billed-RETAIL'!$C$5:$C$148,SBR!$A15)</f>
        <v>620</v>
      </c>
      <c r="Y15" s="569">
        <f>SUMIFS('Apr11-Mar12 Billed-RETAIL'!$G$5:$G$148,'Apr11-Mar12 Billed-RETAIL'!$B$5:$B$148,SBR!Y$4,'Apr11-Mar12 Billed-RETAIL'!$C$5:$C$148,SBR!$A15)+SUMIFS('Apr11-Mar12 Billed-RETAIL'!$H$5:$H$148,'Apr11-Mar12 Billed-RETAIL'!$B$5:$B$148,SBR!Y$4,'Apr11-Mar12 Billed-RETAIL'!$C$5:$C$148,SBR!$A15)+SUMIFS('Apr11-Mar12 Billed-RETAIL'!$AE$5:$AE$148,'Apr11-Mar12 Billed-RETAIL'!$B$5:$B$148,SBR!Y$4,'Apr11-Mar12 Billed-RETAIL'!$C$5:$C$148,SBR!$A15)+SUMIFS('Apr11-Mar12 Billed-RETAIL'!$AF$5:$AF$148,'Apr11-Mar12 Billed-RETAIL'!$B$5:$B$148,SBR!Y$4,'Apr11-Mar12 Billed-RETAIL'!$C$5:$C$148,SBR!$A15)</f>
        <v>616</v>
      </c>
      <c r="Z15" s="1240">
        <f>(SUMIFS('Apr11-Mar12 Billed-RETAIL'!$I$5:$I$148,'Apr11-Mar12 Billed-RETAIL'!$B$5:$B$148,SBR!Z$4,'Apr11-Mar12 Billed-RETAIL'!$C$5:$C$148,SBR!$A15)+SUMIFS('Apr11-Mar12 Billed-RETAIL'!$J$5:$J$148,'Apr11-Mar12 Billed-RETAIL'!$B$5:$B$148,SBR!Z$4,'Apr11-Mar12 Billed-RETAIL'!$C$5:$C$148,SBR!$A15))*0.1</f>
        <v>61.5</v>
      </c>
      <c r="AA15" s="1240">
        <f>(SUMIFS('Apr11-Mar12 Billed-RETAIL'!$I$5:$I$148,'Apr11-Mar12 Billed-RETAIL'!$B$5:$B$148,SBR!AA$4,'Apr11-Mar12 Billed-RETAIL'!$C$5:$C$148,SBR!$A15)+SUMIFS('Apr11-Mar12 Billed-RETAIL'!$J$5:$J$148,'Apr11-Mar12 Billed-RETAIL'!$B$5:$B$148,SBR!AA$4,'Apr11-Mar12 Billed-RETAIL'!$C$5:$C$148,SBR!$A15))*0.1</f>
        <v>61.300000000000004</v>
      </c>
      <c r="AB15" s="1240">
        <f>(SUMIFS('Apr11-Mar12 Billed-RETAIL'!$I$5:$I$148,'Apr11-Mar12 Billed-RETAIL'!$B$5:$B$148,SBR!AB$4,'Apr11-Mar12 Billed-RETAIL'!$C$5:$C$148,SBR!$A15)+SUMIFS('Apr11-Mar12 Billed-RETAIL'!$J$5:$J$148,'Apr11-Mar12 Billed-RETAIL'!$B$5:$B$148,SBR!AB$4,'Apr11-Mar12 Billed-RETAIL'!$C$5:$C$148,SBR!$A15))*0.1</f>
        <v>61.300000000000004</v>
      </c>
      <c r="AC15" s="1240">
        <f>(SUMIFS('Apr11-Mar12 Billed-RETAIL'!$I$5:$I$148,'Apr11-Mar12 Billed-RETAIL'!$B$5:$B$148,SBR!AC$4,'Apr11-Mar12 Billed-RETAIL'!$C$5:$C$148,SBR!$A15)+SUMIFS('Apr11-Mar12 Billed-RETAIL'!$J$5:$J$148,'Apr11-Mar12 Billed-RETAIL'!$B$5:$B$148,SBR!AC$4,'Apr11-Mar12 Billed-RETAIL'!$C$5:$C$148,SBR!$A15))*0.1</f>
        <v>61</v>
      </c>
      <c r="AD15" s="1240">
        <f>(SUMIFS('Apr11-Mar12 Billed-RETAIL'!$I$5:$I$148,'Apr11-Mar12 Billed-RETAIL'!$B$5:$B$148,SBR!AD$4,'Apr11-Mar12 Billed-RETAIL'!$C$5:$C$148,SBR!$A15)+SUMIFS('Apr11-Mar12 Billed-RETAIL'!$J$5:$J$148,'Apr11-Mar12 Billed-RETAIL'!$B$5:$B$148,SBR!AD$4,'Apr11-Mar12 Billed-RETAIL'!$C$5:$C$148,SBR!$A15))*0.1</f>
        <v>61</v>
      </c>
      <c r="AE15" s="1240">
        <f>(SUMIFS('Apr11-Mar12 Billed-RETAIL'!$I$5:$I$148,'Apr11-Mar12 Billed-RETAIL'!$B$5:$B$148,SBR!AE$4,'Apr11-Mar12 Billed-RETAIL'!$C$5:$C$148,SBR!$A15)+SUMIFS('Apr11-Mar12 Billed-RETAIL'!$J$5:$J$148,'Apr11-Mar12 Billed-RETAIL'!$B$5:$B$148,SBR!AE$4,'Apr11-Mar12 Billed-RETAIL'!$C$5:$C$148,SBR!$A15))*0.1</f>
        <v>61.2</v>
      </c>
      <c r="AF15" s="1240">
        <f>(SUMIFS('Apr11-Mar12 Billed-RETAIL'!$I$5:$I$148,'Apr11-Mar12 Billed-RETAIL'!$B$5:$B$148,SBR!AF$4,'Apr11-Mar12 Billed-RETAIL'!$C$5:$C$148,SBR!$A15)+SUMIFS('Apr11-Mar12 Billed-RETAIL'!$J$5:$J$148,'Apr11-Mar12 Billed-RETAIL'!$B$5:$B$148,SBR!AF$4,'Apr11-Mar12 Billed-RETAIL'!$C$5:$C$148,SBR!$A15))*0.1</f>
        <v>63.5</v>
      </c>
      <c r="AG15" s="1240">
        <f>(SUMIFS('Apr11-Mar12 Billed-RETAIL'!$I$5:$I$148,'Apr11-Mar12 Billed-RETAIL'!$B$5:$B$148,SBR!AG$4,'Apr11-Mar12 Billed-RETAIL'!$C$5:$C$148,SBR!$A15)+SUMIFS('Apr11-Mar12 Billed-RETAIL'!$J$5:$J$148,'Apr11-Mar12 Billed-RETAIL'!$B$5:$B$148,SBR!AG$4,'Apr11-Mar12 Billed-RETAIL'!$C$5:$C$148,SBR!$A15))*0.1</f>
        <v>61.5</v>
      </c>
      <c r="AH15" s="1240">
        <f>(SUMIFS('Apr11-Mar12 Billed-RETAIL'!$I$5:$I$148,'Apr11-Mar12 Billed-RETAIL'!$B$5:$B$148,SBR!AH$4,'Apr11-Mar12 Billed-RETAIL'!$C$5:$C$148,SBR!$A15)+SUMIFS('Apr11-Mar12 Billed-RETAIL'!$J$5:$J$148,'Apr11-Mar12 Billed-RETAIL'!$B$5:$B$148,SBR!AH$4,'Apr11-Mar12 Billed-RETAIL'!$C$5:$C$148,SBR!$A15))*0.1</f>
        <v>61.300000000000004</v>
      </c>
      <c r="AI15" s="1240">
        <f>(SUMIFS('Apr11-Mar12 Billed-RETAIL'!$I$5:$I$148,'Apr11-Mar12 Billed-RETAIL'!$B$5:$B$148,SBR!AI$4,'Apr11-Mar12 Billed-RETAIL'!$C$5:$C$148,SBR!$A15)+SUMIFS('Apr11-Mar12 Billed-RETAIL'!$J$5:$J$148,'Apr11-Mar12 Billed-RETAIL'!$B$5:$B$148,SBR!AI$4,'Apr11-Mar12 Billed-RETAIL'!$C$5:$C$148,SBR!$A15))*0.1</f>
        <v>61.300000000000004</v>
      </c>
      <c r="AJ15" s="1240">
        <f>(SUMIFS('Apr11-Mar12 Billed-RETAIL'!$I$5:$I$148,'Apr11-Mar12 Billed-RETAIL'!$B$5:$B$148,SBR!AJ$4,'Apr11-Mar12 Billed-RETAIL'!$C$5:$C$148,SBR!$A15)+SUMIFS('Apr11-Mar12 Billed-RETAIL'!$J$5:$J$148,'Apr11-Mar12 Billed-RETAIL'!$B$5:$B$148,SBR!AJ$4,'Apr11-Mar12 Billed-RETAIL'!$C$5:$C$148,SBR!$A15))*0.1</f>
        <v>61.300000000000004</v>
      </c>
      <c r="AK15" s="1240">
        <f>(SUMIFS('Apr11-Mar12 Billed-RETAIL'!$I$5:$I$148,'Apr11-Mar12 Billed-RETAIL'!$B$5:$B$148,SBR!AK$4,'Apr11-Mar12 Billed-RETAIL'!$C$5:$C$148,SBR!$A15)+SUMIFS('Apr11-Mar12 Billed-RETAIL'!$J$5:$J$148,'Apr11-Mar12 Billed-RETAIL'!$B$5:$B$148,SBR!AK$4,'Apr11-Mar12 Billed-RETAIL'!$C$5:$C$148,SBR!$A15))*0.1</f>
        <v>60.900000000000006</v>
      </c>
      <c r="AL15" s="1241">
        <f ca="1">SUMIFS('Apr11-Mar12 Billed-RETAIL'!$AW$5:$AW$148,'Apr11-Mar12 Billed-RETAIL'!$B$5:$B$148,SBR!AL$4,'Apr11-Mar12 Billed-RETAIL'!$C$5:$C$148,SBR!$A15)</f>
        <v>19164.47</v>
      </c>
      <c r="AM15" s="1241">
        <f ca="1">SUMIFS('Apr11-Mar12 Billed-RETAIL'!$AW$5:$AW$148,'Apr11-Mar12 Billed-RETAIL'!$B$5:$B$148,SBR!AM$4,'Apr11-Mar12 Billed-RETAIL'!$C$5:$C$148,SBR!$A15)</f>
        <v>19021.45</v>
      </c>
      <c r="AN15" s="1241">
        <f ca="1">SUMIFS('Apr11-Mar12 Billed-RETAIL'!$AW$5:$AW$148,'Apr11-Mar12 Billed-RETAIL'!$B$5:$B$148,SBR!AN$4,'Apr11-Mar12 Billed-RETAIL'!$C$5:$C$148,SBR!$A15)</f>
        <v>19004.580000000002</v>
      </c>
      <c r="AO15" s="1241">
        <f ca="1">SUMIFS('Apr11-Mar12 Billed-RETAIL'!$AW$5:$AW$148,'Apr11-Mar12 Billed-RETAIL'!$B$5:$B$148,SBR!AO$4,'Apr11-Mar12 Billed-RETAIL'!$C$5:$C$148,SBR!$A15)</f>
        <v>18949.02</v>
      </c>
      <c r="AP15" s="1241">
        <f ca="1">SUMIFS('Apr11-Mar12 Billed-RETAIL'!$AW$5:$AW$148,'Apr11-Mar12 Billed-RETAIL'!$B$5:$B$148,SBR!AP$4,'Apr11-Mar12 Billed-RETAIL'!$C$5:$C$148,SBR!$A15)</f>
        <v>18957.28</v>
      </c>
      <c r="AQ15" s="1241">
        <f ca="1">SUMIFS('Apr11-Mar12 Billed-RETAIL'!$AW$5:$AW$148,'Apr11-Mar12 Billed-RETAIL'!$B$5:$B$148,SBR!AQ$4,'Apr11-Mar12 Billed-RETAIL'!$C$5:$C$148,SBR!$A15)</f>
        <v>19231.849999999999</v>
      </c>
      <c r="AR15" s="1241">
        <f ca="1">SUMIFS('Apr11-Mar12 Billed-RETAIL'!$AW$5:$AW$148,'Apr11-Mar12 Billed-RETAIL'!$B$5:$B$148,SBR!AR$4,'Apr11-Mar12 Billed-RETAIL'!$C$5:$C$148,SBR!$A15)</f>
        <v>19630.89</v>
      </c>
      <c r="AS15" s="1241">
        <f ca="1">SUMIFS('Apr11-Mar12 Billed-RETAIL'!$AW$5:$AW$148,'Apr11-Mar12 Billed-RETAIL'!$B$5:$B$148,SBR!AS$4,'Apr11-Mar12 Billed-RETAIL'!$C$5:$C$148,SBR!$A15)</f>
        <v>19093.16</v>
      </c>
      <c r="AT15" s="1241">
        <f ca="1">SUMIFS('Apr11-Mar12 Billed-RETAIL'!$AW$5:$AW$148,'Apr11-Mar12 Billed-RETAIL'!$B$5:$B$148,SBR!AT$4,'Apr11-Mar12 Billed-RETAIL'!$C$5:$C$148,SBR!$A15)</f>
        <v>19059.66</v>
      </c>
      <c r="AU15" s="1241">
        <f ca="1">SUMIFS('Apr11-Mar12 Billed-RETAIL'!$AW$5:$AW$148,'Apr11-Mar12 Billed-RETAIL'!$B$5:$B$148,SBR!AU$4,'Apr11-Mar12 Billed-RETAIL'!$C$5:$C$148,SBR!$A15)</f>
        <v>19059.66</v>
      </c>
      <c r="AV15" s="1241">
        <f ca="1">SUMIFS('Apr11-Mar12 Billed-RETAIL'!$AW$5:$AW$148,'Apr11-Mar12 Billed-RETAIL'!$B$5:$B$148,SBR!AV$4,'Apr11-Mar12 Billed-RETAIL'!$C$5:$C$148,SBR!$A15)</f>
        <v>19050.43</v>
      </c>
      <c r="AW15" s="1241">
        <f ca="1">SUMIFS('Apr11-Mar12 Billed-RETAIL'!$AW$5:$AW$148,'Apr11-Mar12 Billed-RETAIL'!$B$5:$B$148,SBR!AW$4,'Apr11-Mar12 Billed-RETAIL'!$C$5:$C$148,SBR!$A15)</f>
        <v>18912.21</v>
      </c>
      <c r="AX15" s="571"/>
      <c r="AY15" s="571"/>
      <c r="AZ15" s="1242">
        <f t="shared" ca="1" si="10"/>
        <v>-1.23</v>
      </c>
      <c r="BA15" s="1242">
        <f t="shared" ca="1" si="10"/>
        <v>-1.1399999999999999</v>
      </c>
      <c r="BB15" s="1242">
        <f t="shared" ca="1" si="10"/>
        <v>-2.15</v>
      </c>
      <c r="BC15" s="1242">
        <f t="shared" ca="1" si="10"/>
        <v>-1.9</v>
      </c>
      <c r="BD15" s="1242">
        <f t="shared" ca="1" si="10"/>
        <v>-2.97</v>
      </c>
      <c r="BE15" s="1242">
        <f t="shared" ca="1" si="10"/>
        <v>-2.34</v>
      </c>
      <c r="BF15" s="1242">
        <f t="shared" ca="1" si="10"/>
        <v>-5.21</v>
      </c>
      <c r="BG15" s="1242">
        <f t="shared" ca="1" si="10"/>
        <v>-3.2</v>
      </c>
      <c r="BH15" s="1242">
        <f t="shared" ca="1" si="10"/>
        <v>-1.86</v>
      </c>
      <c r="BI15" s="1242">
        <f t="shared" ca="1" si="10"/>
        <v>-0.18</v>
      </c>
      <c r="BJ15" s="1242">
        <f t="shared" ca="1" si="10"/>
        <v>-0.08</v>
      </c>
      <c r="BK15" s="1242">
        <f t="shared" ca="1" si="10"/>
        <v>-1.73</v>
      </c>
      <c r="BL15" s="1242"/>
    </row>
    <row r="16" spans="1:64" x14ac:dyDescent="0.2">
      <c r="A16" s="1080" t="s">
        <v>63</v>
      </c>
      <c r="B16" s="1281" t="s">
        <v>712</v>
      </c>
      <c r="C16" s="577">
        <f>SUM(N16:Y16)</f>
        <v>7</v>
      </c>
      <c r="D16" s="578">
        <f>SUM(Z16:AK16)</f>
        <v>1324.3999999999999</v>
      </c>
      <c r="E16" s="577">
        <f ca="1">SUM(AL16:AW16)+SUM(AZ16:BK16)</f>
        <v>10484.24</v>
      </c>
      <c r="F16" s="569"/>
      <c r="G16" s="577">
        <f>SUM(N16:P16,X16:Y16)</f>
        <v>0</v>
      </c>
      <c r="H16" s="578">
        <f>SUM(Z16:AB16,AJ16:AK16)</f>
        <v>0</v>
      </c>
      <c r="I16" s="577">
        <f ca="1">SUM(AL16:AN16,AV16:AW16)+SUM(AZ16:BB16,BJ16:BK16)</f>
        <v>0</v>
      </c>
      <c r="J16" s="569"/>
      <c r="K16" s="577">
        <f>SUM(Q16:W16)</f>
        <v>7</v>
      </c>
      <c r="L16" s="578">
        <f>SUM(AC16:AI16)</f>
        <v>1324.3999999999999</v>
      </c>
      <c r="M16" s="577">
        <f ca="1">SUM(AO16:AU16)+SUM(BC16:BI16)</f>
        <v>10484.24</v>
      </c>
      <c r="N16" s="577">
        <f>+'Apr11-Mar12 FT-TS-Cashout-LG&amp;E'!H320</f>
        <v>0</v>
      </c>
      <c r="O16" s="577">
        <f>+'Apr11-Mar12 FT-TS-Cashout-LG&amp;E'!I320</f>
        <v>0</v>
      </c>
      <c r="P16" s="577">
        <f>+'Apr11-Mar12 FT-TS-Cashout-LG&amp;E'!J320</f>
        <v>0</v>
      </c>
      <c r="Q16" s="577">
        <f>+'Apr11-Mar12 FT-TS-Cashout-LG&amp;E'!K320</f>
        <v>1</v>
      </c>
      <c r="R16" s="577">
        <f>+'Apr11-Mar12 FT-TS-Cashout-LG&amp;E'!L320</f>
        <v>1</v>
      </c>
      <c r="S16" s="577">
        <f>+'Apr11-Mar12 FT-TS-Cashout-LG&amp;E'!M320</f>
        <v>1</v>
      </c>
      <c r="T16" s="577">
        <f>+'Apr11-Mar12 FT-TS-Cashout-LG&amp;E'!N320</f>
        <v>2</v>
      </c>
      <c r="U16" s="577">
        <f>+'Apr11-Mar12 FT-TS-Cashout-LG&amp;E'!O320</f>
        <v>0</v>
      </c>
      <c r="V16" s="577">
        <f>+'Apr11-Mar12 FT-TS-Cashout-LG&amp;E'!P320</f>
        <v>1</v>
      </c>
      <c r="W16" s="577">
        <f>+'Apr11-Mar12 FT-TS-Cashout-LG&amp;E'!Q320</f>
        <v>1</v>
      </c>
      <c r="X16" s="577">
        <f>+'Apr11-Mar12 FT-TS-Cashout-LG&amp;E'!R320</f>
        <v>0</v>
      </c>
      <c r="Y16" s="577">
        <f>+'Apr11-Mar12 FT-TS-Cashout-LG&amp;E'!S320</f>
        <v>0</v>
      </c>
      <c r="Z16" s="1245">
        <f>+'Apr11-Mar12 FT-TS-Cashout-LG&amp;E'!H323</f>
        <v>0</v>
      </c>
      <c r="AA16" s="1245">
        <f>+'Apr11-Mar12 FT-TS-Cashout-LG&amp;E'!I323</f>
        <v>0</v>
      </c>
      <c r="AB16" s="1245">
        <f>+'Apr11-Mar12 FT-TS-Cashout-LG&amp;E'!J323</f>
        <v>0</v>
      </c>
      <c r="AC16" s="1245">
        <f>+'Apr11-Mar12 FT-TS-Cashout-LG&amp;E'!K323</f>
        <v>661.8</v>
      </c>
      <c r="AD16" s="1245">
        <f>+'Apr11-Mar12 FT-TS-Cashout-LG&amp;E'!L323</f>
        <v>233.9</v>
      </c>
      <c r="AE16" s="1245">
        <f>+'Apr11-Mar12 FT-TS-Cashout-LG&amp;E'!M323</f>
        <v>116.8</v>
      </c>
      <c r="AF16" s="1245">
        <f>+'Apr11-Mar12 FT-TS-Cashout-LG&amp;E'!N323</f>
        <v>145.4</v>
      </c>
      <c r="AG16" s="1245">
        <f>+'Apr11-Mar12 FT-TS-Cashout-LG&amp;E'!O323</f>
        <v>-22.6</v>
      </c>
      <c r="AH16" s="1245">
        <f>+'Apr11-Mar12 FT-TS-Cashout-LG&amp;E'!P323</f>
        <v>91.1</v>
      </c>
      <c r="AI16" s="1245">
        <f>+'Apr11-Mar12 FT-TS-Cashout-LG&amp;E'!Q323</f>
        <v>98</v>
      </c>
      <c r="AJ16" s="1245">
        <f>+'Apr11-Mar12 FT-TS-Cashout-LG&amp;E'!R323</f>
        <v>0</v>
      </c>
      <c r="AK16" s="1245">
        <f>+'Apr11-Mar12 FT-TS-Cashout-LG&amp;E'!S323</f>
        <v>0</v>
      </c>
      <c r="AL16" s="1246">
        <f>+'Apr11-Mar12 FT-TS-Cashout-LG&amp;E'!H338</f>
        <v>0</v>
      </c>
      <c r="AM16" s="1246">
        <f>+'Apr11-Mar12 FT-TS-Cashout-LG&amp;E'!I338</f>
        <v>0</v>
      </c>
      <c r="AN16" s="1246">
        <f>+'Apr11-Mar12 FT-TS-Cashout-LG&amp;E'!J338</f>
        <v>0</v>
      </c>
      <c r="AO16" s="1246">
        <f>+'Apr11-Mar12 FT-TS-Cashout-LG&amp;E'!K338</f>
        <v>4623.0200000000004</v>
      </c>
      <c r="AP16" s="1246">
        <f>+'Apr11-Mar12 FT-TS-Cashout-LG&amp;E'!L338</f>
        <v>1809.29</v>
      </c>
      <c r="AQ16" s="1246">
        <f>+'Apr11-Mar12 FT-TS-Cashout-LG&amp;E'!M338</f>
        <v>1037.1399999999999</v>
      </c>
      <c r="AR16" s="1246">
        <f>+'Apr11-Mar12 FT-TS-Cashout-LG&amp;E'!N338</f>
        <v>1429.94</v>
      </c>
      <c r="AS16" s="1246">
        <f>+'Apr11-Mar12 FT-TS-Cashout-LG&amp;E'!O338</f>
        <v>-169.60000000000005</v>
      </c>
      <c r="AT16" s="1246">
        <f>+'Apr11-Mar12 FT-TS-Cashout-LG&amp;E'!P338</f>
        <v>852.05000000000007</v>
      </c>
      <c r="AU16" s="1246">
        <f>+'Apr11-Mar12 FT-TS-Cashout-LG&amp;E'!Q338</f>
        <v>903.71</v>
      </c>
      <c r="AV16" s="1246">
        <f>+'Apr11-Mar12 FT-TS-Cashout-LG&amp;E'!R338</f>
        <v>0</v>
      </c>
      <c r="AW16" s="1246">
        <f>+'Apr11-Mar12 FT-TS-Cashout-LG&amp;E'!S338</f>
        <v>0</v>
      </c>
      <c r="AX16" s="571"/>
      <c r="AY16" s="571"/>
      <c r="AZ16" s="1247">
        <f t="shared" ca="1" si="10"/>
        <v>0</v>
      </c>
      <c r="BA16" s="1247">
        <f t="shared" ca="1" si="10"/>
        <v>0</v>
      </c>
      <c r="BB16" s="1247">
        <f t="shared" ca="1" si="10"/>
        <v>0</v>
      </c>
      <c r="BC16" s="1247">
        <f t="shared" ca="1" si="10"/>
        <v>-0.46</v>
      </c>
      <c r="BD16" s="1247">
        <f t="shared" ca="1" si="10"/>
        <v>-0.28000000000000003</v>
      </c>
      <c r="BE16" s="1247">
        <f t="shared" ca="1" si="10"/>
        <v>-0.13</v>
      </c>
      <c r="BF16" s="1247">
        <f t="shared" ca="1" si="10"/>
        <v>-0.38</v>
      </c>
      <c r="BG16" s="1247">
        <f t="shared" ca="1" si="10"/>
        <v>0.03</v>
      </c>
      <c r="BH16" s="1247">
        <f t="shared" ca="1" si="10"/>
        <v>-0.08</v>
      </c>
      <c r="BI16" s="1247">
        <f t="shared" ca="1" si="10"/>
        <v>-0.01</v>
      </c>
      <c r="BJ16" s="1247">
        <f t="shared" ca="1" si="10"/>
        <v>0</v>
      </c>
      <c r="BK16" s="1247">
        <f t="shared" ca="1" si="10"/>
        <v>0</v>
      </c>
      <c r="BL16" s="1247"/>
    </row>
    <row r="17" spans="1:64" x14ac:dyDescent="0.2">
      <c r="A17" s="1080"/>
      <c r="B17" s="579" t="s">
        <v>686</v>
      </c>
      <c r="C17" s="569">
        <f>SUM(N17:Y17)</f>
        <v>308581</v>
      </c>
      <c r="D17" s="574">
        <f>SUM(Z17:AK17)</f>
        <v>8841535.9000000004</v>
      </c>
      <c r="E17" s="569">
        <f ca="1">SUM(AL17:AW17)+SUM(AZ17:BK17)</f>
        <v>75069270.25</v>
      </c>
      <c r="F17" s="569"/>
      <c r="G17" s="569">
        <f>SUM(N17:P17,X17:Y17)</f>
        <v>129216</v>
      </c>
      <c r="H17" s="574">
        <f>SUM(Z17:AB17,AJ17:AK17)</f>
        <v>5929063.6000000006</v>
      </c>
      <c r="I17" s="569">
        <f ca="1">SUM(AL17:AN17,AV17:AW17)+SUM(AZ17:BB17,BJ17:BK17)</f>
        <v>47489247.670000002</v>
      </c>
      <c r="J17" s="569"/>
      <c r="K17" s="569">
        <f>SUM(Q17:W17)</f>
        <v>179365</v>
      </c>
      <c r="L17" s="574">
        <f>SUM(AC17:AI17)</f>
        <v>2912472.3000000003</v>
      </c>
      <c r="M17" s="569">
        <f ca="1">SUM(AO17:AU17)+SUM(BC17:BI17)</f>
        <v>27580022.579999998</v>
      </c>
      <c r="N17" s="580">
        <f t="shared" ref="N17:AW17" si="11">SUM(N13:N16)</f>
        <v>26396</v>
      </c>
      <c r="O17" s="580">
        <f t="shared" si="11"/>
        <v>25978</v>
      </c>
      <c r="P17" s="580">
        <f t="shared" si="11"/>
        <v>25873</v>
      </c>
      <c r="Q17" s="580">
        <f t="shared" si="11"/>
        <v>25790</v>
      </c>
      <c r="R17" s="580">
        <f t="shared" si="11"/>
        <v>25613</v>
      </c>
      <c r="S17" s="580">
        <f t="shared" si="11"/>
        <v>25654</v>
      </c>
      <c r="T17" s="580">
        <f t="shared" si="11"/>
        <v>24945</v>
      </c>
      <c r="U17" s="580">
        <f t="shared" si="11"/>
        <v>26320</v>
      </c>
      <c r="V17" s="580">
        <f t="shared" si="11"/>
        <v>25637</v>
      </c>
      <c r="W17" s="580">
        <f t="shared" si="11"/>
        <v>25406</v>
      </c>
      <c r="X17" s="580">
        <f t="shared" si="11"/>
        <v>24877</v>
      </c>
      <c r="Y17" s="580">
        <f t="shared" si="11"/>
        <v>26092</v>
      </c>
      <c r="Z17" s="583">
        <f t="shared" si="11"/>
        <v>1623418.7000000002</v>
      </c>
      <c r="AA17" s="583">
        <f t="shared" si="11"/>
        <v>1518711.9000000001</v>
      </c>
      <c r="AB17" s="583">
        <f t="shared" si="11"/>
        <v>1117891.5000000002</v>
      </c>
      <c r="AC17" s="583">
        <f t="shared" si="11"/>
        <v>874906.00000000012</v>
      </c>
      <c r="AD17" s="583">
        <f t="shared" si="11"/>
        <v>479075.30000000005</v>
      </c>
      <c r="AE17" s="583">
        <f t="shared" si="11"/>
        <v>340059.5</v>
      </c>
      <c r="AF17" s="583">
        <f t="shared" si="11"/>
        <v>274235.5</v>
      </c>
      <c r="AG17" s="583">
        <f t="shared" si="11"/>
        <v>261870.6</v>
      </c>
      <c r="AH17" s="583">
        <f t="shared" si="11"/>
        <v>308241.99999999994</v>
      </c>
      <c r="AI17" s="583">
        <f t="shared" si="11"/>
        <v>374083.4</v>
      </c>
      <c r="AJ17" s="583">
        <f t="shared" si="11"/>
        <v>591326.50000000012</v>
      </c>
      <c r="AK17" s="583">
        <f t="shared" si="11"/>
        <v>1077715</v>
      </c>
      <c r="AL17" s="1248">
        <f t="shared" ca="1" si="11"/>
        <v>12834025.08</v>
      </c>
      <c r="AM17" s="1248">
        <f t="shared" ca="1" si="11"/>
        <v>11675501.909999998</v>
      </c>
      <c r="AN17" s="1248">
        <f t="shared" ca="1" si="11"/>
        <v>8866525.370000001</v>
      </c>
      <c r="AO17" s="1248">
        <f t="shared" ca="1" si="11"/>
        <v>7258766.8999999994</v>
      </c>
      <c r="AP17" s="1248">
        <f t="shared" ca="1" si="11"/>
        <v>4334634.47</v>
      </c>
      <c r="AQ17" s="1248">
        <f t="shared" ca="1" si="11"/>
        <v>3411048.0100000002</v>
      </c>
      <c r="AR17" s="1248">
        <f t="shared" ca="1" si="11"/>
        <v>2906644.8600000003</v>
      </c>
      <c r="AS17" s="1248">
        <f t="shared" ca="1" si="11"/>
        <v>2862227.88</v>
      </c>
      <c r="AT17" s="1248">
        <f t="shared" ca="1" si="11"/>
        <v>3170042.08</v>
      </c>
      <c r="AU17" s="1248">
        <f t="shared" ca="1" si="11"/>
        <v>3640217.35</v>
      </c>
      <c r="AV17" s="1248">
        <f t="shared" ca="1" si="11"/>
        <v>5261728.51</v>
      </c>
      <c r="AW17" s="1248">
        <f t="shared" ca="1" si="11"/>
        <v>8854909.1900000013</v>
      </c>
      <c r="AX17" s="571"/>
      <c r="AY17" s="571"/>
      <c r="AZ17" s="1242">
        <f ca="1">SUM(AZ13:AZ16)</f>
        <v>-843.04</v>
      </c>
      <c r="BA17" s="1242">
        <f t="shared" ref="BA17:BK17" ca="1" si="12">SUM(BA13:BA16)</f>
        <v>-713.56999999999994</v>
      </c>
      <c r="BB17" s="1242">
        <f t="shared" ca="1" si="12"/>
        <v>-1029.1500000000001</v>
      </c>
      <c r="BC17" s="1242">
        <f t="shared" ca="1" si="12"/>
        <v>-748.12</v>
      </c>
      <c r="BD17" s="1242">
        <f t="shared" ca="1" si="12"/>
        <v>-704.42</v>
      </c>
      <c r="BE17" s="1242">
        <f t="shared" ca="1" si="12"/>
        <v>-437.55</v>
      </c>
      <c r="BF17" s="1242">
        <f t="shared" ca="1" si="12"/>
        <v>-804.74</v>
      </c>
      <c r="BG17" s="1242">
        <f t="shared" ca="1" si="12"/>
        <v>-505.7</v>
      </c>
      <c r="BH17" s="1242">
        <f t="shared" ca="1" si="12"/>
        <v>-322.19</v>
      </c>
      <c r="BI17" s="1242">
        <f t="shared" ca="1" si="12"/>
        <v>-36.249999999999993</v>
      </c>
      <c r="BJ17" s="1242">
        <f t="shared" ca="1" si="12"/>
        <v>-22.819999999999997</v>
      </c>
      <c r="BK17" s="1242">
        <f t="shared" ca="1" si="12"/>
        <v>-833.81000000000006</v>
      </c>
      <c r="BL17" s="1242">
        <f ca="1">SUM(AZ17:BK17)</f>
        <v>-7001.36</v>
      </c>
    </row>
    <row r="18" spans="1:64" x14ac:dyDescent="0.2">
      <c r="A18" s="1080"/>
      <c r="B18" s="1249"/>
      <c r="C18" s="1251"/>
      <c r="D18" s="1251"/>
      <c r="E18" s="1251"/>
      <c r="F18" s="1251"/>
      <c r="G18" s="1251"/>
      <c r="H18" s="1251"/>
      <c r="I18" s="1251"/>
      <c r="J18" s="1251"/>
      <c r="K18" s="1251"/>
      <c r="L18" s="1251"/>
      <c r="M18" s="1251"/>
      <c r="N18" s="1249"/>
      <c r="O18" s="1249"/>
      <c r="P18" s="1249"/>
      <c r="Q18" s="1249"/>
      <c r="R18" s="1249"/>
      <c r="S18" s="1249"/>
      <c r="T18" s="1249"/>
      <c r="U18" s="1249"/>
      <c r="V18" s="1249"/>
      <c r="W18" s="1249"/>
      <c r="X18" s="1249"/>
      <c r="Y18" s="1249"/>
      <c r="Z18" s="585"/>
      <c r="AA18" s="585"/>
      <c r="AB18" s="585"/>
      <c r="AC18" s="585"/>
      <c r="AD18" s="585"/>
      <c r="AE18" s="585"/>
      <c r="AF18" s="585"/>
      <c r="AG18" s="585"/>
      <c r="AH18" s="585"/>
      <c r="AI18" s="585"/>
      <c r="AJ18" s="585"/>
      <c r="AK18" s="585"/>
      <c r="AL18" s="1248"/>
      <c r="AM18" s="1248"/>
      <c r="AN18" s="1248"/>
      <c r="AO18" s="1248"/>
      <c r="AP18" s="1248"/>
      <c r="AQ18" s="1248"/>
      <c r="AR18" s="1248"/>
      <c r="AS18" s="1248"/>
      <c r="AT18" s="1248"/>
      <c r="AU18" s="1248"/>
      <c r="AV18" s="1248"/>
      <c r="AW18" s="1248"/>
      <c r="AX18" s="571"/>
      <c r="AY18" s="571"/>
      <c r="AZ18" s="1231"/>
      <c r="BA18" s="1231"/>
      <c r="BB18" s="1231"/>
      <c r="BC18" s="1231"/>
      <c r="BD18" s="1231"/>
      <c r="BE18" s="1231"/>
      <c r="BF18" s="1231"/>
      <c r="BG18" s="1231"/>
      <c r="BH18" s="1231"/>
      <c r="BI18" s="1231"/>
      <c r="BJ18" s="1231"/>
      <c r="BK18" s="1231"/>
      <c r="BL18" s="1231"/>
    </row>
    <row r="19" spans="1:64" x14ac:dyDescent="0.2">
      <c r="A19" s="1080" t="s">
        <v>45</v>
      </c>
      <c r="B19" s="1080" t="s">
        <v>46</v>
      </c>
      <c r="C19" s="569">
        <f>SUM(N19:Y19)</f>
        <v>2563</v>
      </c>
      <c r="D19" s="574">
        <f>SUM(Z19:AK19)</f>
        <v>784455</v>
      </c>
      <c r="E19" s="569">
        <f ca="1">SUM(AL19:AW19)+SUM(AZ19:BK19)</f>
        <v>5715070.9400000004</v>
      </c>
      <c r="F19" s="569"/>
      <c r="G19" s="569">
        <f>SUM(N19:Q19,X19:Y19)</f>
        <v>1266</v>
      </c>
      <c r="H19" s="574">
        <f>SUM(Z19:AB19,AJ19:AK19)</f>
        <v>442468.70000000007</v>
      </c>
      <c r="I19" s="569">
        <f ca="1">SUM(AL19:AN19,AV19:AW19)+SUM(AZ19:BB19,BJ19:BK19)</f>
        <v>3175603.21</v>
      </c>
      <c r="J19" s="569"/>
      <c r="K19" s="569">
        <f>SUM(R19:W19)</f>
        <v>1297</v>
      </c>
      <c r="L19" s="574">
        <f>SUM(AC19:AI19)</f>
        <v>341986.3</v>
      </c>
      <c r="M19" s="569">
        <f ca="1">SUM(AO19:AU19)+SUM(BC19:BI19)</f>
        <v>2539467.73</v>
      </c>
      <c r="N19" s="569">
        <f>SUMIFS('Apr11-Mar12 Billed-RETAIL'!$G$5:$G$148,'Apr11-Mar12 Billed-RETAIL'!$B$5:$B$148,SBR!N$4,'Apr11-Mar12 Billed-RETAIL'!$C$5:$C$148,SBR!$A19)+SUMIFS('Apr11-Mar12 Billed-RETAIL'!$H$5:$H$148,'Apr11-Mar12 Billed-RETAIL'!$B$5:$B$148,SBR!N$4,'Apr11-Mar12 Billed-RETAIL'!$C$5:$C$148,SBR!$A19)+SUMIFS('Apr11-Mar12 Billed-RETAIL'!$AE$5:$AE$148,'Apr11-Mar12 Billed-RETAIL'!$B$5:$B$148,SBR!N$4,'Apr11-Mar12 Billed-RETAIL'!$C$5:$C$148,SBR!$A19)+SUMIFS('Apr11-Mar12 Billed-RETAIL'!$AF$5:$AF$148,'Apr11-Mar12 Billed-RETAIL'!$B$5:$B$148,SBR!N$4,'Apr11-Mar12 Billed-RETAIL'!$C$5:$C$148,SBR!$A19)</f>
        <v>223</v>
      </c>
      <c r="O19" s="569">
        <f>SUMIFS('Apr11-Mar12 Billed-RETAIL'!$G$5:$G$148,'Apr11-Mar12 Billed-RETAIL'!$B$5:$B$148,SBR!O$4,'Apr11-Mar12 Billed-RETAIL'!$C$5:$C$148,SBR!$A19)+SUMIFS('Apr11-Mar12 Billed-RETAIL'!$H$5:$H$148,'Apr11-Mar12 Billed-RETAIL'!$B$5:$B$148,SBR!O$4,'Apr11-Mar12 Billed-RETAIL'!$C$5:$C$148,SBR!$A19)+SUMIFS('Apr11-Mar12 Billed-RETAIL'!$AE$5:$AE$148,'Apr11-Mar12 Billed-RETAIL'!$B$5:$B$148,SBR!O$4,'Apr11-Mar12 Billed-RETAIL'!$C$5:$C$148,SBR!$A19)+SUMIFS('Apr11-Mar12 Billed-RETAIL'!$AF$5:$AF$148,'Apr11-Mar12 Billed-RETAIL'!$B$5:$B$148,SBR!O$4,'Apr11-Mar12 Billed-RETAIL'!$C$5:$C$148,SBR!$A19)</f>
        <v>208</v>
      </c>
      <c r="P19" s="569">
        <f>SUMIFS('Apr11-Mar12 Billed-RETAIL'!$G$5:$G$148,'Apr11-Mar12 Billed-RETAIL'!$B$5:$B$148,SBR!P$4,'Apr11-Mar12 Billed-RETAIL'!$C$5:$C$148,SBR!$A19)+SUMIFS('Apr11-Mar12 Billed-RETAIL'!$H$5:$H$148,'Apr11-Mar12 Billed-RETAIL'!$B$5:$B$148,SBR!P$4,'Apr11-Mar12 Billed-RETAIL'!$C$5:$C$148,SBR!$A19)+SUMIFS('Apr11-Mar12 Billed-RETAIL'!$AE$5:$AE$148,'Apr11-Mar12 Billed-RETAIL'!$B$5:$B$148,SBR!P$4,'Apr11-Mar12 Billed-RETAIL'!$C$5:$C$148,SBR!$A19)+SUMIFS('Apr11-Mar12 Billed-RETAIL'!$AF$5:$AF$148,'Apr11-Mar12 Billed-RETAIL'!$B$5:$B$148,SBR!P$4,'Apr11-Mar12 Billed-RETAIL'!$C$5:$C$148,SBR!$A19)</f>
        <v>214</v>
      </c>
      <c r="Q19" s="569">
        <f>SUMIFS('Apr11-Mar12 Billed-RETAIL'!$G$5:$G$148,'Apr11-Mar12 Billed-RETAIL'!$B$5:$B$148,SBR!Q$4,'Apr11-Mar12 Billed-RETAIL'!$C$5:$C$148,SBR!$A19)+SUMIFS('Apr11-Mar12 Billed-RETAIL'!$H$5:$H$148,'Apr11-Mar12 Billed-RETAIL'!$B$5:$B$148,SBR!Q$4,'Apr11-Mar12 Billed-RETAIL'!$C$5:$C$148,SBR!$A19)+SUMIFS('Apr11-Mar12 Billed-RETAIL'!$AE$5:$AE$148,'Apr11-Mar12 Billed-RETAIL'!$B$5:$B$148,SBR!Q$4,'Apr11-Mar12 Billed-RETAIL'!$C$5:$C$148,SBR!$A19)+SUMIFS('Apr11-Mar12 Billed-RETAIL'!$AF$5:$AF$148,'Apr11-Mar12 Billed-RETAIL'!$B$5:$B$148,SBR!Q$4,'Apr11-Mar12 Billed-RETAIL'!$C$5:$C$148,SBR!$A19)</f>
        <v>202</v>
      </c>
      <c r="R19" s="569">
        <f>SUMIFS('Apr11-Mar12 Billed-RETAIL'!$G$5:$G$148,'Apr11-Mar12 Billed-RETAIL'!$B$5:$B$148,SBR!R$4,'Apr11-Mar12 Billed-RETAIL'!$C$5:$C$148,SBR!$A19)+SUMIFS('Apr11-Mar12 Billed-RETAIL'!$H$5:$H$148,'Apr11-Mar12 Billed-RETAIL'!$B$5:$B$148,SBR!R$4,'Apr11-Mar12 Billed-RETAIL'!$C$5:$C$148,SBR!$A19)+SUMIFS('Apr11-Mar12 Billed-RETAIL'!$AE$5:$AE$148,'Apr11-Mar12 Billed-RETAIL'!$B$5:$B$148,SBR!R$4,'Apr11-Mar12 Billed-RETAIL'!$C$5:$C$148,SBR!$A19)+SUMIFS('Apr11-Mar12 Billed-RETAIL'!$AF$5:$AF$148,'Apr11-Mar12 Billed-RETAIL'!$B$5:$B$148,SBR!R$4,'Apr11-Mar12 Billed-RETAIL'!$C$5:$C$148,SBR!$A19)</f>
        <v>218</v>
      </c>
      <c r="S19" s="569">
        <f>SUMIFS('Apr11-Mar12 Billed-RETAIL'!$G$5:$G$148,'Apr11-Mar12 Billed-RETAIL'!$B$5:$B$148,SBR!S$4,'Apr11-Mar12 Billed-RETAIL'!$C$5:$C$148,SBR!$A19)+SUMIFS('Apr11-Mar12 Billed-RETAIL'!$H$5:$H$148,'Apr11-Mar12 Billed-RETAIL'!$B$5:$B$148,SBR!S$4,'Apr11-Mar12 Billed-RETAIL'!$C$5:$C$148,SBR!$A19)+SUMIFS('Apr11-Mar12 Billed-RETAIL'!$AE$5:$AE$148,'Apr11-Mar12 Billed-RETAIL'!$B$5:$B$148,SBR!S$4,'Apr11-Mar12 Billed-RETAIL'!$C$5:$C$148,SBR!$A19)+SUMIFS('Apr11-Mar12 Billed-RETAIL'!$AF$5:$AF$148,'Apr11-Mar12 Billed-RETAIL'!$B$5:$B$148,SBR!S$4,'Apr11-Mar12 Billed-RETAIL'!$C$5:$C$148,SBR!$A19)</f>
        <v>211</v>
      </c>
      <c r="T19" s="569">
        <f>SUMIFS('Apr11-Mar12 Billed-RETAIL'!$G$5:$G$148,'Apr11-Mar12 Billed-RETAIL'!$B$5:$B$148,SBR!T$4,'Apr11-Mar12 Billed-RETAIL'!$C$5:$C$148,SBR!$A19)+SUMIFS('Apr11-Mar12 Billed-RETAIL'!$H$5:$H$148,'Apr11-Mar12 Billed-RETAIL'!$B$5:$B$148,SBR!T$4,'Apr11-Mar12 Billed-RETAIL'!$C$5:$C$148,SBR!$A19)+SUMIFS('Apr11-Mar12 Billed-RETAIL'!$AE$5:$AE$148,'Apr11-Mar12 Billed-RETAIL'!$B$5:$B$148,SBR!T$4,'Apr11-Mar12 Billed-RETAIL'!$C$5:$C$148,SBR!$A19)+SUMIFS('Apr11-Mar12 Billed-RETAIL'!$AF$5:$AF$148,'Apr11-Mar12 Billed-RETAIL'!$B$5:$B$148,SBR!T$4,'Apr11-Mar12 Billed-RETAIL'!$C$5:$C$148,SBR!$A19)</f>
        <v>205</v>
      </c>
      <c r="U19" s="569">
        <f>SUMIFS('Apr11-Mar12 Billed-RETAIL'!$G$5:$G$148,'Apr11-Mar12 Billed-RETAIL'!$B$5:$B$148,SBR!U$4,'Apr11-Mar12 Billed-RETAIL'!$C$5:$C$148,SBR!$A19)+SUMIFS('Apr11-Mar12 Billed-RETAIL'!$H$5:$H$148,'Apr11-Mar12 Billed-RETAIL'!$B$5:$B$148,SBR!U$4,'Apr11-Mar12 Billed-RETAIL'!$C$5:$C$148,SBR!$A19)+SUMIFS('Apr11-Mar12 Billed-RETAIL'!$AE$5:$AE$148,'Apr11-Mar12 Billed-RETAIL'!$B$5:$B$148,SBR!U$4,'Apr11-Mar12 Billed-RETAIL'!$C$5:$C$148,SBR!$A19)+SUMIFS('Apr11-Mar12 Billed-RETAIL'!$AF$5:$AF$148,'Apr11-Mar12 Billed-RETAIL'!$B$5:$B$148,SBR!U$4,'Apr11-Mar12 Billed-RETAIL'!$C$5:$C$148,SBR!$A19)</f>
        <v>233</v>
      </c>
      <c r="V19" s="569">
        <f>SUMIFS('Apr11-Mar12 Billed-RETAIL'!$G$5:$G$148,'Apr11-Mar12 Billed-RETAIL'!$B$5:$B$148,SBR!V$4,'Apr11-Mar12 Billed-RETAIL'!$C$5:$C$148,SBR!$A19)+SUMIFS('Apr11-Mar12 Billed-RETAIL'!$H$5:$H$148,'Apr11-Mar12 Billed-RETAIL'!$B$5:$B$148,SBR!V$4,'Apr11-Mar12 Billed-RETAIL'!$C$5:$C$148,SBR!$A19)+SUMIFS('Apr11-Mar12 Billed-RETAIL'!$AE$5:$AE$148,'Apr11-Mar12 Billed-RETAIL'!$B$5:$B$148,SBR!V$4,'Apr11-Mar12 Billed-RETAIL'!$C$5:$C$148,SBR!$A19)+SUMIFS('Apr11-Mar12 Billed-RETAIL'!$AF$5:$AF$148,'Apr11-Mar12 Billed-RETAIL'!$B$5:$B$148,SBR!V$4,'Apr11-Mar12 Billed-RETAIL'!$C$5:$C$148,SBR!$A19)</f>
        <v>214</v>
      </c>
      <c r="W19" s="569">
        <f>SUMIFS('Apr11-Mar12 Billed-RETAIL'!$G$5:$G$148,'Apr11-Mar12 Billed-RETAIL'!$B$5:$B$148,SBR!W$4,'Apr11-Mar12 Billed-RETAIL'!$C$5:$C$148,SBR!$A19)+SUMIFS('Apr11-Mar12 Billed-RETAIL'!$H$5:$H$148,'Apr11-Mar12 Billed-RETAIL'!$B$5:$B$148,SBR!W$4,'Apr11-Mar12 Billed-RETAIL'!$C$5:$C$148,SBR!$A19)+SUMIFS('Apr11-Mar12 Billed-RETAIL'!$AE$5:$AE$148,'Apr11-Mar12 Billed-RETAIL'!$B$5:$B$148,SBR!W$4,'Apr11-Mar12 Billed-RETAIL'!$C$5:$C$148,SBR!$A19)+SUMIFS('Apr11-Mar12 Billed-RETAIL'!$AF$5:$AF$148,'Apr11-Mar12 Billed-RETAIL'!$B$5:$B$148,SBR!W$4,'Apr11-Mar12 Billed-RETAIL'!$C$5:$C$148,SBR!$A19)</f>
        <v>216</v>
      </c>
      <c r="X19" s="569">
        <f>SUMIFS('Apr11-Mar12 Billed-RETAIL'!$G$5:$G$148,'Apr11-Mar12 Billed-RETAIL'!$B$5:$B$148,SBR!X$4,'Apr11-Mar12 Billed-RETAIL'!$C$5:$C$148,SBR!$A19)+SUMIFS('Apr11-Mar12 Billed-RETAIL'!$H$5:$H$148,'Apr11-Mar12 Billed-RETAIL'!$B$5:$B$148,SBR!X$4,'Apr11-Mar12 Billed-RETAIL'!$C$5:$C$148,SBR!$A19)+SUMIFS('Apr11-Mar12 Billed-RETAIL'!$AE$5:$AE$148,'Apr11-Mar12 Billed-RETAIL'!$B$5:$B$148,SBR!X$4,'Apr11-Mar12 Billed-RETAIL'!$C$5:$C$148,SBR!$A19)+SUMIFS('Apr11-Mar12 Billed-RETAIL'!$AF$5:$AF$148,'Apr11-Mar12 Billed-RETAIL'!$B$5:$B$148,SBR!X$4,'Apr11-Mar12 Billed-RETAIL'!$C$5:$C$148,SBR!$A19)</f>
        <v>218</v>
      </c>
      <c r="Y19" s="569">
        <f>SUMIFS('Apr11-Mar12 Billed-RETAIL'!$G$5:$G$148,'Apr11-Mar12 Billed-RETAIL'!$B$5:$B$148,SBR!Y$4,'Apr11-Mar12 Billed-RETAIL'!$C$5:$C$148,SBR!$A19)+SUMIFS('Apr11-Mar12 Billed-RETAIL'!$H$5:$H$148,'Apr11-Mar12 Billed-RETAIL'!$B$5:$B$148,SBR!Y$4,'Apr11-Mar12 Billed-RETAIL'!$C$5:$C$148,SBR!$A19)+SUMIFS('Apr11-Mar12 Billed-RETAIL'!$AE$5:$AE$148,'Apr11-Mar12 Billed-RETAIL'!$B$5:$B$148,SBR!Y$4,'Apr11-Mar12 Billed-RETAIL'!$C$5:$C$148,SBR!$A19)+SUMIFS('Apr11-Mar12 Billed-RETAIL'!$AF$5:$AF$148,'Apr11-Mar12 Billed-RETAIL'!$B$5:$B$148,SBR!Y$4,'Apr11-Mar12 Billed-RETAIL'!$C$5:$C$148,SBR!$A19)</f>
        <v>201</v>
      </c>
      <c r="Z19" s="1240">
        <f>(SUMIFS('Apr11-Mar12 Billed-RETAIL'!$I$5:$I$148,'Apr11-Mar12 Billed-RETAIL'!$B$5:$B$148,SBR!Z$4,'Apr11-Mar12 Billed-RETAIL'!$C$5:$C$148,SBR!$A19)+SUMIFS('Apr11-Mar12 Billed-RETAIL'!$J$5:$J$148,'Apr11-Mar12 Billed-RETAIL'!$B$5:$B$148,SBR!Z$4,'Apr11-Mar12 Billed-RETAIL'!$C$5:$C$148,SBR!$A19))*0.1</f>
        <v>110892.3</v>
      </c>
      <c r="AA19" s="1240">
        <f>(SUMIFS('Apr11-Mar12 Billed-RETAIL'!$I$5:$I$148,'Apr11-Mar12 Billed-RETAIL'!$B$5:$B$148,SBR!AA$4,'Apr11-Mar12 Billed-RETAIL'!$C$5:$C$148,SBR!$A19)+SUMIFS('Apr11-Mar12 Billed-RETAIL'!$J$5:$J$148,'Apr11-Mar12 Billed-RETAIL'!$B$5:$B$148,SBR!AA$4,'Apr11-Mar12 Billed-RETAIL'!$C$5:$C$148,SBR!$A19))*0.1</f>
        <v>108376.3</v>
      </c>
      <c r="AB19" s="1240">
        <f>(SUMIFS('Apr11-Mar12 Billed-RETAIL'!$I$5:$I$148,'Apr11-Mar12 Billed-RETAIL'!$B$5:$B$148,SBR!AB$4,'Apr11-Mar12 Billed-RETAIL'!$C$5:$C$148,SBR!$A19)+SUMIFS('Apr11-Mar12 Billed-RETAIL'!$J$5:$J$148,'Apr11-Mar12 Billed-RETAIL'!$B$5:$B$148,SBR!AB$4,'Apr11-Mar12 Billed-RETAIL'!$C$5:$C$148,SBR!$A19))*0.1</f>
        <v>80426.200000000012</v>
      </c>
      <c r="AC19" s="1240">
        <f>(SUMIFS('Apr11-Mar12 Billed-RETAIL'!$I$5:$I$148,'Apr11-Mar12 Billed-RETAIL'!$B$5:$B$148,SBR!AC$4,'Apr11-Mar12 Billed-RETAIL'!$C$5:$C$148,SBR!$A19)+SUMIFS('Apr11-Mar12 Billed-RETAIL'!$J$5:$J$148,'Apr11-Mar12 Billed-RETAIL'!$B$5:$B$148,SBR!AC$4,'Apr11-Mar12 Billed-RETAIL'!$C$5:$C$148,SBR!$A19))*0.1</f>
        <v>70026.3</v>
      </c>
      <c r="AD19" s="1240">
        <f>(SUMIFS('Apr11-Mar12 Billed-RETAIL'!$I$5:$I$148,'Apr11-Mar12 Billed-RETAIL'!$B$5:$B$148,SBR!AD$4,'Apr11-Mar12 Billed-RETAIL'!$C$5:$C$148,SBR!$A19)+SUMIFS('Apr11-Mar12 Billed-RETAIL'!$J$5:$J$148,'Apr11-Mar12 Billed-RETAIL'!$B$5:$B$148,SBR!AD$4,'Apr11-Mar12 Billed-RETAIL'!$C$5:$C$148,SBR!$A19))*0.1</f>
        <v>48045.600000000006</v>
      </c>
      <c r="AE19" s="1240">
        <f>(SUMIFS('Apr11-Mar12 Billed-RETAIL'!$I$5:$I$148,'Apr11-Mar12 Billed-RETAIL'!$B$5:$B$148,SBR!AE$4,'Apr11-Mar12 Billed-RETAIL'!$C$5:$C$148,SBR!$A19)+SUMIFS('Apr11-Mar12 Billed-RETAIL'!$J$5:$J$148,'Apr11-Mar12 Billed-RETAIL'!$B$5:$B$148,SBR!AE$4,'Apr11-Mar12 Billed-RETAIL'!$C$5:$C$148,SBR!$A19))*0.1</f>
        <v>52754.8</v>
      </c>
      <c r="AF19" s="1240">
        <f>(SUMIFS('Apr11-Mar12 Billed-RETAIL'!$I$5:$I$148,'Apr11-Mar12 Billed-RETAIL'!$B$5:$B$148,SBR!AF$4,'Apr11-Mar12 Billed-RETAIL'!$C$5:$C$148,SBR!$A19)+SUMIFS('Apr11-Mar12 Billed-RETAIL'!$J$5:$J$148,'Apr11-Mar12 Billed-RETAIL'!$B$5:$B$148,SBR!AF$4,'Apr11-Mar12 Billed-RETAIL'!$C$5:$C$148,SBR!$A19))*0.1</f>
        <v>34254.1</v>
      </c>
      <c r="AG19" s="1240">
        <f>(SUMIFS('Apr11-Mar12 Billed-RETAIL'!$I$5:$I$148,'Apr11-Mar12 Billed-RETAIL'!$B$5:$B$148,SBR!AG$4,'Apr11-Mar12 Billed-RETAIL'!$C$5:$C$148,SBR!$A19)+SUMIFS('Apr11-Mar12 Billed-RETAIL'!$J$5:$J$148,'Apr11-Mar12 Billed-RETAIL'!$B$5:$B$148,SBR!AG$4,'Apr11-Mar12 Billed-RETAIL'!$C$5:$C$148,SBR!$A19))*0.1</f>
        <v>44245.4</v>
      </c>
      <c r="AH19" s="1240">
        <f>(SUMIFS('Apr11-Mar12 Billed-RETAIL'!$I$5:$I$148,'Apr11-Mar12 Billed-RETAIL'!$B$5:$B$148,SBR!AH$4,'Apr11-Mar12 Billed-RETAIL'!$C$5:$C$148,SBR!$A19)+SUMIFS('Apr11-Mar12 Billed-RETAIL'!$J$5:$J$148,'Apr11-Mar12 Billed-RETAIL'!$B$5:$B$148,SBR!AH$4,'Apr11-Mar12 Billed-RETAIL'!$C$5:$C$148,SBR!$A19))*0.1</f>
        <v>43054.8</v>
      </c>
      <c r="AI19" s="1240">
        <f>(SUMIFS('Apr11-Mar12 Billed-RETAIL'!$I$5:$I$148,'Apr11-Mar12 Billed-RETAIL'!$B$5:$B$148,SBR!AI$4,'Apr11-Mar12 Billed-RETAIL'!$C$5:$C$148,SBR!$A19)+SUMIFS('Apr11-Mar12 Billed-RETAIL'!$J$5:$J$148,'Apr11-Mar12 Billed-RETAIL'!$B$5:$B$148,SBR!AI$4,'Apr11-Mar12 Billed-RETAIL'!$C$5:$C$148,SBR!$A19))*0.1</f>
        <v>49605.3</v>
      </c>
      <c r="AJ19" s="1240">
        <f>(SUMIFS('Apr11-Mar12 Billed-RETAIL'!$I$5:$I$148,'Apr11-Mar12 Billed-RETAIL'!$B$5:$B$148,SBR!AJ$4,'Apr11-Mar12 Billed-RETAIL'!$C$5:$C$148,SBR!$A19)+SUMIFS('Apr11-Mar12 Billed-RETAIL'!$J$5:$J$148,'Apr11-Mar12 Billed-RETAIL'!$B$5:$B$148,SBR!AJ$4,'Apr11-Mar12 Billed-RETAIL'!$C$5:$C$148,SBR!$A19))*0.1</f>
        <v>62829.700000000004</v>
      </c>
      <c r="AK19" s="1240">
        <f>(SUMIFS('Apr11-Mar12 Billed-RETAIL'!$I$5:$I$148,'Apr11-Mar12 Billed-RETAIL'!$B$5:$B$148,SBR!AK$4,'Apr11-Mar12 Billed-RETAIL'!$C$5:$C$148,SBR!$A19)+SUMIFS('Apr11-Mar12 Billed-RETAIL'!$J$5:$J$148,'Apr11-Mar12 Billed-RETAIL'!$B$5:$B$148,SBR!AK$4,'Apr11-Mar12 Billed-RETAIL'!$C$5:$C$148,SBR!$A19))*0.1</f>
        <v>79944.200000000012</v>
      </c>
      <c r="AL19" s="1241">
        <f ca="1">SUMIFS('Apr11-Mar12 Billed-RETAIL'!$AW$5:$AW$148,'Apr11-Mar12 Billed-RETAIL'!$B$5:$B$148,SBR!AL$4,'Apr11-Mar12 Billed-RETAIL'!$C$5:$C$148,SBR!$A19)</f>
        <v>804342.07</v>
      </c>
      <c r="AM19" s="1241">
        <f ca="1">SUMIFS('Apr11-Mar12 Billed-RETAIL'!$AW$5:$AW$148,'Apr11-Mar12 Billed-RETAIL'!$B$5:$B$148,SBR!AM$4,'Apr11-Mar12 Billed-RETAIL'!$C$5:$C$148,SBR!$A19)</f>
        <v>757645.31</v>
      </c>
      <c r="AN19" s="1241">
        <f ca="1">SUMIFS('Apr11-Mar12 Billed-RETAIL'!$AW$5:$AW$148,'Apr11-Mar12 Billed-RETAIL'!$B$5:$B$148,SBR!AN$4,'Apr11-Mar12 Billed-RETAIL'!$C$5:$C$148,SBR!$A19)</f>
        <v>554379.82999999996</v>
      </c>
      <c r="AO19" s="1241">
        <f ca="1">SUMIFS('Apr11-Mar12 Billed-RETAIL'!$AW$5:$AW$148,'Apr11-Mar12 Billed-RETAIL'!$B$5:$B$148,SBR!AO$4,'Apr11-Mar12 Billed-RETAIL'!$C$5:$C$148,SBR!$A19)</f>
        <v>495136.96</v>
      </c>
      <c r="AP19" s="1241">
        <f ca="1">SUMIFS('Apr11-Mar12 Billed-RETAIL'!$AW$5:$AW$148,'Apr11-Mar12 Billed-RETAIL'!$B$5:$B$148,SBR!AP$4,'Apr11-Mar12 Billed-RETAIL'!$C$5:$C$148,SBR!$A19)</f>
        <v>355099.02</v>
      </c>
      <c r="AQ19" s="1241">
        <f ca="1">SUMIFS('Apr11-Mar12 Billed-RETAIL'!$AW$5:$AW$148,'Apr11-Mar12 Billed-RETAIL'!$B$5:$B$148,SBR!AQ$4,'Apr11-Mar12 Billed-RETAIL'!$C$5:$C$148,SBR!$A19)</f>
        <v>394137.26</v>
      </c>
      <c r="AR19" s="1241">
        <f ca="1">SUMIFS('Apr11-Mar12 Billed-RETAIL'!$AW$5:$AW$148,'Apr11-Mar12 Billed-RETAIL'!$B$5:$B$148,SBR!AR$4,'Apr11-Mar12 Billed-RETAIL'!$C$5:$C$148,SBR!$A19)</f>
        <v>262768.15999999997</v>
      </c>
      <c r="AS19" s="1241">
        <f ca="1">SUMIFS('Apr11-Mar12 Billed-RETAIL'!$AW$5:$AW$148,'Apr11-Mar12 Billed-RETAIL'!$B$5:$B$148,SBR!AS$4,'Apr11-Mar12 Billed-RETAIL'!$C$5:$C$148,SBR!$A19)</f>
        <v>335371.44</v>
      </c>
      <c r="AT19" s="1241">
        <f ca="1">SUMIFS('Apr11-Mar12 Billed-RETAIL'!$AW$5:$AW$148,'Apr11-Mar12 Billed-RETAIL'!$B$5:$B$148,SBR!AT$4,'Apr11-Mar12 Billed-RETAIL'!$C$5:$C$148,SBR!$A19)</f>
        <v>324950.21000000002</v>
      </c>
      <c r="AU19" s="1241">
        <f ca="1">SUMIFS('Apr11-Mar12 Billed-RETAIL'!$AW$5:$AW$148,'Apr11-Mar12 Billed-RETAIL'!$B$5:$B$148,SBR!AU$4,'Apr11-Mar12 Billed-RETAIL'!$C$5:$C$148,SBR!$A19)</f>
        <v>372004.68</v>
      </c>
      <c r="AV19" s="1241">
        <f ca="1">SUMIFS('Apr11-Mar12 Billed-RETAIL'!$AW$5:$AW$148,'Apr11-Mar12 Billed-RETAIL'!$B$5:$B$148,SBR!AV$4,'Apr11-Mar12 Billed-RETAIL'!$C$5:$C$148,SBR!$A19)</f>
        <v>475439.18</v>
      </c>
      <c r="AW19" s="1241">
        <f ca="1">SUMIFS('Apr11-Mar12 Billed-RETAIL'!$AW$5:$AW$148,'Apr11-Mar12 Billed-RETAIL'!$B$5:$B$148,SBR!AW$4,'Apr11-Mar12 Billed-RETAIL'!$C$5:$C$148,SBR!$A19)</f>
        <v>583796.81999999995</v>
      </c>
      <c r="AX19" s="571"/>
      <c r="AY19" s="571"/>
      <c r="AZ19" s="1242">
        <v>0</v>
      </c>
      <c r="BA19" s="1242">
        <v>0</v>
      </c>
      <c r="BB19" s="1242">
        <v>0</v>
      </c>
      <c r="BC19" s="1242">
        <v>0</v>
      </c>
      <c r="BD19" s="1242">
        <v>0</v>
      </c>
      <c r="BE19" s="1242">
        <v>0</v>
      </c>
      <c r="BF19" s="1242">
        <v>0</v>
      </c>
      <c r="BG19" s="1242">
        <v>0</v>
      </c>
      <c r="BH19" s="1242">
        <v>0</v>
      </c>
      <c r="BI19" s="1242">
        <v>0</v>
      </c>
      <c r="BJ19" s="1242">
        <v>0</v>
      </c>
      <c r="BK19" s="1242">
        <v>0</v>
      </c>
      <c r="BL19" s="1242"/>
    </row>
    <row r="20" spans="1:64" x14ac:dyDescent="0.2">
      <c r="A20" s="1080" t="s">
        <v>66</v>
      </c>
      <c r="B20" s="1281" t="s">
        <v>713</v>
      </c>
      <c r="C20" s="569">
        <f>SUM(N20:Y20)</f>
        <v>24</v>
      </c>
      <c r="D20" s="574">
        <f>SUM(Z20:AK20)</f>
        <v>7896.4000000000015</v>
      </c>
      <c r="E20" s="569">
        <f>SUM(AL20:AW20)+SUM(AZ20:BK20)</f>
        <v>58735.45</v>
      </c>
      <c r="F20" s="569"/>
      <c r="G20" s="569">
        <f t="shared" ref="G20:G68" si="13">SUM(N20:Q20,X20:Y20)</f>
        <v>13</v>
      </c>
      <c r="H20" s="574">
        <f>SUM(Z20:AB20,AJ20:AK20)</f>
        <v>4065.1</v>
      </c>
      <c r="I20" s="569">
        <f>SUM(AL20:AN20,AV20:AW20)+SUM(AZ20:BB20,BJ20:BK20)</f>
        <v>29267.71</v>
      </c>
      <c r="J20" s="569"/>
      <c r="K20" s="569">
        <f>SUM(Q20:W20)</f>
        <v>14</v>
      </c>
      <c r="L20" s="574">
        <f>SUM(AC20:AI20)</f>
        <v>3831.3</v>
      </c>
      <c r="M20" s="569">
        <f>SUM(AO20:AU20)+SUM(BC20:BI20)</f>
        <v>29467.739999999998</v>
      </c>
      <c r="N20" s="569">
        <f>+'Apr11-Mar12 FT-TS-Cashout-LG&amp;E'!H347</f>
        <v>2</v>
      </c>
      <c r="O20" s="569">
        <f>+'Apr11-Mar12 FT-TS-Cashout-LG&amp;E'!I347</f>
        <v>2</v>
      </c>
      <c r="P20" s="569">
        <f>+'Apr11-Mar12 FT-TS-Cashout-LG&amp;E'!J347</f>
        <v>2</v>
      </c>
      <c r="Q20" s="569">
        <f>+'Apr11-Mar12 FT-TS-Cashout-LG&amp;E'!K347</f>
        <v>3</v>
      </c>
      <c r="R20" s="569">
        <f>+'Apr11-Mar12 FT-TS-Cashout-LG&amp;E'!L347</f>
        <v>1</v>
      </c>
      <c r="S20" s="569">
        <f>+'Apr11-Mar12 FT-TS-Cashout-LG&amp;E'!M347</f>
        <v>2</v>
      </c>
      <c r="T20" s="569">
        <f>+'Apr11-Mar12 FT-TS-Cashout-LG&amp;E'!N347</f>
        <v>2</v>
      </c>
      <c r="U20" s="569">
        <f>+'Apr11-Mar12 FT-TS-Cashout-LG&amp;E'!O347</f>
        <v>2</v>
      </c>
      <c r="V20" s="569">
        <f>+'Apr11-Mar12 FT-TS-Cashout-LG&amp;E'!P347</f>
        <v>2</v>
      </c>
      <c r="W20" s="569">
        <f>+'Apr11-Mar12 FT-TS-Cashout-LG&amp;E'!Q347</f>
        <v>2</v>
      </c>
      <c r="X20" s="569">
        <f>+'Apr11-Mar12 FT-TS-Cashout-LG&amp;E'!R347</f>
        <v>2</v>
      </c>
      <c r="Y20" s="569">
        <f>+'Apr11-Mar12 FT-TS-Cashout-LG&amp;E'!S347</f>
        <v>2</v>
      </c>
      <c r="Z20" s="1252">
        <f>+'Apr11-Mar12 FT-TS-Cashout-LG&amp;E'!H350</f>
        <v>516.29999999999995</v>
      </c>
      <c r="AA20" s="1252">
        <f>+'Apr11-Mar12 FT-TS-Cashout-LG&amp;E'!I350</f>
        <v>113.1</v>
      </c>
      <c r="AB20" s="1252">
        <f>+'Apr11-Mar12 FT-TS-Cashout-LG&amp;E'!J350</f>
        <v>2745.1</v>
      </c>
      <c r="AC20" s="1252">
        <f>+'Apr11-Mar12 FT-TS-Cashout-LG&amp;E'!K350</f>
        <v>139.4</v>
      </c>
      <c r="AD20" s="1252">
        <f>+'Apr11-Mar12 FT-TS-Cashout-LG&amp;E'!L350</f>
        <v>263.3</v>
      </c>
      <c r="AE20" s="1252">
        <f>+'Apr11-Mar12 FT-TS-Cashout-LG&amp;E'!M350</f>
        <v>1030.7</v>
      </c>
      <c r="AF20" s="1252">
        <f>+'Apr11-Mar12 FT-TS-Cashout-LG&amp;E'!N350</f>
        <v>40.700000000000003</v>
      </c>
      <c r="AG20" s="1252">
        <f>+'Apr11-Mar12 FT-TS-Cashout-LG&amp;E'!O350</f>
        <v>146.30000000000001</v>
      </c>
      <c r="AH20" s="1252">
        <f>+'Apr11-Mar12 FT-TS-Cashout-LG&amp;E'!P350</f>
        <v>0</v>
      </c>
      <c r="AI20" s="1252">
        <f>+'Apr11-Mar12 FT-TS-Cashout-LG&amp;E'!Q350</f>
        <v>2210.9</v>
      </c>
      <c r="AJ20" s="1252">
        <f>+'Apr11-Mar12 FT-TS-Cashout-LG&amp;E'!R350</f>
        <v>690.6</v>
      </c>
      <c r="AK20" s="1252">
        <f>+'Apr11-Mar12 FT-TS-Cashout-LG&amp;E'!S350</f>
        <v>0</v>
      </c>
      <c r="AL20" s="1253">
        <f>+'Apr11-Mar12 FT-TS-Cashout-LG&amp;E'!H363</f>
        <v>3986.32</v>
      </c>
      <c r="AM20" s="1253">
        <f>+'Apr11-Mar12 FT-TS-Cashout-LG&amp;E'!I363</f>
        <v>1091.49</v>
      </c>
      <c r="AN20" s="1253">
        <f>+'Apr11-Mar12 FT-TS-Cashout-LG&amp;E'!J363</f>
        <v>18579.809999999998</v>
      </c>
      <c r="AO20" s="1253">
        <f>+'Apr11-Mar12 FT-TS-Cashout-LG&amp;E'!K363</f>
        <v>1490.3899999999999</v>
      </c>
      <c r="AP20" s="1253">
        <f>+'Apr11-Mar12 FT-TS-Cashout-LG&amp;E'!L363</f>
        <v>2058.65</v>
      </c>
      <c r="AQ20" s="1253">
        <f>+'Apr11-Mar12 FT-TS-Cashout-LG&amp;E'!M363</f>
        <v>7585.23</v>
      </c>
      <c r="AR20" s="1253">
        <f>+'Apr11-Mar12 FT-TS-Cashout-LG&amp;E'!N363</f>
        <v>645.92000000000007</v>
      </c>
      <c r="AS20" s="1253">
        <f>+'Apr11-Mar12 FT-TS-Cashout-LG&amp;E'!O363</f>
        <v>1415.3400000000001</v>
      </c>
      <c r="AT20" s="1253">
        <f>+'Apr11-Mar12 FT-TS-Cashout-LG&amp;E'!P363</f>
        <v>340</v>
      </c>
      <c r="AU20" s="1253">
        <f>+'Apr11-Mar12 FT-TS-Cashout-LG&amp;E'!Q363</f>
        <v>15932.21</v>
      </c>
      <c r="AV20" s="1253">
        <f>+'Apr11-Mar12 FT-TS-Cashout-LG&amp;E'!R363</f>
        <v>5270.09</v>
      </c>
      <c r="AW20" s="1253">
        <f>+'Apr11-Mar12 FT-TS-Cashout-LG&amp;E'!S363</f>
        <v>340</v>
      </c>
      <c r="AX20" s="571"/>
      <c r="AY20" s="571"/>
      <c r="AZ20" s="1242">
        <v>0</v>
      </c>
      <c r="BA20" s="1242">
        <v>0</v>
      </c>
      <c r="BB20" s="1242">
        <v>0</v>
      </c>
      <c r="BC20" s="1242">
        <v>0</v>
      </c>
      <c r="BD20" s="1242">
        <v>0</v>
      </c>
      <c r="BE20" s="1242">
        <v>0</v>
      </c>
      <c r="BF20" s="1242">
        <v>0</v>
      </c>
      <c r="BG20" s="1242">
        <v>0</v>
      </c>
      <c r="BH20" s="1242">
        <v>0</v>
      </c>
      <c r="BI20" s="1242">
        <v>0</v>
      </c>
      <c r="BJ20" s="1242">
        <v>0</v>
      </c>
      <c r="BK20" s="1242">
        <v>0</v>
      </c>
      <c r="BL20" s="1242"/>
    </row>
    <row r="21" spans="1:64" ht="15" x14ac:dyDescent="0.35">
      <c r="A21" s="1080" t="s">
        <v>97</v>
      </c>
      <c r="B21" s="1254" t="s">
        <v>757</v>
      </c>
      <c r="C21" s="577">
        <f>SUM(N21:Y21)</f>
        <v>0</v>
      </c>
      <c r="D21" s="578">
        <f>SUM(Z21:AK21)</f>
        <v>14105.999999999998</v>
      </c>
      <c r="E21" s="577">
        <f>SUM(AL21:AW21)+SUM(AZ21:BK21)</f>
        <v>373901.61999999994</v>
      </c>
      <c r="F21" s="589"/>
      <c r="G21" s="1243">
        <f t="shared" si="13"/>
        <v>0</v>
      </c>
      <c r="H21" s="1244">
        <f>SUM(Z21:AB21,AJ21:AK21)</f>
        <v>12990.8</v>
      </c>
      <c r="I21" s="1243">
        <f>SUM(AL21:AN21,AV21:AW21)+SUM(AZ21:BB21,BJ21:BK21)</f>
        <v>147530.32</v>
      </c>
      <c r="J21" s="569"/>
      <c r="K21" s="1243">
        <f>SUM(Q21:W21)</f>
        <v>0</v>
      </c>
      <c r="L21" s="1244">
        <f>SUM(AC21:AI21)</f>
        <v>1115.1999999999998</v>
      </c>
      <c r="M21" s="1243">
        <f>SUM(AO21:AU21)+SUM(BC21:BI21)</f>
        <v>226371.3</v>
      </c>
      <c r="N21" s="577"/>
      <c r="O21" s="577"/>
      <c r="P21" s="577"/>
      <c r="Q21" s="1255"/>
      <c r="R21" s="1255"/>
      <c r="S21" s="1255"/>
      <c r="T21" s="1255"/>
      <c r="U21" s="1255"/>
      <c r="V21" s="1255"/>
      <c r="W21" s="1255"/>
      <c r="X21" s="577"/>
      <c r="Y21" s="577"/>
      <c r="Z21" s="1245">
        <f>+'Apr11-Mar12 FT-TS-Cashout-LG&amp;E'!H223+'Apr11-Mar12 FT-TS-Cashout-LG&amp;E'!H238+361</f>
        <v>361</v>
      </c>
      <c r="AA21" s="1245">
        <f>+'Apr11-Mar12 FT-TS-Cashout-LG&amp;E'!I223+'Apr11-Mar12 FT-TS-Cashout-LG&amp;E'!I238+9732</f>
        <v>9732</v>
      </c>
      <c r="AB21" s="1245">
        <f>+'Apr11-Mar12 FT-TS-Cashout-LG&amp;E'!J223+'Apr11-Mar12 FT-TS-Cashout-LG&amp;E'!J238</f>
        <v>0</v>
      </c>
      <c r="AC21" s="1245">
        <f>+'Apr11-Mar12 FT-TS-Cashout-LG&amp;E'!K223+'Apr11-Mar12 FT-TS-Cashout-LG&amp;E'!K238</f>
        <v>80.7</v>
      </c>
      <c r="AD21" s="1245">
        <f>+'Apr11-Mar12 FT-TS-Cashout-LG&amp;E'!L223+'Apr11-Mar12 FT-TS-Cashout-LG&amp;E'!L238</f>
        <v>653.9</v>
      </c>
      <c r="AE21" s="1245">
        <f>+'Apr11-Mar12 FT-TS-Cashout-LG&amp;E'!M223+'Apr11-Mar12 FT-TS-Cashout-LG&amp;E'!M238</f>
        <v>24.5</v>
      </c>
      <c r="AF21" s="1245">
        <f>+'Apr11-Mar12 FT-TS-Cashout-LG&amp;E'!N223+'Apr11-Mar12 FT-TS-Cashout-LG&amp;E'!N238</f>
        <v>45.3</v>
      </c>
      <c r="AG21" s="1245">
        <f>+'Apr11-Mar12 FT-TS-Cashout-LG&amp;E'!O223+'Apr11-Mar12 FT-TS-Cashout-LG&amp;E'!O238</f>
        <v>0</v>
      </c>
      <c r="AH21" s="1245">
        <f>+'Apr11-Mar12 FT-TS-Cashout-LG&amp;E'!P223+'Apr11-Mar12 FT-TS-Cashout-LG&amp;E'!P238</f>
        <v>21.4</v>
      </c>
      <c r="AI21" s="1245">
        <f>+'Apr11-Mar12 FT-TS-Cashout-LG&amp;E'!Q223+'Apr11-Mar12 FT-TS-Cashout-LG&amp;E'!Q238</f>
        <v>289.39999999999998</v>
      </c>
      <c r="AJ21" s="1245">
        <f>+'Apr11-Mar12 FT-TS-Cashout-LG&amp;E'!R223+'Apr11-Mar12 FT-TS-Cashout-LG&amp;E'!R238</f>
        <v>2229.2999999999997</v>
      </c>
      <c r="AK21" s="1245">
        <f>+'Apr11-Mar12 FT-TS-Cashout-LG&amp;E'!S223+'Apr11-Mar12 FT-TS-Cashout-LG&amp;E'!S238</f>
        <v>668.5</v>
      </c>
      <c r="AL21" s="1246">
        <f>+'Apr11-Mar12 FT-TS-Cashout-LG&amp;E'!H266</f>
        <v>35617.29</v>
      </c>
      <c r="AM21" s="1246">
        <f>+'Apr11-Mar12 FT-TS-Cashout-LG&amp;E'!I266</f>
        <v>1072.79</v>
      </c>
      <c r="AN21" s="1246">
        <f>+'Apr11-Mar12 FT-TS-Cashout-LG&amp;E'!J266</f>
        <v>2776.7</v>
      </c>
      <c r="AO21" s="1246">
        <f>+'Apr11-Mar12 FT-TS-Cashout-LG&amp;E'!K266</f>
        <v>53923.12</v>
      </c>
      <c r="AP21" s="1246">
        <f>+'Apr11-Mar12 FT-TS-Cashout-LG&amp;E'!L266</f>
        <v>27513.640000000003</v>
      </c>
      <c r="AQ21" s="1246">
        <f>+'Apr11-Mar12 FT-TS-Cashout-LG&amp;E'!M266</f>
        <v>4256.4799999999996</v>
      </c>
      <c r="AR21" s="1246">
        <f>+'Apr11-Mar12 FT-TS-Cashout-LG&amp;E'!N266</f>
        <v>36399.850000000006</v>
      </c>
      <c r="AS21" s="1246">
        <f>+'Apr11-Mar12 FT-TS-Cashout-LG&amp;E'!O266</f>
        <v>59556.34</v>
      </c>
      <c r="AT21" s="1246">
        <f>+'Apr11-Mar12 FT-TS-Cashout-LG&amp;E'!P266</f>
        <v>2412.2400000000002</v>
      </c>
      <c r="AU21" s="1246">
        <f>+'Apr11-Mar12 FT-TS-Cashout-LG&amp;E'!Q266</f>
        <v>42309.630000000005</v>
      </c>
      <c r="AV21" s="1246">
        <f>+'Apr11-Mar12 FT-TS-Cashout-LG&amp;E'!R266</f>
        <v>69749.55</v>
      </c>
      <c r="AW21" s="1246">
        <f>+'Apr11-Mar12 FT-TS-Cashout-LG&amp;E'!S266</f>
        <v>38313.99</v>
      </c>
      <c r="AX21" s="571"/>
      <c r="AY21" s="571"/>
      <c r="AZ21" s="1247">
        <v>0</v>
      </c>
      <c r="BA21" s="1247">
        <v>0</v>
      </c>
      <c r="BB21" s="1247">
        <v>0</v>
      </c>
      <c r="BC21" s="1247">
        <v>0</v>
      </c>
      <c r="BD21" s="1247">
        <v>0</v>
      </c>
      <c r="BE21" s="1247">
        <v>0</v>
      </c>
      <c r="BF21" s="1247">
        <v>0</v>
      </c>
      <c r="BG21" s="1247">
        <v>0</v>
      </c>
      <c r="BH21" s="1247">
        <v>0</v>
      </c>
      <c r="BI21" s="1247">
        <v>0</v>
      </c>
      <c r="BJ21" s="1247">
        <v>0</v>
      </c>
      <c r="BK21" s="1247">
        <v>0</v>
      </c>
      <c r="BL21" s="1247"/>
    </row>
    <row r="22" spans="1:64" x14ac:dyDescent="0.2">
      <c r="A22" s="1080" t="s">
        <v>99</v>
      </c>
      <c r="B22" s="579" t="s">
        <v>688</v>
      </c>
      <c r="C22" s="569">
        <f>SUM(N22:Y22)</f>
        <v>2587</v>
      </c>
      <c r="D22" s="574">
        <f>SUM(Z22:AK22)</f>
        <v>806457.39999999991</v>
      </c>
      <c r="E22" s="569">
        <f ca="1">SUM(AL22:AW22)+SUM(AZ22:BK22)</f>
        <v>6147708.0100000007</v>
      </c>
      <c r="F22" s="569"/>
      <c r="G22" s="569">
        <f t="shared" si="13"/>
        <v>1279</v>
      </c>
      <c r="H22" s="574">
        <f>SUM(Z22:AB22,AJ22:AK22)</f>
        <v>459524.60000000003</v>
      </c>
      <c r="I22" s="569">
        <f ca="1">SUM(AL22:AN22,AV22:AW22)+SUM(AZ22:BB22,BJ22:BK22)</f>
        <v>3352401.2399999998</v>
      </c>
      <c r="J22" s="569"/>
      <c r="K22" s="569">
        <f>SUM(Q22:W22)</f>
        <v>1513</v>
      </c>
      <c r="L22" s="574">
        <f>SUM(AC22:AI22)</f>
        <v>346932.80000000005</v>
      </c>
      <c r="M22" s="569">
        <f ca="1">SUM(AO22:AU22)+SUM(BC22:BI22)</f>
        <v>2795306.77</v>
      </c>
      <c r="N22" s="580">
        <f t="shared" ref="N22:AW22" si="14">SUM(N19:N21)</f>
        <v>225</v>
      </c>
      <c r="O22" s="580">
        <f t="shared" si="14"/>
        <v>210</v>
      </c>
      <c r="P22" s="580">
        <f t="shared" si="14"/>
        <v>216</v>
      </c>
      <c r="Q22" s="580">
        <f t="shared" si="14"/>
        <v>205</v>
      </c>
      <c r="R22" s="580">
        <f t="shared" si="14"/>
        <v>219</v>
      </c>
      <c r="S22" s="580">
        <f t="shared" si="14"/>
        <v>213</v>
      </c>
      <c r="T22" s="580">
        <f t="shared" si="14"/>
        <v>207</v>
      </c>
      <c r="U22" s="580">
        <f t="shared" si="14"/>
        <v>235</v>
      </c>
      <c r="V22" s="580">
        <f t="shared" si="14"/>
        <v>216</v>
      </c>
      <c r="W22" s="580">
        <f t="shared" si="14"/>
        <v>218</v>
      </c>
      <c r="X22" s="580">
        <f t="shared" si="14"/>
        <v>220</v>
      </c>
      <c r="Y22" s="580">
        <f t="shared" si="14"/>
        <v>203</v>
      </c>
      <c r="Z22" s="583">
        <f t="shared" si="14"/>
        <v>111769.60000000001</v>
      </c>
      <c r="AA22" s="583">
        <f t="shared" si="14"/>
        <v>118221.40000000001</v>
      </c>
      <c r="AB22" s="583">
        <f t="shared" si="14"/>
        <v>83171.300000000017</v>
      </c>
      <c r="AC22" s="583">
        <f t="shared" si="14"/>
        <v>70246.399999999994</v>
      </c>
      <c r="AD22" s="583">
        <f t="shared" si="14"/>
        <v>48962.80000000001</v>
      </c>
      <c r="AE22" s="583">
        <f t="shared" si="14"/>
        <v>53810</v>
      </c>
      <c r="AF22" s="583">
        <f t="shared" si="14"/>
        <v>34340.1</v>
      </c>
      <c r="AG22" s="583">
        <f t="shared" si="14"/>
        <v>44391.700000000004</v>
      </c>
      <c r="AH22" s="583">
        <f t="shared" si="14"/>
        <v>43076.200000000004</v>
      </c>
      <c r="AI22" s="583">
        <f t="shared" si="14"/>
        <v>52105.600000000006</v>
      </c>
      <c r="AJ22" s="583">
        <f t="shared" si="14"/>
        <v>65749.600000000006</v>
      </c>
      <c r="AK22" s="583">
        <f t="shared" si="14"/>
        <v>80612.700000000012</v>
      </c>
      <c r="AL22" s="1248">
        <f t="shared" ca="1" si="14"/>
        <v>843945.67999999993</v>
      </c>
      <c r="AM22" s="1248">
        <f t="shared" ca="1" si="14"/>
        <v>759809.59000000008</v>
      </c>
      <c r="AN22" s="1248">
        <f t="shared" ca="1" si="14"/>
        <v>575736.33999999985</v>
      </c>
      <c r="AO22" s="1248">
        <f t="shared" ca="1" si="14"/>
        <v>550550.47000000009</v>
      </c>
      <c r="AP22" s="1248">
        <f t="shared" ca="1" si="14"/>
        <v>384671.31000000006</v>
      </c>
      <c r="AQ22" s="1248">
        <f t="shared" ca="1" si="14"/>
        <v>405978.97</v>
      </c>
      <c r="AR22" s="1248">
        <f t="shared" ca="1" si="14"/>
        <v>299813.92999999993</v>
      </c>
      <c r="AS22" s="1248">
        <f t="shared" ca="1" si="14"/>
        <v>396343.12</v>
      </c>
      <c r="AT22" s="1248">
        <f t="shared" ca="1" si="14"/>
        <v>327702.45</v>
      </c>
      <c r="AU22" s="1248">
        <f t="shared" ca="1" si="14"/>
        <v>430246.52</v>
      </c>
      <c r="AV22" s="1248">
        <f t="shared" ca="1" si="14"/>
        <v>550458.82000000007</v>
      </c>
      <c r="AW22" s="1248">
        <f t="shared" ca="1" si="14"/>
        <v>622450.80999999994</v>
      </c>
      <c r="AX22" s="571"/>
      <c r="AY22" s="571"/>
      <c r="AZ22" s="1242">
        <f>SUM(AZ19:AZ21)</f>
        <v>0</v>
      </c>
      <c r="BA22" s="1242">
        <f t="shared" ref="BA22:BK22" si="15">SUM(BA19:BA21)</f>
        <v>0</v>
      </c>
      <c r="BB22" s="1242">
        <f t="shared" si="15"/>
        <v>0</v>
      </c>
      <c r="BC22" s="1242">
        <f t="shared" si="15"/>
        <v>0</v>
      </c>
      <c r="BD22" s="1242">
        <f t="shared" si="15"/>
        <v>0</v>
      </c>
      <c r="BE22" s="1242">
        <f t="shared" si="15"/>
        <v>0</v>
      </c>
      <c r="BF22" s="1242">
        <f t="shared" si="15"/>
        <v>0</v>
      </c>
      <c r="BG22" s="1242">
        <f t="shared" si="15"/>
        <v>0</v>
      </c>
      <c r="BH22" s="1242">
        <f t="shared" si="15"/>
        <v>0</v>
      </c>
      <c r="BI22" s="1242">
        <f t="shared" si="15"/>
        <v>0</v>
      </c>
      <c r="BJ22" s="1242">
        <f t="shared" si="15"/>
        <v>0</v>
      </c>
      <c r="BK22" s="1242">
        <f t="shared" si="15"/>
        <v>0</v>
      </c>
      <c r="BL22" s="1242">
        <f>SUM(AZ22:BK22)</f>
        <v>0</v>
      </c>
    </row>
    <row r="23" spans="1:64" x14ac:dyDescent="0.2">
      <c r="A23" s="1080" t="s">
        <v>102</v>
      </c>
      <c r="B23" s="579"/>
      <c r="C23" s="569"/>
      <c r="D23" s="574"/>
      <c r="E23" s="569"/>
      <c r="F23" s="569"/>
      <c r="G23" s="569">
        <f t="shared" si="13"/>
        <v>0</v>
      </c>
      <c r="H23" s="574"/>
      <c r="I23" s="569"/>
      <c r="J23" s="569"/>
      <c r="K23" s="569"/>
      <c r="L23" s="574"/>
      <c r="M23" s="569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5"/>
      <c r="AA23" s="585"/>
      <c r="AB23" s="585"/>
      <c r="AC23" s="585"/>
      <c r="AD23" s="585"/>
      <c r="AE23" s="585"/>
      <c r="AF23" s="585"/>
      <c r="AG23" s="585"/>
      <c r="AH23" s="585"/>
      <c r="AI23" s="585"/>
      <c r="AJ23" s="585"/>
      <c r="AK23" s="585"/>
      <c r="AL23" s="1248"/>
      <c r="AM23" s="1248"/>
      <c r="AN23" s="1248"/>
      <c r="AO23" s="1248"/>
      <c r="AP23" s="1248"/>
      <c r="AQ23" s="1248"/>
      <c r="AR23" s="1248"/>
      <c r="AS23" s="1248"/>
      <c r="AT23" s="1248"/>
      <c r="AU23" s="1248"/>
      <c r="AV23" s="1248"/>
      <c r="AW23" s="1248"/>
      <c r="AX23" s="571"/>
      <c r="AY23" s="571"/>
      <c r="AZ23" s="1231"/>
      <c r="BA23" s="1231"/>
      <c r="BB23" s="1231"/>
      <c r="BC23" s="1231"/>
      <c r="BD23" s="1231"/>
      <c r="BE23" s="1231"/>
      <c r="BF23" s="1231"/>
      <c r="BG23" s="1231"/>
      <c r="BH23" s="1231"/>
      <c r="BI23" s="1231"/>
      <c r="BJ23" s="1231"/>
      <c r="BK23" s="1231"/>
      <c r="BL23" s="1231"/>
    </row>
    <row r="24" spans="1:64" x14ac:dyDescent="0.2">
      <c r="A24" s="1239" t="s">
        <v>23</v>
      </c>
      <c r="B24" s="1256" t="s">
        <v>685</v>
      </c>
      <c r="C24" s="569">
        <f>SUM(N24:Y24)</f>
        <v>52</v>
      </c>
      <c r="D24" s="574">
        <f>SUM(Z24:AK24)</f>
        <v>146923</v>
      </c>
      <c r="E24" s="569">
        <f ca="1">SUM(AL24:AW24)+SUM(AZ24:BK24)</f>
        <v>882486.78</v>
      </c>
      <c r="F24" s="569"/>
      <c r="G24" s="569">
        <f t="shared" si="13"/>
        <v>22</v>
      </c>
      <c r="H24" s="574">
        <f>SUM(Z24:AB24,AJ24:AK24)</f>
        <v>88385.900000000009</v>
      </c>
      <c r="I24" s="569">
        <f ca="1">SUM(AL24:AN24,AV24:AW24)+SUM(AZ24:BB24,BJ24:BK24)</f>
        <v>519668.19000000006</v>
      </c>
      <c r="J24" s="569"/>
      <c r="K24" s="569">
        <f>SUM(Q24:W24)</f>
        <v>27</v>
      </c>
      <c r="L24" s="574">
        <f>SUM(AC24:AI24)</f>
        <v>58537.100000000006</v>
      </c>
      <c r="M24" s="569">
        <f ca="1">SUM(AO24:AU24)+SUM(BC24:BI24)</f>
        <v>362818.58999999997</v>
      </c>
      <c r="N24" s="569">
        <f>SUMIFS('Apr11-Mar12 Billed-RETAIL'!$F$5:$F$148,'Apr11-Mar12 Billed-RETAIL'!$B$5:$B$148,SBR!N$4,'Apr11-Mar12 Billed-RETAIL'!$C$5:$C$148,SBR!$A24)+SUMIFS('Apr11-Mar12 Billed-RETAIL'!$AE$5:$AE$148,'Apr11-Mar12 Billed-RETAIL'!$B$5:$B$148,SBR!N$4,'Apr11-Mar12 Billed-RETAIL'!$C$5:$C$148,SBR!$A24)</f>
        <v>4</v>
      </c>
      <c r="O24" s="569">
        <f>SUMIFS('Apr11-Mar12 Billed-RETAIL'!$F$5:$F$148,'Apr11-Mar12 Billed-RETAIL'!$B$5:$B$148,SBR!O$4,'Apr11-Mar12 Billed-RETAIL'!$C$5:$C$148,SBR!$A24)+SUMIFS('Apr11-Mar12 Billed-RETAIL'!$AE$5:$AE$148,'Apr11-Mar12 Billed-RETAIL'!$B$5:$B$148,SBR!O$4,'Apr11-Mar12 Billed-RETAIL'!$C$5:$C$148,SBR!$A24)</f>
        <v>5</v>
      </c>
      <c r="P24" s="569">
        <f>SUMIFS('Apr11-Mar12 Billed-RETAIL'!$F$5:$F$148,'Apr11-Mar12 Billed-RETAIL'!$B$5:$B$148,SBR!P$4,'Apr11-Mar12 Billed-RETAIL'!$C$5:$C$148,SBR!$A24)+SUMIFS('Apr11-Mar12 Billed-RETAIL'!$AE$5:$AE$148,'Apr11-Mar12 Billed-RETAIL'!$B$5:$B$148,SBR!P$4,'Apr11-Mar12 Billed-RETAIL'!$C$5:$C$148,SBR!$A24)</f>
        <v>5</v>
      </c>
      <c r="Q24" s="569">
        <f>SUMIFS('Apr11-Mar12 Billed-RETAIL'!$F$5:$F$148,'Apr11-Mar12 Billed-RETAIL'!$B$5:$B$148,SBR!Q$4,'Apr11-Mar12 Billed-RETAIL'!$C$5:$C$148,SBR!$A24)+SUMIFS('Apr11-Mar12 Billed-RETAIL'!$AE$5:$AE$148,'Apr11-Mar12 Billed-RETAIL'!$B$5:$B$148,SBR!Q$4,'Apr11-Mar12 Billed-RETAIL'!$C$5:$C$148,SBR!$A24)</f>
        <v>-3</v>
      </c>
      <c r="R24" s="569">
        <f>SUMIFS('Apr11-Mar12 Billed-RETAIL'!$F$5:$F$148,'Apr11-Mar12 Billed-RETAIL'!$B$5:$B$148,SBR!R$4,'Apr11-Mar12 Billed-RETAIL'!$C$5:$C$148,SBR!$A24)+SUMIFS('Apr11-Mar12 Billed-RETAIL'!$AE$5:$AE$148,'Apr11-Mar12 Billed-RETAIL'!$B$5:$B$148,SBR!R$4,'Apr11-Mar12 Billed-RETAIL'!$C$5:$C$148,SBR!$A24)</f>
        <v>4</v>
      </c>
      <c r="S24" s="569">
        <f>SUMIFS('Apr11-Mar12 Billed-RETAIL'!$F$5:$F$148,'Apr11-Mar12 Billed-RETAIL'!$B$5:$B$148,SBR!S$4,'Apr11-Mar12 Billed-RETAIL'!$C$5:$C$148,SBR!$A24)+SUMIFS('Apr11-Mar12 Billed-RETAIL'!$AE$5:$AE$148,'Apr11-Mar12 Billed-RETAIL'!$B$5:$B$148,SBR!S$4,'Apr11-Mar12 Billed-RETAIL'!$C$5:$C$148,SBR!$A24)</f>
        <v>6</v>
      </c>
      <c r="T24" s="569">
        <f>SUMIFS('Apr11-Mar12 Billed-RETAIL'!$F$5:$F$148,'Apr11-Mar12 Billed-RETAIL'!$B$5:$B$148,SBR!T$4,'Apr11-Mar12 Billed-RETAIL'!$C$5:$C$148,SBR!$A24)+SUMIFS('Apr11-Mar12 Billed-RETAIL'!$AE$5:$AE$148,'Apr11-Mar12 Billed-RETAIL'!$B$5:$B$148,SBR!T$4,'Apr11-Mar12 Billed-RETAIL'!$C$5:$C$148,SBR!$A24)</f>
        <v>4</v>
      </c>
      <c r="U24" s="569">
        <f>SUMIFS('Apr11-Mar12 Billed-RETAIL'!$F$5:$F$148,'Apr11-Mar12 Billed-RETAIL'!$B$5:$B$148,SBR!U$4,'Apr11-Mar12 Billed-RETAIL'!$C$5:$C$148,SBR!$A24)+SUMIFS('Apr11-Mar12 Billed-RETAIL'!$AE$5:$AE$148,'Apr11-Mar12 Billed-RETAIL'!$B$5:$B$148,SBR!U$4,'Apr11-Mar12 Billed-RETAIL'!$C$5:$C$148,SBR!$A24)</f>
        <v>6</v>
      </c>
      <c r="V24" s="569">
        <f>SUMIFS('Apr11-Mar12 Billed-RETAIL'!$F$5:$F$148,'Apr11-Mar12 Billed-RETAIL'!$B$5:$B$148,SBR!V$4,'Apr11-Mar12 Billed-RETAIL'!$C$5:$C$148,SBR!$A24)+SUMIFS('Apr11-Mar12 Billed-RETAIL'!$AE$5:$AE$148,'Apr11-Mar12 Billed-RETAIL'!$B$5:$B$148,SBR!V$4,'Apr11-Mar12 Billed-RETAIL'!$C$5:$C$148,SBR!$A24)</f>
        <v>5</v>
      </c>
      <c r="W24" s="569">
        <f>SUMIFS('Apr11-Mar12 Billed-RETAIL'!$F$5:$F$148,'Apr11-Mar12 Billed-RETAIL'!$B$5:$B$148,SBR!W$4,'Apr11-Mar12 Billed-RETAIL'!$C$5:$C$148,SBR!$A24)+SUMIFS('Apr11-Mar12 Billed-RETAIL'!$AE$5:$AE$148,'Apr11-Mar12 Billed-RETAIL'!$B$5:$B$148,SBR!W$4,'Apr11-Mar12 Billed-RETAIL'!$C$5:$C$148,SBR!$A24)</f>
        <v>5</v>
      </c>
      <c r="X24" s="569">
        <f>SUMIFS('Apr11-Mar12 Billed-RETAIL'!$F$5:$F$148,'Apr11-Mar12 Billed-RETAIL'!$B$5:$B$148,SBR!X$4,'Apr11-Mar12 Billed-RETAIL'!$C$5:$C$148,SBR!$A24)+SUMIFS('Apr11-Mar12 Billed-RETAIL'!$AE$5:$AE$148,'Apr11-Mar12 Billed-RETAIL'!$B$5:$B$148,SBR!X$4,'Apr11-Mar12 Billed-RETAIL'!$C$5:$C$148,SBR!$A24)</f>
        <v>9</v>
      </c>
      <c r="Y24" s="569">
        <f>SUMIFS('Apr11-Mar12 Billed-RETAIL'!$F$5:$F$148,'Apr11-Mar12 Billed-RETAIL'!$B$5:$B$148,SBR!Y$4,'Apr11-Mar12 Billed-RETAIL'!$C$5:$C$148,SBR!$A24)+SUMIFS('Apr11-Mar12 Billed-RETAIL'!$AE$5:$AE$148,'Apr11-Mar12 Billed-RETAIL'!$B$5:$B$148,SBR!Y$4,'Apr11-Mar12 Billed-RETAIL'!$C$5:$C$148,SBR!$A24)</f>
        <v>2</v>
      </c>
      <c r="Z24" s="1240">
        <f>(SUMIFS('Apr11-Mar12 Billed-RETAIL'!$I$5:$I$148,'Apr11-Mar12 Billed-RETAIL'!$B$5:$B$148,SBR!Z$4,'Apr11-Mar12 Billed-RETAIL'!$C$5:$C$148,SBR!$A24)+SUMIFS('Apr11-Mar12 Billed-RETAIL'!$J$5:$J$148,'Apr11-Mar12 Billed-RETAIL'!$B$5:$B$148,SBR!Z$4,'Apr11-Mar12 Billed-RETAIL'!$C$5:$C$148,SBR!$A24))*0.1</f>
        <v>10391.6</v>
      </c>
      <c r="AA24" s="1240">
        <f>(SUMIFS('Apr11-Mar12 Billed-RETAIL'!$I$5:$I$148,'Apr11-Mar12 Billed-RETAIL'!$B$5:$B$148,SBR!AA$4,'Apr11-Mar12 Billed-RETAIL'!$C$5:$C$148,SBR!$A24)+SUMIFS('Apr11-Mar12 Billed-RETAIL'!$J$5:$J$148,'Apr11-Mar12 Billed-RETAIL'!$B$5:$B$148,SBR!AA$4,'Apr11-Mar12 Billed-RETAIL'!$C$5:$C$148,SBR!$A24))*0.1</f>
        <v>13126.1</v>
      </c>
      <c r="AB24" s="1240">
        <f>(SUMIFS('Apr11-Mar12 Billed-RETAIL'!$I$5:$I$148,'Apr11-Mar12 Billed-RETAIL'!$B$5:$B$148,SBR!AB$4,'Apr11-Mar12 Billed-RETAIL'!$C$5:$C$148,SBR!$A24)+SUMIFS('Apr11-Mar12 Billed-RETAIL'!$J$5:$J$148,'Apr11-Mar12 Billed-RETAIL'!$B$5:$B$148,SBR!AB$4,'Apr11-Mar12 Billed-RETAIL'!$C$5:$C$148,SBR!$A24))*0.1</f>
        <v>10435.6</v>
      </c>
      <c r="AC24" s="1240">
        <f>(SUMIFS('Apr11-Mar12 Billed-RETAIL'!$I$5:$I$148,'Apr11-Mar12 Billed-RETAIL'!$B$5:$B$148,SBR!AC$4,'Apr11-Mar12 Billed-RETAIL'!$C$5:$C$148,SBR!$A24)+SUMIFS('Apr11-Mar12 Billed-RETAIL'!$J$5:$J$148,'Apr11-Mar12 Billed-RETAIL'!$B$5:$B$148,SBR!AC$4,'Apr11-Mar12 Billed-RETAIL'!$C$5:$C$148,SBR!$A24))*0.1</f>
        <v>10020.800000000001</v>
      </c>
      <c r="AD24" s="1240">
        <f>(SUMIFS('Apr11-Mar12 Billed-RETAIL'!$I$5:$I$148,'Apr11-Mar12 Billed-RETAIL'!$B$5:$B$148,SBR!AD$4,'Apr11-Mar12 Billed-RETAIL'!$C$5:$C$148,SBR!$A24)+SUMIFS('Apr11-Mar12 Billed-RETAIL'!$J$5:$J$148,'Apr11-Mar12 Billed-RETAIL'!$B$5:$B$148,SBR!AD$4,'Apr11-Mar12 Billed-RETAIL'!$C$5:$C$148,SBR!$A24))*0.1</f>
        <v>2952.7000000000003</v>
      </c>
      <c r="AE24" s="1240">
        <f>(SUMIFS('Apr11-Mar12 Billed-RETAIL'!$I$5:$I$148,'Apr11-Mar12 Billed-RETAIL'!$B$5:$B$148,SBR!AE$4,'Apr11-Mar12 Billed-RETAIL'!$C$5:$C$148,SBR!$A24)+SUMIFS('Apr11-Mar12 Billed-RETAIL'!$J$5:$J$148,'Apr11-Mar12 Billed-RETAIL'!$B$5:$B$148,SBR!AE$4,'Apr11-Mar12 Billed-RETAIL'!$C$5:$C$148,SBR!$A24))*0.1</f>
        <v>14450.7</v>
      </c>
      <c r="AF24" s="1240">
        <f>(SUMIFS('Apr11-Mar12 Billed-RETAIL'!$I$5:$I$148,'Apr11-Mar12 Billed-RETAIL'!$B$5:$B$148,SBR!AF$4,'Apr11-Mar12 Billed-RETAIL'!$C$5:$C$148,SBR!$A24)+SUMIFS('Apr11-Mar12 Billed-RETAIL'!$J$5:$J$148,'Apr11-Mar12 Billed-RETAIL'!$B$5:$B$148,SBR!AF$4,'Apr11-Mar12 Billed-RETAIL'!$C$5:$C$148,SBR!$A24))*0.1</f>
        <v>6021.4000000000005</v>
      </c>
      <c r="AG24" s="1240">
        <f>(SUMIFS('Apr11-Mar12 Billed-RETAIL'!$I$5:$I$148,'Apr11-Mar12 Billed-RETAIL'!$B$5:$B$148,SBR!AG$4,'Apr11-Mar12 Billed-RETAIL'!$C$5:$C$148,SBR!$A24)+SUMIFS('Apr11-Mar12 Billed-RETAIL'!$J$5:$J$148,'Apr11-Mar12 Billed-RETAIL'!$B$5:$B$148,SBR!AG$4,'Apr11-Mar12 Billed-RETAIL'!$C$5:$C$148,SBR!$A24))*0.1</f>
        <v>7444</v>
      </c>
      <c r="AH24" s="1240">
        <f>(SUMIFS('Apr11-Mar12 Billed-RETAIL'!$I$5:$I$148,'Apr11-Mar12 Billed-RETAIL'!$B$5:$B$148,SBR!AH$4,'Apr11-Mar12 Billed-RETAIL'!$C$5:$C$148,SBR!$A24)+SUMIFS('Apr11-Mar12 Billed-RETAIL'!$J$5:$J$148,'Apr11-Mar12 Billed-RETAIL'!$B$5:$B$148,SBR!AH$4,'Apr11-Mar12 Billed-RETAIL'!$C$5:$C$148,SBR!$A24))*0.1</f>
        <v>8788</v>
      </c>
      <c r="AI24" s="1240">
        <f>(SUMIFS('Apr11-Mar12 Billed-RETAIL'!$I$5:$I$148,'Apr11-Mar12 Billed-RETAIL'!$B$5:$B$148,SBR!AI$4,'Apr11-Mar12 Billed-RETAIL'!$C$5:$C$148,SBR!$A24)+SUMIFS('Apr11-Mar12 Billed-RETAIL'!$J$5:$J$148,'Apr11-Mar12 Billed-RETAIL'!$B$5:$B$148,SBR!AI$4,'Apr11-Mar12 Billed-RETAIL'!$C$5:$C$148,SBR!$A24))*0.1</f>
        <v>8859.5</v>
      </c>
      <c r="AJ24" s="1240">
        <f>(SUMIFS('Apr11-Mar12 Billed-RETAIL'!$I$5:$I$148,'Apr11-Mar12 Billed-RETAIL'!$B$5:$B$148,SBR!AJ$4,'Apr11-Mar12 Billed-RETAIL'!$C$5:$C$148,SBR!$A24)+SUMIFS('Apr11-Mar12 Billed-RETAIL'!$J$5:$J$148,'Apr11-Mar12 Billed-RETAIL'!$B$5:$B$148,SBR!AJ$4,'Apr11-Mar12 Billed-RETAIL'!$C$5:$C$148,SBR!$A24))*0.1</f>
        <v>43244.5</v>
      </c>
      <c r="AK24" s="1240">
        <f>(SUMIFS('Apr11-Mar12 Billed-RETAIL'!$I$5:$I$148,'Apr11-Mar12 Billed-RETAIL'!$B$5:$B$148,SBR!AK$4,'Apr11-Mar12 Billed-RETAIL'!$C$5:$C$148,SBR!$A24)+SUMIFS('Apr11-Mar12 Billed-RETAIL'!$J$5:$J$148,'Apr11-Mar12 Billed-RETAIL'!$B$5:$B$148,SBR!AK$4,'Apr11-Mar12 Billed-RETAIL'!$C$5:$C$148,SBR!$A24))*0.1</f>
        <v>11188.1</v>
      </c>
      <c r="AL24" s="1241">
        <f ca="1">SUMIFS('Apr11-Mar12 Billed-RETAIL'!$AW$5:$AW$148,'Apr11-Mar12 Billed-RETAIL'!$B$5:$B$148,SBR!AL$4,'Apr11-Mar12 Billed-RETAIL'!$C$5:$C$148,SBR!$A24)</f>
        <v>60312.94</v>
      </c>
      <c r="AM24" s="1241">
        <f ca="1">SUMIFS('Apr11-Mar12 Billed-RETAIL'!$AW$5:$AW$148,'Apr11-Mar12 Billed-RETAIL'!$B$5:$B$148,SBR!AM$4,'Apr11-Mar12 Billed-RETAIL'!$C$5:$C$148,SBR!$A24)</f>
        <v>72932.08</v>
      </c>
      <c r="AN24" s="1241">
        <f ca="1">SUMIFS('Apr11-Mar12 Billed-RETAIL'!$AW$5:$AW$148,'Apr11-Mar12 Billed-RETAIL'!$B$5:$B$148,SBR!AN$4,'Apr11-Mar12 Billed-RETAIL'!$C$5:$C$148,SBR!$A24)</f>
        <v>56465.57</v>
      </c>
      <c r="AO24" s="1241">
        <f ca="1">SUMIFS('Apr11-Mar12 Billed-RETAIL'!$AW$5:$AW$148,'Apr11-Mar12 Billed-RETAIL'!$B$5:$B$148,SBR!AO$4,'Apr11-Mar12 Billed-RETAIL'!$C$5:$C$148,SBR!$A24)</f>
        <v>57461.41</v>
      </c>
      <c r="AP24" s="1241">
        <f ca="1">SUMIFS('Apr11-Mar12 Billed-RETAIL'!$AW$5:$AW$148,'Apr11-Mar12 Billed-RETAIL'!$B$5:$B$148,SBR!AP$4,'Apr11-Mar12 Billed-RETAIL'!$C$5:$C$148,SBR!$A24)</f>
        <v>18570.27</v>
      </c>
      <c r="AQ24" s="1241">
        <f ca="1">SUMIFS('Apr11-Mar12 Billed-RETAIL'!$AW$5:$AW$148,'Apr11-Mar12 Billed-RETAIL'!$B$5:$B$148,SBR!AQ$4,'Apr11-Mar12 Billed-RETAIL'!$C$5:$C$148,SBR!$A24)</f>
        <v>90179.01</v>
      </c>
      <c r="AR24" s="1241">
        <f ca="1">SUMIFS('Apr11-Mar12 Billed-RETAIL'!$AW$5:$AW$148,'Apr11-Mar12 Billed-RETAIL'!$B$5:$B$148,SBR!AR$4,'Apr11-Mar12 Billed-RETAIL'!$C$5:$C$148,SBR!$A24)</f>
        <v>38126.19</v>
      </c>
      <c r="AS24" s="1241">
        <f ca="1">SUMIFS('Apr11-Mar12 Billed-RETAIL'!$AW$5:$AW$148,'Apr11-Mar12 Billed-RETAIL'!$B$5:$B$148,SBR!AS$4,'Apr11-Mar12 Billed-RETAIL'!$C$5:$C$148,SBR!$A24)</f>
        <v>47379.59</v>
      </c>
      <c r="AT24" s="1241">
        <f ca="1">SUMIFS('Apr11-Mar12 Billed-RETAIL'!$AW$5:$AW$148,'Apr11-Mar12 Billed-RETAIL'!$B$5:$B$148,SBR!AT$4,'Apr11-Mar12 Billed-RETAIL'!$C$5:$C$148,SBR!$A24)</f>
        <v>55331.57</v>
      </c>
      <c r="AU24" s="1241">
        <f ca="1">SUMIFS('Apr11-Mar12 Billed-RETAIL'!$AW$5:$AW$148,'Apr11-Mar12 Billed-RETAIL'!$B$5:$B$148,SBR!AU$4,'Apr11-Mar12 Billed-RETAIL'!$C$5:$C$148,SBR!$A24)</f>
        <v>55770.55</v>
      </c>
      <c r="AV24" s="1241">
        <f ca="1">SUMIFS('Apr11-Mar12 Billed-RETAIL'!$AW$5:$AW$148,'Apr11-Mar12 Billed-RETAIL'!$B$5:$B$148,SBR!AV$4,'Apr11-Mar12 Billed-RETAIL'!$C$5:$C$148,SBR!$A24)</f>
        <v>265231.28000000003</v>
      </c>
      <c r="AW24" s="1241">
        <f ca="1">SUMIFS('Apr11-Mar12 Billed-RETAIL'!$AW$5:$AW$148,'Apr11-Mar12 Billed-RETAIL'!$B$5:$B$148,SBR!AW$4,'Apr11-Mar12 Billed-RETAIL'!$C$5:$C$148,SBR!$A24)</f>
        <v>64726.32</v>
      </c>
      <c r="AX24" s="571"/>
      <c r="AY24" s="571"/>
      <c r="AZ24" s="1242">
        <v>0</v>
      </c>
      <c r="BA24" s="1242">
        <v>0</v>
      </c>
      <c r="BB24" s="1242">
        <v>0</v>
      </c>
      <c r="BC24" s="1242">
        <v>0</v>
      </c>
      <c r="BD24" s="1242">
        <v>0</v>
      </c>
      <c r="BE24" s="1242">
        <v>0</v>
      </c>
      <c r="BF24" s="1242">
        <v>0</v>
      </c>
      <c r="BG24" s="1242">
        <v>0</v>
      </c>
      <c r="BH24" s="1242">
        <v>0</v>
      </c>
      <c r="BI24" s="1242">
        <v>0</v>
      </c>
      <c r="BJ24" s="1242">
        <v>0</v>
      </c>
      <c r="BK24" s="1242">
        <v>0</v>
      </c>
      <c r="BL24" s="1242"/>
    </row>
    <row r="25" spans="1:64" x14ac:dyDescent="0.2">
      <c r="A25" s="1239" t="s">
        <v>29</v>
      </c>
      <c r="B25" s="1256" t="s">
        <v>687</v>
      </c>
      <c r="C25" s="577">
        <f>SUM(N25:Y25)</f>
        <v>112</v>
      </c>
      <c r="D25" s="578">
        <f>SUM(Z25:AK25)</f>
        <v>197037.90000000002</v>
      </c>
      <c r="E25" s="577">
        <f ca="1">SUM(AL25:AW25)+SUM(AZ25:BK25)</f>
        <v>1175518.1299999999</v>
      </c>
      <c r="F25" s="569"/>
      <c r="G25" s="577">
        <f t="shared" si="13"/>
        <v>58</v>
      </c>
      <c r="H25" s="578">
        <f>SUM(Z25:AB25,AJ25:AK25)</f>
        <v>96250.099999999991</v>
      </c>
      <c r="I25" s="577">
        <f ca="1">SUM(AL25:AN25,AV25:AW25)+SUM(AZ25:BB25,BJ25:BK25)</f>
        <v>548455.47</v>
      </c>
      <c r="J25" s="569"/>
      <c r="K25" s="577">
        <f>SUM(Q25:W25)</f>
        <v>62</v>
      </c>
      <c r="L25" s="578">
        <f>SUM(AC25:AI25)</f>
        <v>100787.8</v>
      </c>
      <c r="M25" s="577">
        <f ca="1">SUM(AO25:AU25)+SUM(BC25:BI25)</f>
        <v>627062.65999999992</v>
      </c>
      <c r="N25" s="577">
        <f>SUMIFS('Apr11-Mar12 Billed-RETAIL'!$F$5:$F$148,'Apr11-Mar12 Billed-RETAIL'!$B$5:$B$148,SBR!N$4,'Apr11-Mar12 Billed-RETAIL'!$C$5:$C$148,SBR!$A25)+SUMIFS('Apr11-Mar12 Billed-RETAIL'!$AE$5:$AE$148,'Apr11-Mar12 Billed-RETAIL'!$B$5:$B$148,SBR!N$4,'Apr11-Mar12 Billed-RETAIL'!$C$5:$C$148,SBR!$A25)</f>
        <v>9</v>
      </c>
      <c r="O25" s="577">
        <f>SUMIFS('Apr11-Mar12 Billed-RETAIL'!$F$5:$F$148,'Apr11-Mar12 Billed-RETAIL'!$B$5:$B$148,SBR!O$4,'Apr11-Mar12 Billed-RETAIL'!$C$5:$C$148,SBR!$A25)+SUMIFS('Apr11-Mar12 Billed-RETAIL'!$AE$5:$AE$148,'Apr11-Mar12 Billed-RETAIL'!$B$5:$B$148,SBR!O$4,'Apr11-Mar12 Billed-RETAIL'!$C$5:$C$148,SBR!$A25)</f>
        <v>9</v>
      </c>
      <c r="P25" s="577">
        <f>SUMIFS('Apr11-Mar12 Billed-RETAIL'!$F$5:$F$148,'Apr11-Mar12 Billed-RETAIL'!$B$5:$B$148,SBR!P$4,'Apr11-Mar12 Billed-RETAIL'!$C$5:$C$148,SBR!$A25)+SUMIFS('Apr11-Mar12 Billed-RETAIL'!$AE$5:$AE$148,'Apr11-Mar12 Billed-RETAIL'!$B$5:$B$148,SBR!P$4,'Apr11-Mar12 Billed-RETAIL'!$C$5:$C$148,SBR!$A25)</f>
        <v>9</v>
      </c>
      <c r="Q25" s="577">
        <f>SUMIFS('Apr11-Mar12 Billed-RETAIL'!$F$5:$F$148,'Apr11-Mar12 Billed-RETAIL'!$B$5:$B$148,SBR!Q$4,'Apr11-Mar12 Billed-RETAIL'!$C$5:$C$148,SBR!$A25)+SUMIFS('Apr11-Mar12 Billed-RETAIL'!$AE$5:$AE$148,'Apr11-Mar12 Billed-RETAIL'!$B$5:$B$148,SBR!Q$4,'Apr11-Mar12 Billed-RETAIL'!$C$5:$C$148,SBR!$A25)</f>
        <v>8</v>
      </c>
      <c r="R25" s="577">
        <f>SUMIFS('Apr11-Mar12 Billed-RETAIL'!$F$5:$F$148,'Apr11-Mar12 Billed-RETAIL'!$B$5:$B$148,SBR!R$4,'Apr11-Mar12 Billed-RETAIL'!$C$5:$C$148,SBR!$A25)+SUMIFS('Apr11-Mar12 Billed-RETAIL'!$AE$5:$AE$148,'Apr11-Mar12 Billed-RETAIL'!$B$5:$B$148,SBR!R$4,'Apr11-Mar12 Billed-RETAIL'!$C$5:$C$148,SBR!$A25)</f>
        <v>7</v>
      </c>
      <c r="S25" s="577">
        <f>SUMIFS('Apr11-Mar12 Billed-RETAIL'!$F$5:$F$148,'Apr11-Mar12 Billed-RETAIL'!$B$5:$B$148,SBR!S$4,'Apr11-Mar12 Billed-RETAIL'!$C$5:$C$148,SBR!$A25)+SUMIFS('Apr11-Mar12 Billed-RETAIL'!$AE$5:$AE$148,'Apr11-Mar12 Billed-RETAIL'!$B$5:$B$148,SBR!S$4,'Apr11-Mar12 Billed-RETAIL'!$C$5:$C$148,SBR!$A25)</f>
        <v>11</v>
      </c>
      <c r="T25" s="577">
        <f>SUMIFS('Apr11-Mar12 Billed-RETAIL'!$F$5:$F$148,'Apr11-Mar12 Billed-RETAIL'!$B$5:$B$148,SBR!T$4,'Apr11-Mar12 Billed-RETAIL'!$C$5:$C$148,SBR!$A25)+SUMIFS('Apr11-Mar12 Billed-RETAIL'!$AE$5:$AE$148,'Apr11-Mar12 Billed-RETAIL'!$B$5:$B$148,SBR!T$4,'Apr11-Mar12 Billed-RETAIL'!$C$5:$C$148,SBR!$A25)</f>
        <v>9</v>
      </c>
      <c r="U25" s="577">
        <f>SUMIFS('Apr11-Mar12 Billed-RETAIL'!$F$5:$F$148,'Apr11-Mar12 Billed-RETAIL'!$B$5:$B$148,SBR!U$4,'Apr11-Mar12 Billed-RETAIL'!$C$5:$C$148,SBR!$A25)+SUMIFS('Apr11-Mar12 Billed-RETAIL'!$AE$5:$AE$148,'Apr11-Mar12 Billed-RETAIL'!$B$5:$B$148,SBR!U$4,'Apr11-Mar12 Billed-RETAIL'!$C$5:$C$148,SBR!$A25)</f>
        <v>10</v>
      </c>
      <c r="V25" s="577">
        <f>SUMIFS('Apr11-Mar12 Billed-RETAIL'!$F$5:$F$148,'Apr11-Mar12 Billed-RETAIL'!$B$5:$B$148,SBR!V$4,'Apr11-Mar12 Billed-RETAIL'!$C$5:$C$148,SBR!$A25)+SUMIFS('Apr11-Mar12 Billed-RETAIL'!$AE$5:$AE$148,'Apr11-Mar12 Billed-RETAIL'!$B$5:$B$148,SBR!V$4,'Apr11-Mar12 Billed-RETAIL'!$C$5:$C$148,SBR!$A25)</f>
        <v>8</v>
      </c>
      <c r="W25" s="577">
        <f>SUMIFS('Apr11-Mar12 Billed-RETAIL'!$F$5:$F$148,'Apr11-Mar12 Billed-RETAIL'!$B$5:$B$148,SBR!W$4,'Apr11-Mar12 Billed-RETAIL'!$C$5:$C$148,SBR!$A25)+SUMIFS('Apr11-Mar12 Billed-RETAIL'!$AE$5:$AE$148,'Apr11-Mar12 Billed-RETAIL'!$B$5:$B$148,SBR!W$4,'Apr11-Mar12 Billed-RETAIL'!$C$5:$C$148,SBR!$A25)</f>
        <v>9</v>
      </c>
      <c r="X25" s="577">
        <f>SUMIFS('Apr11-Mar12 Billed-RETAIL'!$F$5:$F$148,'Apr11-Mar12 Billed-RETAIL'!$B$5:$B$148,SBR!X$4,'Apr11-Mar12 Billed-RETAIL'!$C$5:$C$148,SBR!$A25)+SUMIFS('Apr11-Mar12 Billed-RETAIL'!$AE$5:$AE$148,'Apr11-Mar12 Billed-RETAIL'!$B$5:$B$148,SBR!X$4,'Apr11-Mar12 Billed-RETAIL'!$C$5:$C$148,SBR!$A25)</f>
        <v>8</v>
      </c>
      <c r="Y25" s="577">
        <f>SUMIFS('Apr11-Mar12 Billed-RETAIL'!$F$5:$F$148,'Apr11-Mar12 Billed-RETAIL'!$B$5:$B$148,SBR!Y$4,'Apr11-Mar12 Billed-RETAIL'!$C$5:$C$148,SBR!$A25)+SUMIFS('Apr11-Mar12 Billed-RETAIL'!$AE$5:$AE$148,'Apr11-Mar12 Billed-RETAIL'!$B$5:$B$148,SBR!Y$4,'Apr11-Mar12 Billed-RETAIL'!$C$5:$C$148,SBR!$A25)</f>
        <v>15</v>
      </c>
      <c r="Z25" s="1245">
        <f>(SUMIFS('Apr11-Mar12 Billed-RETAIL'!$I$5:$I$148,'Apr11-Mar12 Billed-RETAIL'!$B$5:$B$148,SBR!Z$4,'Apr11-Mar12 Billed-RETAIL'!$C$5:$C$148,SBR!$A25)+SUMIFS('Apr11-Mar12 Billed-RETAIL'!$J$5:$J$148,'Apr11-Mar12 Billed-RETAIL'!$B$5:$B$148,SBR!Z$4,'Apr11-Mar12 Billed-RETAIL'!$C$5:$C$148,SBR!$A25))*0.1</f>
        <v>18735.3</v>
      </c>
      <c r="AA25" s="1245">
        <f>(SUMIFS('Apr11-Mar12 Billed-RETAIL'!$I$5:$I$148,'Apr11-Mar12 Billed-RETAIL'!$B$5:$B$148,SBR!AA$4,'Apr11-Mar12 Billed-RETAIL'!$C$5:$C$148,SBR!$A25)+SUMIFS('Apr11-Mar12 Billed-RETAIL'!$J$5:$J$148,'Apr11-Mar12 Billed-RETAIL'!$B$5:$B$148,SBR!AA$4,'Apr11-Mar12 Billed-RETAIL'!$C$5:$C$148,SBR!$A25))*0.1</f>
        <v>18686.100000000002</v>
      </c>
      <c r="AB25" s="1245">
        <f>(SUMIFS('Apr11-Mar12 Billed-RETAIL'!$I$5:$I$148,'Apr11-Mar12 Billed-RETAIL'!$B$5:$B$148,SBR!AB$4,'Apr11-Mar12 Billed-RETAIL'!$C$5:$C$148,SBR!$A25)+SUMIFS('Apr11-Mar12 Billed-RETAIL'!$J$5:$J$148,'Apr11-Mar12 Billed-RETAIL'!$B$5:$B$148,SBR!AB$4,'Apr11-Mar12 Billed-RETAIL'!$C$5:$C$148,SBR!$A25))*0.1</f>
        <v>18984</v>
      </c>
      <c r="AC25" s="1245">
        <f>(SUMIFS('Apr11-Mar12 Billed-RETAIL'!$I$5:$I$148,'Apr11-Mar12 Billed-RETAIL'!$B$5:$B$148,SBR!AC$4,'Apr11-Mar12 Billed-RETAIL'!$C$5:$C$148,SBR!$A25)+SUMIFS('Apr11-Mar12 Billed-RETAIL'!$J$5:$J$148,'Apr11-Mar12 Billed-RETAIL'!$B$5:$B$148,SBR!AC$4,'Apr11-Mar12 Billed-RETAIL'!$C$5:$C$148,SBR!$A25))*0.1</f>
        <v>17257</v>
      </c>
      <c r="AD25" s="1245">
        <f>(SUMIFS('Apr11-Mar12 Billed-RETAIL'!$I$5:$I$148,'Apr11-Mar12 Billed-RETAIL'!$B$5:$B$148,SBR!AD$4,'Apr11-Mar12 Billed-RETAIL'!$C$5:$C$148,SBR!$A25)+SUMIFS('Apr11-Mar12 Billed-RETAIL'!$J$5:$J$148,'Apr11-Mar12 Billed-RETAIL'!$B$5:$B$148,SBR!AD$4,'Apr11-Mar12 Billed-RETAIL'!$C$5:$C$148,SBR!$A25))*0.1</f>
        <v>21756.2</v>
      </c>
      <c r="AE25" s="1245">
        <f>(SUMIFS('Apr11-Mar12 Billed-RETAIL'!$I$5:$I$148,'Apr11-Mar12 Billed-RETAIL'!$B$5:$B$148,SBR!AE$4,'Apr11-Mar12 Billed-RETAIL'!$C$5:$C$148,SBR!$A25)+SUMIFS('Apr11-Mar12 Billed-RETAIL'!$J$5:$J$148,'Apr11-Mar12 Billed-RETAIL'!$B$5:$B$148,SBR!AE$4,'Apr11-Mar12 Billed-RETAIL'!$C$5:$C$148,SBR!$A25))*0.1</f>
        <v>17096.100000000002</v>
      </c>
      <c r="AF25" s="1245">
        <f>(SUMIFS('Apr11-Mar12 Billed-RETAIL'!$I$5:$I$148,'Apr11-Mar12 Billed-RETAIL'!$B$5:$B$148,SBR!AF$4,'Apr11-Mar12 Billed-RETAIL'!$C$5:$C$148,SBR!$A25)+SUMIFS('Apr11-Mar12 Billed-RETAIL'!$J$5:$J$148,'Apr11-Mar12 Billed-RETAIL'!$B$5:$B$148,SBR!AF$4,'Apr11-Mar12 Billed-RETAIL'!$C$5:$C$148,SBR!$A25))*0.1</f>
        <v>11512.800000000001</v>
      </c>
      <c r="AG25" s="1245">
        <f>(SUMIFS('Apr11-Mar12 Billed-RETAIL'!$I$5:$I$148,'Apr11-Mar12 Billed-RETAIL'!$B$5:$B$148,SBR!AG$4,'Apr11-Mar12 Billed-RETAIL'!$C$5:$C$148,SBR!$A25)+SUMIFS('Apr11-Mar12 Billed-RETAIL'!$J$5:$J$148,'Apr11-Mar12 Billed-RETAIL'!$B$5:$B$148,SBR!AG$4,'Apr11-Mar12 Billed-RETAIL'!$C$5:$C$148,SBR!$A25))*0.1</f>
        <v>10114.700000000001</v>
      </c>
      <c r="AH25" s="1245">
        <f>(SUMIFS('Apr11-Mar12 Billed-RETAIL'!$I$5:$I$148,'Apr11-Mar12 Billed-RETAIL'!$B$5:$B$148,SBR!AH$4,'Apr11-Mar12 Billed-RETAIL'!$C$5:$C$148,SBR!$A25)+SUMIFS('Apr11-Mar12 Billed-RETAIL'!$J$5:$J$148,'Apr11-Mar12 Billed-RETAIL'!$B$5:$B$148,SBR!AH$4,'Apr11-Mar12 Billed-RETAIL'!$C$5:$C$148,SBR!$A25))*0.1</f>
        <v>6254.2000000000007</v>
      </c>
      <c r="AI25" s="1245">
        <f>(SUMIFS('Apr11-Mar12 Billed-RETAIL'!$I$5:$I$148,'Apr11-Mar12 Billed-RETAIL'!$B$5:$B$148,SBR!AI$4,'Apr11-Mar12 Billed-RETAIL'!$C$5:$C$148,SBR!$A25)+SUMIFS('Apr11-Mar12 Billed-RETAIL'!$J$5:$J$148,'Apr11-Mar12 Billed-RETAIL'!$B$5:$B$148,SBR!AI$4,'Apr11-Mar12 Billed-RETAIL'!$C$5:$C$148,SBR!$A25))*0.1</f>
        <v>16796.8</v>
      </c>
      <c r="AJ25" s="1245">
        <f>(SUMIFS('Apr11-Mar12 Billed-RETAIL'!$I$5:$I$148,'Apr11-Mar12 Billed-RETAIL'!$B$5:$B$148,SBR!AJ$4,'Apr11-Mar12 Billed-RETAIL'!$C$5:$C$148,SBR!$A25)+SUMIFS('Apr11-Mar12 Billed-RETAIL'!$J$5:$J$148,'Apr11-Mar12 Billed-RETAIL'!$B$5:$B$148,SBR!AJ$4,'Apr11-Mar12 Billed-RETAIL'!$C$5:$C$148,SBR!$A25))*0.1</f>
        <v>13851.5</v>
      </c>
      <c r="AK25" s="1245">
        <f>(SUMIFS('Apr11-Mar12 Billed-RETAIL'!$I$5:$I$148,'Apr11-Mar12 Billed-RETAIL'!$B$5:$B$148,SBR!AK$4,'Apr11-Mar12 Billed-RETAIL'!$C$5:$C$148,SBR!$A25)+SUMIFS('Apr11-Mar12 Billed-RETAIL'!$J$5:$J$148,'Apr11-Mar12 Billed-RETAIL'!$B$5:$B$148,SBR!AK$4,'Apr11-Mar12 Billed-RETAIL'!$C$5:$C$148,SBR!$A25))*0.1</f>
        <v>25993.200000000001</v>
      </c>
      <c r="AL25" s="1246">
        <f ca="1">SUMIFS('Apr11-Mar12 Billed-RETAIL'!$AW$5:$AW$148,'Apr11-Mar12 Billed-RETAIL'!$B$5:$B$148,SBR!AL$4,'Apr11-Mar12 Billed-RETAIL'!$C$5:$C$148,SBR!$A25)</f>
        <v>108992.68</v>
      </c>
      <c r="AM25" s="1246">
        <f ca="1">SUMIFS('Apr11-Mar12 Billed-RETAIL'!$AW$5:$AW$148,'Apr11-Mar12 Billed-RETAIL'!$B$5:$B$148,SBR!AM$4,'Apr11-Mar12 Billed-RETAIL'!$C$5:$C$148,SBR!$A25)</f>
        <v>102496.48</v>
      </c>
      <c r="AN25" s="1246">
        <f ca="1">SUMIFS('Apr11-Mar12 Billed-RETAIL'!$AW$5:$AW$148,'Apr11-Mar12 Billed-RETAIL'!$B$5:$B$148,SBR!AN$4,'Apr11-Mar12 Billed-RETAIL'!$C$5:$C$148,SBR!$A25)</f>
        <v>102473.22</v>
      </c>
      <c r="AO25" s="1246">
        <f ca="1">SUMIFS('Apr11-Mar12 Billed-RETAIL'!$AW$5:$AW$148,'Apr11-Mar12 Billed-RETAIL'!$B$5:$B$148,SBR!AO$4,'Apr11-Mar12 Billed-RETAIL'!$C$5:$C$148,SBR!$A25)</f>
        <v>102242.28</v>
      </c>
      <c r="AP25" s="1246">
        <f ca="1">SUMIFS('Apr11-Mar12 Billed-RETAIL'!$AW$5:$AW$148,'Apr11-Mar12 Billed-RETAIL'!$B$5:$B$148,SBR!AP$4,'Apr11-Mar12 Billed-RETAIL'!$C$5:$C$148,SBR!$A25)</f>
        <v>133226.72</v>
      </c>
      <c r="AQ25" s="1246">
        <f ca="1">SUMIFS('Apr11-Mar12 Billed-RETAIL'!$AW$5:$AW$148,'Apr11-Mar12 Billed-RETAIL'!$B$5:$B$148,SBR!AQ$4,'Apr11-Mar12 Billed-RETAIL'!$C$5:$C$148,SBR!$A25)</f>
        <v>107662.34</v>
      </c>
      <c r="AR25" s="1246">
        <f ca="1">SUMIFS('Apr11-Mar12 Billed-RETAIL'!$AW$5:$AW$148,'Apr11-Mar12 Billed-RETAIL'!$B$5:$B$148,SBR!AR$4,'Apr11-Mar12 Billed-RETAIL'!$C$5:$C$148,SBR!$A25)</f>
        <v>73157.84</v>
      </c>
      <c r="AS25" s="1246">
        <f ca="1">SUMIFS('Apr11-Mar12 Billed-RETAIL'!$AW$5:$AW$148,'Apr11-Mar12 Billed-RETAIL'!$B$5:$B$148,SBR!AS$4,'Apr11-Mar12 Billed-RETAIL'!$C$5:$C$148,SBR!$A25)</f>
        <v>64791.23</v>
      </c>
      <c r="AT25" s="1246">
        <f ca="1">SUMIFS('Apr11-Mar12 Billed-RETAIL'!$AW$5:$AW$148,'Apr11-Mar12 Billed-RETAIL'!$B$5:$B$148,SBR!AT$4,'Apr11-Mar12 Billed-RETAIL'!$C$5:$C$148,SBR!$A25)</f>
        <v>40539.51</v>
      </c>
      <c r="AU25" s="1246">
        <f ca="1">SUMIFS('Apr11-Mar12 Billed-RETAIL'!$AW$5:$AW$148,'Apr11-Mar12 Billed-RETAIL'!$B$5:$B$148,SBR!AU$4,'Apr11-Mar12 Billed-RETAIL'!$C$5:$C$148,SBR!$A25)</f>
        <v>105442.74</v>
      </c>
      <c r="AV25" s="1246">
        <f ca="1">SUMIFS('Apr11-Mar12 Billed-RETAIL'!$AW$5:$AW$148,'Apr11-Mar12 Billed-RETAIL'!$B$5:$B$148,SBR!AV$4,'Apr11-Mar12 Billed-RETAIL'!$C$5:$C$148,SBR!$A25)</f>
        <v>82466.63</v>
      </c>
      <c r="AW25" s="1246">
        <f ca="1">SUMIFS('Apr11-Mar12 Billed-RETAIL'!$AW$5:$AW$148,'Apr11-Mar12 Billed-RETAIL'!$B$5:$B$148,SBR!AW$4,'Apr11-Mar12 Billed-RETAIL'!$C$5:$C$148,SBR!$A25)</f>
        <v>152026.46</v>
      </c>
      <c r="AX25" s="571"/>
      <c r="AY25" s="571"/>
      <c r="AZ25" s="1247">
        <v>0</v>
      </c>
      <c r="BA25" s="1247">
        <v>0</v>
      </c>
      <c r="BB25" s="1247">
        <v>0</v>
      </c>
      <c r="BC25" s="1247">
        <v>0</v>
      </c>
      <c r="BD25" s="1247">
        <v>0</v>
      </c>
      <c r="BE25" s="1247">
        <v>0</v>
      </c>
      <c r="BF25" s="1247">
        <v>0</v>
      </c>
      <c r="BG25" s="1247">
        <v>0</v>
      </c>
      <c r="BH25" s="1247">
        <v>0</v>
      </c>
      <c r="BI25" s="1247">
        <v>0</v>
      </c>
      <c r="BJ25" s="1247">
        <v>0</v>
      </c>
      <c r="BK25" s="1247">
        <v>0</v>
      </c>
      <c r="BL25" s="1247"/>
    </row>
    <row r="26" spans="1:64" x14ac:dyDescent="0.2">
      <c r="A26" s="1239"/>
      <c r="B26" s="1257" t="s">
        <v>711</v>
      </c>
      <c r="C26" s="589">
        <f>SUM(N26:Y26)</f>
        <v>164</v>
      </c>
      <c r="D26" s="1258">
        <f>SUM(Z26:AK26)</f>
        <v>343960.9</v>
      </c>
      <c r="E26" s="569">
        <f ca="1">SUM(AL26:AW26)+SUM(AZ26:BK26)</f>
        <v>2058004.91</v>
      </c>
      <c r="F26" s="589"/>
      <c r="G26" s="589">
        <f t="shared" si="13"/>
        <v>80</v>
      </c>
      <c r="H26" s="1258">
        <f>SUM(Z26:AB26,AJ26:AK26)</f>
        <v>184636</v>
      </c>
      <c r="I26" s="589">
        <f ca="1">SUM(AL26:AN26,AV26:AW26)+SUM(AZ26:BB26,BJ26:BK26)</f>
        <v>1068123.6599999999</v>
      </c>
      <c r="J26" s="589"/>
      <c r="K26" s="589">
        <f>SUM(Q26:W26)</f>
        <v>89</v>
      </c>
      <c r="L26" s="1258">
        <f>SUM(AC26:AI26)</f>
        <v>159324.9</v>
      </c>
      <c r="M26" s="589">
        <f ca="1">SUM(AO26:AU26)+SUM(BC26:BI26)</f>
        <v>989881.24999999988</v>
      </c>
      <c r="N26" s="580">
        <f>SUM(N24:N25)</f>
        <v>13</v>
      </c>
      <c r="O26" s="580">
        <f t="shared" ref="O26:Y26" si="16">SUM(O24:O25)</f>
        <v>14</v>
      </c>
      <c r="P26" s="580">
        <f t="shared" si="16"/>
        <v>14</v>
      </c>
      <c r="Q26" s="580">
        <f t="shared" si="16"/>
        <v>5</v>
      </c>
      <c r="R26" s="580">
        <f t="shared" si="16"/>
        <v>11</v>
      </c>
      <c r="S26" s="580">
        <f t="shared" si="16"/>
        <v>17</v>
      </c>
      <c r="T26" s="580">
        <f t="shared" si="16"/>
        <v>13</v>
      </c>
      <c r="U26" s="580">
        <f t="shared" si="16"/>
        <v>16</v>
      </c>
      <c r="V26" s="580">
        <f t="shared" si="16"/>
        <v>13</v>
      </c>
      <c r="W26" s="580">
        <f t="shared" si="16"/>
        <v>14</v>
      </c>
      <c r="X26" s="580">
        <f t="shared" si="16"/>
        <v>17</v>
      </c>
      <c r="Y26" s="580">
        <f t="shared" si="16"/>
        <v>17</v>
      </c>
      <c r="Z26" s="583">
        <f>SUM(Z24:Z25)</f>
        <v>29126.9</v>
      </c>
      <c r="AA26" s="583">
        <f t="shared" ref="AA26:AK26" si="17">SUM(AA24:AA25)</f>
        <v>31812.200000000004</v>
      </c>
      <c r="AB26" s="583">
        <f t="shared" si="17"/>
        <v>29419.599999999999</v>
      </c>
      <c r="AC26" s="583">
        <f t="shared" si="17"/>
        <v>27277.800000000003</v>
      </c>
      <c r="AD26" s="583">
        <f t="shared" si="17"/>
        <v>24708.9</v>
      </c>
      <c r="AE26" s="583">
        <f t="shared" si="17"/>
        <v>31546.800000000003</v>
      </c>
      <c r="AF26" s="583">
        <f t="shared" si="17"/>
        <v>17534.2</v>
      </c>
      <c r="AG26" s="583">
        <f t="shared" si="17"/>
        <v>17558.7</v>
      </c>
      <c r="AH26" s="583">
        <f t="shared" si="17"/>
        <v>15042.2</v>
      </c>
      <c r="AI26" s="583">
        <f t="shared" si="17"/>
        <v>25656.3</v>
      </c>
      <c r="AJ26" s="583">
        <f t="shared" si="17"/>
        <v>57096</v>
      </c>
      <c r="AK26" s="583">
        <f t="shared" si="17"/>
        <v>37181.300000000003</v>
      </c>
      <c r="AL26" s="1248">
        <f ca="1">SUM(AL24:AL25)</f>
        <v>169305.62</v>
      </c>
      <c r="AM26" s="1248">
        <f t="shared" ref="AM26:AW26" ca="1" si="18">SUM(AM24:AM25)</f>
        <v>175428.56</v>
      </c>
      <c r="AN26" s="1248">
        <f t="shared" ca="1" si="18"/>
        <v>158938.79</v>
      </c>
      <c r="AO26" s="1248">
        <f t="shared" ca="1" si="18"/>
        <v>159703.69</v>
      </c>
      <c r="AP26" s="1248">
        <f t="shared" ca="1" si="18"/>
        <v>151796.99</v>
      </c>
      <c r="AQ26" s="1248">
        <f t="shared" ca="1" si="18"/>
        <v>197841.34999999998</v>
      </c>
      <c r="AR26" s="1248">
        <f t="shared" ca="1" si="18"/>
        <v>111284.03</v>
      </c>
      <c r="AS26" s="1248">
        <f t="shared" ca="1" si="18"/>
        <v>112170.82</v>
      </c>
      <c r="AT26" s="1248">
        <f t="shared" ca="1" si="18"/>
        <v>95871.08</v>
      </c>
      <c r="AU26" s="1248">
        <f t="shared" ca="1" si="18"/>
        <v>161213.29</v>
      </c>
      <c r="AV26" s="1248">
        <f t="shared" ca="1" si="18"/>
        <v>347697.91000000003</v>
      </c>
      <c r="AW26" s="1248">
        <f t="shared" ca="1" si="18"/>
        <v>216752.78</v>
      </c>
      <c r="AX26" s="571"/>
      <c r="AY26" s="571"/>
      <c r="AZ26" s="1242">
        <f>SUM(AZ24:AZ25)</f>
        <v>0</v>
      </c>
      <c r="BA26" s="1242">
        <f t="shared" ref="BA26:BK26" si="19">SUM(BA24:BA25)</f>
        <v>0</v>
      </c>
      <c r="BB26" s="1242">
        <f t="shared" si="19"/>
        <v>0</v>
      </c>
      <c r="BC26" s="1242">
        <f t="shared" si="19"/>
        <v>0</v>
      </c>
      <c r="BD26" s="1242">
        <f t="shared" si="19"/>
        <v>0</v>
      </c>
      <c r="BE26" s="1242">
        <f t="shared" si="19"/>
        <v>0</v>
      </c>
      <c r="BF26" s="1242">
        <f t="shared" si="19"/>
        <v>0</v>
      </c>
      <c r="BG26" s="1242">
        <f t="shared" si="19"/>
        <v>0</v>
      </c>
      <c r="BH26" s="1242">
        <f t="shared" si="19"/>
        <v>0</v>
      </c>
      <c r="BI26" s="1242">
        <f t="shared" si="19"/>
        <v>0</v>
      </c>
      <c r="BJ26" s="1242">
        <f t="shared" si="19"/>
        <v>0</v>
      </c>
      <c r="BK26" s="1242">
        <f t="shared" si="19"/>
        <v>0</v>
      </c>
      <c r="BL26" s="1242">
        <f>SUM(AZ26:BK26)</f>
        <v>0</v>
      </c>
    </row>
    <row r="27" spans="1:64" x14ac:dyDescent="0.2">
      <c r="A27" s="1239"/>
      <c r="B27" s="579"/>
      <c r="C27" s="569"/>
      <c r="D27" s="574"/>
      <c r="E27" s="569"/>
      <c r="F27" s="569"/>
      <c r="G27" s="569">
        <f t="shared" si="13"/>
        <v>0</v>
      </c>
      <c r="H27" s="574"/>
      <c r="I27" s="569"/>
      <c r="J27" s="569"/>
      <c r="K27" s="569"/>
      <c r="L27" s="574"/>
      <c r="M27" s="569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1248"/>
      <c r="AM27" s="1248"/>
      <c r="AN27" s="1248"/>
      <c r="AO27" s="1248"/>
      <c r="AP27" s="1248"/>
      <c r="AQ27" s="1248"/>
      <c r="AR27" s="1248"/>
      <c r="AS27" s="1248"/>
      <c r="AT27" s="1248"/>
      <c r="AU27" s="1248"/>
      <c r="AV27" s="1248"/>
      <c r="AW27" s="1248"/>
      <c r="AX27" s="571"/>
      <c r="AY27" s="571"/>
      <c r="AZ27" s="1231"/>
      <c r="BA27" s="1231"/>
      <c r="BB27" s="1231"/>
      <c r="BC27" s="1231"/>
      <c r="BD27" s="1231"/>
      <c r="BE27" s="1231"/>
      <c r="BF27" s="1231"/>
      <c r="BG27" s="1231"/>
      <c r="BH27" s="1231"/>
      <c r="BI27" s="1231"/>
      <c r="BJ27" s="1231"/>
      <c r="BK27" s="1231"/>
      <c r="BL27" s="1231"/>
    </row>
    <row r="28" spans="1:64" x14ac:dyDescent="0.2">
      <c r="A28" s="1239" t="s">
        <v>109</v>
      </c>
      <c r="B28" s="573" t="s">
        <v>1171</v>
      </c>
      <c r="C28" s="569">
        <f>SUM(N28:Y28)</f>
        <v>12</v>
      </c>
      <c r="D28" s="574">
        <f>SUM(Z28:AK28)</f>
        <v>4905.2</v>
      </c>
      <c r="E28" s="569">
        <f>SUM(AL28:AW28)+SUM(AZ28:BK28)</f>
        <v>23950.86</v>
      </c>
      <c r="F28" s="569"/>
      <c r="G28" s="569">
        <f t="shared" si="13"/>
        <v>6</v>
      </c>
      <c r="H28" s="574">
        <f>SUM(Z28:AB28,AJ28:AK28)</f>
        <v>3976.8</v>
      </c>
      <c r="I28" s="569">
        <f>SUM(AL28:AN28,AV28:AW28)+SUM(AZ28:BB28,BJ28:BK28)</f>
        <v>17653.189999999999</v>
      </c>
      <c r="J28" s="569"/>
      <c r="K28" s="569">
        <f>SUM(Q28:W28)</f>
        <v>7</v>
      </c>
      <c r="L28" s="574">
        <f>SUM(AC28:AI28)</f>
        <v>928.4</v>
      </c>
      <c r="M28" s="569">
        <f>SUM(AO28:AU28)+SUM(BC28:BI28)</f>
        <v>6297.67</v>
      </c>
      <c r="N28" s="569">
        <v>1</v>
      </c>
      <c r="O28" s="569">
        <v>1</v>
      </c>
      <c r="P28" s="569">
        <v>1</v>
      </c>
      <c r="Q28" s="569">
        <v>1</v>
      </c>
      <c r="R28" s="569">
        <v>1</v>
      </c>
      <c r="S28" s="569">
        <v>1</v>
      </c>
      <c r="T28" s="569">
        <v>1</v>
      </c>
      <c r="U28" s="569">
        <v>1</v>
      </c>
      <c r="V28" s="569">
        <v>1</v>
      </c>
      <c r="W28" s="569">
        <v>1</v>
      </c>
      <c r="X28" s="569">
        <v>1</v>
      </c>
      <c r="Y28" s="569">
        <v>1</v>
      </c>
      <c r="Z28" s="1252">
        <f>+'Apr11-Mar12 FT-TS-Cashout-LG&amp;E'!H275</f>
        <v>0</v>
      </c>
      <c r="AA28" s="1252">
        <f>+'Apr11-Mar12 FT-TS-Cashout-LG&amp;E'!I275</f>
        <v>0</v>
      </c>
      <c r="AB28" s="1252">
        <f>+'Apr11-Mar12 FT-TS-Cashout-LG&amp;E'!J275</f>
        <v>0</v>
      </c>
      <c r="AC28" s="1252">
        <f>+'Apr11-Mar12 FT-TS-Cashout-LG&amp;E'!K275</f>
        <v>928.4</v>
      </c>
      <c r="AD28" s="1252">
        <f>+'Apr11-Mar12 FT-TS-Cashout-LG&amp;E'!L275</f>
        <v>0</v>
      </c>
      <c r="AE28" s="1252">
        <f>+'Apr11-Mar12 FT-TS-Cashout-LG&amp;E'!M275</f>
        <v>0</v>
      </c>
      <c r="AF28" s="1252">
        <f>+'Apr11-Mar12 FT-TS-Cashout-LG&amp;E'!N275</f>
        <v>0</v>
      </c>
      <c r="AG28" s="1252">
        <f>+'Apr11-Mar12 FT-TS-Cashout-LG&amp;E'!O275</f>
        <v>0</v>
      </c>
      <c r="AH28" s="1252">
        <f>+'Apr11-Mar12 FT-TS-Cashout-LG&amp;E'!P275</f>
        <v>0</v>
      </c>
      <c r="AI28" s="1252">
        <f>+'Apr11-Mar12 FT-TS-Cashout-LG&amp;E'!Q275</f>
        <v>0</v>
      </c>
      <c r="AJ28" s="1252">
        <f>+'Apr11-Mar12 FT-TS-Cashout-LG&amp;E'!R275</f>
        <v>3502.3</v>
      </c>
      <c r="AK28" s="1252">
        <f>+'Apr11-Mar12 FT-TS-Cashout-LG&amp;E'!S275</f>
        <v>474.5</v>
      </c>
      <c r="AL28" s="1253">
        <f>+'Apr11-Mar12 FT-TS-Cashout-LG&amp;E'!H283</f>
        <v>275</v>
      </c>
      <c r="AM28" s="1253">
        <f>+'Apr11-Mar12 FT-TS-Cashout-LG&amp;E'!I283</f>
        <v>275</v>
      </c>
      <c r="AN28" s="1253">
        <f>+'Apr11-Mar12 FT-TS-Cashout-LG&amp;E'!J283</f>
        <v>275</v>
      </c>
      <c r="AO28" s="1253">
        <f>+'Apr11-Mar12 FT-TS-Cashout-LG&amp;E'!K283</f>
        <v>4647.67</v>
      </c>
      <c r="AP28" s="1253">
        <f>+'Apr11-Mar12 FT-TS-Cashout-LG&amp;E'!L283</f>
        <v>275</v>
      </c>
      <c r="AQ28" s="1253">
        <f>+'Apr11-Mar12 FT-TS-Cashout-LG&amp;E'!M283</f>
        <v>275</v>
      </c>
      <c r="AR28" s="1253">
        <f>+'Apr11-Mar12 FT-TS-Cashout-LG&amp;E'!N283</f>
        <v>275</v>
      </c>
      <c r="AS28" s="1253">
        <f>+'Apr11-Mar12 FT-TS-Cashout-LG&amp;E'!O283</f>
        <v>275</v>
      </c>
      <c r="AT28" s="1253">
        <f>+'Apr11-Mar12 FT-TS-Cashout-LG&amp;E'!P283</f>
        <v>275</v>
      </c>
      <c r="AU28" s="1253">
        <f>+'Apr11-Mar12 FT-TS-Cashout-LG&amp;E'!Q283</f>
        <v>275</v>
      </c>
      <c r="AV28" s="1253">
        <f>+'Apr11-Mar12 FT-TS-Cashout-LG&amp;E'!R283</f>
        <v>14750.13</v>
      </c>
      <c r="AW28" s="1253">
        <f>+'Apr11-Mar12 FT-TS-Cashout-LG&amp;E'!S283</f>
        <v>2078.06</v>
      </c>
      <c r="AX28" s="571"/>
      <c r="AY28" s="575"/>
      <c r="AZ28" s="1242">
        <v>0</v>
      </c>
      <c r="BA28" s="1242">
        <v>0</v>
      </c>
      <c r="BB28" s="1242">
        <v>0</v>
      </c>
      <c r="BC28" s="1242">
        <v>0</v>
      </c>
      <c r="BD28" s="1242">
        <v>0</v>
      </c>
      <c r="BE28" s="1242">
        <v>0</v>
      </c>
      <c r="BF28" s="1242">
        <v>0</v>
      </c>
      <c r="BG28" s="1242">
        <v>0</v>
      </c>
      <c r="BH28" s="1242">
        <v>0</v>
      </c>
      <c r="BI28" s="1242">
        <v>0</v>
      </c>
      <c r="BJ28" s="1242">
        <v>0</v>
      </c>
      <c r="BK28" s="1242">
        <v>0</v>
      </c>
      <c r="BL28" s="1231">
        <f>SUM(AZ28:BK28)</f>
        <v>0</v>
      </c>
    </row>
    <row r="29" spans="1:64" ht="15" x14ac:dyDescent="0.35">
      <c r="A29" s="1239" t="s">
        <v>106</v>
      </c>
      <c r="B29" s="1282" t="s">
        <v>1172</v>
      </c>
      <c r="C29" s="577">
        <f>SUM(N29:Y29)</f>
        <v>12</v>
      </c>
      <c r="D29" s="578">
        <f>SUM(Z29:AK29)</f>
        <v>4215.8999999999996</v>
      </c>
      <c r="E29" s="577">
        <f>SUM(AL29:AW29)+SUM(AZ29:BK29)</f>
        <v>23856.51</v>
      </c>
      <c r="F29" s="569"/>
      <c r="G29" s="1243">
        <f t="shared" si="13"/>
        <v>6</v>
      </c>
      <c r="H29" s="1244">
        <f>SUM(Z29:AB29,AJ29:AK29)</f>
        <v>3990.3999999999996</v>
      </c>
      <c r="I29" s="1243">
        <f>SUM(AL29:AN29,AV29:AW29)+SUM(AZ29:BB29,BJ29:BK29)</f>
        <v>17105.5</v>
      </c>
      <c r="J29" s="569"/>
      <c r="K29" s="1243">
        <f>SUM(Q29:W29)</f>
        <v>7</v>
      </c>
      <c r="L29" s="1244">
        <f>SUM(AC29:AI29)</f>
        <v>225.5</v>
      </c>
      <c r="M29" s="1243">
        <f>SUM(AO29:AU29)+SUM(BC29:BI29)</f>
        <v>6751.01</v>
      </c>
      <c r="N29" s="577">
        <v>1</v>
      </c>
      <c r="O29" s="577">
        <v>1</v>
      </c>
      <c r="P29" s="577">
        <v>1</v>
      </c>
      <c r="Q29" s="577">
        <v>1</v>
      </c>
      <c r="R29" s="577">
        <v>1</v>
      </c>
      <c r="S29" s="577">
        <v>1</v>
      </c>
      <c r="T29" s="577">
        <v>1</v>
      </c>
      <c r="U29" s="577">
        <v>1</v>
      </c>
      <c r="V29" s="577">
        <v>1</v>
      </c>
      <c r="W29" s="577">
        <v>1</v>
      </c>
      <c r="X29" s="577">
        <v>1</v>
      </c>
      <c r="Y29" s="577">
        <v>1</v>
      </c>
      <c r="Z29" s="1245">
        <f>+'Apr11-Mar12 FT-TS-Cashout-LG&amp;E'!H291</f>
        <v>428.1</v>
      </c>
      <c r="AA29" s="1245">
        <f>+'Apr11-Mar12 FT-TS-Cashout-LG&amp;E'!I291</f>
        <v>1431.4</v>
      </c>
      <c r="AB29" s="1245">
        <f>+'Apr11-Mar12 FT-TS-Cashout-LG&amp;E'!J291</f>
        <v>998.6</v>
      </c>
      <c r="AC29" s="1245">
        <f>+'Apr11-Mar12 FT-TS-Cashout-LG&amp;E'!K291</f>
        <v>0</v>
      </c>
      <c r="AD29" s="1245">
        <f>+'Apr11-Mar12 FT-TS-Cashout-LG&amp;E'!L291</f>
        <v>0</v>
      </c>
      <c r="AE29" s="1245">
        <f>+'Apr11-Mar12 FT-TS-Cashout-LG&amp;E'!M291</f>
        <v>0</v>
      </c>
      <c r="AF29" s="1245">
        <f>+'Apr11-Mar12 FT-TS-Cashout-LG&amp;E'!N291</f>
        <v>0</v>
      </c>
      <c r="AG29" s="1245">
        <f>+'Apr11-Mar12 FT-TS-Cashout-LG&amp;E'!O291</f>
        <v>154.69999999999999</v>
      </c>
      <c r="AH29" s="1245">
        <f>+'Apr11-Mar12 FT-TS-Cashout-LG&amp;E'!P291</f>
        <v>0</v>
      </c>
      <c r="AI29" s="1245">
        <f>+'Apr11-Mar12 FT-TS-Cashout-LG&amp;E'!Q291</f>
        <v>70.8</v>
      </c>
      <c r="AJ29" s="1245">
        <f>+'Apr11-Mar12 FT-TS-Cashout-LG&amp;E'!R291</f>
        <v>752.3</v>
      </c>
      <c r="AK29" s="1245">
        <f>+'Apr11-Mar12 FT-TS-Cashout-LG&amp;E'!S291</f>
        <v>380</v>
      </c>
      <c r="AL29" s="1246">
        <f>+'Apr11-Mar12 FT-TS-Cashout-LG&amp;E'!H299</f>
        <v>2368.6999999999998</v>
      </c>
      <c r="AM29" s="1246">
        <f>+'Apr11-Mar12 FT-TS-Cashout-LG&amp;E'!I299</f>
        <v>5109.13</v>
      </c>
      <c r="AN29" s="1246">
        <f>+'Apr11-Mar12 FT-TS-Cashout-LG&amp;E'!J299</f>
        <v>3575.78</v>
      </c>
      <c r="AO29" s="1246">
        <f>+'Apr11-Mar12 FT-TS-Cashout-LG&amp;E'!K299</f>
        <v>781</v>
      </c>
      <c r="AP29" s="1246">
        <f>+'Apr11-Mar12 FT-TS-Cashout-LG&amp;E'!L299</f>
        <v>781</v>
      </c>
      <c r="AQ29" s="1246">
        <f>+'Apr11-Mar12 FT-TS-Cashout-LG&amp;E'!M299</f>
        <v>781</v>
      </c>
      <c r="AR29" s="1246">
        <f>+'Apr11-Mar12 FT-TS-Cashout-LG&amp;E'!N299</f>
        <v>781</v>
      </c>
      <c r="AS29" s="1246">
        <f>+'Apr11-Mar12 FT-TS-Cashout-LG&amp;E'!O299</f>
        <v>1695.55</v>
      </c>
      <c r="AT29" s="1246">
        <f>+'Apr11-Mar12 FT-TS-Cashout-LG&amp;E'!P299</f>
        <v>781</v>
      </c>
      <c r="AU29" s="1246">
        <f>+'Apr11-Mar12 FT-TS-Cashout-LG&amp;E'!Q299</f>
        <v>1150.46</v>
      </c>
      <c r="AV29" s="1246">
        <f>+'Apr11-Mar12 FT-TS-Cashout-LG&amp;E'!R299</f>
        <v>3848.2799999999997</v>
      </c>
      <c r="AW29" s="1246">
        <f>+'Apr11-Mar12 FT-TS-Cashout-LG&amp;E'!S299</f>
        <v>2203.6099999999997</v>
      </c>
      <c r="AX29" s="571"/>
      <c r="AY29" s="571"/>
      <c r="AZ29" s="1247">
        <v>0</v>
      </c>
      <c r="BA29" s="1247">
        <v>0</v>
      </c>
      <c r="BB29" s="1247">
        <v>0</v>
      </c>
      <c r="BC29" s="1247">
        <v>0</v>
      </c>
      <c r="BD29" s="1247">
        <v>0</v>
      </c>
      <c r="BE29" s="1247">
        <v>0</v>
      </c>
      <c r="BF29" s="1247">
        <v>0</v>
      </c>
      <c r="BG29" s="1247">
        <v>0</v>
      </c>
      <c r="BH29" s="1247">
        <v>0</v>
      </c>
      <c r="BI29" s="1247">
        <v>0</v>
      </c>
      <c r="BJ29" s="1247">
        <v>0</v>
      </c>
      <c r="BK29" s="1247">
        <v>0</v>
      </c>
      <c r="BL29" s="1259">
        <f>SUM(AZ29:BK29)</f>
        <v>0</v>
      </c>
    </row>
    <row r="30" spans="1:64" x14ac:dyDescent="0.2">
      <c r="A30" s="1239"/>
      <c r="B30" s="1282"/>
      <c r="C30" s="569">
        <f>SUM(N30:Y30)</f>
        <v>24</v>
      </c>
      <c r="D30" s="574">
        <f>SUM(Z30:AK30)</f>
        <v>9121.1</v>
      </c>
      <c r="E30" s="569">
        <f>SUM(AL30:AW30)+SUM(AZ30:BK30)</f>
        <v>47807.369999999995</v>
      </c>
      <c r="F30" s="569"/>
      <c r="G30" s="569">
        <f t="shared" si="13"/>
        <v>12</v>
      </c>
      <c r="H30" s="574">
        <f>SUM(Z30:AB30,AJ30:AK30)</f>
        <v>7967.2000000000007</v>
      </c>
      <c r="I30" s="569">
        <f>SUM(AL30:AN30,AV30:AW30)+SUM(AZ30:BB30,BJ30:BK30)</f>
        <v>34758.69</v>
      </c>
      <c r="J30" s="569"/>
      <c r="K30" s="569">
        <f>SUM(Q30:W30)</f>
        <v>14</v>
      </c>
      <c r="L30" s="574">
        <f>SUM(AC30:AI30)</f>
        <v>1153.8999999999999</v>
      </c>
      <c r="M30" s="569">
        <f>SUM(AO30:AU30)+SUM(BC30:BI30)</f>
        <v>13048.68</v>
      </c>
      <c r="N30" s="580">
        <f t="shared" ref="N30:Y30" si="20">SUM(N28:N29)</f>
        <v>2</v>
      </c>
      <c r="O30" s="580">
        <f t="shared" si="20"/>
        <v>2</v>
      </c>
      <c r="P30" s="580">
        <f t="shared" si="20"/>
        <v>2</v>
      </c>
      <c r="Q30" s="580">
        <f t="shared" si="20"/>
        <v>2</v>
      </c>
      <c r="R30" s="580">
        <f t="shared" si="20"/>
        <v>2</v>
      </c>
      <c r="S30" s="580">
        <f t="shared" si="20"/>
        <v>2</v>
      </c>
      <c r="T30" s="580">
        <f t="shared" si="20"/>
        <v>2</v>
      </c>
      <c r="U30" s="580">
        <f t="shared" si="20"/>
        <v>2</v>
      </c>
      <c r="V30" s="580">
        <f t="shared" si="20"/>
        <v>2</v>
      </c>
      <c r="W30" s="580">
        <f t="shared" si="20"/>
        <v>2</v>
      </c>
      <c r="X30" s="580">
        <f t="shared" si="20"/>
        <v>2</v>
      </c>
      <c r="Y30" s="580">
        <f t="shared" si="20"/>
        <v>2</v>
      </c>
      <c r="Z30" s="1252">
        <f t="shared" ref="Z30:AW30" si="21">SUM(Z28:Z29)</f>
        <v>428.1</v>
      </c>
      <c r="AA30" s="1252">
        <f t="shared" si="21"/>
        <v>1431.4</v>
      </c>
      <c r="AB30" s="1252">
        <f t="shared" si="21"/>
        <v>998.6</v>
      </c>
      <c r="AC30" s="1252">
        <f t="shared" si="21"/>
        <v>928.4</v>
      </c>
      <c r="AD30" s="1252">
        <f t="shared" si="21"/>
        <v>0</v>
      </c>
      <c r="AE30" s="1252">
        <f t="shared" si="21"/>
        <v>0</v>
      </c>
      <c r="AF30" s="1252">
        <f t="shared" si="21"/>
        <v>0</v>
      </c>
      <c r="AG30" s="1252">
        <f t="shared" si="21"/>
        <v>154.69999999999999</v>
      </c>
      <c r="AH30" s="1252">
        <f t="shared" si="21"/>
        <v>0</v>
      </c>
      <c r="AI30" s="1252">
        <f t="shared" si="21"/>
        <v>70.8</v>
      </c>
      <c r="AJ30" s="1252">
        <f t="shared" si="21"/>
        <v>4254.6000000000004</v>
      </c>
      <c r="AK30" s="1252">
        <f t="shared" si="21"/>
        <v>854.5</v>
      </c>
      <c r="AL30" s="1248">
        <f t="shared" si="21"/>
        <v>2643.7</v>
      </c>
      <c r="AM30" s="1248">
        <f t="shared" si="21"/>
        <v>5384.13</v>
      </c>
      <c r="AN30" s="1248">
        <f t="shared" si="21"/>
        <v>3850.78</v>
      </c>
      <c r="AO30" s="1248">
        <f t="shared" si="21"/>
        <v>5428.67</v>
      </c>
      <c r="AP30" s="1248">
        <f t="shared" si="21"/>
        <v>1056</v>
      </c>
      <c r="AQ30" s="1248">
        <f t="shared" si="21"/>
        <v>1056</v>
      </c>
      <c r="AR30" s="1248">
        <f t="shared" si="21"/>
        <v>1056</v>
      </c>
      <c r="AS30" s="1248">
        <f t="shared" si="21"/>
        <v>1970.55</v>
      </c>
      <c r="AT30" s="1248">
        <f t="shared" si="21"/>
        <v>1056</v>
      </c>
      <c r="AU30" s="1248">
        <f t="shared" si="21"/>
        <v>1425.46</v>
      </c>
      <c r="AV30" s="1248">
        <f t="shared" si="21"/>
        <v>18598.41</v>
      </c>
      <c r="AW30" s="1248">
        <f t="shared" si="21"/>
        <v>4281.67</v>
      </c>
      <c r="AX30" s="571"/>
      <c r="AY30" s="571"/>
      <c r="AZ30" s="1242">
        <f>SUM(AZ28:AZ29)</f>
        <v>0</v>
      </c>
      <c r="BA30" s="1242">
        <f t="shared" ref="BA30:BK30" si="22">SUM(BA28:BA29)</f>
        <v>0</v>
      </c>
      <c r="BB30" s="1242">
        <f t="shared" si="22"/>
        <v>0</v>
      </c>
      <c r="BC30" s="1242">
        <f t="shared" si="22"/>
        <v>0</v>
      </c>
      <c r="BD30" s="1242">
        <f t="shared" si="22"/>
        <v>0</v>
      </c>
      <c r="BE30" s="1242">
        <f t="shared" si="22"/>
        <v>0</v>
      </c>
      <c r="BF30" s="1242">
        <f t="shared" si="22"/>
        <v>0</v>
      </c>
      <c r="BG30" s="1242">
        <f t="shared" si="22"/>
        <v>0</v>
      </c>
      <c r="BH30" s="1242">
        <f t="shared" si="22"/>
        <v>0</v>
      </c>
      <c r="BI30" s="1242">
        <f t="shared" si="22"/>
        <v>0</v>
      </c>
      <c r="BJ30" s="1242">
        <f t="shared" si="22"/>
        <v>0</v>
      </c>
      <c r="BK30" s="1242">
        <f t="shared" si="22"/>
        <v>0</v>
      </c>
      <c r="BL30" s="1242">
        <f>SUM(AZ30:BK30)</f>
        <v>0</v>
      </c>
    </row>
    <row r="31" spans="1:64" x14ac:dyDescent="0.2">
      <c r="A31" s="1239"/>
      <c r="B31" s="1282" t="s">
        <v>1020</v>
      </c>
      <c r="C31" s="569"/>
      <c r="D31" s="574"/>
      <c r="E31" s="569"/>
      <c r="F31" s="569"/>
      <c r="G31" s="569">
        <f t="shared" si="13"/>
        <v>0</v>
      </c>
      <c r="H31" s="574"/>
      <c r="I31" s="569"/>
      <c r="J31" s="569"/>
      <c r="K31" s="569"/>
      <c r="L31" s="574"/>
      <c r="M31" s="569"/>
      <c r="N31" s="1256"/>
      <c r="O31" s="1256"/>
      <c r="P31" s="1256"/>
      <c r="Q31" s="1256"/>
      <c r="R31" s="1256"/>
      <c r="S31" s="1256"/>
      <c r="T31" s="1256"/>
      <c r="U31" s="1256"/>
      <c r="V31" s="1256"/>
      <c r="W31" s="1256"/>
      <c r="X31" s="1256"/>
      <c r="Y31" s="1256"/>
      <c r="Z31" s="1260"/>
      <c r="AA31" s="1260"/>
      <c r="AB31" s="1260"/>
      <c r="AC31" s="1260"/>
      <c r="AD31" s="1260"/>
      <c r="AE31" s="1260"/>
      <c r="AF31" s="1260"/>
      <c r="AG31" s="1260"/>
      <c r="AH31" s="1260"/>
      <c r="AI31" s="1260"/>
      <c r="AJ31" s="1260"/>
      <c r="AK31" s="1260"/>
      <c r="AL31" s="1248">
        <f ca="1">+AL11+AL17+AL22+AL26+AL30</f>
        <v>45189862.57</v>
      </c>
      <c r="AM31" s="1248">
        <f t="shared" ref="AM31:AW31" ca="1" si="23">+AM11+AM17+AM22+AM26+AM30</f>
        <v>41789949.780000009</v>
      </c>
      <c r="AN31" s="1248">
        <f t="shared" ca="1" si="23"/>
        <v>30749821.830000002</v>
      </c>
      <c r="AO31" s="1248">
        <f t="shared" ca="1" si="23"/>
        <v>25787587.830000002</v>
      </c>
      <c r="AP31" s="1248">
        <f t="shared" ca="1" si="23"/>
        <v>15277636.350000001</v>
      </c>
      <c r="AQ31" s="1248">
        <f t="shared" ca="1" si="23"/>
        <v>12025073.640000001</v>
      </c>
      <c r="AR31" s="1248">
        <f t="shared" ca="1" si="23"/>
        <v>10032246.859999999</v>
      </c>
      <c r="AS31" s="1248">
        <f t="shared" ca="1" si="23"/>
        <v>9897927.7699999996</v>
      </c>
      <c r="AT31" s="1248">
        <f t="shared" ca="1" si="23"/>
        <v>10378333.83</v>
      </c>
      <c r="AU31" s="1248">
        <f t="shared" ca="1" si="23"/>
        <v>12473951.26</v>
      </c>
      <c r="AV31" s="1248">
        <f t="shared" ca="1" si="23"/>
        <v>20087642.149999999</v>
      </c>
      <c r="AW31" s="1248">
        <f t="shared" ca="1" si="23"/>
        <v>31745374.640000004</v>
      </c>
      <c r="AX31" s="571">
        <f ca="1">SUM(AL31:AW31)</f>
        <v>265435408.51000005</v>
      </c>
      <c r="AY31" s="571"/>
      <c r="AZ31" s="1231">
        <f ca="1">+AZ11+AZ17+AZ22+AZ26+AZ30</f>
        <v>-2901.77</v>
      </c>
      <c r="BA31" s="1231">
        <f t="shared" ref="BA31:BK31" ca="1" si="24">+BA11+BA17+BA22+BA26+BA30</f>
        <v>-2496.63</v>
      </c>
      <c r="BB31" s="1231">
        <f t="shared" ca="1" si="24"/>
        <v>-3483.6100000000006</v>
      </c>
      <c r="BC31" s="1231">
        <f t="shared" ca="1" si="24"/>
        <v>-2584.2199999999998</v>
      </c>
      <c r="BD31" s="1231">
        <f t="shared" ca="1" si="24"/>
        <v>-2395.7199999999998</v>
      </c>
      <c r="BE31" s="1231">
        <f t="shared" ca="1" si="24"/>
        <v>-1465.24</v>
      </c>
      <c r="BF31" s="1231">
        <f t="shared" ca="1" si="24"/>
        <v>-2664.0299999999997</v>
      </c>
      <c r="BG31" s="1231">
        <f t="shared" ca="1" si="24"/>
        <v>-1659</v>
      </c>
      <c r="BH31" s="1231">
        <f t="shared" ca="1" si="24"/>
        <v>-1011.8599999999999</v>
      </c>
      <c r="BI31" s="1231">
        <f t="shared" ca="1" si="24"/>
        <v>-118.32999999999998</v>
      </c>
      <c r="BJ31" s="1231">
        <f t="shared" ca="1" si="24"/>
        <v>-83.16</v>
      </c>
      <c r="BK31" s="1231">
        <f t="shared" ca="1" si="24"/>
        <v>-2909.96</v>
      </c>
      <c r="BL31" s="1231">
        <f ca="1">SUM(AZ31:BK31)</f>
        <v>-23773.53</v>
      </c>
    </row>
    <row r="32" spans="1:64" ht="15" x14ac:dyDescent="0.35">
      <c r="A32" s="1239"/>
      <c r="B32" s="1261" t="s">
        <v>722</v>
      </c>
      <c r="C32" s="577"/>
      <c r="D32" s="578">
        <f>SUM(Z32:AK32)</f>
        <v>0</v>
      </c>
      <c r="E32" s="577">
        <f>SUM(AL32:AW32)</f>
        <v>-23774.609999997676</v>
      </c>
      <c r="F32" s="569"/>
      <c r="G32" s="1243">
        <f t="shared" si="13"/>
        <v>0</v>
      </c>
      <c r="H32" s="1244">
        <f>SUM(Z32:AB32,AJ32:AK32)</f>
        <v>0</v>
      </c>
      <c r="I32" s="1243">
        <f>SUM(AL32:AN32)+SUM(AV32:AW32)</f>
        <v>-11875.309999998113</v>
      </c>
      <c r="J32" s="569"/>
      <c r="K32" s="1243">
        <f>SUM(Q32:W32)</f>
        <v>0</v>
      </c>
      <c r="L32" s="1244">
        <f>SUM(AC32:AI32)</f>
        <v>0</v>
      </c>
      <c r="M32" s="1243">
        <f>SUM(AO32:AU32)</f>
        <v>-11899.299999999559</v>
      </c>
      <c r="N32" s="580"/>
      <c r="O32" s="580"/>
      <c r="P32" s="580"/>
      <c r="Q32" s="580"/>
      <c r="R32" s="580"/>
      <c r="S32" s="580"/>
      <c r="T32" s="580"/>
      <c r="U32" s="580"/>
      <c r="V32" s="580"/>
      <c r="W32" s="580"/>
      <c r="X32" s="580"/>
      <c r="Y32" s="580"/>
      <c r="Z32" s="585"/>
      <c r="AA32" s="585"/>
      <c r="AB32" s="585"/>
      <c r="AC32" s="585"/>
      <c r="AD32" s="585"/>
      <c r="AE32" s="585"/>
      <c r="AF32" s="585"/>
      <c r="AG32" s="585"/>
      <c r="AH32" s="585"/>
      <c r="AI32" s="585"/>
      <c r="AJ32" s="585"/>
      <c r="AK32" s="585"/>
      <c r="AL32" s="1253">
        <f>+'SBR Jan12'!J42</f>
        <v>-2901.8099999986589</v>
      </c>
      <c r="AM32" s="1253">
        <f>+'SBR Feb12'!J43</f>
        <v>-2496.6499999994412</v>
      </c>
      <c r="AN32" s="1253">
        <f>+'SBR Mar12'!J55+'SBR Mar12'!J18</f>
        <v>-3483.6700000000792</v>
      </c>
      <c r="AO32" s="1253">
        <f>+'SBR Apr11'!J42</f>
        <v>-2584.2900000002846</v>
      </c>
      <c r="AP32" s="1253">
        <f>+'SBR May11'!J42</f>
        <v>-2395.8499999994528</v>
      </c>
      <c r="AQ32" s="1253">
        <f>+'SBR Jun11'!J39</f>
        <v>-1465.3799999998882</v>
      </c>
      <c r="AR32" s="1253">
        <f>+'SBR Jul11'!J41</f>
        <v>-2664.2900000000068</v>
      </c>
      <c r="AS32" s="1253">
        <f>+'SBR Aug11'!J41</f>
        <v>-1659.1900000000605</v>
      </c>
      <c r="AT32" s="1253">
        <f>+'SBR Sep11'!J41</f>
        <v>-1011.9499999998952</v>
      </c>
      <c r="AU32" s="1253">
        <f>+'SBR Oct11'!J42</f>
        <v>-118.34999999997206</v>
      </c>
      <c r="AV32" s="1253">
        <f>+'SBR Nov11'!J45</f>
        <v>-83.169999999925494</v>
      </c>
      <c r="AW32" s="1253">
        <f>+'SBR Dec11'!J45</f>
        <v>-2910.0100000000093</v>
      </c>
      <c r="AX32" s="571">
        <f>SUM(AL32:AW32)</f>
        <v>-23774.609999997676</v>
      </c>
      <c r="AY32" s="571"/>
      <c r="AZ32" s="1262">
        <f ca="1">+AZ5-AZ31</f>
        <v>-3.9999998658913682E-2</v>
      </c>
      <c r="BA32" s="1262">
        <f t="shared" ref="BA32:BK32" ca="1" si="25">+BA5-BA31</f>
        <v>-1.9999999441097316E-2</v>
      </c>
      <c r="BB32" s="1262">
        <f t="shared" ca="1" si="25"/>
        <v>-6.0000000078616722E-2</v>
      </c>
      <c r="BC32" s="1262">
        <f t="shared" ca="1" si="25"/>
        <v>-7.0000000284835551E-2</v>
      </c>
      <c r="BD32" s="1262">
        <f t="shared" ca="1" si="25"/>
        <v>-0.12999999945304808</v>
      </c>
      <c r="BE32" s="1262">
        <f t="shared" ca="1" si="25"/>
        <v>-0.1399999998882322</v>
      </c>
      <c r="BF32" s="1262">
        <f t="shared" ca="1" si="25"/>
        <v>-0.26000000000703949</v>
      </c>
      <c r="BG32" s="1262">
        <f t="shared" ca="1" si="25"/>
        <v>-0.19000000006053597</v>
      </c>
      <c r="BH32" s="1262">
        <f t="shared" ca="1" si="25"/>
        <v>-8.9999999895326255E-2</v>
      </c>
      <c r="BI32" s="1262">
        <f t="shared" ca="1" si="25"/>
        <v>-1.9999999972071691E-2</v>
      </c>
      <c r="BJ32" s="1262">
        <f t="shared" ca="1" si="25"/>
        <v>-9.9999999254976046E-3</v>
      </c>
      <c r="BK32" s="1262">
        <f t="shared" ca="1" si="25"/>
        <v>-5.0000000009276846E-2</v>
      </c>
      <c r="BL32" s="1231"/>
    </row>
    <row r="33" spans="1:55" x14ac:dyDescent="0.2">
      <c r="A33" s="1239"/>
      <c r="B33" s="581"/>
      <c r="C33" s="569"/>
      <c r="D33" s="574"/>
      <c r="E33" s="569"/>
      <c r="F33" s="569"/>
      <c r="G33" s="569"/>
      <c r="H33" s="574"/>
      <c r="I33" s="569"/>
      <c r="J33" s="569"/>
      <c r="K33" s="569"/>
      <c r="L33" s="574"/>
      <c r="M33" s="569"/>
      <c r="N33" s="1256"/>
      <c r="O33" s="1256"/>
      <c r="P33" s="1256"/>
      <c r="Q33" s="1256"/>
      <c r="R33" s="1256"/>
      <c r="S33" s="1256"/>
      <c r="T33" s="1256"/>
      <c r="U33" s="1256"/>
      <c r="V33" s="1256"/>
      <c r="W33" s="1256"/>
      <c r="X33" s="1256"/>
      <c r="Y33" s="1256"/>
      <c r="Z33" s="1260"/>
      <c r="AA33" s="1260"/>
      <c r="AB33" s="1260"/>
      <c r="AC33" s="1260"/>
      <c r="AD33" s="1260"/>
      <c r="AE33" s="1260"/>
      <c r="AF33" s="1260"/>
      <c r="AG33" s="1260"/>
      <c r="AH33" s="1260"/>
      <c r="AI33" s="1260"/>
      <c r="AJ33" s="1260"/>
      <c r="AK33" s="1260"/>
      <c r="AL33" s="1263"/>
      <c r="AM33" s="1263"/>
      <c r="AN33" s="1263"/>
      <c r="AO33" s="1263"/>
      <c r="AP33" s="1263"/>
      <c r="AQ33" s="1263"/>
      <c r="AR33" s="1263"/>
      <c r="AS33" s="1263"/>
      <c r="AT33" s="1263"/>
      <c r="AU33" s="1263"/>
      <c r="AV33" s="1263"/>
      <c r="AW33" s="1263"/>
      <c r="AX33" s="571">
        <f ca="1">+AX31+AX32</f>
        <v>265411633.90000007</v>
      </c>
      <c r="AY33" s="571"/>
      <c r="AZ33" s="571"/>
      <c r="BA33" s="571"/>
      <c r="BB33" s="571"/>
    </row>
    <row r="34" spans="1:55" x14ac:dyDescent="0.2">
      <c r="A34" s="1239"/>
      <c r="B34" s="1282"/>
      <c r="C34" s="569"/>
      <c r="D34" s="574"/>
      <c r="E34" s="569"/>
      <c r="F34" s="569"/>
      <c r="G34" s="569"/>
      <c r="H34" s="574"/>
      <c r="I34" s="569"/>
      <c r="J34" s="569"/>
      <c r="K34" s="569"/>
      <c r="L34" s="574"/>
      <c r="M34" s="569"/>
      <c r="N34" s="1256"/>
      <c r="O34" s="1256"/>
      <c r="P34" s="1256"/>
      <c r="Q34" s="1256"/>
      <c r="R34" s="1256"/>
      <c r="S34" s="1256"/>
      <c r="T34" s="1256"/>
      <c r="U34" s="1256"/>
      <c r="V34" s="1256"/>
      <c r="W34" s="1256"/>
      <c r="X34" s="1256"/>
      <c r="Y34" s="1256"/>
      <c r="Z34" s="1260"/>
      <c r="AA34" s="1260"/>
      <c r="AB34" s="1260"/>
      <c r="AC34" s="1260"/>
      <c r="AD34" s="1260"/>
      <c r="AE34" s="1260"/>
      <c r="AF34" s="1260"/>
      <c r="AG34" s="1260"/>
      <c r="AH34" s="1260"/>
      <c r="AI34" s="1260"/>
      <c r="AJ34" s="1260"/>
      <c r="AK34" s="1260"/>
      <c r="AL34" s="1263"/>
      <c r="AM34" s="1263"/>
      <c r="AN34" s="1263"/>
      <c r="AO34" s="1263"/>
      <c r="AP34" s="1263"/>
      <c r="AQ34" s="1263"/>
      <c r="AR34" s="1263"/>
      <c r="AS34" s="1263"/>
      <c r="AT34" s="1263"/>
      <c r="AU34" s="1263"/>
      <c r="AV34" s="1263"/>
      <c r="AW34" s="1263"/>
      <c r="AX34" s="571"/>
      <c r="AY34" s="571"/>
      <c r="AZ34" s="571"/>
      <c r="BA34" s="571"/>
      <c r="BB34" s="571"/>
    </row>
    <row r="35" spans="1:55" ht="15" x14ac:dyDescent="0.35">
      <c r="A35" s="1239"/>
      <c r="B35" s="1282" t="s">
        <v>690</v>
      </c>
      <c r="C35" s="569">
        <f>SUM(N35:Y35)</f>
        <v>0</v>
      </c>
      <c r="D35" s="574">
        <f>SUM(Z35:AK35)</f>
        <v>27456268</v>
      </c>
      <c r="E35" s="569">
        <f>SUM(AL35:AW35)</f>
        <v>265411633.62000003</v>
      </c>
      <c r="F35" s="569"/>
      <c r="G35" s="569">
        <f t="shared" si="13"/>
        <v>0</v>
      </c>
      <c r="H35" s="574">
        <f>SUM(Z35:AB35,AJ35:AK35)</f>
        <v>19159035</v>
      </c>
      <c r="I35" s="569">
        <f>SUM(AL35:AN35,AV35:AW35)</f>
        <v>169550775.51000002</v>
      </c>
      <c r="J35" s="569"/>
      <c r="K35" s="569">
        <f>SUM(Q35:W35)</f>
        <v>0</v>
      </c>
      <c r="L35" s="574">
        <f>SUM(AC35:AI35)</f>
        <v>8297233</v>
      </c>
      <c r="M35" s="569">
        <f>SUM(AO35:AU35)</f>
        <v>95860858.109999999</v>
      </c>
      <c r="N35" s="1255"/>
      <c r="O35" s="1255"/>
      <c r="P35" s="1255"/>
      <c r="Q35" s="1255"/>
      <c r="R35" s="1255"/>
      <c r="S35" s="1255"/>
      <c r="T35" s="1255"/>
      <c r="U35" s="1255"/>
      <c r="V35" s="1255"/>
      <c r="W35" s="1255"/>
      <c r="X35" s="1255"/>
      <c r="Y35" s="1255"/>
      <c r="Z35" s="1264">
        <v>5211146</v>
      </c>
      <c r="AA35" s="1264">
        <v>4966040</v>
      </c>
      <c r="AB35" s="1264">
        <v>3468193</v>
      </c>
      <c r="AC35" s="1264">
        <v>2735440</v>
      </c>
      <c r="AD35" s="1264">
        <v>1415046</v>
      </c>
      <c r="AE35" s="1264">
        <v>968732</v>
      </c>
      <c r="AF35" s="1264">
        <v>709936</v>
      </c>
      <c r="AG35" s="1264">
        <v>683039</v>
      </c>
      <c r="AH35" s="1264">
        <v>758660</v>
      </c>
      <c r="AI35" s="1264">
        <v>1026380</v>
      </c>
      <c r="AJ35" s="1264">
        <v>2016928</v>
      </c>
      <c r="AK35" s="1264">
        <v>3496728</v>
      </c>
      <c r="AL35" s="1246">
        <v>45186960.770000011</v>
      </c>
      <c r="AM35" s="1246">
        <v>41787453.059999995</v>
      </c>
      <c r="AN35" s="1246">
        <v>30746338.140000001</v>
      </c>
      <c r="AO35" s="1246">
        <v>25784833.480000004</v>
      </c>
      <c r="AP35" s="1246">
        <v>15275410.5</v>
      </c>
      <c r="AQ35" s="1246">
        <v>12023608.240000002</v>
      </c>
      <c r="AR35" s="1246">
        <v>10029582.519999998</v>
      </c>
      <c r="AS35" s="1246">
        <v>9896268.620000001</v>
      </c>
      <c r="AT35" s="1246">
        <v>10377321.840000002</v>
      </c>
      <c r="AU35" s="1246">
        <v>12473832.909999998</v>
      </c>
      <c r="AV35" s="1246">
        <v>20087558.970000003</v>
      </c>
      <c r="AW35" s="1246">
        <v>31742464.57</v>
      </c>
      <c r="AX35" s="571"/>
      <c r="AY35" s="571"/>
      <c r="AZ35" s="571"/>
      <c r="BA35" s="571"/>
      <c r="BB35" s="1265"/>
    </row>
    <row r="36" spans="1:55" x14ac:dyDescent="0.2">
      <c r="A36" s="1239"/>
      <c r="B36" s="581" t="s">
        <v>889</v>
      </c>
      <c r="C36" s="569">
        <f>SUM(N36:Y36)</f>
        <v>3803718</v>
      </c>
      <c r="D36" s="574">
        <f>SUM(Z36:AK36)</f>
        <v>27456265.899999999</v>
      </c>
      <c r="E36" s="569">
        <f ca="1">SUM(AL36:AW36)</f>
        <v>265411633.89999998</v>
      </c>
      <c r="G36" s="590">
        <f t="shared" si="13"/>
        <v>1904501</v>
      </c>
      <c r="H36" s="1214">
        <f>SUM(Z36:AB36,AJ36:AK36)</f>
        <v>19159034.900000002</v>
      </c>
      <c r="I36" s="590">
        <f ca="1">SUM(AL36:AN36,AV36:AW36)</f>
        <v>169550775.66</v>
      </c>
      <c r="K36" s="569">
        <f>SUM(Q36:W36)</f>
        <v>2216987</v>
      </c>
      <c r="L36" s="574">
        <f>SUM(AC36:AI36)</f>
        <v>8297231.0000000009</v>
      </c>
      <c r="M36" s="569">
        <f ca="1">SUM(AO36:AU36)</f>
        <v>95860858.24000001</v>
      </c>
      <c r="N36" s="1266">
        <f t="shared" ref="N36:AK36" si="26">N11+N17+N22+N28+N29+N26</f>
        <v>320444</v>
      </c>
      <c r="O36" s="1266">
        <f t="shared" si="26"/>
        <v>317915</v>
      </c>
      <c r="P36" s="1266">
        <f t="shared" si="26"/>
        <v>318199</v>
      </c>
      <c r="Q36" s="1266">
        <f t="shared" si="26"/>
        <v>317770</v>
      </c>
      <c r="R36" s="1266">
        <f t="shared" si="26"/>
        <v>316994</v>
      </c>
      <c r="S36" s="1266">
        <f t="shared" si="26"/>
        <v>317067</v>
      </c>
      <c r="T36" s="1266">
        <f t="shared" si="26"/>
        <v>315274</v>
      </c>
      <c r="U36" s="1266">
        <f t="shared" si="26"/>
        <v>317710</v>
      </c>
      <c r="V36" s="1266">
        <f t="shared" si="26"/>
        <v>316454</v>
      </c>
      <c r="W36" s="1266">
        <f t="shared" si="26"/>
        <v>315718</v>
      </c>
      <c r="X36" s="1266">
        <f t="shared" si="26"/>
        <v>312107</v>
      </c>
      <c r="Y36" s="1266">
        <f t="shared" si="26"/>
        <v>318066</v>
      </c>
      <c r="Z36" s="590">
        <f t="shared" si="26"/>
        <v>5211506.9000000004</v>
      </c>
      <c r="AA36" s="590">
        <f t="shared" si="26"/>
        <v>4965679.9000000013</v>
      </c>
      <c r="AB36" s="590">
        <f t="shared" si="26"/>
        <v>3468192.2</v>
      </c>
      <c r="AC36" s="590">
        <f t="shared" si="26"/>
        <v>2735438.8</v>
      </c>
      <c r="AD36" s="590">
        <f t="shared" si="26"/>
        <v>1415045.9000000001</v>
      </c>
      <c r="AE36" s="590">
        <f t="shared" si="26"/>
        <v>968732.9</v>
      </c>
      <c r="AF36" s="590">
        <f t="shared" si="26"/>
        <v>709935.20000000007</v>
      </c>
      <c r="AG36" s="590">
        <f t="shared" si="26"/>
        <v>683039.29999999993</v>
      </c>
      <c r="AH36" s="590">
        <f t="shared" si="26"/>
        <v>758659.99999999988</v>
      </c>
      <c r="AI36" s="590">
        <f t="shared" si="26"/>
        <v>1026378.9</v>
      </c>
      <c r="AJ36" s="590">
        <f t="shared" si="26"/>
        <v>2016927.3000000003</v>
      </c>
      <c r="AK36" s="590">
        <f t="shared" si="26"/>
        <v>3496728.6000000006</v>
      </c>
      <c r="AL36" s="570">
        <f ca="1">AL11+AL17+AL22+AL28+AL29+AL26+AL32</f>
        <v>45186960.760000005</v>
      </c>
      <c r="AM36" s="570">
        <f t="shared" ref="AM36:AW36" ca="1" si="27">AM11+AM17+AM22+AM28+AM29+AM26+AM32</f>
        <v>41787453.13000001</v>
      </c>
      <c r="AN36" s="570">
        <f t="shared" ca="1" si="27"/>
        <v>30746338.16</v>
      </c>
      <c r="AO36" s="570">
        <f t="shared" ca="1" si="27"/>
        <v>25785003.540000003</v>
      </c>
      <c r="AP36" s="570">
        <f t="shared" ca="1" si="27"/>
        <v>15275240.500000002</v>
      </c>
      <c r="AQ36" s="570">
        <f t="shared" ca="1" si="27"/>
        <v>12023608.260000002</v>
      </c>
      <c r="AR36" s="570">
        <f t="shared" ca="1" si="27"/>
        <v>10029582.57</v>
      </c>
      <c r="AS36" s="570">
        <f t="shared" ca="1" si="27"/>
        <v>9896268.5800000001</v>
      </c>
      <c r="AT36" s="570">
        <f t="shared" ca="1" si="27"/>
        <v>10377321.880000001</v>
      </c>
      <c r="AU36" s="570">
        <f t="shared" ca="1" si="27"/>
        <v>12473832.91</v>
      </c>
      <c r="AV36" s="570">
        <f t="shared" ca="1" si="27"/>
        <v>20087558.979999997</v>
      </c>
      <c r="AW36" s="570">
        <f t="shared" ca="1" si="27"/>
        <v>31742464.629999999</v>
      </c>
      <c r="AX36" s="571">
        <f ca="1">SUM(AL36:AW36)</f>
        <v>265411633.89999998</v>
      </c>
      <c r="AY36" s="571"/>
      <c r="AZ36" s="571"/>
      <c r="BA36" s="571"/>
      <c r="BB36" s="571"/>
    </row>
    <row r="37" spans="1:55" x14ac:dyDescent="0.2">
      <c r="A37" s="1239"/>
      <c r="B37" s="581"/>
      <c r="C37" s="569">
        <f>+C11+C17+C22+C26+C30</f>
        <v>3803718</v>
      </c>
      <c r="D37" s="574">
        <f>+D11+D17+D22+D26+D30</f>
        <v>27456265.899999999</v>
      </c>
      <c r="E37" s="569">
        <f ca="1">+E11+E17+E22+E26+E30</f>
        <v>265411634.97999999</v>
      </c>
      <c r="G37" s="590">
        <f t="shared" si="13"/>
        <v>1904501</v>
      </c>
      <c r="H37" s="1214">
        <f>SUM(Z37:AB37,AJ37:AK37)</f>
        <v>19159034.900000002</v>
      </c>
      <c r="I37" s="590">
        <f ca="1">SUM(AL37:AN37,AV37:AW37)</f>
        <v>169550775.66</v>
      </c>
      <c r="K37" s="569">
        <f>SUM(Q37:W37)</f>
        <v>2216987</v>
      </c>
      <c r="L37" s="574">
        <f>SUM(AC37:AI37)</f>
        <v>8297231.0000000009</v>
      </c>
      <c r="M37" s="569">
        <f ca="1">SUM(AO37:AU37)</f>
        <v>95860858.24000001</v>
      </c>
      <c r="N37" s="1266">
        <f>+N11+SUM(N13:N16)+SUM(N19:N21)+N28+N29+SUM(N24:N25)</f>
        <v>320444</v>
      </c>
      <c r="O37" s="1266">
        <f t="shared" ref="O37:Y37" si="28">+O11+SUM(O13:O16)+SUM(O19:O21)+O28+O29+SUM(O24:O25)</f>
        <v>317915</v>
      </c>
      <c r="P37" s="1266">
        <f t="shared" si="28"/>
        <v>318199</v>
      </c>
      <c r="Q37" s="1266">
        <f t="shared" si="28"/>
        <v>317770</v>
      </c>
      <c r="R37" s="1266">
        <f t="shared" si="28"/>
        <v>316994</v>
      </c>
      <c r="S37" s="1266">
        <f t="shared" si="28"/>
        <v>317067</v>
      </c>
      <c r="T37" s="1266">
        <f t="shared" si="28"/>
        <v>315274</v>
      </c>
      <c r="U37" s="1266">
        <f t="shared" si="28"/>
        <v>317710</v>
      </c>
      <c r="V37" s="1266">
        <f t="shared" si="28"/>
        <v>316454</v>
      </c>
      <c r="W37" s="1266">
        <f t="shared" si="28"/>
        <v>315718</v>
      </c>
      <c r="X37" s="1266">
        <f t="shared" si="28"/>
        <v>312107</v>
      </c>
      <c r="Y37" s="1266">
        <f t="shared" si="28"/>
        <v>318066</v>
      </c>
      <c r="Z37" s="590">
        <f t="shared" ref="Z37:AK37" si="29">SUM(Z7:Z10)+SUM(Z13:Z16)+SUM(Z19:Z21)+Z28+Z29+SUM(Z24:Z25)</f>
        <v>5211506.9000000004</v>
      </c>
      <c r="AA37" s="590">
        <f t="shared" si="29"/>
        <v>4965679.9000000013</v>
      </c>
      <c r="AB37" s="590">
        <f t="shared" si="29"/>
        <v>3468192.2</v>
      </c>
      <c r="AC37" s="590">
        <f t="shared" si="29"/>
        <v>2735438.8</v>
      </c>
      <c r="AD37" s="590">
        <f t="shared" si="29"/>
        <v>1415045.9000000001</v>
      </c>
      <c r="AE37" s="590">
        <f t="shared" si="29"/>
        <v>968732.9</v>
      </c>
      <c r="AF37" s="590">
        <f t="shared" si="29"/>
        <v>709935.20000000007</v>
      </c>
      <c r="AG37" s="590">
        <f t="shared" si="29"/>
        <v>683039.29999999993</v>
      </c>
      <c r="AH37" s="590">
        <f t="shared" si="29"/>
        <v>758659.99999999988</v>
      </c>
      <c r="AI37" s="590">
        <f t="shared" si="29"/>
        <v>1026378.9</v>
      </c>
      <c r="AJ37" s="590">
        <f t="shared" si="29"/>
        <v>2016927.3000000003</v>
      </c>
      <c r="AK37" s="590">
        <f t="shared" si="29"/>
        <v>3496728.6000000006</v>
      </c>
      <c r="AL37" s="570">
        <f ca="1">SUM(AL7:AL10)+SUM(AL13:AL16)+SUM(AL19:AL21)+AL28+AL29+AL26+AL32</f>
        <v>45186960.760000005</v>
      </c>
      <c r="AM37" s="570">
        <f t="shared" ref="AM37:AW37" ca="1" si="30">SUM(AM7:AM10)+SUM(AM13:AM16)+SUM(AM19:AM21)+AM28+AM29+AM26+AM32</f>
        <v>41787453.13000001</v>
      </c>
      <c r="AN37" s="570">
        <f t="shared" ca="1" si="30"/>
        <v>30746338.16</v>
      </c>
      <c r="AO37" s="570">
        <f t="shared" ca="1" si="30"/>
        <v>25785003.540000003</v>
      </c>
      <c r="AP37" s="570">
        <f t="shared" ca="1" si="30"/>
        <v>15275240.500000002</v>
      </c>
      <c r="AQ37" s="570">
        <f t="shared" ca="1" si="30"/>
        <v>12023608.260000002</v>
      </c>
      <c r="AR37" s="570">
        <f t="shared" ca="1" si="30"/>
        <v>10029582.57</v>
      </c>
      <c r="AS37" s="570">
        <f t="shared" ca="1" si="30"/>
        <v>9896268.5800000001</v>
      </c>
      <c r="AT37" s="570">
        <f t="shared" ca="1" si="30"/>
        <v>10377321.880000001</v>
      </c>
      <c r="AU37" s="570">
        <f t="shared" ca="1" si="30"/>
        <v>12473832.91</v>
      </c>
      <c r="AV37" s="570">
        <f t="shared" ca="1" si="30"/>
        <v>20087558.979999997</v>
      </c>
      <c r="AW37" s="570">
        <f t="shared" ca="1" si="30"/>
        <v>31742464.629999999</v>
      </c>
      <c r="AX37" s="571"/>
      <c r="AY37" s="571"/>
      <c r="AZ37" s="571"/>
      <c r="BA37" s="571"/>
      <c r="BB37" s="571"/>
    </row>
    <row r="38" spans="1:55" x14ac:dyDescent="0.2">
      <c r="A38" s="1239"/>
      <c r="C38" s="569">
        <f>SUM(N38:Y38)</f>
        <v>0</v>
      </c>
      <c r="D38" s="574">
        <f>SUM(Z38:AK38)</f>
        <v>2.0999999972991645</v>
      </c>
      <c r="E38" s="569">
        <f ca="1">SUM(AL38:AW38)</f>
        <v>-0.28000000305473804</v>
      </c>
      <c r="G38" s="590">
        <f t="shared" si="13"/>
        <v>0</v>
      </c>
      <c r="H38" s="1214">
        <f>SUM(Z38:AB38,AJ38:AK38)</f>
        <v>9.9999997299164534E-2</v>
      </c>
      <c r="I38" s="590">
        <f ca="1">SUM(AL38:AN38,AV38:AW38)</f>
        <v>-0.15000000223517418</v>
      </c>
      <c r="K38" s="569">
        <f>SUM(Q38:W38)</f>
        <v>0</v>
      </c>
      <c r="L38" s="574">
        <f>SUM(AC38:AI38)</f>
        <v>2</v>
      </c>
      <c r="M38" s="569">
        <f ca="1">SUM(AO38:AU38)</f>
        <v>-0.13000000081956387</v>
      </c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590">
        <f>+Z35-Z37</f>
        <v>-360.90000000037253</v>
      </c>
      <c r="AA38" s="590">
        <f>+AA35-AA37</f>
        <v>360.09999999869615</v>
      </c>
      <c r="AB38" s="590">
        <f>+AB35-AB37</f>
        <v>0.79999999981373549</v>
      </c>
      <c r="AC38" s="590">
        <f>+AC35-AC37</f>
        <v>1.2000000001862645</v>
      </c>
      <c r="AD38" s="590">
        <f t="shared" ref="AD38:AK38" si="31">+AD35-AD37</f>
        <v>9.9999999860301614E-2</v>
      </c>
      <c r="AE38" s="590">
        <f t="shared" si="31"/>
        <v>-0.90000000002328306</v>
      </c>
      <c r="AF38" s="590">
        <f t="shared" si="31"/>
        <v>0.79999999993015081</v>
      </c>
      <c r="AG38" s="590">
        <f t="shared" si="31"/>
        <v>-0.29999999993015081</v>
      </c>
      <c r="AH38" s="590">
        <f t="shared" si="31"/>
        <v>0</v>
      </c>
      <c r="AI38" s="590">
        <f t="shared" si="31"/>
        <v>1.0999999999767169</v>
      </c>
      <c r="AJ38" s="590">
        <f t="shared" si="31"/>
        <v>0.69999999972060323</v>
      </c>
      <c r="AK38" s="590">
        <f t="shared" si="31"/>
        <v>-0.60000000055879354</v>
      </c>
      <c r="AL38" s="570">
        <f ca="1">+AL35-AL37</f>
        <v>1.000000536441803E-2</v>
      </c>
      <c r="AM38" s="570">
        <f t="shared" ref="AM38:AW38" ca="1" si="32">+AM35-AM37</f>
        <v>-7.0000015199184418E-2</v>
      </c>
      <c r="AN38" s="570">
        <f t="shared" ca="1" si="32"/>
        <v>-1.9999999552965164E-2</v>
      </c>
      <c r="AO38" s="570">
        <f t="shared" ca="1" si="32"/>
        <v>-170.0599999986589</v>
      </c>
      <c r="AP38" s="570">
        <f t="shared" ca="1" si="32"/>
        <v>169.99999999813735</v>
      </c>
      <c r="AQ38" s="570">
        <f t="shared" ca="1" si="32"/>
        <v>-1.9999999552965164E-2</v>
      </c>
      <c r="AR38" s="570">
        <f t="shared" ca="1" si="32"/>
        <v>-5.0000002607703209E-2</v>
      </c>
      <c r="AS38" s="570">
        <f t="shared" ca="1" si="32"/>
        <v>4.0000000968575478E-2</v>
      </c>
      <c r="AT38" s="570">
        <f t="shared" ca="1" si="32"/>
        <v>-3.9999999105930328E-2</v>
      </c>
      <c r="AU38" s="570">
        <f t="shared" ca="1" si="32"/>
        <v>0</v>
      </c>
      <c r="AV38" s="570">
        <f t="shared" ca="1" si="32"/>
        <v>-9.9999941885471344E-3</v>
      </c>
      <c r="AW38" s="570">
        <f t="shared" ca="1" si="32"/>
        <v>-5.9999998658895493E-2</v>
      </c>
      <c r="AX38" s="571">
        <f ca="1">SUM(AL38:AW38)</f>
        <v>-0.28000000305473804</v>
      </c>
      <c r="AY38" s="571"/>
      <c r="AZ38" s="571"/>
      <c r="BA38" s="571"/>
      <c r="BB38" s="571"/>
    </row>
    <row r="39" spans="1:55" x14ac:dyDescent="0.2">
      <c r="A39" s="1239"/>
      <c r="N39" s="1266"/>
      <c r="O39" s="1266"/>
      <c r="P39" s="1266"/>
      <c r="Q39" s="1266"/>
      <c r="R39" s="1266"/>
      <c r="S39" s="1266"/>
      <c r="T39" s="1266"/>
      <c r="U39" s="1266"/>
      <c r="V39" s="1266"/>
      <c r="W39" s="1266"/>
      <c r="X39" s="1266"/>
      <c r="Y39" s="1266"/>
      <c r="Z39" s="590"/>
      <c r="AA39" s="590"/>
      <c r="AB39" s="590"/>
      <c r="AC39" s="590"/>
      <c r="AD39" s="590"/>
      <c r="AE39" s="590"/>
      <c r="AF39" s="590"/>
      <c r="AG39" s="590"/>
      <c r="AH39" s="590"/>
      <c r="AI39" s="590"/>
      <c r="AJ39" s="590"/>
      <c r="AK39" s="590"/>
      <c r="AL39" s="570"/>
      <c r="AM39" s="570"/>
      <c r="AN39" s="570"/>
      <c r="AO39" s="570"/>
      <c r="AP39" s="570"/>
      <c r="AQ39" s="570"/>
      <c r="AR39" s="570"/>
      <c r="AS39" s="570"/>
      <c r="AT39" s="570"/>
      <c r="AU39" s="570"/>
      <c r="AV39" s="570"/>
      <c r="AW39" s="570"/>
      <c r="AX39" s="571"/>
      <c r="AY39" s="571"/>
      <c r="AZ39" s="571"/>
      <c r="BA39" s="571"/>
      <c r="BB39" s="571"/>
    </row>
    <row r="40" spans="1:55" x14ac:dyDescent="0.2">
      <c r="A40" s="1239"/>
      <c r="B40" s="1232" t="s">
        <v>691</v>
      </c>
    </row>
    <row r="41" spans="1:55" x14ac:dyDescent="0.2">
      <c r="A41" s="1239" t="s">
        <v>82</v>
      </c>
      <c r="B41" s="573" t="s">
        <v>692</v>
      </c>
      <c r="C41" s="569">
        <f>SUM(N41:Y41)</f>
        <v>24</v>
      </c>
      <c r="D41" s="574">
        <f>SUM(Z41:AK41)</f>
        <v>672290.40000000014</v>
      </c>
      <c r="E41" s="569">
        <f>SUM(AL41:AW41)</f>
        <v>7242791.3859199993</v>
      </c>
      <c r="F41" s="569"/>
      <c r="G41" s="569">
        <f t="shared" si="13"/>
        <v>12</v>
      </c>
      <c r="H41" s="574">
        <f>SUM(Z41:AB41,AJ41:AK41)</f>
        <v>221351.5</v>
      </c>
      <c r="I41" s="569">
        <f>SUM(AL41:AN41,AV41:AW41)</f>
        <v>2605351.5772000002</v>
      </c>
      <c r="J41" s="569"/>
      <c r="K41" s="569">
        <f>SUM(Q41:W41)</f>
        <v>14</v>
      </c>
      <c r="L41" s="574">
        <f>SUM(AC41:AI41)</f>
        <v>450938.9</v>
      </c>
      <c r="M41" s="569">
        <f>SUM(AO41:AU41)</f>
        <v>4637439.8087200001</v>
      </c>
      <c r="N41" s="569">
        <v>2</v>
      </c>
      <c r="O41" s="569">
        <v>2</v>
      </c>
      <c r="P41" s="569">
        <v>2</v>
      </c>
      <c r="Q41" s="569">
        <v>2</v>
      </c>
      <c r="R41" s="569">
        <f t="shared" ref="R41:W41" si="33">+Q41</f>
        <v>2</v>
      </c>
      <c r="S41" s="569">
        <f t="shared" si="33"/>
        <v>2</v>
      </c>
      <c r="T41" s="569">
        <f t="shared" si="33"/>
        <v>2</v>
      </c>
      <c r="U41" s="569">
        <f t="shared" si="33"/>
        <v>2</v>
      </c>
      <c r="V41" s="569">
        <f t="shared" si="33"/>
        <v>2</v>
      </c>
      <c r="W41" s="569">
        <f t="shared" si="33"/>
        <v>2</v>
      </c>
      <c r="X41" s="569">
        <v>2</v>
      </c>
      <c r="Y41" s="569">
        <v>2</v>
      </c>
      <c r="Z41" s="583">
        <f>+'Apr11-Mar12 FT-TS-Cashout-LG&amp;E'!H442</f>
        <v>39028.400000000001</v>
      </c>
      <c r="AA41" s="583">
        <f>+'Apr11-Mar12 FT-TS-Cashout-LG&amp;E'!I442</f>
        <v>29855.8</v>
      </c>
      <c r="AB41" s="583">
        <f>+'Apr11-Mar12 FT-TS-Cashout-LG&amp;E'!J442</f>
        <v>57437.2</v>
      </c>
      <c r="AC41" s="583">
        <f>+'Apr11-Mar12 FT-TS-Cashout-LG&amp;E'!K442</f>
        <v>0</v>
      </c>
      <c r="AD41" s="583">
        <f>+'Apr11-Mar12 FT-TS-Cashout-LG&amp;E'!L442</f>
        <v>138723.5</v>
      </c>
      <c r="AE41" s="583">
        <f>+'Apr11-Mar12 FT-TS-Cashout-LG&amp;E'!M442</f>
        <v>68379</v>
      </c>
      <c r="AF41" s="583">
        <f>+'Apr11-Mar12 FT-TS-Cashout-LG&amp;E'!N442</f>
        <v>61554</v>
      </c>
      <c r="AG41" s="583">
        <f>+'Apr11-Mar12 FT-TS-Cashout-LG&amp;E'!O442</f>
        <v>87811.9</v>
      </c>
      <c r="AH41" s="583">
        <f>+'Apr11-Mar12 FT-TS-Cashout-LG&amp;E'!P442</f>
        <v>39589.199999999997</v>
      </c>
      <c r="AI41" s="583">
        <f>+'Apr11-Mar12 FT-TS-Cashout-LG&amp;E'!Q442</f>
        <v>54881.3</v>
      </c>
      <c r="AJ41" s="583">
        <f>+'Apr11-Mar12 FT-TS-Cashout-LG&amp;E'!R442</f>
        <v>45584.800000000003</v>
      </c>
      <c r="AK41" s="583">
        <f>+'Apr11-Mar12 FT-TS-Cashout-LG&amp;E'!S442</f>
        <v>49445.3</v>
      </c>
      <c r="AL41" s="570">
        <f>+'Apr11-Mar12 FT-TS-Cashout-LG&amp;E'!H451</f>
        <v>499824.11832000001</v>
      </c>
      <c r="AM41" s="570">
        <f>+'Apr11-Mar12 FT-TS-Cashout-LG&amp;E'!I451</f>
        <v>437402.57183999999</v>
      </c>
      <c r="AN41" s="570">
        <f>+'Apr11-Mar12 FT-TS-Cashout-LG&amp;E'!J451</f>
        <v>576057.02456000005</v>
      </c>
      <c r="AO41" s="570">
        <f>+'Apr11-Mar12 FT-TS-Cashout-LG&amp;E'!K451</f>
        <v>0</v>
      </c>
      <c r="AP41" s="570">
        <f>+'Apr11-Mar12 FT-TS-Cashout-LG&amp;E'!L451</f>
        <v>1360772.7727999999</v>
      </c>
      <c r="AQ41" s="570">
        <f>+'Apr11-Mar12 FT-TS-Cashout-LG&amp;E'!M451</f>
        <v>690689.0392</v>
      </c>
      <c r="AR41" s="570">
        <f>+'Apr11-Mar12 FT-TS-Cashout-LG&amp;E'!N451</f>
        <v>650427.6791999999</v>
      </c>
      <c r="AS41" s="570">
        <f>+'Apr11-Mar12 FT-TS-Cashout-LG&amp;E'!O451</f>
        <v>804509.00912000006</v>
      </c>
      <c r="AT41" s="570">
        <f>+'Apr11-Mar12 FT-TS-Cashout-LG&amp;E'!P451</f>
        <v>520486.94415999996</v>
      </c>
      <c r="AU41" s="570">
        <f>+'Apr11-Mar12 FT-TS-Cashout-LG&amp;E'!Q451</f>
        <v>610554.36424000002</v>
      </c>
      <c r="AV41" s="570">
        <f>+'Apr11-Mar12 FT-TS-Cashout-LG&amp;E'!R451</f>
        <v>535523.72103999997</v>
      </c>
      <c r="AW41" s="570">
        <f>+'Apr11-Mar12 FT-TS-Cashout-LG&amp;E'!S451</f>
        <v>556544.14143999992</v>
      </c>
      <c r="AX41" s="571">
        <f>SUM(AL41:AW41)</f>
        <v>7242791.3859199993</v>
      </c>
      <c r="AY41" s="571"/>
      <c r="AZ41" s="571"/>
      <c r="BA41" s="571"/>
      <c r="BB41" s="571"/>
    </row>
    <row r="42" spans="1:55" x14ac:dyDescent="0.2">
      <c r="A42" s="1239" t="s">
        <v>113</v>
      </c>
      <c r="B42" s="573" t="s">
        <v>693</v>
      </c>
      <c r="C42" s="569">
        <f>SUM(N42:Y42)</f>
        <v>12</v>
      </c>
      <c r="D42" s="574">
        <f>SUM(Z42:AK42)</f>
        <v>11793.4</v>
      </c>
      <c r="E42" s="569">
        <f>SUM(AL42:AW42)</f>
        <v>47660.25</v>
      </c>
      <c r="F42" s="569"/>
      <c r="G42" s="569">
        <f t="shared" si="13"/>
        <v>6</v>
      </c>
      <c r="H42" s="574">
        <f>SUM(Z42:AB42,AJ42:AK42)</f>
        <v>2084.9</v>
      </c>
      <c r="I42" s="569">
        <f>SUM(AL42:AN42,AV42:AW42)</f>
        <v>13806.06</v>
      </c>
      <c r="J42" s="569"/>
      <c r="K42" s="569">
        <f>SUM(Q42:W42)</f>
        <v>7</v>
      </c>
      <c r="L42" s="574">
        <f>SUM(AC42:AI42)</f>
        <v>9708.5</v>
      </c>
      <c r="M42" s="569">
        <f>SUM(AO42:AU42)</f>
        <v>33854.19</v>
      </c>
      <c r="N42" s="569">
        <v>1</v>
      </c>
      <c r="O42" s="569">
        <v>1</v>
      </c>
      <c r="P42" s="569">
        <v>1</v>
      </c>
      <c r="Q42" s="569">
        <v>1</v>
      </c>
      <c r="R42" s="569">
        <v>1</v>
      </c>
      <c r="S42" s="569">
        <v>1</v>
      </c>
      <c r="T42" s="569">
        <v>1</v>
      </c>
      <c r="U42" s="569">
        <v>1</v>
      </c>
      <c r="V42" s="569">
        <v>1</v>
      </c>
      <c r="W42" s="569">
        <v>1</v>
      </c>
      <c r="X42" s="569">
        <v>1</v>
      </c>
      <c r="Y42" s="569">
        <v>1</v>
      </c>
      <c r="Z42" s="1252">
        <f>+'Apr11-Mar12 FT-TS-Cashout-LG&amp;E'!H425</f>
        <v>714.6</v>
      </c>
      <c r="AA42" s="1252">
        <f>+'Apr11-Mar12 FT-TS-Cashout-LG&amp;E'!I425</f>
        <v>83.8</v>
      </c>
      <c r="AB42" s="1252">
        <f>+'Apr11-Mar12 FT-TS-Cashout-LG&amp;E'!J425</f>
        <v>0</v>
      </c>
      <c r="AC42" s="1252">
        <f>+'Apr11-Mar12 FT-TS-Cashout-LG&amp;E'!K425</f>
        <v>0</v>
      </c>
      <c r="AD42" s="1252">
        <f>+'Apr11-Mar12 FT-TS-Cashout-LG&amp;E'!L425</f>
        <v>0</v>
      </c>
      <c r="AE42" s="1252">
        <f>+'Apr11-Mar12 FT-TS-Cashout-LG&amp;E'!M425</f>
        <v>0</v>
      </c>
      <c r="AF42" s="1252">
        <f>+'Apr11-Mar12 FT-TS-Cashout-LG&amp;E'!N425</f>
        <v>5129.7</v>
      </c>
      <c r="AG42" s="1252">
        <f>+'Apr11-Mar12 FT-TS-Cashout-LG&amp;E'!O425</f>
        <v>4578.8</v>
      </c>
      <c r="AH42" s="1252">
        <f>+'Apr11-Mar12 FT-TS-Cashout-LG&amp;E'!P425</f>
        <v>0</v>
      </c>
      <c r="AI42" s="1252">
        <f>+'Apr11-Mar12 FT-TS-Cashout-LG&amp;E'!Q425</f>
        <v>0</v>
      </c>
      <c r="AJ42" s="1252">
        <f>+'Apr11-Mar12 FT-TS-Cashout-LG&amp;E'!R425</f>
        <v>15.1</v>
      </c>
      <c r="AK42" s="1252">
        <f>+'Apr11-Mar12 FT-TS-Cashout-LG&amp;E'!S425</f>
        <v>1271.4000000000001</v>
      </c>
      <c r="AL42" s="570">
        <f>+'Apr11-Mar12 FT-TS-Cashout-LG&amp;E'!H433</f>
        <v>3792.1099999999997</v>
      </c>
      <c r="AM42" s="570">
        <f>+'Apr11-Mar12 FT-TS-Cashout-LG&amp;E'!I433</f>
        <v>1015.53</v>
      </c>
      <c r="AN42" s="570">
        <f>+'Apr11-Mar12 FT-TS-Cashout-LG&amp;E'!J433</f>
        <v>781</v>
      </c>
      <c r="AO42" s="570">
        <f>+'Apr11-Mar12 FT-TS-Cashout-LG&amp;E'!K433</f>
        <v>0</v>
      </c>
      <c r="AP42" s="570">
        <f>+'Apr11-Mar12 FT-TS-Cashout-LG&amp;E'!L433</f>
        <v>1562</v>
      </c>
      <c r="AQ42" s="570">
        <f>+'Apr11-Mar12 FT-TS-Cashout-LG&amp;E'!M433</f>
        <v>781</v>
      </c>
      <c r="AR42" s="570">
        <f>+'Apr11-Mar12 FT-TS-Cashout-LG&amp;E'!N433</f>
        <v>26217.65</v>
      </c>
      <c r="AS42" s="570">
        <f>+'Apr11-Mar12 FT-TS-Cashout-LG&amp;E'!O433</f>
        <v>21955.070000000003</v>
      </c>
      <c r="AT42" s="570">
        <f>+'Apr11-Mar12 FT-TS-Cashout-LG&amp;E'!P433</f>
        <v>-17442.53</v>
      </c>
      <c r="AU42" s="570">
        <f>+'Apr11-Mar12 FT-TS-Cashout-LG&amp;E'!Q433</f>
        <v>781</v>
      </c>
      <c r="AV42" s="570">
        <f>+'Apr11-Mar12 FT-TS-Cashout-LG&amp;E'!R433</f>
        <v>859.85</v>
      </c>
      <c r="AW42" s="570">
        <f>+'Apr11-Mar12 FT-TS-Cashout-LG&amp;E'!S433</f>
        <v>7357.57</v>
      </c>
      <c r="AX42" s="571">
        <f>SUM(AL42:AW42)</f>
        <v>47660.25</v>
      </c>
      <c r="AY42" s="575"/>
      <c r="AZ42" s="571"/>
      <c r="BA42" s="571"/>
      <c r="BB42" s="571"/>
      <c r="BC42" s="576"/>
    </row>
    <row r="43" spans="1:55" ht="15" x14ac:dyDescent="0.35">
      <c r="A43" s="1239" t="s">
        <v>113</v>
      </c>
      <c r="B43" s="1282" t="s">
        <v>694</v>
      </c>
      <c r="C43" s="577">
        <f>SUM(N43:Y43)</f>
        <v>0</v>
      </c>
      <c r="D43" s="578">
        <f>SUM(Z43:AK43)</f>
        <v>341340.80000000005</v>
      </c>
      <c r="E43" s="577">
        <f>SUM(AL43:AW43)</f>
        <v>1288687.5677799999</v>
      </c>
      <c r="F43" s="569"/>
      <c r="G43" s="1243">
        <f t="shared" si="13"/>
        <v>0</v>
      </c>
      <c r="H43" s="1244">
        <f>SUM(Z43:AB43,AJ43:AK43)</f>
        <v>4566</v>
      </c>
      <c r="I43" s="1243">
        <f>SUM(AL43:AN43,AV43:AW43)</f>
        <v>525817.08357999998</v>
      </c>
      <c r="J43" s="569"/>
      <c r="K43" s="1243">
        <f>SUM(Q43:W43)</f>
        <v>0</v>
      </c>
      <c r="L43" s="1244">
        <f>SUM(AC43:AI43)</f>
        <v>336774.80000000005</v>
      </c>
      <c r="M43" s="1243">
        <f>SUM(AO43:AU43)</f>
        <v>762870.48419999995</v>
      </c>
      <c r="N43" s="577"/>
      <c r="O43" s="577"/>
      <c r="P43" s="577"/>
      <c r="Q43" s="577"/>
      <c r="R43" s="577"/>
      <c r="S43" s="577"/>
      <c r="T43" s="577"/>
      <c r="U43" s="577"/>
      <c r="V43" s="577"/>
      <c r="W43" s="577"/>
      <c r="X43" s="577"/>
      <c r="Y43" s="577"/>
      <c r="Z43" s="1226">
        <f>+'Apr11-Mar12 FT-TS-Cashout-LG&amp;E'!H397</f>
        <v>0</v>
      </c>
      <c r="AA43" s="1226">
        <f>+'Apr11-Mar12 FT-TS-Cashout-LG&amp;E'!I397</f>
        <v>4566</v>
      </c>
      <c r="AB43" s="1226">
        <f>+'Apr11-Mar12 FT-TS-Cashout-LG&amp;E'!J397</f>
        <v>0</v>
      </c>
      <c r="AC43" s="1226">
        <f>+'Apr11-Mar12 FT-TS-Cashout-LG&amp;E'!K397</f>
        <v>0</v>
      </c>
      <c r="AD43" s="1226">
        <f>+'Apr11-Mar12 FT-TS-Cashout-LG&amp;E'!L397</f>
        <v>42632.5</v>
      </c>
      <c r="AE43" s="1226">
        <f>+'Apr11-Mar12 FT-TS-Cashout-LG&amp;E'!M397</f>
        <v>70011.899999999994</v>
      </c>
      <c r="AF43" s="1226">
        <f>+'Apr11-Mar12 FT-TS-Cashout-LG&amp;E'!N397</f>
        <v>112052</v>
      </c>
      <c r="AG43" s="1226">
        <f>+'Apr11-Mar12 FT-TS-Cashout-LG&amp;E'!O397</f>
        <v>61463</v>
      </c>
      <c r="AH43" s="1226">
        <f>+'Apr11-Mar12 FT-TS-Cashout-LG&amp;E'!P397</f>
        <v>50615.4</v>
      </c>
      <c r="AI43" s="1226">
        <f>+'Apr11-Mar12 FT-TS-Cashout-LG&amp;E'!Q397</f>
        <v>0</v>
      </c>
      <c r="AJ43" s="1226">
        <f>+'Apr11-Mar12 FT-TS-Cashout-LG&amp;E'!R397</f>
        <v>0</v>
      </c>
      <c r="AK43" s="1226">
        <f>+'Apr11-Mar12 FT-TS-Cashout-LG&amp;E'!S397</f>
        <v>0</v>
      </c>
      <c r="AL43" s="1267">
        <f>+'Apr11-Mar12 FT-TS-Cashout-LG&amp;E'!H414</f>
        <v>105229.89738000001</v>
      </c>
      <c r="AM43" s="1267">
        <f>+'Apr11-Mar12 FT-TS-Cashout-LG&amp;E'!I414</f>
        <v>105202.09275</v>
      </c>
      <c r="AN43" s="1267">
        <f>+'Apr11-Mar12 FT-TS-Cashout-LG&amp;E'!J414</f>
        <v>104976</v>
      </c>
      <c r="AO43" s="1267">
        <f>+'Apr11-Mar12 FT-TS-Cashout-LG&amp;E'!K414</f>
        <v>110309.976</v>
      </c>
      <c r="AP43" s="1267">
        <f>+'Apr11-Mar12 FT-TS-Cashout-LG&amp;E'!L414</f>
        <v>108257.6459</v>
      </c>
      <c r="AQ43" s="1267">
        <f>+'Apr11-Mar12 FT-TS-Cashout-LG&amp;E'!M414</f>
        <v>109338.04063</v>
      </c>
      <c r="AR43" s="1267">
        <f>+'Apr11-Mar12 FT-TS-Cashout-LG&amp;E'!N414</f>
        <v>111779.17698999999</v>
      </c>
      <c r="AS43" s="1267">
        <f>+'Apr11-Mar12 FT-TS-Cashout-LG&amp;E'!O414</f>
        <v>108798.34943999999</v>
      </c>
      <c r="AT43" s="1267">
        <f>+'Apr11-Mar12 FT-TS-Cashout-LG&amp;E'!P414</f>
        <v>109411.29524000001</v>
      </c>
      <c r="AU43" s="1267">
        <f>+'Apr11-Mar12 FT-TS-Cashout-LG&amp;E'!Q414</f>
        <v>104976</v>
      </c>
      <c r="AV43" s="1267">
        <f>+'Apr11-Mar12 FT-TS-Cashout-LG&amp;E'!R414</f>
        <v>104981.36503</v>
      </c>
      <c r="AW43" s="1267">
        <f>+'Apr11-Mar12 FT-TS-Cashout-LG&amp;E'!S414</f>
        <v>105427.72842</v>
      </c>
      <c r="AX43" s="571">
        <f>SUM(AL43:AW43)</f>
        <v>1288687.5677799999</v>
      </c>
      <c r="AY43" s="571"/>
      <c r="AZ43" s="571"/>
      <c r="BA43" s="571"/>
      <c r="BB43" s="571"/>
    </row>
    <row r="44" spans="1:55" x14ac:dyDescent="0.2">
      <c r="A44" s="1239"/>
      <c r="B44" s="579" t="s">
        <v>695</v>
      </c>
      <c r="C44" s="569">
        <f>SUM(N44:Y44)</f>
        <v>24</v>
      </c>
      <c r="D44" s="574">
        <f>SUM(Z44:AK44)</f>
        <v>1025424.5999999999</v>
      </c>
      <c r="E44" s="569">
        <f>SUM(AL44:AW44)</f>
        <v>8579139.2037000004</v>
      </c>
      <c r="F44" s="569"/>
      <c r="G44" s="569">
        <f t="shared" si="13"/>
        <v>12</v>
      </c>
      <c r="H44" s="574">
        <f>SUM(Z44:AB44,AJ44:AK44)</f>
        <v>228002.4</v>
      </c>
      <c r="I44" s="569">
        <f>SUM(AL44:AN44,AV44:AW44)</f>
        <v>3144974.7207799996</v>
      </c>
      <c r="J44" s="569"/>
      <c r="K44" s="569">
        <f>SUM(Q44:W44)</f>
        <v>14</v>
      </c>
      <c r="L44" s="574">
        <f>SUM(AC44:AI44)</f>
        <v>797422.20000000007</v>
      </c>
      <c r="M44" s="569">
        <f>SUM(AO44:AU44)</f>
        <v>5434164.4829199994</v>
      </c>
      <c r="N44" s="569">
        <f>+N41+N43</f>
        <v>2</v>
      </c>
      <c r="O44" s="569">
        <f t="shared" ref="O44:Y44" si="34">+O41+O43</f>
        <v>2</v>
      </c>
      <c r="P44" s="569">
        <f t="shared" si="34"/>
        <v>2</v>
      </c>
      <c r="Q44" s="569">
        <f t="shared" si="34"/>
        <v>2</v>
      </c>
      <c r="R44" s="569">
        <f t="shared" si="34"/>
        <v>2</v>
      </c>
      <c r="S44" s="569">
        <f t="shared" si="34"/>
        <v>2</v>
      </c>
      <c r="T44" s="569">
        <f t="shared" si="34"/>
        <v>2</v>
      </c>
      <c r="U44" s="569">
        <f t="shared" si="34"/>
        <v>2</v>
      </c>
      <c r="V44" s="569">
        <f t="shared" si="34"/>
        <v>2</v>
      </c>
      <c r="W44" s="569">
        <f t="shared" si="34"/>
        <v>2</v>
      </c>
      <c r="X44" s="569">
        <f t="shared" si="34"/>
        <v>2</v>
      </c>
      <c r="Y44" s="569">
        <f t="shared" si="34"/>
        <v>2</v>
      </c>
      <c r="Z44" s="585">
        <f>SUM(Z41:Z43)</f>
        <v>39743</v>
      </c>
      <c r="AA44" s="585">
        <f t="shared" ref="AA44:AK44" si="35">SUM(AA41:AA43)</f>
        <v>34505.599999999999</v>
      </c>
      <c r="AB44" s="585">
        <f t="shared" si="35"/>
        <v>57437.2</v>
      </c>
      <c r="AC44" s="585">
        <f t="shared" si="35"/>
        <v>0</v>
      </c>
      <c r="AD44" s="585">
        <f t="shared" si="35"/>
        <v>181356</v>
      </c>
      <c r="AE44" s="585">
        <f t="shared" si="35"/>
        <v>138390.9</v>
      </c>
      <c r="AF44" s="585">
        <f t="shared" si="35"/>
        <v>178735.7</v>
      </c>
      <c r="AG44" s="585">
        <f t="shared" si="35"/>
        <v>153853.70000000001</v>
      </c>
      <c r="AH44" s="585">
        <f t="shared" si="35"/>
        <v>90204.6</v>
      </c>
      <c r="AI44" s="585">
        <f t="shared" si="35"/>
        <v>54881.3</v>
      </c>
      <c r="AJ44" s="585">
        <f t="shared" si="35"/>
        <v>45599.9</v>
      </c>
      <c r="AK44" s="585">
        <f t="shared" si="35"/>
        <v>50716.700000000004</v>
      </c>
      <c r="AL44" s="570">
        <f>SUM(AL41:AL43)</f>
        <v>608846.12569999998</v>
      </c>
      <c r="AM44" s="570">
        <f t="shared" ref="AM44:AW44" si="36">SUM(AM41:AM43)</f>
        <v>543620.19458999997</v>
      </c>
      <c r="AN44" s="570">
        <f t="shared" si="36"/>
        <v>681814.02456000005</v>
      </c>
      <c r="AO44" s="570">
        <f t="shared" si="36"/>
        <v>110309.976</v>
      </c>
      <c r="AP44" s="570">
        <f t="shared" si="36"/>
        <v>1470592.4186999998</v>
      </c>
      <c r="AQ44" s="570">
        <f t="shared" si="36"/>
        <v>800808.07982999994</v>
      </c>
      <c r="AR44" s="570">
        <f t="shared" si="36"/>
        <v>788424.50618999987</v>
      </c>
      <c r="AS44" s="570">
        <f t="shared" si="36"/>
        <v>935262.42856000003</v>
      </c>
      <c r="AT44" s="570">
        <f t="shared" si="36"/>
        <v>612455.70939999993</v>
      </c>
      <c r="AU44" s="570">
        <f t="shared" si="36"/>
        <v>716311.36424000002</v>
      </c>
      <c r="AV44" s="570">
        <f t="shared" si="36"/>
        <v>641364.93606999994</v>
      </c>
      <c r="AW44" s="570">
        <f t="shared" si="36"/>
        <v>669329.43985999981</v>
      </c>
      <c r="AX44" s="571">
        <f>SUM(AL44:AW44)</f>
        <v>8579139.2037000004</v>
      </c>
      <c r="AY44" s="571"/>
      <c r="AZ44" s="571"/>
      <c r="BA44" s="571"/>
      <c r="BB44" s="571"/>
    </row>
    <row r="45" spans="1:55" x14ac:dyDescent="0.2">
      <c r="A45" s="1239"/>
      <c r="B45" s="579"/>
      <c r="C45" s="569"/>
      <c r="D45" s="574"/>
      <c r="E45" s="569"/>
      <c r="F45" s="569"/>
      <c r="G45" s="569">
        <f t="shared" si="13"/>
        <v>0</v>
      </c>
      <c r="H45" s="574"/>
      <c r="I45" s="569"/>
      <c r="J45" s="569"/>
      <c r="K45" s="569"/>
      <c r="L45" s="574"/>
      <c r="M45" s="569"/>
      <c r="N45" s="569"/>
      <c r="O45" s="569"/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85"/>
      <c r="AA45" s="585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70"/>
      <c r="AM45" s="570"/>
      <c r="AN45" s="570"/>
      <c r="AO45" s="570"/>
      <c r="AP45" s="570"/>
      <c r="AQ45" s="570"/>
      <c r="AR45" s="570"/>
      <c r="AS45" s="570"/>
      <c r="AT45" s="570"/>
      <c r="AU45" s="570"/>
      <c r="AV45" s="570"/>
      <c r="AW45" s="570"/>
      <c r="AX45" s="571"/>
      <c r="AY45" s="571"/>
      <c r="AZ45" s="571"/>
      <c r="BA45" s="571"/>
      <c r="BB45" s="571"/>
    </row>
    <row r="46" spans="1:55" x14ac:dyDescent="0.2">
      <c r="A46" s="1239"/>
      <c r="B46" s="1268" t="s">
        <v>689</v>
      </c>
      <c r="C46" s="577"/>
      <c r="D46" s="578">
        <f>SUM(Z46:AK46)</f>
        <v>0</v>
      </c>
      <c r="E46" s="577">
        <f>SUM(AL46:AW46)</f>
        <v>0</v>
      </c>
      <c r="F46" s="569"/>
      <c r="G46" s="569">
        <f t="shared" si="13"/>
        <v>0</v>
      </c>
      <c r="H46" s="574">
        <f>SUM(Z46:AB46,AJ46:AK46)</f>
        <v>0</v>
      </c>
      <c r="I46" s="569">
        <f>SUM(AL46:AN46,AV46:AW46)</f>
        <v>0</v>
      </c>
      <c r="J46" s="569"/>
      <c r="K46" s="569"/>
      <c r="L46" s="574"/>
      <c r="M46" s="569"/>
      <c r="N46" s="580"/>
      <c r="O46" s="580"/>
      <c r="P46" s="580"/>
      <c r="Q46" s="580"/>
      <c r="R46" s="580"/>
      <c r="S46" s="580"/>
      <c r="T46" s="580"/>
      <c r="U46" s="580"/>
      <c r="V46" s="580"/>
      <c r="W46" s="580"/>
      <c r="X46" s="580"/>
      <c r="Y46" s="580"/>
      <c r="Z46" s="1226"/>
      <c r="AA46" s="1226"/>
      <c r="AB46" s="1226"/>
      <c r="AC46" s="1226"/>
      <c r="AD46" s="1226"/>
      <c r="AE46" s="1226"/>
      <c r="AF46" s="1226"/>
      <c r="AG46" s="1226"/>
      <c r="AH46" s="1226"/>
      <c r="AI46" s="1226"/>
      <c r="AJ46" s="1226"/>
      <c r="AK46" s="1226"/>
      <c r="AL46" s="1269"/>
      <c r="AM46" s="1269"/>
      <c r="AN46" s="1269"/>
      <c r="AO46" s="1269"/>
      <c r="AP46" s="1269"/>
      <c r="AQ46" s="1269"/>
      <c r="AR46" s="1269"/>
      <c r="AS46" s="1269"/>
      <c r="AT46" s="1269"/>
      <c r="AU46" s="1269"/>
      <c r="AV46" s="1269"/>
      <c r="AW46" s="1269"/>
      <c r="AX46" s="571">
        <f>SUM(AL46:AW46)</f>
        <v>0</v>
      </c>
      <c r="AY46" s="571"/>
      <c r="AZ46" s="571"/>
      <c r="BA46" s="571"/>
      <c r="BB46" s="571"/>
    </row>
    <row r="47" spans="1:55" x14ac:dyDescent="0.2">
      <c r="A47" s="1239"/>
      <c r="B47" s="579"/>
      <c r="C47" s="569"/>
      <c r="D47" s="574"/>
      <c r="E47" s="569"/>
      <c r="F47" s="569"/>
      <c r="G47" s="569">
        <f t="shared" si="13"/>
        <v>0</v>
      </c>
      <c r="H47" s="574"/>
      <c r="I47" s="569"/>
      <c r="J47" s="569"/>
      <c r="K47" s="569"/>
      <c r="L47" s="574"/>
      <c r="M47" s="569"/>
      <c r="N47" s="580"/>
      <c r="O47" s="580"/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70"/>
      <c r="AM47" s="570"/>
      <c r="AN47" s="570"/>
      <c r="AO47" s="570"/>
      <c r="AP47" s="570"/>
      <c r="AQ47" s="570"/>
      <c r="AR47" s="570"/>
      <c r="AS47" s="570"/>
      <c r="AT47" s="570"/>
      <c r="AU47" s="570"/>
      <c r="AV47" s="570"/>
      <c r="AW47" s="570"/>
      <c r="AX47" s="571"/>
      <c r="AY47" s="571"/>
      <c r="AZ47" s="571"/>
      <c r="BA47" s="571"/>
      <c r="BB47" s="571"/>
    </row>
    <row r="48" spans="1:55" x14ac:dyDescent="0.2">
      <c r="A48" s="1239"/>
      <c r="B48" s="581" t="s">
        <v>696</v>
      </c>
      <c r="C48" s="569">
        <f>SUM(C41:C43)</f>
        <v>36</v>
      </c>
      <c r="D48" s="574">
        <f>SUM(Z48:AK48)</f>
        <v>1025424.5999999999</v>
      </c>
      <c r="E48" s="569">
        <f>SUM(AL48:AW48)</f>
        <v>8579139.2037000004</v>
      </c>
      <c r="F48" s="569"/>
      <c r="G48" s="569">
        <f>SUM(N48:Q48,X48:Y48)</f>
        <v>0</v>
      </c>
      <c r="H48" s="574">
        <f>SUM(Z48:AB48,AJ48:AK48)</f>
        <v>228002.4</v>
      </c>
      <c r="I48" s="569">
        <f>SUM(AL48:AN48,AV48:AW48)</f>
        <v>3144974.7207799996</v>
      </c>
      <c r="J48" s="569"/>
      <c r="K48" s="569">
        <f>SUM(Q48:W48)</f>
        <v>0</v>
      </c>
      <c r="L48" s="574">
        <f>SUM(AC48:AI48)</f>
        <v>797422.20000000007</v>
      </c>
      <c r="M48" s="569">
        <f>SUM(AO48:AU48)</f>
        <v>5434164.4829199994</v>
      </c>
      <c r="N48" s="580"/>
      <c r="O48" s="580"/>
      <c r="P48" s="580"/>
      <c r="Q48" s="580"/>
      <c r="R48" s="580"/>
      <c r="S48" s="580"/>
      <c r="T48" s="580"/>
      <c r="U48" s="580"/>
      <c r="V48" s="580"/>
      <c r="W48" s="580"/>
      <c r="X48" s="580"/>
      <c r="Y48" s="580"/>
      <c r="Z48" s="585">
        <f>+Z44+Z46</f>
        <v>39743</v>
      </c>
      <c r="AA48" s="585">
        <f t="shared" ref="AA48:AK48" si="37">+AA44+AA46</f>
        <v>34505.599999999999</v>
      </c>
      <c r="AB48" s="585">
        <f t="shared" si="37"/>
        <v>57437.2</v>
      </c>
      <c r="AC48" s="585">
        <f t="shared" si="37"/>
        <v>0</v>
      </c>
      <c r="AD48" s="585">
        <f t="shared" si="37"/>
        <v>181356</v>
      </c>
      <c r="AE48" s="585">
        <f t="shared" si="37"/>
        <v>138390.9</v>
      </c>
      <c r="AF48" s="585">
        <f t="shared" si="37"/>
        <v>178735.7</v>
      </c>
      <c r="AG48" s="585">
        <f t="shared" si="37"/>
        <v>153853.70000000001</v>
      </c>
      <c r="AH48" s="585">
        <f t="shared" si="37"/>
        <v>90204.6</v>
      </c>
      <c r="AI48" s="585">
        <f t="shared" si="37"/>
        <v>54881.3</v>
      </c>
      <c r="AJ48" s="585">
        <f t="shared" si="37"/>
        <v>45599.9</v>
      </c>
      <c r="AK48" s="585">
        <f t="shared" si="37"/>
        <v>50716.700000000004</v>
      </c>
      <c r="AL48" s="570">
        <f t="shared" ref="AL48:AW48" si="38">+AL44+AL46</f>
        <v>608846.12569999998</v>
      </c>
      <c r="AM48" s="570">
        <f t="shared" si="38"/>
        <v>543620.19458999997</v>
      </c>
      <c r="AN48" s="570">
        <f t="shared" si="38"/>
        <v>681814.02456000005</v>
      </c>
      <c r="AO48" s="570">
        <f t="shared" si="38"/>
        <v>110309.976</v>
      </c>
      <c r="AP48" s="570">
        <f t="shared" si="38"/>
        <v>1470592.4186999998</v>
      </c>
      <c r="AQ48" s="570">
        <f t="shared" si="38"/>
        <v>800808.07982999994</v>
      </c>
      <c r="AR48" s="570">
        <f t="shared" si="38"/>
        <v>788424.50618999987</v>
      </c>
      <c r="AS48" s="570">
        <f t="shared" si="38"/>
        <v>935262.42856000003</v>
      </c>
      <c r="AT48" s="570">
        <f t="shared" si="38"/>
        <v>612455.70939999993</v>
      </c>
      <c r="AU48" s="570">
        <f t="shared" si="38"/>
        <v>716311.36424000002</v>
      </c>
      <c r="AV48" s="570">
        <f t="shared" si="38"/>
        <v>641364.93606999994</v>
      </c>
      <c r="AW48" s="570">
        <f t="shared" si="38"/>
        <v>669329.43985999981</v>
      </c>
      <c r="AX48" s="571">
        <f>SUM(AL48:AW48)</f>
        <v>8579139.2037000004</v>
      </c>
      <c r="AY48" s="571"/>
      <c r="AZ48" s="571"/>
      <c r="BA48" s="571"/>
      <c r="BB48" s="571"/>
    </row>
    <row r="49" spans="1:54" x14ac:dyDescent="0.2">
      <c r="A49" s="1239"/>
      <c r="B49" s="581" t="s">
        <v>697</v>
      </c>
      <c r="C49" s="569"/>
      <c r="D49" s="574">
        <f>SUM(Z49:AK49)</f>
        <v>1025425</v>
      </c>
      <c r="E49" s="569">
        <f>SUM(AL49:AW49)</f>
        <v>8579139.1899999995</v>
      </c>
      <c r="F49" s="569"/>
      <c r="G49" s="569">
        <f>SUM(N49:Q49,X49:Y49)</f>
        <v>0</v>
      </c>
      <c r="H49" s="574">
        <f>SUM(Z49:AB49,AJ49:AK49)</f>
        <v>228002</v>
      </c>
      <c r="I49" s="569">
        <f>SUM(AL49:AN49,AV49:AW49)</f>
        <v>3144974.71</v>
      </c>
      <c r="J49" s="569"/>
      <c r="K49" s="569">
        <f>SUM(Q49:W49)</f>
        <v>0</v>
      </c>
      <c r="L49" s="574">
        <f>SUM(AC49:AI49)</f>
        <v>797423</v>
      </c>
      <c r="M49" s="569">
        <f>SUM(AO49:AU49)</f>
        <v>5434164.4799999995</v>
      </c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80"/>
      <c r="Y49" s="580"/>
      <c r="Z49" s="585">
        <v>39743</v>
      </c>
      <c r="AA49" s="585">
        <v>34506</v>
      </c>
      <c r="AB49" s="1270">
        <v>57437</v>
      </c>
      <c r="AC49" s="1270">
        <v>103151</v>
      </c>
      <c r="AD49" s="1270">
        <v>78206</v>
      </c>
      <c r="AE49" s="1270">
        <v>138391</v>
      </c>
      <c r="AF49" s="1270">
        <v>178736</v>
      </c>
      <c r="AG49" s="1270">
        <v>153854</v>
      </c>
      <c r="AH49" s="1270">
        <v>90204</v>
      </c>
      <c r="AI49" s="1270">
        <v>54881</v>
      </c>
      <c r="AJ49" s="1270">
        <v>45600</v>
      </c>
      <c r="AK49" s="1270">
        <v>50716</v>
      </c>
      <c r="AL49" s="570">
        <v>608846.12</v>
      </c>
      <c r="AM49" s="570">
        <v>543620.18999999994</v>
      </c>
      <c r="AN49" s="570">
        <v>681814.02</v>
      </c>
      <c r="AO49" s="570">
        <v>921573.04999999993</v>
      </c>
      <c r="AP49" s="570">
        <v>659329.32999999996</v>
      </c>
      <c r="AQ49" s="570">
        <v>800808.08000000007</v>
      </c>
      <c r="AR49" s="570">
        <v>788424.51</v>
      </c>
      <c r="AS49" s="570">
        <v>935262.42999999993</v>
      </c>
      <c r="AT49" s="570">
        <v>612455.71</v>
      </c>
      <c r="AU49" s="570">
        <v>716311.37</v>
      </c>
      <c r="AV49" s="570">
        <v>641364.94000000006</v>
      </c>
      <c r="AW49" s="570">
        <v>669329.43999999994</v>
      </c>
      <c r="AX49" s="582">
        <v>7795557</v>
      </c>
      <c r="AY49" s="571"/>
      <c r="AZ49" s="571"/>
      <c r="BA49" s="571"/>
      <c r="BB49" s="571"/>
    </row>
    <row r="50" spans="1:54" x14ac:dyDescent="0.2">
      <c r="A50" s="1239"/>
      <c r="C50" s="569"/>
      <c r="D50" s="574">
        <f>SUM(Z50:AK50)</f>
        <v>0.39999999997962732</v>
      </c>
      <c r="E50" s="569">
        <f>SUM(AL50:AW50)</f>
        <v>-1.3699999544769526E-2</v>
      </c>
      <c r="G50" s="569">
        <f>SUM(N50:Q50,X50:Y50)</f>
        <v>0</v>
      </c>
      <c r="H50" s="574">
        <f>SUM(Z50:AB50,AJ50:AK50)</f>
        <v>-0.40000000000145519</v>
      </c>
      <c r="I50" s="569">
        <f>SUM(AL50:AN50,AV50:AW50)</f>
        <v>-1.0779999778605998E-2</v>
      </c>
      <c r="J50" s="569"/>
      <c r="K50" s="569">
        <f>SUM(Q50:W50)</f>
        <v>0</v>
      </c>
      <c r="L50" s="574">
        <f>SUM(AC50:AI50)</f>
        <v>0.79999999997380655</v>
      </c>
      <c r="M50" s="569">
        <f>SUM(AO50:AU50)</f>
        <v>-2.919999766163528E-3</v>
      </c>
      <c r="Z50" s="585">
        <f>+Z49-Z48</f>
        <v>0</v>
      </c>
      <c r="AA50" s="585">
        <f t="shared" ref="AA50:AK50" si="39">+AA49-AA44</f>
        <v>0.40000000000145519</v>
      </c>
      <c r="AB50" s="585">
        <f t="shared" si="39"/>
        <v>-0.19999999999708962</v>
      </c>
      <c r="AC50" s="585">
        <f t="shared" si="39"/>
        <v>103151</v>
      </c>
      <c r="AD50" s="585">
        <f t="shared" si="39"/>
        <v>-103150</v>
      </c>
      <c r="AE50" s="585">
        <f t="shared" si="39"/>
        <v>0.10000000000582077</v>
      </c>
      <c r="AF50" s="585">
        <f t="shared" si="39"/>
        <v>0.29999999998835847</v>
      </c>
      <c r="AG50" s="585">
        <f t="shared" si="39"/>
        <v>0.29999999998835847</v>
      </c>
      <c r="AH50" s="585">
        <f t="shared" si="39"/>
        <v>-0.60000000000582077</v>
      </c>
      <c r="AI50" s="585">
        <f t="shared" si="39"/>
        <v>-0.30000000000291038</v>
      </c>
      <c r="AJ50" s="585">
        <f t="shared" si="39"/>
        <v>9.9999999998544808E-2</v>
      </c>
      <c r="AK50" s="585">
        <f t="shared" si="39"/>
        <v>-0.70000000000436557</v>
      </c>
      <c r="AL50" s="585">
        <f>+AL49-AL48</f>
        <v>-5.6999999796971679E-3</v>
      </c>
      <c r="AM50" s="585">
        <f t="shared" ref="AM50:AW50" si="40">+AM49-AM48</f>
        <v>-4.5900000259280205E-3</v>
      </c>
      <c r="AN50" s="585">
        <f t="shared" si="40"/>
        <v>-4.560000030323863E-3</v>
      </c>
      <c r="AO50" s="585">
        <f t="shared" si="40"/>
        <v>811263.07399999991</v>
      </c>
      <c r="AP50" s="585">
        <f t="shared" si="40"/>
        <v>-811263.08869999985</v>
      </c>
      <c r="AQ50" s="585">
        <f t="shared" si="40"/>
        <v>1.7000013031065464E-4</v>
      </c>
      <c r="AR50" s="585">
        <f t="shared" si="40"/>
        <v>3.8100001402199268E-3</v>
      </c>
      <c r="AS50" s="585">
        <f t="shared" si="40"/>
        <v>1.4399999054148793E-3</v>
      </c>
      <c r="AT50" s="585">
        <f t="shared" si="40"/>
        <v>6.0000002849847078E-4</v>
      </c>
      <c r="AU50" s="585">
        <f t="shared" si="40"/>
        <v>5.7599999709054828E-3</v>
      </c>
      <c r="AV50" s="585">
        <f t="shared" si="40"/>
        <v>3.9300001226365566E-3</v>
      </c>
      <c r="AW50" s="585">
        <f t="shared" si="40"/>
        <v>1.4000013470649719E-4</v>
      </c>
      <c r="AX50" s="571">
        <f>SUM(AL50:AW50)</f>
        <v>-1.3699999544769526E-2</v>
      </c>
    </row>
    <row r="51" spans="1:54" x14ac:dyDescent="0.2">
      <c r="A51" s="1239"/>
      <c r="B51" s="1232" t="s">
        <v>698</v>
      </c>
      <c r="C51" s="1233"/>
      <c r="D51" s="1234"/>
      <c r="E51" s="1233"/>
      <c r="F51" s="1233"/>
      <c r="G51" s="1234"/>
      <c r="H51" s="1234"/>
      <c r="I51" s="1233"/>
      <c r="J51" s="1233"/>
      <c r="K51" s="1233"/>
      <c r="L51" s="1234"/>
      <c r="M51" s="1233"/>
      <c r="AE51" s="584"/>
      <c r="AF51" s="584"/>
      <c r="AG51" s="572"/>
      <c r="AH51" s="572"/>
      <c r="AI51" s="572"/>
      <c r="AL51" s="1216"/>
      <c r="AV51" s="1219"/>
      <c r="AW51" s="1219"/>
    </row>
    <row r="52" spans="1:54" x14ac:dyDescent="0.2">
      <c r="A52" s="1239" t="s">
        <v>63</v>
      </c>
      <c r="B52" s="1282" t="s">
        <v>699</v>
      </c>
      <c r="C52" s="569">
        <f t="shared" ref="C52:C67" si="41">SUM(N52:Y52)</f>
        <v>7</v>
      </c>
      <c r="D52" s="574">
        <f t="shared" ref="D52:D64" si="42">SUM(Z52:AK52)</f>
        <v>0</v>
      </c>
      <c r="E52" s="569">
        <f>SUM(AL52:AW52)</f>
        <v>1071</v>
      </c>
      <c r="F52" s="569"/>
      <c r="G52" s="569">
        <f>SUM(N52:P52,X52:Y52)</f>
        <v>0</v>
      </c>
      <c r="H52" s="574">
        <f>SUM(Z52:AB52,AJ52:AK52)</f>
        <v>0</v>
      </c>
      <c r="I52" s="569">
        <f>SUM(AL52:AN52,AV52:AW52)</f>
        <v>0</v>
      </c>
      <c r="J52" s="569"/>
      <c r="K52" s="569">
        <f>SUM(Q52:W52)</f>
        <v>7</v>
      </c>
      <c r="L52" s="574">
        <f>SUM(AC52:AI52)</f>
        <v>0</v>
      </c>
      <c r="M52" s="569">
        <f>SUM(AO52:AU52)</f>
        <v>1071</v>
      </c>
      <c r="N52" s="585">
        <f>+'Apr11-Mar12 FT-TS-Cashout-LG&amp;E'!H132</f>
        <v>0</v>
      </c>
      <c r="O52" s="585">
        <f>+'Apr11-Mar12 FT-TS-Cashout-LG&amp;E'!I132</f>
        <v>0</v>
      </c>
      <c r="P52" s="585">
        <f>+'Apr11-Mar12 FT-TS-Cashout-LG&amp;E'!J132</f>
        <v>0</v>
      </c>
      <c r="Q52" s="585">
        <f>+'Apr11-Mar12 FT-TS-Cashout-LG&amp;E'!K132</f>
        <v>1</v>
      </c>
      <c r="R52" s="585">
        <f>+'Apr11-Mar12 FT-TS-Cashout-LG&amp;E'!L132</f>
        <v>1</v>
      </c>
      <c r="S52" s="585">
        <f>+'Apr11-Mar12 FT-TS-Cashout-LG&amp;E'!M132</f>
        <v>1</v>
      </c>
      <c r="T52" s="585">
        <f>+'Apr11-Mar12 FT-TS-Cashout-LG&amp;E'!N132</f>
        <v>2</v>
      </c>
      <c r="U52" s="585">
        <f>+'Apr11-Mar12 FT-TS-Cashout-LG&amp;E'!O132</f>
        <v>0</v>
      </c>
      <c r="V52" s="585">
        <f>+'Apr11-Mar12 FT-TS-Cashout-LG&amp;E'!P132</f>
        <v>1</v>
      </c>
      <c r="W52" s="585">
        <f>+'Apr11-Mar12 FT-TS-Cashout-LG&amp;E'!Q132</f>
        <v>1</v>
      </c>
      <c r="X52" s="585">
        <f>+'Apr11-Mar12 FT-TS-Cashout-LG&amp;E'!R132</f>
        <v>0</v>
      </c>
      <c r="Y52" s="585">
        <f>+'Apr11-Mar12 FT-TS-Cashout-LG&amp;E'!S132</f>
        <v>0</v>
      </c>
      <c r="Z52" s="583">
        <f>+'Apr11-Mar12 FT-TS-Cashout-LG&amp;E'!H135</f>
        <v>0</v>
      </c>
      <c r="AA52" s="583">
        <f>+'Apr11-Mar12 FT-TS-Cashout-LG&amp;E'!I135</f>
        <v>0</v>
      </c>
      <c r="AB52" s="583">
        <f>+'Apr11-Mar12 FT-TS-Cashout-LG&amp;E'!J135</f>
        <v>0</v>
      </c>
      <c r="AC52" s="583">
        <f>+'Apr11-Mar12 FT-TS-Cashout-LG&amp;E'!K135</f>
        <v>0</v>
      </c>
      <c r="AD52" s="583">
        <f>+'Apr11-Mar12 FT-TS-Cashout-LG&amp;E'!L135</f>
        <v>0</v>
      </c>
      <c r="AE52" s="583">
        <f>+'Apr11-Mar12 FT-TS-Cashout-LG&amp;E'!M135</f>
        <v>0</v>
      </c>
      <c r="AF52" s="583">
        <f>+'Apr11-Mar12 FT-TS-Cashout-LG&amp;E'!N135</f>
        <v>0</v>
      </c>
      <c r="AG52" s="583">
        <f>+'Apr11-Mar12 FT-TS-Cashout-LG&amp;E'!O135</f>
        <v>0</v>
      </c>
      <c r="AH52" s="583">
        <f>+'Apr11-Mar12 FT-TS-Cashout-LG&amp;E'!P135</f>
        <v>0</v>
      </c>
      <c r="AI52" s="583">
        <f>+'Apr11-Mar12 FT-TS-Cashout-LG&amp;E'!Q135</f>
        <v>0</v>
      </c>
      <c r="AJ52" s="583">
        <f>+'Apr11-Mar12 FT-TS-Cashout-LG&amp;E'!R135</f>
        <v>0</v>
      </c>
      <c r="AK52" s="583">
        <f>+'Apr11-Mar12 FT-TS-Cashout-LG&amp;E'!S135</f>
        <v>0</v>
      </c>
      <c r="AL52" s="1273">
        <f>+'Apr11-Mar12 FT-TS-Cashout-LG&amp;E'!H150</f>
        <v>0</v>
      </c>
      <c r="AM52" s="1273">
        <f>+'Apr11-Mar12 FT-TS-Cashout-LG&amp;E'!I150</f>
        <v>0</v>
      </c>
      <c r="AN52" s="1273">
        <f>+'Apr11-Mar12 FT-TS-Cashout-LG&amp;E'!J150</f>
        <v>0</v>
      </c>
      <c r="AO52" s="1273">
        <f>+'Apr11-Mar12 FT-TS-Cashout-LG&amp;E'!K150</f>
        <v>153</v>
      </c>
      <c r="AP52" s="1273">
        <f>+'Apr11-Mar12 FT-TS-Cashout-LG&amp;E'!L150</f>
        <v>153</v>
      </c>
      <c r="AQ52" s="1273">
        <f>+'Apr11-Mar12 FT-TS-Cashout-LG&amp;E'!M150</f>
        <v>153</v>
      </c>
      <c r="AR52" s="1273">
        <f>+'Apr11-Mar12 FT-TS-Cashout-LG&amp;E'!N150</f>
        <v>306</v>
      </c>
      <c r="AS52" s="1273">
        <f>+'Apr11-Mar12 FT-TS-Cashout-LG&amp;E'!O150</f>
        <v>0</v>
      </c>
      <c r="AT52" s="1273">
        <f>+'Apr11-Mar12 FT-TS-Cashout-LG&amp;E'!P150</f>
        <v>153</v>
      </c>
      <c r="AU52" s="1273">
        <f>+'Apr11-Mar12 FT-TS-Cashout-LG&amp;E'!Q150</f>
        <v>153</v>
      </c>
      <c r="AV52" s="1273">
        <f>+'Apr11-Mar12 FT-TS-Cashout-LG&amp;E'!R150</f>
        <v>0</v>
      </c>
      <c r="AW52" s="1273">
        <f>+'Apr11-Mar12 FT-TS-Cashout-LG&amp;E'!S150</f>
        <v>0</v>
      </c>
      <c r="AX52" s="571">
        <f t="shared" ref="AX52:AX70" si="43">SUM(AL52:AW52)</f>
        <v>1071</v>
      </c>
    </row>
    <row r="53" spans="1:54" x14ac:dyDescent="0.2">
      <c r="A53" s="1239" t="s">
        <v>66</v>
      </c>
      <c r="B53" s="1282" t="s">
        <v>700</v>
      </c>
      <c r="C53" s="569">
        <f t="shared" si="41"/>
        <v>24</v>
      </c>
      <c r="D53" s="574">
        <f t="shared" si="42"/>
        <v>49413</v>
      </c>
      <c r="E53" s="569">
        <f>SUM(AL53:AW53)</f>
        <v>127383.83</v>
      </c>
      <c r="F53" s="569"/>
      <c r="G53" s="569">
        <f>SUM(N53:P53,X53:Y53)</f>
        <v>10</v>
      </c>
      <c r="H53" s="574">
        <f>SUM(Z53:AB53,AJ53:AK53)</f>
        <v>21314.5</v>
      </c>
      <c r="I53" s="569">
        <f>SUM(AL53:AN53,AV53:AW53)</f>
        <v>60152.869999999995</v>
      </c>
      <c r="J53" s="569"/>
      <c r="K53" s="569">
        <f>SUM(Q53:W53)</f>
        <v>14</v>
      </c>
      <c r="L53" s="574">
        <f>SUM(AC53:AI53)</f>
        <v>28098.5</v>
      </c>
      <c r="M53" s="569">
        <f>SUM(AO53:AU53)</f>
        <v>67230.959999999992</v>
      </c>
      <c r="N53" s="585">
        <f>+'Apr11-Mar12 FT-TS-Cashout-LG&amp;E'!H159</f>
        <v>2</v>
      </c>
      <c r="O53" s="585">
        <f>+'Apr11-Mar12 FT-TS-Cashout-LG&amp;E'!I159</f>
        <v>2</v>
      </c>
      <c r="P53" s="585">
        <f>+'Apr11-Mar12 FT-TS-Cashout-LG&amp;E'!J159</f>
        <v>2</v>
      </c>
      <c r="Q53" s="585">
        <f>+'Apr11-Mar12 FT-TS-Cashout-LG&amp;E'!K159</f>
        <v>2</v>
      </c>
      <c r="R53" s="585">
        <f>+'Apr11-Mar12 FT-TS-Cashout-LG&amp;E'!L159</f>
        <v>2</v>
      </c>
      <c r="S53" s="585">
        <f>+'Apr11-Mar12 FT-TS-Cashout-LG&amp;E'!M159</f>
        <v>2</v>
      </c>
      <c r="T53" s="585">
        <f>+'Apr11-Mar12 FT-TS-Cashout-LG&amp;E'!N159</f>
        <v>2</v>
      </c>
      <c r="U53" s="585">
        <f>+'Apr11-Mar12 FT-TS-Cashout-LG&amp;E'!O159</f>
        <v>2</v>
      </c>
      <c r="V53" s="585">
        <f>+'Apr11-Mar12 FT-TS-Cashout-LG&amp;E'!P159</f>
        <v>2</v>
      </c>
      <c r="W53" s="585">
        <f>+'Apr11-Mar12 FT-TS-Cashout-LG&amp;E'!Q159</f>
        <v>2</v>
      </c>
      <c r="X53" s="585">
        <f>+'Apr11-Mar12 FT-TS-Cashout-LG&amp;E'!R159</f>
        <v>2</v>
      </c>
      <c r="Y53" s="585">
        <f>+'Apr11-Mar12 FT-TS-Cashout-LG&amp;E'!S159</f>
        <v>2</v>
      </c>
      <c r="Z53" s="583">
        <f>+'Apr11-Mar12 FT-TS-Cashout-LG&amp;E'!H162</f>
        <v>2302</v>
      </c>
      <c r="AA53" s="583">
        <f>+'Apr11-Mar12 FT-TS-Cashout-LG&amp;E'!I162</f>
        <v>3728.3</v>
      </c>
      <c r="AB53" s="583">
        <f>+'Apr11-Mar12 FT-TS-Cashout-LG&amp;E'!J162</f>
        <v>5635</v>
      </c>
      <c r="AC53" s="583">
        <f>+'Apr11-Mar12 FT-TS-Cashout-LG&amp;E'!K162</f>
        <v>2291.1999999999998</v>
      </c>
      <c r="AD53" s="583">
        <f>+'Apr11-Mar12 FT-TS-Cashout-LG&amp;E'!L162</f>
        <v>1861.7</v>
      </c>
      <c r="AE53" s="583">
        <f>+'Apr11-Mar12 FT-TS-Cashout-LG&amp;E'!M162</f>
        <v>5942.3</v>
      </c>
      <c r="AF53" s="583">
        <f>+'Apr11-Mar12 FT-TS-Cashout-LG&amp;E'!N162</f>
        <v>5418.2</v>
      </c>
      <c r="AG53" s="583">
        <f>+'Apr11-Mar12 FT-TS-Cashout-LG&amp;E'!O162</f>
        <v>3492.8</v>
      </c>
      <c r="AH53" s="583">
        <f>+'Apr11-Mar12 FT-TS-Cashout-LG&amp;E'!P162</f>
        <v>4489.3</v>
      </c>
      <c r="AI53" s="583">
        <f>+'Apr11-Mar12 FT-TS-Cashout-LG&amp;E'!Q162</f>
        <v>4603</v>
      </c>
      <c r="AJ53" s="583">
        <f>+'Apr11-Mar12 FT-TS-Cashout-LG&amp;E'!R162</f>
        <v>6032</v>
      </c>
      <c r="AK53" s="583">
        <f>+'Apr11-Mar12 FT-TS-Cashout-LG&amp;E'!S162</f>
        <v>3617.2</v>
      </c>
      <c r="AL53" s="1273">
        <f>+'Apr11-Mar12 FT-TS-Cashout-LG&amp;E'!H175</f>
        <v>6578.72</v>
      </c>
      <c r="AM53" s="1273">
        <f>+'Apr11-Mar12 FT-TS-Cashout-LG&amp;E'!I175</f>
        <v>10762.81</v>
      </c>
      <c r="AN53" s="1273">
        <f>+'Apr11-Mar12 FT-TS-Cashout-LG&amp;E'!J175</f>
        <v>15849.029999999999</v>
      </c>
      <c r="AO53" s="1273">
        <f>+'Apr11-Mar12 FT-TS-Cashout-LG&amp;E'!K175</f>
        <v>5444.9500000000007</v>
      </c>
      <c r="AP53" s="1273">
        <f>+'Apr11-Mar12 FT-TS-Cashout-LG&amp;E'!L175</f>
        <v>4858.03</v>
      </c>
      <c r="AQ53" s="1273">
        <f>+'Apr11-Mar12 FT-TS-Cashout-LG&amp;E'!M175</f>
        <v>14223.53</v>
      </c>
      <c r="AR53" s="1273">
        <f>+'Apr11-Mar12 FT-TS-Cashout-LG&amp;E'!N175</f>
        <v>12783.88</v>
      </c>
      <c r="AS53" s="1273">
        <f>+'Apr11-Mar12 FT-TS-Cashout-LG&amp;E'!O175</f>
        <v>8373.57</v>
      </c>
      <c r="AT53" s="1273">
        <f>+'Apr11-Mar12 FT-TS-Cashout-LG&amp;E'!P175</f>
        <v>10643.849999999999</v>
      </c>
      <c r="AU53" s="1273">
        <f>+'Apr11-Mar12 FT-TS-Cashout-LG&amp;E'!Q175</f>
        <v>10903.15</v>
      </c>
      <c r="AV53" s="1273">
        <f>+'Apr11-Mar12 FT-TS-Cashout-LG&amp;E'!R175</f>
        <v>16799.79</v>
      </c>
      <c r="AW53" s="1273">
        <f>+'Apr11-Mar12 FT-TS-Cashout-LG&amp;E'!S175</f>
        <v>10162.52</v>
      </c>
      <c r="AX53" s="571">
        <f t="shared" si="43"/>
        <v>127383.83</v>
      </c>
    </row>
    <row r="54" spans="1:54" x14ac:dyDescent="0.2">
      <c r="A54" s="1239" t="s">
        <v>142</v>
      </c>
      <c r="B54" s="1282" t="s">
        <v>887</v>
      </c>
      <c r="C54" s="569">
        <f t="shared" si="41"/>
        <v>0</v>
      </c>
      <c r="D54" s="574">
        <f t="shared" si="42"/>
        <v>0</v>
      </c>
      <c r="E54" s="569">
        <f>SUM(AL54:AW54)</f>
        <v>0</v>
      </c>
      <c r="F54" s="569"/>
      <c r="G54" s="569">
        <f>SUM(N54:P54,X54:Y54)</f>
        <v>0</v>
      </c>
      <c r="H54" s="574">
        <f>SUM(Z54:AB54,AJ54:AK54)</f>
        <v>0</v>
      </c>
      <c r="I54" s="569">
        <f>SUM(AL54:AN54,AV54:AW54)</f>
        <v>0</v>
      </c>
      <c r="J54" s="569"/>
      <c r="K54" s="569">
        <f>SUM(Q54:W54)</f>
        <v>0</v>
      </c>
      <c r="L54" s="574">
        <f>SUM(AC54:AI54)</f>
        <v>0</v>
      </c>
      <c r="M54" s="569">
        <f>SUM(AO54:AU54)</f>
        <v>0</v>
      </c>
      <c r="N54" s="585">
        <v>0</v>
      </c>
      <c r="O54" s="585">
        <v>0</v>
      </c>
      <c r="P54" s="585">
        <v>0</v>
      </c>
      <c r="Q54" s="585">
        <v>0</v>
      </c>
      <c r="R54" s="585">
        <v>0</v>
      </c>
      <c r="S54" s="585">
        <v>0</v>
      </c>
      <c r="T54" s="585">
        <v>0</v>
      </c>
      <c r="U54" s="585">
        <v>0</v>
      </c>
      <c r="V54" s="585">
        <v>0</v>
      </c>
      <c r="W54" s="585">
        <v>0</v>
      </c>
      <c r="X54" s="585">
        <v>0</v>
      </c>
      <c r="Y54" s="585">
        <v>0</v>
      </c>
      <c r="Z54" s="583">
        <v>0</v>
      </c>
      <c r="AA54" s="583">
        <v>0</v>
      </c>
      <c r="AB54" s="583">
        <v>0</v>
      </c>
      <c r="AC54" s="583">
        <v>0</v>
      </c>
      <c r="AD54" s="583">
        <v>0</v>
      </c>
      <c r="AE54" s="583">
        <v>0</v>
      </c>
      <c r="AF54" s="583">
        <v>0</v>
      </c>
      <c r="AG54" s="583">
        <v>0</v>
      </c>
      <c r="AH54" s="583">
        <v>0</v>
      </c>
      <c r="AI54" s="583">
        <v>0</v>
      </c>
      <c r="AJ54" s="583">
        <v>0</v>
      </c>
      <c r="AK54" s="583">
        <v>0</v>
      </c>
      <c r="AL54" s="1273">
        <v>0</v>
      </c>
      <c r="AM54" s="1273">
        <v>0</v>
      </c>
      <c r="AN54" s="1273">
        <v>0</v>
      </c>
      <c r="AO54" s="1273">
        <v>0</v>
      </c>
      <c r="AP54" s="1273">
        <v>0</v>
      </c>
      <c r="AQ54" s="1273">
        <v>0</v>
      </c>
      <c r="AR54" s="1273">
        <v>0</v>
      </c>
      <c r="AS54" s="1273">
        <v>0</v>
      </c>
      <c r="AT54" s="1273">
        <v>0</v>
      </c>
      <c r="AU54" s="1273">
        <v>0</v>
      </c>
      <c r="AV54" s="1273">
        <v>0</v>
      </c>
      <c r="AW54" s="1273">
        <v>0</v>
      </c>
      <c r="AX54" s="571">
        <f t="shared" si="43"/>
        <v>0</v>
      </c>
    </row>
    <row r="55" spans="1:54" x14ac:dyDescent="0.2">
      <c r="A55" s="1239" t="s">
        <v>164</v>
      </c>
      <c r="B55" s="1282" t="s">
        <v>888</v>
      </c>
      <c r="C55" s="577">
        <f t="shared" si="41"/>
        <v>0</v>
      </c>
      <c r="D55" s="578">
        <f t="shared" si="42"/>
        <v>0</v>
      </c>
      <c r="E55" s="577">
        <f>SUM(AL55:AW55)</f>
        <v>0</v>
      </c>
      <c r="F55" s="569"/>
      <c r="G55" s="577">
        <f>SUM(N55:P55,X55:Y55)</f>
        <v>0</v>
      </c>
      <c r="H55" s="578">
        <f>SUM(Z55:AB55,AJ55:AK55)</f>
        <v>0</v>
      </c>
      <c r="I55" s="577">
        <f>SUM(AL55:AN55,AV55:AW55)</f>
        <v>0</v>
      </c>
      <c r="J55" s="569"/>
      <c r="K55" s="577">
        <f>SUM(Q55:W55)</f>
        <v>0</v>
      </c>
      <c r="L55" s="578">
        <f>SUM(AC55:AI55)</f>
        <v>0</v>
      </c>
      <c r="M55" s="577">
        <f>SUM(AO55:AU55)</f>
        <v>0</v>
      </c>
      <c r="N55" s="1226">
        <v>0</v>
      </c>
      <c r="O55" s="1226">
        <v>0</v>
      </c>
      <c r="P55" s="1226">
        <v>0</v>
      </c>
      <c r="Q55" s="1226">
        <v>0</v>
      </c>
      <c r="R55" s="1226">
        <v>0</v>
      </c>
      <c r="S55" s="1226">
        <v>0</v>
      </c>
      <c r="T55" s="1226">
        <v>0</v>
      </c>
      <c r="U55" s="1226">
        <v>0</v>
      </c>
      <c r="V55" s="1226">
        <v>0</v>
      </c>
      <c r="W55" s="1226">
        <v>0</v>
      </c>
      <c r="X55" s="1226">
        <v>0</v>
      </c>
      <c r="Y55" s="1226">
        <v>0</v>
      </c>
      <c r="Z55" s="586">
        <v>0</v>
      </c>
      <c r="AA55" s="586">
        <v>0</v>
      </c>
      <c r="AB55" s="586">
        <v>0</v>
      </c>
      <c r="AC55" s="586">
        <v>0</v>
      </c>
      <c r="AD55" s="586">
        <v>0</v>
      </c>
      <c r="AE55" s="586">
        <v>0</v>
      </c>
      <c r="AF55" s="586">
        <v>0</v>
      </c>
      <c r="AG55" s="586">
        <v>0</v>
      </c>
      <c r="AH55" s="586">
        <v>0</v>
      </c>
      <c r="AI55" s="586">
        <v>0</v>
      </c>
      <c r="AJ55" s="586">
        <v>0</v>
      </c>
      <c r="AK55" s="586">
        <v>0</v>
      </c>
      <c r="AL55" s="587">
        <v>0</v>
      </c>
      <c r="AM55" s="587">
        <v>0</v>
      </c>
      <c r="AN55" s="587">
        <v>0</v>
      </c>
      <c r="AO55" s="587">
        <v>0</v>
      </c>
      <c r="AP55" s="587">
        <v>0</v>
      </c>
      <c r="AQ55" s="587">
        <v>0</v>
      </c>
      <c r="AR55" s="587">
        <v>0</v>
      </c>
      <c r="AS55" s="587">
        <v>0</v>
      </c>
      <c r="AT55" s="587">
        <v>0</v>
      </c>
      <c r="AU55" s="587">
        <v>0</v>
      </c>
      <c r="AV55" s="587">
        <v>0</v>
      </c>
      <c r="AW55" s="587">
        <v>0</v>
      </c>
      <c r="AX55" s="571">
        <f t="shared" si="43"/>
        <v>0</v>
      </c>
    </row>
    <row r="56" spans="1:54" x14ac:dyDescent="0.2">
      <c r="A56" s="1239"/>
      <c r="B56" s="1282" t="s">
        <v>701</v>
      </c>
      <c r="C56" s="569">
        <f>SUM(N56:Y56)</f>
        <v>31</v>
      </c>
      <c r="D56" s="574">
        <f>SUM(Z56:AK56)</f>
        <v>49413</v>
      </c>
      <c r="E56" s="569">
        <f>SUM(AL56:AW56)</f>
        <v>128454.83</v>
      </c>
      <c r="F56" s="569"/>
      <c r="G56" s="569">
        <f>SUM(N56:P56,X56:Y56)</f>
        <v>10</v>
      </c>
      <c r="H56" s="574">
        <f>SUM(Z56:AB56,AJ56:AK56)</f>
        <v>21314.5</v>
      </c>
      <c r="I56" s="569">
        <f>SUM(AL56:AN56,AV56:AW56)</f>
        <v>60152.869999999995</v>
      </c>
      <c r="J56" s="569"/>
      <c r="K56" s="569">
        <f>SUM(Q56:W56)</f>
        <v>21</v>
      </c>
      <c r="L56" s="574">
        <f>SUM(AC56:AI56)</f>
        <v>28098.5</v>
      </c>
      <c r="M56" s="569">
        <f>SUM(AO56:AU56)</f>
        <v>68301.959999999992</v>
      </c>
      <c r="N56" s="585">
        <f>SUM(N52:N55)</f>
        <v>2</v>
      </c>
      <c r="O56" s="585">
        <f t="shared" ref="O56:AW56" si="44">SUM(O52:O55)</f>
        <v>2</v>
      </c>
      <c r="P56" s="585">
        <f t="shared" si="44"/>
        <v>2</v>
      </c>
      <c r="Q56" s="585">
        <f t="shared" si="44"/>
        <v>3</v>
      </c>
      <c r="R56" s="585">
        <f t="shared" si="44"/>
        <v>3</v>
      </c>
      <c r="S56" s="585">
        <f t="shared" si="44"/>
        <v>3</v>
      </c>
      <c r="T56" s="585">
        <f t="shared" si="44"/>
        <v>4</v>
      </c>
      <c r="U56" s="585">
        <f t="shared" si="44"/>
        <v>2</v>
      </c>
      <c r="V56" s="585">
        <f t="shared" si="44"/>
        <v>3</v>
      </c>
      <c r="W56" s="585">
        <f t="shared" si="44"/>
        <v>3</v>
      </c>
      <c r="X56" s="585">
        <f t="shared" si="44"/>
        <v>2</v>
      </c>
      <c r="Y56" s="585">
        <f t="shared" si="44"/>
        <v>2</v>
      </c>
      <c r="Z56" s="583">
        <f t="shared" si="44"/>
        <v>2302</v>
      </c>
      <c r="AA56" s="583">
        <f t="shared" si="44"/>
        <v>3728.3</v>
      </c>
      <c r="AB56" s="583">
        <f t="shared" si="44"/>
        <v>5635</v>
      </c>
      <c r="AC56" s="583">
        <f t="shared" si="44"/>
        <v>2291.1999999999998</v>
      </c>
      <c r="AD56" s="583">
        <f t="shared" si="44"/>
        <v>1861.7</v>
      </c>
      <c r="AE56" s="583">
        <f t="shared" si="44"/>
        <v>5942.3</v>
      </c>
      <c r="AF56" s="583">
        <f t="shared" si="44"/>
        <v>5418.2</v>
      </c>
      <c r="AG56" s="583">
        <f t="shared" si="44"/>
        <v>3492.8</v>
      </c>
      <c r="AH56" s="583">
        <f t="shared" si="44"/>
        <v>4489.3</v>
      </c>
      <c r="AI56" s="583">
        <f t="shared" si="44"/>
        <v>4603</v>
      </c>
      <c r="AJ56" s="583">
        <f t="shared" si="44"/>
        <v>6032</v>
      </c>
      <c r="AK56" s="583">
        <f t="shared" si="44"/>
        <v>3617.2</v>
      </c>
      <c r="AL56" s="1273">
        <f t="shared" si="44"/>
        <v>6578.72</v>
      </c>
      <c r="AM56" s="1273">
        <f t="shared" si="44"/>
        <v>10762.81</v>
      </c>
      <c r="AN56" s="1273">
        <f t="shared" si="44"/>
        <v>15849.029999999999</v>
      </c>
      <c r="AO56" s="1273">
        <f t="shared" si="44"/>
        <v>5597.9500000000007</v>
      </c>
      <c r="AP56" s="1273">
        <f t="shared" si="44"/>
        <v>5011.03</v>
      </c>
      <c r="AQ56" s="1273">
        <f t="shared" si="44"/>
        <v>14376.53</v>
      </c>
      <c r="AR56" s="1273">
        <f t="shared" si="44"/>
        <v>13089.88</v>
      </c>
      <c r="AS56" s="1273">
        <f t="shared" si="44"/>
        <v>8373.57</v>
      </c>
      <c r="AT56" s="1273">
        <f t="shared" si="44"/>
        <v>10796.849999999999</v>
      </c>
      <c r="AU56" s="1273">
        <f t="shared" si="44"/>
        <v>11056.15</v>
      </c>
      <c r="AV56" s="1273">
        <f t="shared" si="44"/>
        <v>16799.79</v>
      </c>
      <c r="AW56" s="1273">
        <f t="shared" si="44"/>
        <v>10162.52</v>
      </c>
      <c r="AX56" s="571">
        <f t="shared" si="43"/>
        <v>128454.83</v>
      </c>
    </row>
    <row r="57" spans="1:54" x14ac:dyDescent="0.2">
      <c r="A57" s="1239"/>
      <c r="B57" s="1282"/>
      <c r="C57" s="569"/>
      <c r="D57" s="574"/>
      <c r="E57" s="569"/>
      <c r="F57" s="569"/>
      <c r="G57" s="569"/>
      <c r="H57" s="574"/>
      <c r="I57" s="569"/>
      <c r="J57" s="569"/>
      <c r="K57" s="569"/>
      <c r="L57" s="574"/>
      <c r="M57" s="569"/>
      <c r="AM57" s="585"/>
      <c r="AO57" s="585"/>
      <c r="AP57" s="585"/>
      <c r="AQ57" s="585"/>
      <c r="AR57" s="585"/>
      <c r="AS57" s="585"/>
      <c r="AT57" s="585"/>
      <c r="AU57" s="585"/>
      <c r="AV57" s="585"/>
      <c r="AW57" s="585"/>
      <c r="AX57" s="571"/>
    </row>
    <row r="58" spans="1:54" x14ac:dyDescent="0.2">
      <c r="A58" s="1080" t="s">
        <v>97</v>
      </c>
      <c r="B58" s="1282" t="s">
        <v>702</v>
      </c>
      <c r="C58" s="569">
        <f t="shared" si="41"/>
        <v>144</v>
      </c>
      <c r="D58" s="574">
        <f t="shared" si="42"/>
        <v>709654.79999999993</v>
      </c>
      <c r="E58" s="569">
        <f>SUM(AL58:AW58)</f>
        <v>347225.77999999997</v>
      </c>
      <c r="F58" s="569"/>
      <c r="G58" s="569">
        <f>SUM(N58:P58,X58:Y58)</f>
        <v>60</v>
      </c>
      <c r="H58" s="574">
        <f>SUM(Z58:AB58,AJ58:AK58)</f>
        <v>362895.30000000005</v>
      </c>
      <c r="I58" s="569">
        <f>SUM(AL58:AN58,AV58:AW58)</f>
        <v>175006.95</v>
      </c>
      <c r="J58" s="569"/>
      <c r="K58" s="569">
        <f>SUM(Q58:W58)</f>
        <v>84</v>
      </c>
      <c r="L58" s="574">
        <f>SUM(AC58:AI58)</f>
        <v>346759.5</v>
      </c>
      <c r="M58" s="569">
        <f>SUM(AO58:AU58)</f>
        <v>172218.83</v>
      </c>
      <c r="N58" s="585">
        <f>+'Apr11-Mar12 FT-TS-Cashout-LG&amp;E'!H9</f>
        <v>12</v>
      </c>
      <c r="O58" s="585">
        <f>+'Apr11-Mar12 FT-TS-Cashout-LG&amp;E'!I9</f>
        <v>12</v>
      </c>
      <c r="P58" s="585">
        <f>+'Apr11-Mar12 FT-TS-Cashout-LG&amp;E'!J9</f>
        <v>12</v>
      </c>
      <c r="Q58" s="585">
        <f>+'Apr11-Mar12 FT-TS-Cashout-LG&amp;E'!K9</f>
        <v>12</v>
      </c>
      <c r="R58" s="585">
        <f>+'Apr11-Mar12 FT-TS-Cashout-LG&amp;E'!L9</f>
        <v>12</v>
      </c>
      <c r="S58" s="585">
        <f>+'Apr11-Mar12 FT-TS-Cashout-LG&amp;E'!M9</f>
        <v>12</v>
      </c>
      <c r="T58" s="585">
        <f>+'Apr11-Mar12 FT-TS-Cashout-LG&amp;E'!N9</f>
        <v>12</v>
      </c>
      <c r="U58" s="585">
        <f>+'Apr11-Mar12 FT-TS-Cashout-LG&amp;E'!O9</f>
        <v>12</v>
      </c>
      <c r="V58" s="585">
        <f>+'Apr11-Mar12 FT-TS-Cashout-LG&amp;E'!P9</f>
        <v>11</v>
      </c>
      <c r="W58" s="585">
        <f>+'Apr11-Mar12 FT-TS-Cashout-LG&amp;E'!Q9</f>
        <v>13</v>
      </c>
      <c r="X58" s="585">
        <f>+'Apr11-Mar12 FT-TS-Cashout-LG&amp;E'!R9</f>
        <v>11</v>
      </c>
      <c r="Y58" s="585">
        <f>+'Apr11-Mar12 FT-TS-Cashout-LG&amp;E'!S9</f>
        <v>13</v>
      </c>
      <c r="Z58" s="583">
        <f>+'Apr11-Mar12 FT-TS-Cashout-LG&amp;E'!H10</f>
        <v>87075.5</v>
      </c>
      <c r="AA58" s="583">
        <f>+'Apr11-Mar12 FT-TS-Cashout-LG&amp;E'!I10</f>
        <v>70875.600000000006</v>
      </c>
      <c r="AB58" s="583">
        <f>+'Apr11-Mar12 FT-TS-Cashout-LG&amp;E'!J10</f>
        <v>57055.599999999991</v>
      </c>
      <c r="AC58" s="583">
        <f>+'Apr11-Mar12 FT-TS-Cashout-LG&amp;E'!K10</f>
        <v>59275.8</v>
      </c>
      <c r="AD58" s="583">
        <f>+'Apr11-Mar12 FT-TS-Cashout-LG&amp;E'!L10</f>
        <v>53924.9</v>
      </c>
      <c r="AE58" s="583">
        <f>+'Apr11-Mar12 FT-TS-Cashout-LG&amp;E'!M10</f>
        <v>43310.6</v>
      </c>
      <c r="AF58" s="583">
        <f>+'Apr11-Mar12 FT-TS-Cashout-LG&amp;E'!N10</f>
        <v>39485.800000000003</v>
      </c>
      <c r="AG58" s="583">
        <f>+'Apr11-Mar12 FT-TS-Cashout-LG&amp;E'!O10</f>
        <v>43129.3</v>
      </c>
      <c r="AH58" s="583">
        <f>+'Apr11-Mar12 FT-TS-Cashout-LG&amp;E'!P10</f>
        <v>45391.8</v>
      </c>
      <c r="AI58" s="583">
        <f>+'Apr11-Mar12 FT-TS-Cashout-LG&amp;E'!Q10</f>
        <v>62241.3</v>
      </c>
      <c r="AJ58" s="583">
        <f>+'Apr11-Mar12 FT-TS-Cashout-LG&amp;E'!R10</f>
        <v>65508.7</v>
      </c>
      <c r="AK58" s="583">
        <f>+'Apr11-Mar12 FT-TS-Cashout-LG&amp;E'!S10</f>
        <v>82379.899999999994</v>
      </c>
      <c r="AL58" s="1273">
        <f>+'Apr11-Mar12 FT-TS-Cashout-LG&amp;E'!H23</f>
        <v>41313.530000000006</v>
      </c>
      <c r="AM58" s="1273">
        <f>+'Apr11-Mar12 FT-TS-Cashout-LG&amp;E'!I23</f>
        <v>34695.229999999996</v>
      </c>
      <c r="AN58" s="1273">
        <f>+'Apr11-Mar12 FT-TS-Cashout-LG&amp;E'!J23</f>
        <v>28224.080000000002</v>
      </c>
      <c r="AO58" s="1273">
        <f>+'Apr11-Mar12 FT-TS-Cashout-LG&amp;E'!K23</f>
        <v>28821.439999999999</v>
      </c>
      <c r="AP58" s="1273">
        <f>+'Apr11-Mar12 FT-TS-Cashout-LG&amp;E'!L23</f>
        <v>26597.94</v>
      </c>
      <c r="AQ58" s="1273">
        <f>+'Apr11-Mar12 FT-TS-Cashout-LG&amp;E'!M23</f>
        <v>21815.65</v>
      </c>
      <c r="AR58" s="1273">
        <f>+'Apr11-Mar12 FT-TS-Cashout-LG&amp;E'!N23</f>
        <v>20191.280000000002</v>
      </c>
      <c r="AS58" s="1273">
        <f>+'Apr11-Mar12 FT-TS-Cashout-LG&amp;E'!O23</f>
        <v>21741.68</v>
      </c>
      <c r="AT58" s="1273">
        <f>+'Apr11-Mar12 FT-TS-Cashout-LG&amp;E'!P23</f>
        <v>22513.51</v>
      </c>
      <c r="AU58" s="1273">
        <f>+'Apr11-Mar12 FT-TS-Cashout-LG&amp;E'!Q23</f>
        <v>30537.329999999998</v>
      </c>
      <c r="AV58" s="1273">
        <f>+'Apr11-Mar12 FT-TS-Cashout-LG&amp;E'!R23</f>
        <v>31421.74</v>
      </c>
      <c r="AW58" s="1273">
        <f>+'Apr11-Mar12 FT-TS-Cashout-LG&amp;E'!S23</f>
        <v>39352.370000000003</v>
      </c>
      <c r="AX58" s="571">
        <f t="shared" si="43"/>
        <v>347225.77999999997</v>
      </c>
    </row>
    <row r="59" spans="1:54" x14ac:dyDescent="0.2">
      <c r="A59" s="1080" t="s">
        <v>99</v>
      </c>
      <c r="B59" s="1282" t="s">
        <v>703</v>
      </c>
      <c r="C59" s="569">
        <f t="shared" si="41"/>
        <v>732</v>
      </c>
      <c r="D59" s="574">
        <f t="shared" si="42"/>
        <v>9369428.5</v>
      </c>
      <c r="E59" s="569">
        <f t="shared" ref="E59:E67" si="45">SUM(AL59:AW59)</f>
        <v>4530956.9099999992</v>
      </c>
      <c r="F59" s="569"/>
      <c r="G59" s="569">
        <f>SUM(N59:P59,X59:Y59)</f>
        <v>305</v>
      </c>
      <c r="H59" s="574">
        <f>SUM(Z59:AB59,AJ59:AK59)</f>
        <v>4835026.7</v>
      </c>
      <c r="I59" s="569">
        <f>SUM(AL59:AN59,AV59:AW59)</f>
        <v>2300525.58</v>
      </c>
      <c r="J59" s="569"/>
      <c r="K59" s="569">
        <f>SUM(Q59:W59)</f>
        <v>427</v>
      </c>
      <c r="L59" s="574">
        <f>SUM(AC59:AI59)</f>
        <v>4534401.8</v>
      </c>
      <c r="M59" s="569">
        <f>SUM(AO59:AU59)</f>
        <v>2230431.33</v>
      </c>
      <c r="N59" s="585">
        <f>+'Apr11-Mar12 FT-TS-Cashout-LG&amp;E'!H30</f>
        <v>61</v>
      </c>
      <c r="O59" s="585">
        <f>+'Apr11-Mar12 FT-TS-Cashout-LG&amp;E'!I30</f>
        <v>61</v>
      </c>
      <c r="P59" s="585">
        <f>+'Apr11-Mar12 FT-TS-Cashout-LG&amp;E'!J30</f>
        <v>61</v>
      </c>
      <c r="Q59" s="585">
        <f>+'Apr11-Mar12 FT-TS-Cashout-LG&amp;E'!K30</f>
        <v>61</v>
      </c>
      <c r="R59" s="585">
        <f>+'Apr11-Mar12 FT-TS-Cashout-LG&amp;E'!L30</f>
        <v>61</v>
      </c>
      <c r="S59" s="585">
        <f>+'Apr11-Mar12 FT-TS-Cashout-LG&amp;E'!M30</f>
        <v>61</v>
      </c>
      <c r="T59" s="585">
        <f>+'Apr11-Mar12 FT-TS-Cashout-LG&amp;E'!N30</f>
        <v>61</v>
      </c>
      <c r="U59" s="585">
        <f>+'Apr11-Mar12 FT-TS-Cashout-LG&amp;E'!O30</f>
        <v>61</v>
      </c>
      <c r="V59" s="585">
        <f>+'Apr11-Mar12 FT-TS-Cashout-LG&amp;E'!P30</f>
        <v>61</v>
      </c>
      <c r="W59" s="585">
        <f>+'Apr11-Mar12 FT-TS-Cashout-LG&amp;E'!Q30</f>
        <v>61</v>
      </c>
      <c r="X59" s="585">
        <f>+'Apr11-Mar12 FT-TS-Cashout-LG&amp;E'!R30</f>
        <v>61</v>
      </c>
      <c r="Y59" s="585">
        <f>+'Apr11-Mar12 FT-TS-Cashout-LG&amp;E'!S30</f>
        <v>61</v>
      </c>
      <c r="Z59" s="583">
        <f>+'Apr11-Mar12 FT-TS-Cashout-LG&amp;E'!H31</f>
        <v>1149807.3999999999</v>
      </c>
      <c r="AA59" s="583">
        <f>+'Apr11-Mar12 FT-TS-Cashout-LG&amp;E'!I31</f>
        <v>1059681</v>
      </c>
      <c r="AB59" s="583">
        <f>+'Apr11-Mar12 FT-TS-Cashout-LG&amp;E'!J31</f>
        <v>864741.8</v>
      </c>
      <c r="AC59" s="583">
        <f>+'Apr11-Mar12 FT-TS-Cashout-LG&amp;E'!K31</f>
        <v>662484.9</v>
      </c>
      <c r="AD59" s="583">
        <f>+'Apr11-Mar12 FT-TS-Cashout-LG&amp;E'!L31</f>
        <v>643730.1</v>
      </c>
      <c r="AE59" s="583">
        <f>+'Apr11-Mar12 FT-TS-Cashout-LG&amp;E'!M31</f>
        <v>565022.19999999995</v>
      </c>
      <c r="AF59" s="583">
        <f>+'Apr11-Mar12 FT-TS-Cashout-LG&amp;E'!N31</f>
        <v>564236.30000000005</v>
      </c>
      <c r="AG59" s="583">
        <f>+'Apr11-Mar12 FT-TS-Cashout-LG&amp;E'!O31</f>
        <v>641958.19999999995</v>
      </c>
      <c r="AH59" s="583">
        <f>+'Apr11-Mar12 FT-TS-Cashout-LG&amp;E'!P31</f>
        <v>644148</v>
      </c>
      <c r="AI59" s="583">
        <f>+'Apr11-Mar12 FT-TS-Cashout-LG&amp;E'!Q31</f>
        <v>812822.1</v>
      </c>
      <c r="AJ59" s="583">
        <f>+'Apr11-Mar12 FT-TS-Cashout-LG&amp;E'!R31</f>
        <v>793218.2</v>
      </c>
      <c r="AK59" s="583">
        <f>+'Apr11-Mar12 FT-TS-Cashout-LG&amp;E'!S31</f>
        <v>967578.3</v>
      </c>
      <c r="AL59" s="1273">
        <f>+'Apr11-Mar12 FT-TS-Cashout-LG&amp;E'!H41+'Apr11-Mar12 FT-TS-Cashout-LG&amp;E'!H53</f>
        <v>550935.49</v>
      </c>
      <c r="AM59" s="1273">
        <f>+'Apr11-Mar12 FT-TS-Cashout-LG&amp;E'!I41+'Apr11-Mar12 FT-TS-Cashout-LG&amp;E'!I53</f>
        <v>485360.9</v>
      </c>
      <c r="AN59" s="1273">
        <f>+'Apr11-Mar12 FT-TS-Cashout-LG&amp;E'!J41+'Apr11-Mar12 FT-TS-Cashout-LG&amp;E'!J53</f>
        <v>410578.99</v>
      </c>
      <c r="AO59" s="1273">
        <f>+'Apr11-Mar12 FT-TS-Cashout-LG&amp;E'!K41+'Apr11-Mar12 FT-TS-Cashout-LG&amp;E'!K53</f>
        <v>327723.54000000004</v>
      </c>
      <c r="AP59" s="1273">
        <f>+'Apr11-Mar12 FT-TS-Cashout-LG&amp;E'!L41+'Apr11-Mar12 FT-TS-Cashout-LG&amp;E'!L53</f>
        <v>320173.49000000005</v>
      </c>
      <c r="AQ59" s="1273">
        <f>+'Apr11-Mar12 FT-TS-Cashout-LG&amp;E'!M41+'Apr11-Mar12 FT-TS-Cashout-LG&amp;E'!M53</f>
        <v>273730.11</v>
      </c>
      <c r="AR59" s="1273">
        <f>+'Apr11-Mar12 FT-TS-Cashout-LG&amp;E'!N41+'Apr11-Mar12 FT-TS-Cashout-LG&amp;E'!N53</f>
        <v>280144.07</v>
      </c>
      <c r="AS59" s="1273">
        <f>+'Apr11-Mar12 FT-TS-Cashout-LG&amp;E'!O41+'Apr11-Mar12 FT-TS-Cashout-LG&amp;E'!O53</f>
        <v>307899.36</v>
      </c>
      <c r="AT59" s="1273">
        <f>+'Apr11-Mar12 FT-TS-Cashout-LG&amp;E'!P41+'Apr11-Mar12 FT-TS-Cashout-LG&amp;E'!P53</f>
        <v>316806.09000000003</v>
      </c>
      <c r="AU59" s="1273">
        <f>+'Apr11-Mar12 FT-TS-Cashout-LG&amp;E'!Q41+'Apr11-Mar12 FT-TS-Cashout-LG&amp;E'!Q53</f>
        <v>403954.67</v>
      </c>
      <c r="AV59" s="1273">
        <f>+'Apr11-Mar12 FT-TS-Cashout-LG&amp;E'!R41+'Apr11-Mar12 FT-TS-Cashout-LG&amp;E'!R53</f>
        <v>385650.16000000003</v>
      </c>
      <c r="AW59" s="1273">
        <f>+'Apr11-Mar12 FT-TS-Cashout-LG&amp;E'!S41+'Apr11-Mar12 FT-TS-Cashout-LG&amp;E'!S53</f>
        <v>468000.04</v>
      </c>
      <c r="AX59" s="571">
        <f t="shared" si="43"/>
        <v>4530956.9099999992</v>
      </c>
    </row>
    <row r="60" spans="1:54" x14ac:dyDescent="0.2">
      <c r="A60" s="1080"/>
      <c r="B60" s="1282" t="s">
        <v>704</v>
      </c>
      <c r="C60" s="577">
        <f t="shared" si="41"/>
        <v>0</v>
      </c>
      <c r="D60" s="578">
        <f t="shared" si="42"/>
        <v>0</v>
      </c>
      <c r="E60" s="577">
        <f t="shared" si="45"/>
        <v>0</v>
      </c>
      <c r="F60" s="569"/>
      <c r="G60" s="577">
        <f>SUM(N60:P60,X60:Y60)</f>
        <v>0</v>
      </c>
      <c r="H60" s="578">
        <f>SUM(Z60:AB60,AJ60:AK60)</f>
        <v>0</v>
      </c>
      <c r="I60" s="577">
        <f>SUM(AL60:AN60,AV60:AW60)</f>
        <v>0</v>
      </c>
      <c r="J60" s="569"/>
      <c r="K60" s="577">
        <f>SUM(Q60:W60)</f>
        <v>0</v>
      </c>
      <c r="L60" s="578">
        <f>SUM(AC60:AI60)</f>
        <v>0</v>
      </c>
      <c r="M60" s="577">
        <f>SUM(AO60:AU60)</f>
        <v>0</v>
      </c>
      <c r="N60" s="1226">
        <v>0</v>
      </c>
      <c r="O60" s="1226">
        <v>0</v>
      </c>
      <c r="P60" s="1226">
        <v>0</v>
      </c>
      <c r="Q60" s="1226">
        <v>0</v>
      </c>
      <c r="R60" s="1226">
        <v>0</v>
      </c>
      <c r="S60" s="1226">
        <v>0</v>
      </c>
      <c r="T60" s="1226">
        <v>0</v>
      </c>
      <c r="U60" s="1226">
        <v>0</v>
      </c>
      <c r="V60" s="1226">
        <v>0</v>
      </c>
      <c r="W60" s="1226">
        <v>0</v>
      </c>
      <c r="X60" s="1226">
        <v>0</v>
      </c>
      <c r="Y60" s="1226">
        <v>0</v>
      </c>
      <c r="Z60" s="586">
        <v>0</v>
      </c>
      <c r="AA60" s="586">
        <v>0</v>
      </c>
      <c r="AB60" s="586">
        <v>0</v>
      </c>
      <c r="AC60" s="586">
        <v>0</v>
      </c>
      <c r="AD60" s="586">
        <v>0</v>
      </c>
      <c r="AE60" s="586">
        <v>0</v>
      </c>
      <c r="AF60" s="586">
        <v>0</v>
      </c>
      <c r="AG60" s="586">
        <v>0</v>
      </c>
      <c r="AH60" s="586">
        <v>0</v>
      </c>
      <c r="AI60" s="586">
        <v>0</v>
      </c>
      <c r="AJ60" s="586">
        <v>0</v>
      </c>
      <c r="AK60" s="586">
        <v>0</v>
      </c>
      <c r="AL60" s="1283">
        <v>0</v>
      </c>
      <c r="AM60" s="1283">
        <v>0</v>
      </c>
      <c r="AN60" s="1283">
        <v>0</v>
      </c>
      <c r="AO60" s="1283">
        <v>0</v>
      </c>
      <c r="AP60" s="1283">
        <v>0</v>
      </c>
      <c r="AQ60" s="1283">
        <v>0</v>
      </c>
      <c r="AR60" s="1283">
        <v>0</v>
      </c>
      <c r="AS60" s="1283">
        <v>0</v>
      </c>
      <c r="AT60" s="1283">
        <v>0</v>
      </c>
      <c r="AU60" s="1283">
        <v>0</v>
      </c>
      <c r="AV60" s="1283">
        <v>0</v>
      </c>
      <c r="AW60" s="1283">
        <v>0</v>
      </c>
      <c r="AX60" s="571">
        <f t="shared" si="43"/>
        <v>0</v>
      </c>
      <c r="AY60" s="1227"/>
    </row>
    <row r="61" spans="1:54" x14ac:dyDescent="0.2">
      <c r="B61" s="1282" t="s">
        <v>705</v>
      </c>
      <c r="C61" s="569">
        <f>SUM(N61:Y61)</f>
        <v>876</v>
      </c>
      <c r="D61" s="574">
        <f>SUM(Z61:AK61)</f>
        <v>10079083.299999999</v>
      </c>
      <c r="E61" s="569">
        <f>SUM(AL61:AW61)</f>
        <v>4878182.6900000004</v>
      </c>
      <c r="F61" s="569"/>
      <c r="G61" s="569">
        <f>SUM(N61:P61,X61:Y61)</f>
        <v>365</v>
      </c>
      <c r="H61" s="574">
        <f>SUM(Z61:AB61,AJ61:AK61)</f>
        <v>5197922</v>
      </c>
      <c r="I61" s="569">
        <f>SUM(AL61:AN61,AV61:AW61)</f>
        <v>2475532.5300000003</v>
      </c>
      <c r="J61" s="569"/>
      <c r="K61" s="569">
        <f>SUM(Q61:W61)</f>
        <v>511</v>
      </c>
      <c r="L61" s="574">
        <f>SUM(AC61:AI61)</f>
        <v>4881161.3000000007</v>
      </c>
      <c r="M61" s="569">
        <f>SUM(AO61:AU61)</f>
        <v>2402650.16</v>
      </c>
      <c r="N61" s="585">
        <f t="shared" ref="N61:Y61" si="46">SUM(N58:N60)</f>
        <v>73</v>
      </c>
      <c r="O61" s="585">
        <f t="shared" si="46"/>
        <v>73</v>
      </c>
      <c r="P61" s="585">
        <f t="shared" si="46"/>
        <v>73</v>
      </c>
      <c r="Q61" s="585">
        <f t="shared" si="46"/>
        <v>73</v>
      </c>
      <c r="R61" s="585">
        <f t="shared" si="46"/>
        <v>73</v>
      </c>
      <c r="S61" s="585">
        <f t="shared" si="46"/>
        <v>73</v>
      </c>
      <c r="T61" s="585">
        <f t="shared" si="46"/>
        <v>73</v>
      </c>
      <c r="U61" s="585">
        <f t="shared" si="46"/>
        <v>73</v>
      </c>
      <c r="V61" s="585">
        <f t="shared" si="46"/>
        <v>72</v>
      </c>
      <c r="W61" s="585">
        <f t="shared" si="46"/>
        <v>74</v>
      </c>
      <c r="X61" s="585">
        <f t="shared" si="46"/>
        <v>72</v>
      </c>
      <c r="Y61" s="585">
        <f t="shared" si="46"/>
        <v>74</v>
      </c>
      <c r="Z61" s="583">
        <f>SUM(Z58:Z60)</f>
        <v>1236882.8999999999</v>
      </c>
      <c r="AA61" s="583">
        <f t="shared" ref="AA61:AK61" si="47">SUM(AA58:AA60)</f>
        <v>1130556.6000000001</v>
      </c>
      <c r="AB61" s="583">
        <f t="shared" si="47"/>
        <v>921797.4</v>
      </c>
      <c r="AC61" s="583">
        <f t="shared" si="47"/>
        <v>721760.70000000007</v>
      </c>
      <c r="AD61" s="583">
        <f t="shared" si="47"/>
        <v>697655</v>
      </c>
      <c r="AE61" s="583">
        <f t="shared" si="47"/>
        <v>608332.79999999993</v>
      </c>
      <c r="AF61" s="583">
        <f t="shared" si="47"/>
        <v>603722.10000000009</v>
      </c>
      <c r="AG61" s="583">
        <f t="shared" si="47"/>
        <v>685087.5</v>
      </c>
      <c r="AH61" s="583">
        <f t="shared" si="47"/>
        <v>689539.8</v>
      </c>
      <c r="AI61" s="583">
        <f t="shared" si="47"/>
        <v>875063.4</v>
      </c>
      <c r="AJ61" s="583">
        <f t="shared" si="47"/>
        <v>858726.89999999991</v>
      </c>
      <c r="AK61" s="583">
        <f t="shared" si="47"/>
        <v>1049958.2</v>
      </c>
      <c r="AL61" s="1273">
        <f>SUM(AL58:AL60)</f>
        <v>592249.02</v>
      </c>
      <c r="AM61" s="1273">
        <f t="shared" ref="AM61:AW61" si="48">SUM(AM58:AM60)</f>
        <v>520056.13</v>
      </c>
      <c r="AN61" s="1273">
        <f t="shared" si="48"/>
        <v>438803.07</v>
      </c>
      <c r="AO61" s="1273">
        <f t="shared" si="48"/>
        <v>356544.98000000004</v>
      </c>
      <c r="AP61" s="1273">
        <f t="shared" si="48"/>
        <v>346771.43000000005</v>
      </c>
      <c r="AQ61" s="1273">
        <f t="shared" si="48"/>
        <v>295545.76</v>
      </c>
      <c r="AR61" s="1273">
        <f t="shared" si="48"/>
        <v>300335.35000000003</v>
      </c>
      <c r="AS61" s="1273">
        <f t="shared" si="48"/>
        <v>329641.03999999998</v>
      </c>
      <c r="AT61" s="1273">
        <f t="shared" si="48"/>
        <v>339319.60000000003</v>
      </c>
      <c r="AU61" s="1273">
        <f t="shared" si="48"/>
        <v>434492</v>
      </c>
      <c r="AV61" s="1273">
        <f t="shared" si="48"/>
        <v>417071.9</v>
      </c>
      <c r="AW61" s="1273">
        <f t="shared" si="48"/>
        <v>507352.41</v>
      </c>
      <c r="AX61" s="571">
        <f t="shared" si="43"/>
        <v>4878182.6900000004</v>
      </c>
      <c r="AY61" s="1227"/>
    </row>
    <row r="62" spans="1:54" x14ac:dyDescent="0.2">
      <c r="B62" s="1282"/>
      <c r="C62" s="569"/>
      <c r="D62" s="574"/>
      <c r="E62" s="569"/>
      <c r="F62" s="569"/>
      <c r="G62" s="569"/>
      <c r="H62" s="574"/>
      <c r="I62" s="569"/>
      <c r="J62" s="569"/>
      <c r="K62" s="569"/>
      <c r="L62" s="574"/>
      <c r="M62" s="569"/>
      <c r="AL62" s="1273"/>
      <c r="AM62" s="1273"/>
      <c r="AN62" s="1273"/>
      <c r="AO62" s="1273"/>
      <c r="AP62" s="1273"/>
      <c r="AQ62" s="1273"/>
      <c r="AR62" s="1273"/>
      <c r="AS62" s="1273"/>
      <c r="AT62" s="1273"/>
      <c r="AU62" s="1273"/>
      <c r="AV62" s="1273"/>
      <c r="AW62" s="1273"/>
      <c r="AX62" s="571"/>
      <c r="AY62" s="1227"/>
    </row>
    <row r="63" spans="1:54" x14ac:dyDescent="0.2">
      <c r="B63" s="1282" t="s">
        <v>706</v>
      </c>
      <c r="C63" s="569">
        <f t="shared" si="41"/>
        <v>0</v>
      </c>
      <c r="D63" s="574">
        <f t="shared" si="42"/>
        <v>0</v>
      </c>
      <c r="E63" s="569">
        <f>SUM(AL63:AW63)</f>
        <v>0</v>
      </c>
      <c r="F63" s="569"/>
      <c r="G63" s="569">
        <f>SUM(N63:P63,X63:Y63)</f>
        <v>0</v>
      </c>
      <c r="H63" s="574">
        <f>SUM(Z63:AB63,AJ63:AK63)</f>
        <v>0</v>
      </c>
      <c r="I63" s="569">
        <f>SUM(AL63:AN63,AV63:AW63)</f>
        <v>0</v>
      </c>
      <c r="J63" s="569"/>
      <c r="K63" s="569">
        <f>SUM(Q63:W63)</f>
        <v>0</v>
      </c>
      <c r="L63" s="574">
        <f>SUM(AC63:AI63)</f>
        <v>0</v>
      </c>
      <c r="M63" s="569">
        <f>SUM(AO63:AU63)</f>
        <v>0</v>
      </c>
      <c r="AL63" s="588"/>
      <c r="AM63" s="588"/>
      <c r="AN63" s="588"/>
      <c r="AO63" s="588"/>
      <c r="AP63" s="588"/>
      <c r="AQ63" s="588"/>
      <c r="AR63" s="588"/>
      <c r="AS63" s="588"/>
      <c r="AT63" s="588"/>
      <c r="AU63" s="588"/>
      <c r="AV63" s="588"/>
      <c r="AW63" s="588"/>
      <c r="AX63" s="571">
        <f t="shared" si="43"/>
        <v>0</v>
      </c>
      <c r="AY63" s="1227"/>
    </row>
    <row r="64" spans="1:54" x14ac:dyDescent="0.2">
      <c r="A64" s="1080" t="s">
        <v>102</v>
      </c>
      <c r="B64" s="1282" t="s">
        <v>707</v>
      </c>
      <c r="C64" s="569">
        <f t="shared" si="41"/>
        <v>827</v>
      </c>
      <c r="D64" s="574">
        <f t="shared" si="42"/>
        <v>0</v>
      </c>
      <c r="E64" s="569">
        <f>SUM(AL64:AW64)</f>
        <v>62025</v>
      </c>
      <c r="F64" s="569"/>
      <c r="G64" s="569">
        <f>SUM(N64:P64,X64:Y64)</f>
        <v>344</v>
      </c>
      <c r="H64" s="574">
        <f>SUM(Z64:AB64,AJ64:AK64)</f>
        <v>0</v>
      </c>
      <c r="I64" s="569">
        <f>SUM(AL64:AN64,AV64:AW64)</f>
        <v>25800</v>
      </c>
      <c r="J64" s="569"/>
      <c r="K64" s="569">
        <f>SUM(Q64:W64)</f>
        <v>483</v>
      </c>
      <c r="L64" s="574">
        <f>SUM(AC64:AI64)</f>
        <v>0</v>
      </c>
      <c r="M64" s="569">
        <f>SUM(AO64:AU64)</f>
        <v>36225</v>
      </c>
      <c r="N64" s="585">
        <f>+AL64/75</f>
        <v>69</v>
      </c>
      <c r="O64" s="585">
        <f t="shared" ref="O64:Y64" si="49">+AM64/75</f>
        <v>69</v>
      </c>
      <c r="P64" s="585">
        <f t="shared" si="49"/>
        <v>69</v>
      </c>
      <c r="Q64" s="585">
        <f t="shared" si="49"/>
        <v>69</v>
      </c>
      <c r="R64" s="585">
        <f t="shared" si="49"/>
        <v>69</v>
      </c>
      <c r="S64" s="585">
        <f t="shared" si="49"/>
        <v>69</v>
      </c>
      <c r="T64" s="585">
        <f t="shared" si="49"/>
        <v>69</v>
      </c>
      <c r="U64" s="585">
        <f t="shared" si="49"/>
        <v>69</v>
      </c>
      <c r="V64" s="585">
        <f t="shared" si="49"/>
        <v>69</v>
      </c>
      <c r="W64" s="585">
        <f t="shared" si="49"/>
        <v>69</v>
      </c>
      <c r="X64" s="585">
        <f t="shared" si="49"/>
        <v>69</v>
      </c>
      <c r="Y64" s="585">
        <f t="shared" si="49"/>
        <v>68</v>
      </c>
      <c r="AL64" s="1273">
        <f>+'Apr11-Mar12 FT-TS-Cashout-LG&amp;E'!H52</f>
        <v>5175</v>
      </c>
      <c r="AM64" s="1273">
        <f>+'Apr11-Mar12 FT-TS-Cashout-LG&amp;E'!I52</f>
        <v>5175</v>
      </c>
      <c r="AN64" s="1273">
        <f>+'Apr11-Mar12 FT-TS-Cashout-LG&amp;E'!J52</f>
        <v>5175</v>
      </c>
      <c r="AO64" s="1273">
        <f>+'Apr11-Mar12 FT-TS-Cashout-LG&amp;E'!K52</f>
        <v>5175</v>
      </c>
      <c r="AP64" s="1273">
        <f>+'Apr11-Mar12 FT-TS-Cashout-LG&amp;E'!L52</f>
        <v>5175</v>
      </c>
      <c r="AQ64" s="1273">
        <f>+'Apr11-Mar12 FT-TS-Cashout-LG&amp;E'!M52</f>
        <v>5175</v>
      </c>
      <c r="AR64" s="1273">
        <f>+'Apr11-Mar12 FT-TS-Cashout-LG&amp;E'!N52</f>
        <v>5175</v>
      </c>
      <c r="AS64" s="1273">
        <f>+'Apr11-Mar12 FT-TS-Cashout-LG&amp;E'!O52</f>
        <v>5175</v>
      </c>
      <c r="AT64" s="1273">
        <f>+'Apr11-Mar12 FT-TS-Cashout-LG&amp;E'!P52</f>
        <v>5175</v>
      </c>
      <c r="AU64" s="1273">
        <f>+'Apr11-Mar12 FT-TS-Cashout-LG&amp;E'!Q52</f>
        <v>5175</v>
      </c>
      <c r="AV64" s="1273">
        <f>+'Apr11-Mar12 FT-TS-Cashout-LG&amp;E'!R52</f>
        <v>5175</v>
      </c>
      <c r="AW64" s="1273">
        <f>+'Apr11-Mar12 FT-TS-Cashout-LG&amp;E'!S52</f>
        <v>5100</v>
      </c>
      <c r="AX64" s="571">
        <f t="shared" si="43"/>
        <v>62025</v>
      </c>
      <c r="AY64" s="1227"/>
    </row>
    <row r="65" spans="1:51" x14ac:dyDescent="0.2">
      <c r="B65" s="1282"/>
      <c r="C65" s="569"/>
      <c r="D65" s="574"/>
      <c r="E65" s="569"/>
      <c r="F65" s="569"/>
      <c r="G65" s="569">
        <f t="shared" si="13"/>
        <v>0</v>
      </c>
      <c r="H65" s="574"/>
      <c r="I65" s="569"/>
      <c r="J65" s="569"/>
      <c r="K65" s="569"/>
      <c r="L65" s="574"/>
      <c r="M65" s="569"/>
      <c r="AL65" s="1273"/>
      <c r="AM65" s="1273"/>
      <c r="AN65" s="1273"/>
      <c r="AO65" s="1273"/>
      <c r="AP65" s="1273"/>
      <c r="AQ65" s="1273"/>
      <c r="AR65" s="1273"/>
      <c r="AS65" s="1273"/>
      <c r="AT65" s="1273"/>
      <c r="AU65" s="1273"/>
      <c r="AV65" s="1273"/>
      <c r="AW65" s="1273"/>
      <c r="AX65" s="571"/>
      <c r="AY65" s="1227"/>
    </row>
    <row r="66" spans="1:51" x14ac:dyDescent="0.2">
      <c r="A66" s="1239" t="s">
        <v>109</v>
      </c>
      <c r="B66" s="573" t="s">
        <v>1170</v>
      </c>
      <c r="C66" s="569">
        <f t="shared" si="41"/>
        <v>12</v>
      </c>
      <c r="D66" s="574">
        <f>SUM(Z66:AK66)</f>
        <v>619842.69999999995</v>
      </c>
      <c r="E66" s="569">
        <f t="shared" si="45"/>
        <v>176036.91824</v>
      </c>
      <c r="F66" s="569"/>
      <c r="G66" s="569">
        <f>SUM(N66:P66,X66:Y66)</f>
        <v>5</v>
      </c>
      <c r="H66" s="574">
        <f>SUM(Z66:AB66,AJ66:AK66)</f>
        <v>292125.5</v>
      </c>
      <c r="I66" s="569">
        <f>SUM(AL66:AN66,AV66:AW66)</f>
        <v>73781.476109999989</v>
      </c>
      <c r="J66" s="569"/>
      <c r="K66" s="569">
        <f>SUM(Q66:W66)</f>
        <v>7</v>
      </c>
      <c r="L66" s="574">
        <f>SUM(AC66:AI66)</f>
        <v>327717.2</v>
      </c>
      <c r="M66" s="569">
        <f>SUM(AO66:AU66)</f>
        <v>102255.44213</v>
      </c>
      <c r="N66" s="590">
        <v>1</v>
      </c>
      <c r="O66" s="590">
        <v>1</v>
      </c>
      <c r="P66" s="590">
        <v>1</v>
      </c>
      <c r="Q66" s="590">
        <v>1</v>
      </c>
      <c r="R66" s="590">
        <v>1</v>
      </c>
      <c r="S66" s="590">
        <v>1</v>
      </c>
      <c r="T66" s="590">
        <v>1</v>
      </c>
      <c r="U66" s="590">
        <v>1</v>
      </c>
      <c r="V66" s="590">
        <v>1</v>
      </c>
      <c r="W66" s="590">
        <v>1</v>
      </c>
      <c r="X66" s="590">
        <v>1</v>
      </c>
      <c r="Y66" s="590">
        <v>1</v>
      </c>
      <c r="Z66" s="583">
        <f>+'Apr11-Mar12 FT-TS-Cashout-LG&amp;E'!H78</f>
        <v>60864.9</v>
      </c>
      <c r="AA66" s="583">
        <f>+'Apr11-Mar12 FT-TS-Cashout-LG&amp;E'!I78</f>
        <v>60457.7</v>
      </c>
      <c r="AB66" s="583">
        <f>+'Apr11-Mar12 FT-TS-Cashout-LG&amp;E'!J78</f>
        <v>57197.700000000012</v>
      </c>
      <c r="AC66" s="583">
        <f>+'Apr11-Mar12 FT-TS-Cashout-LG&amp;E'!K78</f>
        <v>48871.6</v>
      </c>
      <c r="AD66" s="583">
        <f>+'Apr11-Mar12 FT-TS-Cashout-LG&amp;E'!L78</f>
        <v>55350.3</v>
      </c>
      <c r="AE66" s="583">
        <f>+'Apr11-Mar12 FT-TS-Cashout-LG&amp;E'!M78</f>
        <v>47513.1</v>
      </c>
      <c r="AF66" s="583">
        <f>+'Apr11-Mar12 FT-TS-Cashout-LG&amp;E'!N78</f>
        <v>48970.8</v>
      </c>
      <c r="AG66" s="583">
        <f>+'Apr11-Mar12 FT-TS-Cashout-LG&amp;E'!O78</f>
        <v>48698.6</v>
      </c>
      <c r="AH66" s="583">
        <f>+'Apr11-Mar12 FT-TS-Cashout-LG&amp;E'!P78</f>
        <v>42584.800000000003</v>
      </c>
      <c r="AI66" s="583">
        <f>+'Apr11-Mar12 FT-TS-Cashout-LG&amp;E'!Q78</f>
        <v>35728</v>
      </c>
      <c r="AJ66" s="583">
        <f>+'Apr11-Mar12 FT-TS-Cashout-LG&amp;E'!R78</f>
        <v>60355</v>
      </c>
      <c r="AK66" s="583">
        <f>+'Apr11-Mar12 FT-TS-Cashout-LG&amp;E'!S78</f>
        <v>53250.2</v>
      </c>
      <c r="AL66" s="1273">
        <f>+'Apr11-Mar12 FT-TS-Cashout-LG&amp;E'!H95</f>
        <v>15944.822629999999</v>
      </c>
      <c r="AM66" s="1273">
        <f>+'Apr11-Mar12 FT-TS-Cashout-LG&amp;E'!I95</f>
        <v>14255.928829999997</v>
      </c>
      <c r="AN66" s="1273">
        <f>+'Apr11-Mar12 FT-TS-Cashout-LG&amp;E'!J95</f>
        <v>12843.933730000001</v>
      </c>
      <c r="AO66" s="1273">
        <f>+'Apr11-Mar12 FT-TS-Cashout-LG&amp;E'!K95</f>
        <v>15976.487840000002</v>
      </c>
      <c r="AP66" s="1273">
        <f>+'Apr11-Mar12 FT-TS-Cashout-LG&amp;E'!L95</f>
        <v>14862.41149</v>
      </c>
      <c r="AQ66" s="1273">
        <f>+'Apr11-Mar12 FT-TS-Cashout-LG&amp;E'!M95</f>
        <v>16096.69226</v>
      </c>
      <c r="AR66" s="1273">
        <f>+'Apr11-Mar12 FT-TS-Cashout-LG&amp;E'!N95</f>
        <v>14205.392669999999</v>
      </c>
      <c r="AS66" s="1273">
        <f>+'Apr11-Mar12 FT-TS-Cashout-LG&amp;E'!O95</f>
        <v>12211.595340000002</v>
      </c>
      <c r="AT66" s="1273">
        <f>+'Apr11-Mar12 FT-TS-Cashout-LG&amp;E'!P95</f>
        <v>12462.341640000001</v>
      </c>
      <c r="AU66" s="1273">
        <f>+'Apr11-Mar12 FT-TS-Cashout-LG&amp;E'!Q95</f>
        <v>16440.52089</v>
      </c>
      <c r="AV66" s="1273">
        <f>+'Apr11-Mar12 FT-TS-Cashout-LG&amp;E'!R95</f>
        <v>15172.81093</v>
      </c>
      <c r="AW66" s="1273">
        <f>+'Apr11-Mar12 FT-TS-Cashout-LG&amp;E'!S95</f>
        <v>15563.97999</v>
      </c>
      <c r="AX66" s="571">
        <f t="shared" si="43"/>
        <v>176036.91824</v>
      </c>
      <c r="AY66" s="571"/>
    </row>
    <row r="67" spans="1:51" x14ac:dyDescent="0.2">
      <c r="A67" s="1239" t="s">
        <v>106</v>
      </c>
      <c r="B67" s="1282" t="s">
        <v>1169</v>
      </c>
      <c r="C67" s="577">
        <f t="shared" si="41"/>
        <v>12</v>
      </c>
      <c r="D67" s="578">
        <f>SUM(Z67:AK67)</f>
        <v>195512.60000000003</v>
      </c>
      <c r="E67" s="577">
        <f t="shared" si="45"/>
        <v>243704.74278000003</v>
      </c>
      <c r="F67" s="589"/>
      <c r="G67" s="577">
        <f>SUM(N67:P67,X67:Y67)</f>
        <v>5</v>
      </c>
      <c r="H67" s="578">
        <f>SUM(Z67:AB67,AJ67:AK67)</f>
        <v>168624</v>
      </c>
      <c r="I67" s="577">
        <f>SUM(AL67:AN67,AV67:AW67)</f>
        <v>108005.05086</v>
      </c>
      <c r="J67" s="577"/>
      <c r="K67" s="577">
        <f>SUM(Q67:W67)</f>
        <v>7</v>
      </c>
      <c r="L67" s="578">
        <f>SUM(AC67:AI67)</f>
        <v>26888.6</v>
      </c>
      <c r="M67" s="577">
        <f>SUM(AO67:AU67)</f>
        <v>135699.69192000001</v>
      </c>
      <c r="N67" s="1284">
        <v>1</v>
      </c>
      <c r="O67" s="1284">
        <v>1</v>
      </c>
      <c r="P67" s="1284">
        <v>1</v>
      </c>
      <c r="Q67" s="1284">
        <v>1</v>
      </c>
      <c r="R67" s="1284">
        <v>1</v>
      </c>
      <c r="S67" s="1284">
        <v>1</v>
      </c>
      <c r="T67" s="1284">
        <v>1</v>
      </c>
      <c r="U67" s="1284">
        <v>1</v>
      </c>
      <c r="V67" s="1284">
        <v>1</v>
      </c>
      <c r="W67" s="1284">
        <v>1</v>
      </c>
      <c r="X67" s="1284">
        <v>1</v>
      </c>
      <c r="Y67" s="1284">
        <v>1</v>
      </c>
      <c r="Z67" s="586">
        <f>+'Apr11-Mar12 FT-TS-Cashout-LG&amp;E'!H104</f>
        <v>55023</v>
      </c>
      <c r="AA67" s="586">
        <f>+'Apr11-Mar12 FT-TS-Cashout-LG&amp;E'!I104</f>
        <v>41951</v>
      </c>
      <c r="AB67" s="586">
        <f>+'Apr11-Mar12 FT-TS-Cashout-LG&amp;E'!J104</f>
        <v>10915.999999999998</v>
      </c>
      <c r="AC67" s="586">
        <f>+'Apr11-Mar12 FT-TS-Cashout-LG&amp;E'!K104</f>
        <v>11220.1</v>
      </c>
      <c r="AD67" s="586">
        <f>+'Apr11-Mar12 FT-TS-Cashout-LG&amp;E'!L104</f>
        <v>5436.6</v>
      </c>
      <c r="AE67" s="586">
        <f>+'Apr11-Mar12 FT-TS-Cashout-LG&amp;E'!M104</f>
        <v>1205.8</v>
      </c>
      <c r="AF67" s="586">
        <f>+'Apr11-Mar12 FT-TS-Cashout-LG&amp;E'!N104</f>
        <v>637</v>
      </c>
      <c r="AG67" s="586">
        <f>+'Apr11-Mar12 FT-TS-Cashout-LG&amp;E'!O104</f>
        <v>471.1</v>
      </c>
      <c r="AH67" s="586">
        <f>+'Apr11-Mar12 FT-TS-Cashout-LG&amp;E'!P104</f>
        <v>258</v>
      </c>
      <c r="AI67" s="586">
        <f>+'Apr11-Mar12 FT-TS-Cashout-LG&amp;E'!Q104</f>
        <v>7660</v>
      </c>
      <c r="AJ67" s="586">
        <f>+'Apr11-Mar12 FT-TS-Cashout-LG&amp;E'!R104</f>
        <v>18978</v>
      </c>
      <c r="AK67" s="586">
        <f>+'Apr11-Mar12 FT-TS-Cashout-LG&amp;E'!S104</f>
        <v>41756</v>
      </c>
      <c r="AL67" s="1283">
        <f>+'Apr11-Mar12 FT-TS-Cashout-LG&amp;E'!H121</f>
        <v>22803.14443</v>
      </c>
      <c r="AM67" s="1283">
        <f>+'Apr11-Mar12 FT-TS-Cashout-LG&amp;E'!I121</f>
        <v>21872.3056</v>
      </c>
      <c r="AN67" s="1283">
        <f>+'Apr11-Mar12 FT-TS-Cashout-LG&amp;E'!J121</f>
        <v>19606.459200000001</v>
      </c>
      <c r="AO67" s="1283">
        <f>+'Apr11-Mar12 FT-TS-Cashout-LG&amp;E'!K121</f>
        <v>20760.054070000002</v>
      </c>
      <c r="AP67" s="1283">
        <f>+'Apr11-Mar12 FT-TS-Cashout-LG&amp;E'!L121</f>
        <v>19639.333859999999</v>
      </c>
      <c r="AQ67" s="1283">
        <f>+'Apr11-Mar12 FT-TS-Cashout-LG&amp;E'!M121</f>
        <v>18915.795569999998</v>
      </c>
      <c r="AR67" s="1283">
        <f>+'Apr11-Mar12 FT-TS-Cashout-LG&amp;E'!N121</f>
        <v>18674.296859999999</v>
      </c>
      <c r="AS67" s="1283">
        <f>+'Apr11-Mar12 FT-TS-Cashout-LG&amp;E'!O121</f>
        <v>18592.212309999999</v>
      </c>
      <c r="AT67" s="1283">
        <f>+'Apr11-Mar12 FT-TS-Cashout-LG&amp;E'!P121</f>
        <v>18652.986200000003</v>
      </c>
      <c r="AU67" s="1283">
        <f>+'Apr11-Mar12 FT-TS-Cashout-LG&amp;E'!Q121</f>
        <v>20465.013050000001</v>
      </c>
      <c r="AV67" s="1283">
        <f>+'Apr11-Mar12 FT-TS-Cashout-LG&amp;E'!R121</f>
        <v>21866.861549999998</v>
      </c>
      <c r="AW67" s="1283">
        <f>+'Apr11-Mar12 FT-TS-Cashout-LG&amp;E'!S121</f>
        <v>21856.280079999997</v>
      </c>
      <c r="AX67" s="571">
        <f t="shared" si="43"/>
        <v>243704.74278000003</v>
      </c>
      <c r="AY67" s="1227"/>
    </row>
    <row r="68" spans="1:51" x14ac:dyDescent="0.2">
      <c r="B68" s="572" t="s">
        <v>708</v>
      </c>
      <c r="C68" s="590">
        <f>SUM(C66:C67)</f>
        <v>24</v>
      </c>
      <c r="D68" s="590">
        <f>SUM(D66:D67)</f>
        <v>815355.3</v>
      </c>
      <c r="E68" s="590">
        <f>SUM(E66:E67)</f>
        <v>419741.66102</v>
      </c>
      <c r="G68" s="590">
        <f t="shared" si="13"/>
        <v>12</v>
      </c>
      <c r="H68" s="590">
        <f>SUM(Z68:AB68,AJ68:AK68)</f>
        <v>460749.5</v>
      </c>
      <c r="I68" s="590">
        <f>SUM(AL68:AN68,AV68:AW68)</f>
        <v>181786.52696999998</v>
      </c>
      <c r="K68" s="590">
        <f t="shared" ref="K68:AW68" si="50">SUM(K66:K67)</f>
        <v>14</v>
      </c>
      <c r="L68" s="590">
        <f t="shared" si="50"/>
        <v>354605.8</v>
      </c>
      <c r="M68" s="590">
        <f t="shared" si="50"/>
        <v>237955.13404999999</v>
      </c>
      <c r="N68" s="590">
        <f t="shared" si="50"/>
        <v>2</v>
      </c>
      <c r="O68" s="590">
        <f t="shared" si="50"/>
        <v>2</v>
      </c>
      <c r="P68" s="590">
        <f t="shared" si="50"/>
        <v>2</v>
      </c>
      <c r="Q68" s="590">
        <f t="shared" si="50"/>
        <v>2</v>
      </c>
      <c r="R68" s="590">
        <f t="shared" si="50"/>
        <v>2</v>
      </c>
      <c r="S68" s="590">
        <f t="shared" si="50"/>
        <v>2</v>
      </c>
      <c r="T68" s="590">
        <f t="shared" si="50"/>
        <v>2</v>
      </c>
      <c r="U68" s="590">
        <f t="shared" si="50"/>
        <v>2</v>
      </c>
      <c r="V68" s="590">
        <f t="shared" si="50"/>
        <v>2</v>
      </c>
      <c r="W68" s="590">
        <f t="shared" si="50"/>
        <v>2</v>
      </c>
      <c r="X68" s="590">
        <f t="shared" si="50"/>
        <v>2</v>
      </c>
      <c r="Y68" s="590">
        <f t="shared" si="50"/>
        <v>2</v>
      </c>
      <c r="Z68" s="1214">
        <f t="shared" si="50"/>
        <v>115887.9</v>
      </c>
      <c r="AA68" s="1214">
        <f t="shared" si="50"/>
        <v>102408.7</v>
      </c>
      <c r="AB68" s="1214">
        <f t="shared" si="50"/>
        <v>68113.700000000012</v>
      </c>
      <c r="AC68" s="1214">
        <f t="shared" si="50"/>
        <v>60091.7</v>
      </c>
      <c r="AD68" s="1214">
        <f t="shared" si="50"/>
        <v>60786.9</v>
      </c>
      <c r="AE68" s="1214">
        <f t="shared" si="50"/>
        <v>48718.9</v>
      </c>
      <c r="AF68" s="1214">
        <f t="shared" si="50"/>
        <v>49607.8</v>
      </c>
      <c r="AG68" s="1214">
        <f t="shared" si="50"/>
        <v>49169.7</v>
      </c>
      <c r="AH68" s="1214">
        <f t="shared" si="50"/>
        <v>42842.8</v>
      </c>
      <c r="AI68" s="1214">
        <f t="shared" si="50"/>
        <v>43388</v>
      </c>
      <c r="AJ68" s="1214">
        <f t="shared" si="50"/>
        <v>79333</v>
      </c>
      <c r="AK68" s="1214">
        <f t="shared" si="50"/>
        <v>95006.2</v>
      </c>
      <c r="AL68" s="1273">
        <f t="shared" si="50"/>
        <v>38747.967059999995</v>
      </c>
      <c r="AM68" s="1273">
        <f t="shared" si="50"/>
        <v>36128.234429999997</v>
      </c>
      <c r="AN68" s="1273">
        <f t="shared" si="50"/>
        <v>32450.392930000002</v>
      </c>
      <c r="AO68" s="1273">
        <f t="shared" si="50"/>
        <v>36736.54191</v>
      </c>
      <c r="AP68" s="1273">
        <f t="shared" si="50"/>
        <v>34501.745349999997</v>
      </c>
      <c r="AQ68" s="1273">
        <f t="shared" si="50"/>
        <v>35012.487829999998</v>
      </c>
      <c r="AR68" s="1273">
        <f t="shared" si="50"/>
        <v>32879.689529999996</v>
      </c>
      <c r="AS68" s="1273">
        <f t="shared" si="50"/>
        <v>30803.807650000002</v>
      </c>
      <c r="AT68" s="1273">
        <f t="shared" si="50"/>
        <v>31115.327840000005</v>
      </c>
      <c r="AU68" s="1273">
        <f t="shared" si="50"/>
        <v>36905.533940000001</v>
      </c>
      <c r="AV68" s="1273">
        <f t="shared" si="50"/>
        <v>37039.672479999994</v>
      </c>
      <c r="AW68" s="1273">
        <f t="shared" si="50"/>
        <v>37420.260069999997</v>
      </c>
      <c r="AX68" s="571">
        <f t="shared" si="43"/>
        <v>419741.66102</v>
      </c>
      <c r="AY68" s="1227"/>
    </row>
    <row r="69" spans="1:51" x14ac:dyDescent="0.2"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1227"/>
      <c r="AM69" s="1227"/>
      <c r="AN69" s="1227"/>
      <c r="AO69" s="1227"/>
      <c r="AP69" s="1227"/>
      <c r="AQ69" s="1227"/>
      <c r="AR69" s="1227"/>
      <c r="AS69" s="1227"/>
      <c r="AT69" s="1227"/>
      <c r="AU69" s="1227"/>
      <c r="AV69" s="1227"/>
      <c r="AW69" s="1227"/>
      <c r="AX69" s="571">
        <f>SUM(AL69:AW69)</f>
        <v>0</v>
      </c>
    </row>
    <row r="70" spans="1:51" x14ac:dyDescent="0.2">
      <c r="B70" s="1271" t="s">
        <v>760</v>
      </c>
      <c r="C70" s="577"/>
      <c r="D70" s="578">
        <f>SUM(Z70:AK70)</f>
        <v>-10093</v>
      </c>
      <c r="E70" s="577">
        <f>SUM(AL70:AW70)</f>
        <v>-58.069999999999879</v>
      </c>
      <c r="G70" s="577">
        <f>SUM(N70:P70,X70:Y70)</f>
        <v>0</v>
      </c>
      <c r="H70" s="578">
        <f>SUM(Z70:AB70,AJ70:AK70)</f>
        <v>-10093</v>
      </c>
      <c r="I70" s="577">
        <f>SUM(AL70:AN70,AV70:AW70)</f>
        <v>-653.06000000000017</v>
      </c>
      <c r="J70" s="569"/>
      <c r="K70" s="577">
        <f>SUM(Q70:W70)</f>
        <v>0</v>
      </c>
      <c r="L70" s="578">
        <f>SUM(AC70:AI70)</f>
        <v>0</v>
      </c>
      <c r="M70" s="577">
        <f>SUM(AO70:AU70)</f>
        <v>594.99</v>
      </c>
      <c r="N70" s="1226"/>
      <c r="O70" s="1226"/>
      <c r="P70" s="1226"/>
      <c r="Q70" s="1226"/>
      <c r="R70" s="1226"/>
      <c r="S70" s="1226"/>
      <c r="T70" s="1226"/>
      <c r="U70" s="1226"/>
      <c r="V70" s="1226"/>
      <c r="W70" s="1226"/>
      <c r="X70" s="1226"/>
      <c r="Y70" s="1272"/>
      <c r="Z70" s="586">
        <v>-361</v>
      </c>
      <c r="AA70" s="586">
        <v>-9732</v>
      </c>
      <c r="AB70" s="586"/>
      <c r="AC70" s="586"/>
      <c r="AD70" s="586"/>
      <c r="AE70" s="586"/>
      <c r="AF70" s="586"/>
      <c r="AG70" s="586"/>
      <c r="AH70" s="586"/>
      <c r="AI70" s="586"/>
      <c r="AJ70" s="586"/>
      <c r="AK70" s="586"/>
      <c r="AL70" s="1226">
        <f>SUM('Apr11-Mar12 FT-TS-Cashout-LG&amp;E'!H202:H204)</f>
        <v>97.240000000000009</v>
      </c>
      <c r="AM70" s="1226">
        <f>SUM('Apr11-Mar12 FT-TS-Cashout-LG&amp;E'!I202:I204)</f>
        <v>-1266.8</v>
      </c>
      <c r="AN70" s="1226">
        <f>SUM('Apr11-Mar12 FT-TS-Cashout-LG&amp;E'!J202:J204)</f>
        <v>10.120000000000005</v>
      </c>
      <c r="AO70" s="1226">
        <f>SUM('Apr11-Mar12 FT-TS-Cashout-LG&amp;E'!K202:K204)</f>
        <v>108.44</v>
      </c>
      <c r="AP70" s="1226">
        <f>SUM('Apr11-Mar12 FT-TS-Cashout-LG&amp;E'!L202:L204)</f>
        <v>313.16000000000003</v>
      </c>
      <c r="AQ70" s="1226">
        <f>SUM('Apr11-Mar12 FT-TS-Cashout-LG&amp;E'!M202:M204)</f>
        <v>-485.26</v>
      </c>
      <c r="AR70" s="1226">
        <f>SUM('Apr11-Mar12 FT-TS-Cashout-LG&amp;E'!N202:N204)</f>
        <v>-37.78</v>
      </c>
      <c r="AS70" s="1226">
        <f>SUM('Apr11-Mar12 FT-TS-Cashout-LG&amp;E'!O202:O204)</f>
        <v>225.9</v>
      </c>
      <c r="AT70" s="1226">
        <f>SUM('Apr11-Mar12 FT-TS-Cashout-LG&amp;E'!P202:P204)</f>
        <v>179.97</v>
      </c>
      <c r="AU70" s="1226">
        <f>SUM('Apr11-Mar12 FT-TS-Cashout-LG&amp;E'!Q202:Q204)</f>
        <v>290.56</v>
      </c>
      <c r="AV70" s="1226">
        <f>SUM('Apr11-Mar12 FT-TS-Cashout-LG&amp;E'!R202:R204)</f>
        <v>1.0200000000000102</v>
      </c>
      <c r="AW70" s="1226">
        <f>SUM('Apr11-Mar12 FT-TS-Cashout-LG&amp;E'!S202:S204)</f>
        <v>505.35999999999996</v>
      </c>
      <c r="AX70" s="571">
        <f t="shared" si="43"/>
        <v>-58.069999999999879</v>
      </c>
    </row>
    <row r="71" spans="1:51" x14ac:dyDescent="0.2">
      <c r="C71" s="569"/>
      <c r="D71" s="574"/>
      <c r="E71" s="569"/>
      <c r="Z71" s="585"/>
      <c r="AA71" s="585"/>
      <c r="AB71" s="585"/>
      <c r="AC71" s="585"/>
      <c r="AD71" s="585"/>
      <c r="AE71" s="585"/>
      <c r="AF71" s="585"/>
      <c r="AG71" s="585"/>
      <c r="AH71" s="585"/>
      <c r="AI71" s="585"/>
      <c r="AJ71" s="585"/>
      <c r="AK71" s="585"/>
      <c r="AL71" s="1227"/>
      <c r="AM71" s="1227"/>
      <c r="AN71" s="1227"/>
      <c r="AO71" s="1227"/>
      <c r="AP71" s="1227"/>
      <c r="AQ71" s="1227"/>
      <c r="AR71" s="1227"/>
      <c r="AS71" s="1227"/>
      <c r="AT71" s="1227"/>
      <c r="AU71" s="1227"/>
      <c r="AV71" s="1227"/>
      <c r="AW71" s="1227"/>
      <c r="AX71" s="591"/>
    </row>
    <row r="72" spans="1:51" x14ac:dyDescent="0.2">
      <c r="B72" s="572" t="s">
        <v>709</v>
      </c>
      <c r="C72" s="569">
        <f>SUM(C67:C67)</f>
        <v>12</v>
      </c>
      <c r="D72" s="574">
        <f>SUM(Z72:AK72)</f>
        <v>10933758.6</v>
      </c>
      <c r="E72" s="569">
        <f>SUM(AL72:AW72)</f>
        <v>5488346.1110199997</v>
      </c>
      <c r="G72" s="590">
        <f>SUM(N72:Q72,X72:Y72)</f>
        <v>0</v>
      </c>
      <c r="H72" s="590">
        <f>SUM(Z72:AB72,AJ72:AK72)</f>
        <v>5669893</v>
      </c>
      <c r="I72" s="590">
        <f>SUM(AL72:AN72,AV72:AW72)</f>
        <v>2742618.8669699999</v>
      </c>
      <c r="K72" s="569">
        <f>SUM(Q72:W72)</f>
        <v>0</v>
      </c>
      <c r="L72" s="574">
        <f>SUM(AC72:AI72)</f>
        <v>5263865.6000000006</v>
      </c>
      <c r="M72" s="569">
        <f>SUM(AO72:AU72)</f>
        <v>2745727.2440499999</v>
      </c>
      <c r="Y72" s="572"/>
      <c r="Z72" s="571">
        <f t="shared" ref="Z72:AK72" si="51">SUM(Z52:Z53,Z58:Z60,Z66:Z67)+Z70</f>
        <v>1354711.7999999998</v>
      </c>
      <c r="AA72" s="571">
        <f t="shared" si="51"/>
        <v>1226961.5999999999</v>
      </c>
      <c r="AB72" s="571">
        <f t="shared" si="51"/>
        <v>995546.10000000009</v>
      </c>
      <c r="AC72" s="571">
        <f t="shared" si="51"/>
        <v>784143.6</v>
      </c>
      <c r="AD72" s="571">
        <f t="shared" si="51"/>
        <v>760303.6</v>
      </c>
      <c r="AE72" s="571">
        <f t="shared" si="51"/>
        <v>662994</v>
      </c>
      <c r="AF72" s="571">
        <f t="shared" si="51"/>
        <v>658748.10000000009</v>
      </c>
      <c r="AG72" s="571">
        <f t="shared" si="51"/>
        <v>737749.99999999988</v>
      </c>
      <c r="AH72" s="571">
        <f t="shared" si="51"/>
        <v>736871.9</v>
      </c>
      <c r="AI72" s="571">
        <f t="shared" si="51"/>
        <v>923054.4</v>
      </c>
      <c r="AJ72" s="571">
        <f t="shared" si="51"/>
        <v>944091.89999999991</v>
      </c>
      <c r="AK72" s="571">
        <f t="shared" si="51"/>
        <v>1148581.6000000001</v>
      </c>
      <c r="AL72" s="1273">
        <f>SUM(AL52:AL53,AL58:AL60,AL66:AL67)+AL64+AL70</f>
        <v>642847.94705999992</v>
      </c>
      <c r="AM72" s="1273">
        <f t="shared" ref="AM72:AW72" si="52">SUM(AM52:AM53,AM58:AM60,AM66:AM67)+AM64+AM70</f>
        <v>570855.37442999997</v>
      </c>
      <c r="AN72" s="1273">
        <f t="shared" si="52"/>
        <v>492287.61292999994</v>
      </c>
      <c r="AO72" s="1273">
        <f t="shared" si="52"/>
        <v>404162.91191000008</v>
      </c>
      <c r="AP72" s="1273">
        <f t="shared" si="52"/>
        <v>391772.36535000004</v>
      </c>
      <c r="AQ72" s="1273">
        <f t="shared" si="52"/>
        <v>349624.51782999997</v>
      </c>
      <c r="AR72" s="1273">
        <f t="shared" si="52"/>
        <v>351442.13952999993</v>
      </c>
      <c r="AS72" s="1273">
        <f t="shared" si="52"/>
        <v>374219.31764999998</v>
      </c>
      <c r="AT72" s="1273">
        <f t="shared" si="52"/>
        <v>386586.74783999997</v>
      </c>
      <c r="AU72" s="1273">
        <f t="shared" si="52"/>
        <v>487919.24393999996</v>
      </c>
      <c r="AV72" s="1273">
        <f t="shared" si="52"/>
        <v>476087.38248000003</v>
      </c>
      <c r="AW72" s="1273">
        <f t="shared" si="52"/>
        <v>560540.55007</v>
      </c>
    </row>
    <row r="73" spans="1:51" x14ac:dyDescent="0.2">
      <c r="B73" s="572" t="s">
        <v>710</v>
      </c>
      <c r="C73" s="569"/>
      <c r="D73" s="574">
        <f>SUM(Z73:AK73)</f>
        <v>10933950</v>
      </c>
      <c r="E73" s="569">
        <f>SUM(AL73:AW73)</f>
        <v>5488346.4100000001</v>
      </c>
      <c r="G73" s="590">
        <f>SUM(N73:Q73,X73:Y73)</f>
        <v>0</v>
      </c>
      <c r="H73" s="590">
        <f>SUM(Z73:AB73,AJ73:AK73)</f>
        <v>5669893</v>
      </c>
      <c r="I73" s="590">
        <f>SUM(AL73:AN73,AV73:AW73)</f>
        <v>2742618.91</v>
      </c>
      <c r="K73" s="569">
        <f>SUM(Q73:W73)</f>
        <v>0</v>
      </c>
      <c r="L73" s="574">
        <f>SUM(AC73:AI73)</f>
        <v>5264057</v>
      </c>
      <c r="M73" s="569">
        <f>SUM(AO73:AU73)</f>
        <v>2745727.5000000005</v>
      </c>
      <c r="Y73" s="572"/>
      <c r="Z73" s="592">
        <f>+'Apr11-Mar12 FT-TS-Cashout-LG&amp;E'!H197</f>
        <v>1319756</v>
      </c>
      <c r="AA73" s="592">
        <f>+'Apr11-Mar12 FT-TS-Cashout-LG&amp;E'!I197</f>
        <v>1260272</v>
      </c>
      <c r="AB73" s="592">
        <f>+'Apr11-Mar12 FT-TS-Cashout-LG&amp;E'!J197</f>
        <v>997169</v>
      </c>
      <c r="AC73" s="592">
        <f>+'Apr11-Mar12 FT-TS-Cashout-LG&amp;E'!K197</f>
        <v>784108</v>
      </c>
      <c r="AD73" s="592">
        <f>+'Apr11-Mar12 FT-TS-Cashout-LG&amp;E'!L197</f>
        <v>760529</v>
      </c>
      <c r="AE73" s="592">
        <f>+'Apr11-Mar12 FT-TS-Cashout-LG&amp;E'!M197</f>
        <v>662993</v>
      </c>
      <c r="AF73" s="592">
        <f>+'Apr11-Mar12 FT-TS-Cashout-LG&amp;E'!N197</f>
        <v>658483</v>
      </c>
      <c r="AG73" s="592">
        <f>+'Apr11-Mar12 FT-TS-Cashout-LG&amp;E'!O197</f>
        <v>738017</v>
      </c>
      <c r="AH73" s="592">
        <f>+'Apr11-Mar12 FT-TS-Cashout-LG&amp;E'!P197</f>
        <v>739572</v>
      </c>
      <c r="AI73" s="592">
        <f>+'Apr11-Mar12 FT-TS-Cashout-LG&amp;E'!Q197</f>
        <v>920355</v>
      </c>
      <c r="AJ73" s="592">
        <f>+'Apr11-Mar12 FT-TS-Cashout-LG&amp;E'!R197</f>
        <v>946697</v>
      </c>
      <c r="AK73" s="592">
        <f>+'Apr11-Mar12 FT-TS-Cashout-LG&amp;E'!S197</f>
        <v>1145999</v>
      </c>
      <c r="AL73" s="1274">
        <f>+'Apr11-Mar12 FT-TS-Cashout-LG&amp;E'!H208</f>
        <v>627439.66</v>
      </c>
      <c r="AM73" s="1274">
        <f>+'Apr11-Mar12 FT-TS-Cashout-LG&amp;E'!I208</f>
        <v>585563.25</v>
      </c>
      <c r="AN73" s="1274">
        <f>+'Apr11-Mar12 FT-TS-Cashout-LG&amp;E'!J208</f>
        <v>492986.02</v>
      </c>
      <c r="AO73" s="1274">
        <f>+'Apr11-Mar12 FT-TS-Cashout-LG&amp;E'!K208</f>
        <v>403847.23</v>
      </c>
      <c r="AP73" s="1274">
        <f>+'Apr11-Mar12 FT-TS-Cashout-LG&amp;E'!L208</f>
        <v>392088.06</v>
      </c>
      <c r="AQ73" s="1274">
        <f>+'Apr11-Mar12 FT-TS-Cashout-LG&amp;E'!M208</f>
        <v>349624.57</v>
      </c>
      <c r="AR73" s="1274">
        <f>+'Apr11-Mar12 FT-TS-Cashout-LG&amp;E'!N208</f>
        <v>351077.4</v>
      </c>
      <c r="AS73" s="1274">
        <f>+'Apr11-Mar12 FT-TS-Cashout-LG&amp;E'!O208</f>
        <v>374584.16</v>
      </c>
      <c r="AT73" s="1274">
        <f>+'Apr11-Mar12 FT-TS-Cashout-LG&amp;E'!P208</f>
        <v>388004.17</v>
      </c>
      <c r="AU73" s="1274">
        <f>+'Apr11-Mar12 FT-TS-Cashout-LG&amp;E'!Q208</f>
        <v>486501.91</v>
      </c>
      <c r="AV73" s="1274">
        <f>+'Apr11-Mar12 FT-TS-Cashout-LG&amp;E'!R208</f>
        <v>477428.25</v>
      </c>
      <c r="AW73" s="1274">
        <f>+'Apr11-Mar12 FT-TS-Cashout-LG&amp;E'!S208</f>
        <v>559201.73</v>
      </c>
    </row>
    <row r="74" spans="1:51" x14ac:dyDescent="0.2">
      <c r="B74" s="1275"/>
      <c r="D74" s="574">
        <f>SUM(Z74:AK74)</f>
        <v>-191.40000000025611</v>
      </c>
      <c r="E74" s="569">
        <f>SUM(AL74:AW74)</f>
        <v>-0.29898000019602478</v>
      </c>
      <c r="G74" s="590">
        <f>SUM(N74:Q74,X74:Y74)</f>
        <v>0</v>
      </c>
      <c r="H74" s="590">
        <f>SUM(Z74:AB74,AJ74:AK74)</f>
        <v>-2.3283064365386963E-10</v>
      </c>
      <c r="I74" s="590">
        <f>SUM(AL74:AN74,AV74:AW74)</f>
        <v>-4.3030000175349414E-2</v>
      </c>
      <c r="K74" s="569">
        <f>SUM(Q74:W74)</f>
        <v>0</v>
      </c>
      <c r="L74" s="574">
        <f>SUM(AC74:AI74)</f>
        <v>-191.40000000002328</v>
      </c>
      <c r="M74" s="569">
        <f>SUM(AO74:AU74)</f>
        <v>-0.25595000002067536</v>
      </c>
      <c r="Z74" s="1226">
        <f>+Z72-Z73</f>
        <v>34955.799999999814</v>
      </c>
      <c r="AA74" s="1226">
        <f>+AA72-AA73</f>
        <v>-33310.40000000014</v>
      </c>
      <c r="AB74" s="1226">
        <f>+AB72-AB73</f>
        <v>-1622.8999999999069</v>
      </c>
      <c r="AC74" s="1226">
        <f>+AC72-AC73</f>
        <v>35.599999999976717</v>
      </c>
      <c r="AD74" s="1226">
        <f>+AD72-AD73</f>
        <v>-225.40000000002328</v>
      </c>
      <c r="AE74" s="1226">
        <f t="shared" ref="AE74:AK74" si="53">+AE72-AE73</f>
        <v>1</v>
      </c>
      <c r="AF74" s="1226">
        <f t="shared" si="53"/>
        <v>265.10000000009313</v>
      </c>
      <c r="AG74" s="1226">
        <f t="shared" si="53"/>
        <v>-267.00000000011642</v>
      </c>
      <c r="AH74" s="1226">
        <f t="shared" si="53"/>
        <v>-2700.0999999999767</v>
      </c>
      <c r="AI74" s="1226">
        <f t="shared" si="53"/>
        <v>2699.4000000000233</v>
      </c>
      <c r="AJ74" s="1226">
        <f t="shared" si="53"/>
        <v>-2605.1000000000931</v>
      </c>
      <c r="AK74" s="1226">
        <f t="shared" si="53"/>
        <v>2582.6000000000931</v>
      </c>
      <c r="AL74" s="1274">
        <f>+AL72-AL73</f>
        <v>15408.287059999886</v>
      </c>
      <c r="AM74" s="1274">
        <f t="shared" ref="AM74:AW74" si="54">+AM72-AM73</f>
        <v>-14707.875570000033</v>
      </c>
      <c r="AN74" s="1274">
        <f t="shared" si="54"/>
        <v>-698.40707000007387</v>
      </c>
      <c r="AO74" s="1274">
        <f t="shared" si="54"/>
        <v>315.6819100001012</v>
      </c>
      <c r="AP74" s="1274">
        <f t="shared" si="54"/>
        <v>-315.69464999996126</v>
      </c>
      <c r="AQ74" s="1274">
        <f t="shared" si="54"/>
        <v>-5.2170000039041042E-2</v>
      </c>
      <c r="AR74" s="1274">
        <f t="shared" si="54"/>
        <v>364.73952999990433</v>
      </c>
      <c r="AS74" s="1274">
        <f t="shared" si="54"/>
        <v>-364.84234999999171</v>
      </c>
      <c r="AT74" s="1274">
        <f t="shared" si="54"/>
        <v>-1417.4221600000164</v>
      </c>
      <c r="AU74" s="1274">
        <f t="shared" si="54"/>
        <v>1417.3339399999822</v>
      </c>
      <c r="AV74" s="1274">
        <f t="shared" si="54"/>
        <v>-1340.8675199999707</v>
      </c>
      <c r="AW74" s="1274">
        <f t="shared" si="54"/>
        <v>1338.8200700000161</v>
      </c>
      <c r="AX74" s="571">
        <f>SUM(AL74:AW74)</f>
        <v>-0.29898000019602478</v>
      </c>
    </row>
    <row r="75" spans="1:51" x14ac:dyDescent="0.2">
      <c r="D75" s="572"/>
      <c r="AB75" s="583">
        <f>SUM(Z74:AB74)</f>
        <v>22.499999999767169</v>
      </c>
      <c r="AK75" s="583">
        <f>SUM(AC74:AK74)</f>
        <v>-213.90000000002328</v>
      </c>
      <c r="AL75" s="585">
        <f>+'Apr11-Mar12 FT-TS-Cashout-LG&amp;E'!H202</f>
        <v>-440.61</v>
      </c>
      <c r="AM75" s="585">
        <f>+'Apr11-Mar12 FT-TS-Cashout-LG&amp;E'!I202</f>
        <v>-720.92</v>
      </c>
      <c r="AN75" s="585">
        <f>+'Apr11-Mar12 FT-TS-Cashout-LG&amp;E'!J202</f>
        <v>-113.03</v>
      </c>
      <c r="AO75" s="585">
        <f>+'Apr11-Mar12 FT-TS-Cashout-LG&amp;E'!K202</f>
        <v>25.89</v>
      </c>
      <c r="AP75" s="585">
        <f>+'Apr11-Mar12 FT-TS-Cashout-LG&amp;E'!L202</f>
        <v>313.16000000000003</v>
      </c>
      <c r="AQ75" s="585">
        <f>+'Apr11-Mar12 FT-TS-Cashout-LG&amp;E'!M202</f>
        <v>-485.26</v>
      </c>
      <c r="AR75" s="585">
        <f>+'Apr11-Mar12 FT-TS-Cashout-LG&amp;E'!N202</f>
        <v>-37.78</v>
      </c>
      <c r="AS75" s="585">
        <f>+'Apr11-Mar12 FT-TS-Cashout-LG&amp;E'!O202</f>
        <v>225.9</v>
      </c>
      <c r="AT75" s="585">
        <f>+'Apr11-Mar12 FT-TS-Cashout-LG&amp;E'!P202</f>
        <v>179.97</v>
      </c>
      <c r="AU75" s="585">
        <f>+'Apr11-Mar12 FT-TS-Cashout-LG&amp;E'!Q202</f>
        <v>290.56</v>
      </c>
      <c r="AV75" s="585">
        <f>+'Apr11-Mar12 FT-TS-Cashout-LG&amp;E'!R202</f>
        <v>108.73</v>
      </c>
      <c r="AW75" s="585">
        <f>+'Apr11-Mar12 FT-TS-Cashout-LG&amp;E'!S202</f>
        <v>381.87</v>
      </c>
      <c r="AX75" s="571">
        <f>SUM(AL75:AW75)+AV76+AW76</f>
        <v>-263.76999999999964</v>
      </c>
      <c r="AY75" s="571"/>
    </row>
    <row r="76" spans="1:51" x14ac:dyDescent="0.2">
      <c r="D76" s="572"/>
      <c r="AK76" s="1276"/>
      <c r="AL76" s="1277"/>
      <c r="AM76" s="1278"/>
      <c r="AN76" s="1277"/>
      <c r="AO76" s="1278"/>
      <c r="AP76" s="1278"/>
      <c r="AQ76" s="1278"/>
      <c r="AR76" s="1278"/>
      <c r="AS76" s="1278"/>
      <c r="AT76" s="1278"/>
      <c r="AU76" s="1278"/>
      <c r="AV76" s="585">
        <f>+'Apr11-Mar12 FT-TS-Cashout-LG&amp;E'!R203</f>
        <v>-107.71</v>
      </c>
      <c r="AW76" s="585">
        <f>+'Apr11-Mar12 FT-TS-Cashout-LG&amp;E'!S203</f>
        <v>115.46</v>
      </c>
    </row>
    <row r="77" spans="1:51" x14ac:dyDescent="0.2">
      <c r="B77" s="572" t="s">
        <v>965</v>
      </c>
      <c r="D77" s="590">
        <f>+D35+D49+D73</f>
        <v>39415643</v>
      </c>
      <c r="E77" s="590">
        <f>+E35+E49+E73</f>
        <v>279479119.22000009</v>
      </c>
      <c r="Z77" s="590">
        <f t="shared" ref="Z77:AW77" si="55">+Z35+Z49+Z73</f>
        <v>6570645</v>
      </c>
      <c r="AA77" s="590">
        <f t="shared" si="55"/>
        <v>6260818</v>
      </c>
      <c r="AB77" s="590">
        <f t="shared" si="55"/>
        <v>4522799</v>
      </c>
      <c r="AC77" s="590">
        <f t="shared" si="55"/>
        <v>3622699</v>
      </c>
      <c r="AD77" s="590">
        <f t="shared" si="55"/>
        <v>2253781</v>
      </c>
      <c r="AE77" s="590">
        <f t="shared" si="55"/>
        <v>1770116</v>
      </c>
      <c r="AF77" s="590">
        <f t="shared" si="55"/>
        <v>1547155</v>
      </c>
      <c r="AG77" s="590">
        <f t="shared" si="55"/>
        <v>1574910</v>
      </c>
      <c r="AH77" s="590">
        <f t="shared" si="55"/>
        <v>1588436</v>
      </c>
      <c r="AI77" s="590">
        <f t="shared" si="55"/>
        <v>2001616</v>
      </c>
      <c r="AJ77" s="590">
        <f t="shared" si="55"/>
        <v>3009225</v>
      </c>
      <c r="AK77" s="590">
        <f t="shared" si="55"/>
        <v>4693443</v>
      </c>
      <c r="AL77" s="590">
        <f t="shared" si="55"/>
        <v>46423246.550000004</v>
      </c>
      <c r="AM77" s="590">
        <f t="shared" si="55"/>
        <v>42916636.499999993</v>
      </c>
      <c r="AN77" s="590">
        <f t="shared" si="55"/>
        <v>31921138.18</v>
      </c>
      <c r="AO77" s="590">
        <f t="shared" si="55"/>
        <v>27110253.760000005</v>
      </c>
      <c r="AP77" s="590">
        <f t="shared" si="55"/>
        <v>16326827.890000001</v>
      </c>
      <c r="AQ77" s="590">
        <f t="shared" si="55"/>
        <v>13174040.890000002</v>
      </c>
      <c r="AR77" s="590">
        <f t="shared" si="55"/>
        <v>11169084.429999998</v>
      </c>
      <c r="AS77" s="590">
        <f t="shared" si="55"/>
        <v>11206115.210000001</v>
      </c>
      <c r="AT77" s="590">
        <f t="shared" si="55"/>
        <v>11377781.720000001</v>
      </c>
      <c r="AU77" s="590">
        <f t="shared" si="55"/>
        <v>13676646.189999998</v>
      </c>
      <c r="AV77" s="590">
        <f t="shared" si="55"/>
        <v>21206352.160000004</v>
      </c>
      <c r="AW77" s="590">
        <f t="shared" si="55"/>
        <v>32970995.740000002</v>
      </c>
    </row>
    <row r="78" spans="1:51" x14ac:dyDescent="0.2">
      <c r="B78" s="572" t="s">
        <v>966</v>
      </c>
      <c r="D78" s="590">
        <f>+D36+D48+D72</f>
        <v>39415449.100000001</v>
      </c>
      <c r="E78" s="590">
        <f ca="1">+E36+E48+E72</f>
        <v>279479119.21472001</v>
      </c>
      <c r="H78" s="1279"/>
      <c r="Z78" s="590">
        <f t="shared" ref="Z78:AW78" si="56">+Z36+Z48+Z72</f>
        <v>6605961.7000000002</v>
      </c>
      <c r="AA78" s="590">
        <f t="shared" si="56"/>
        <v>6227147.1000000006</v>
      </c>
      <c r="AB78" s="590">
        <f t="shared" si="56"/>
        <v>4521175.5</v>
      </c>
      <c r="AC78" s="590">
        <f t="shared" si="56"/>
        <v>3519582.4</v>
      </c>
      <c r="AD78" s="590">
        <f t="shared" si="56"/>
        <v>2356705.5</v>
      </c>
      <c r="AE78" s="590">
        <f t="shared" si="56"/>
        <v>1770117.8</v>
      </c>
      <c r="AF78" s="590">
        <f t="shared" si="56"/>
        <v>1547419.0000000002</v>
      </c>
      <c r="AG78" s="590">
        <f t="shared" si="56"/>
        <v>1574643</v>
      </c>
      <c r="AH78" s="590">
        <f t="shared" si="56"/>
        <v>1585736.5</v>
      </c>
      <c r="AI78" s="590">
        <f t="shared" si="56"/>
        <v>2004314.6</v>
      </c>
      <c r="AJ78" s="590">
        <f t="shared" si="56"/>
        <v>3006619.1</v>
      </c>
      <c r="AK78" s="590">
        <f t="shared" si="56"/>
        <v>4696026.9000000004</v>
      </c>
      <c r="AL78" s="590">
        <f t="shared" ca="1" si="56"/>
        <v>46438654.832759999</v>
      </c>
      <c r="AM78" s="590">
        <f t="shared" ca="1" si="56"/>
        <v>42901928.699020013</v>
      </c>
      <c r="AN78" s="590">
        <f t="shared" ca="1" si="56"/>
        <v>31920439.797490001</v>
      </c>
      <c r="AO78" s="590">
        <f t="shared" ca="1" si="56"/>
        <v>26299476.427910004</v>
      </c>
      <c r="AP78" s="590">
        <f t="shared" ca="1" si="56"/>
        <v>17137605.284050003</v>
      </c>
      <c r="AQ78" s="590">
        <f t="shared" ca="1" si="56"/>
        <v>13174040.857660001</v>
      </c>
      <c r="AR78" s="590">
        <f t="shared" ca="1" si="56"/>
        <v>11169449.21572</v>
      </c>
      <c r="AS78" s="590">
        <f t="shared" ca="1" si="56"/>
        <v>11205750.32621</v>
      </c>
      <c r="AT78" s="590">
        <f t="shared" ca="1" si="56"/>
        <v>11376364.337240001</v>
      </c>
      <c r="AU78" s="590">
        <f t="shared" ca="1" si="56"/>
        <v>13678063.51818</v>
      </c>
      <c r="AV78" s="590">
        <f t="shared" ca="1" si="56"/>
        <v>21205011.298549995</v>
      </c>
      <c r="AW78" s="590">
        <f t="shared" ca="1" si="56"/>
        <v>32972334.619929999</v>
      </c>
    </row>
    <row r="79" spans="1:51" x14ac:dyDescent="0.2">
      <c r="D79" s="590">
        <f>+D78-D77</f>
        <v>-193.89999999850988</v>
      </c>
      <c r="E79" s="590">
        <f ca="1">+E78-E77</f>
        <v>-5.2800774574279785E-3</v>
      </c>
      <c r="Z79" s="590">
        <f t="shared" ref="Z79:AW79" si="57">+Z78-Z77</f>
        <v>35316.700000000186</v>
      </c>
      <c r="AA79" s="590">
        <f t="shared" si="57"/>
        <v>-33670.899999999441</v>
      </c>
      <c r="AB79" s="590">
        <f t="shared" si="57"/>
        <v>-1623.5</v>
      </c>
      <c r="AC79" s="590">
        <f t="shared" si="57"/>
        <v>-103116.60000000009</v>
      </c>
      <c r="AD79" s="590">
        <f t="shared" si="57"/>
        <v>102924.5</v>
      </c>
      <c r="AE79" s="590">
        <f t="shared" si="57"/>
        <v>1.8000000000465661</v>
      </c>
      <c r="AF79" s="590">
        <f t="shared" si="57"/>
        <v>264.00000000023283</v>
      </c>
      <c r="AG79" s="590">
        <f t="shared" si="57"/>
        <v>-267</v>
      </c>
      <c r="AH79" s="590">
        <f t="shared" si="57"/>
        <v>-2699.5</v>
      </c>
      <c r="AI79" s="590">
        <f t="shared" si="57"/>
        <v>2698.6000000000931</v>
      </c>
      <c r="AJ79" s="590">
        <f t="shared" si="57"/>
        <v>-2605.8999999999069</v>
      </c>
      <c r="AK79" s="590">
        <f t="shared" si="57"/>
        <v>2583.9000000003725</v>
      </c>
      <c r="AL79" s="590">
        <f t="shared" ca="1" si="57"/>
        <v>15408.282759994268</v>
      </c>
      <c r="AM79" s="590">
        <f t="shared" ca="1" si="57"/>
        <v>-14707.800979979336</v>
      </c>
      <c r="AN79" s="590">
        <f t="shared" ca="1" si="57"/>
        <v>-698.38250999897718</v>
      </c>
      <c r="AO79" s="590">
        <f t="shared" ca="1" si="57"/>
        <v>-810777.33209000155</v>
      </c>
      <c r="AP79" s="590">
        <f t="shared" ca="1" si="57"/>
        <v>810777.3940500021</v>
      </c>
      <c r="AQ79" s="590">
        <f t="shared" ca="1" si="57"/>
        <v>-3.2340001314878464E-2</v>
      </c>
      <c r="AR79" s="590">
        <f t="shared" ca="1" si="57"/>
        <v>364.78572000190616</v>
      </c>
      <c r="AS79" s="590">
        <f t="shared" ca="1" si="57"/>
        <v>-364.88379000127316</v>
      </c>
      <c r="AT79" s="590">
        <f t="shared" ca="1" si="57"/>
        <v>-1417.3827599994838</v>
      </c>
      <c r="AU79" s="590">
        <f t="shared" ca="1" si="57"/>
        <v>1417.3281800020486</v>
      </c>
      <c r="AV79" s="590">
        <f t="shared" ca="1" si="57"/>
        <v>-1340.861450009048</v>
      </c>
      <c r="AW79" s="590">
        <f t="shared" ca="1" si="57"/>
        <v>1338.8799299970269</v>
      </c>
    </row>
    <row r="80" spans="1:51" x14ac:dyDescent="0.2">
      <c r="E80" s="590">
        <f ca="1">+E74-E79</f>
        <v>-0.2936999227385968</v>
      </c>
      <c r="AM80" s="585"/>
      <c r="AO80" s="585"/>
      <c r="AP80" s="585"/>
      <c r="AQ80" s="585"/>
      <c r="AR80" s="585"/>
      <c r="AS80" s="585"/>
      <c r="AT80" s="585"/>
      <c r="AU80" s="585"/>
      <c r="AV80" s="585"/>
      <c r="AW80" s="585"/>
    </row>
    <row r="81" spans="26:49" x14ac:dyDescent="0.2">
      <c r="Z81" s="583">
        <f>(9732+361)*0.043</f>
        <v>433.99899999999997</v>
      </c>
      <c r="AM81" s="585"/>
      <c r="AO81" s="585"/>
      <c r="AP81" s="585"/>
      <c r="AQ81" s="585"/>
      <c r="AR81" s="585"/>
      <c r="AS81" s="585"/>
      <c r="AT81" s="585"/>
      <c r="AU81" s="585"/>
      <c r="AV81" s="585"/>
      <c r="AW81" s="585"/>
    </row>
    <row r="82" spans="26:49" x14ac:dyDescent="0.2">
      <c r="AM82" s="585"/>
      <c r="AO82" s="585"/>
      <c r="AP82" s="585"/>
      <c r="AQ82" s="585"/>
      <c r="AR82" s="585"/>
      <c r="AS82" s="585"/>
      <c r="AT82" s="585"/>
      <c r="AU82" s="585"/>
      <c r="AV82" s="585"/>
      <c r="AW82" s="585"/>
    </row>
    <row r="83" spans="26:49" x14ac:dyDescent="0.2">
      <c r="AM83" s="585"/>
      <c r="AO83" s="585"/>
      <c r="AP83" s="585"/>
      <c r="AQ83" s="585"/>
      <c r="AR83" s="585"/>
      <c r="AS83" s="585"/>
      <c r="AT83" s="585"/>
      <c r="AU83" s="585"/>
      <c r="AV83" s="585"/>
      <c r="AW83" s="585"/>
    </row>
    <row r="84" spans="26:49" x14ac:dyDescent="0.2">
      <c r="AM84" s="585"/>
      <c r="AO84" s="585"/>
      <c r="AP84" s="585"/>
      <c r="AQ84" s="585"/>
      <c r="AR84" s="585"/>
      <c r="AS84" s="585"/>
      <c r="AT84" s="585"/>
      <c r="AU84" s="585"/>
      <c r="AV84" s="585"/>
      <c r="AW84" s="585"/>
    </row>
    <row r="85" spans="26:49" x14ac:dyDescent="0.2">
      <c r="AM85" s="585"/>
      <c r="AO85" s="585"/>
      <c r="AP85" s="585"/>
      <c r="AQ85" s="585"/>
      <c r="AR85" s="585"/>
      <c r="AS85" s="585"/>
      <c r="AT85" s="585"/>
      <c r="AU85" s="585"/>
      <c r="AV85" s="585"/>
      <c r="AW85" s="585"/>
    </row>
  </sheetData>
  <sortState ref="AH86:AI96">
    <sortCondition ref="AH86"/>
  </sortState>
  <mergeCells count="7">
    <mergeCell ref="O1:P1"/>
    <mergeCell ref="AA1:AB1"/>
    <mergeCell ref="O2:P2"/>
    <mergeCell ref="AA2:AB2"/>
    <mergeCell ref="C4:E4"/>
    <mergeCell ref="G4:I4"/>
    <mergeCell ref="K4:M4"/>
  </mergeCells>
  <pageMargins left="0.25" right="0.25" top="1.25" bottom="0.59" header="0.73" footer="0.2"/>
  <pageSetup paperSize="17" scale="87" fitToWidth="2" fitToHeight="8" pageOrder="overThenDown" orientation="landscape" r:id="rId1"/>
  <headerFooter alignWithMargins="0">
    <oddHeader>&amp;L&amp;12LOUISVILLE GAS AND ELECTRIC COMPANY
GAS SALES BY RATE SCHEDULES
12 MONTHS ENDED OCTOBER 31, 2009</oddHeader>
    <oddFooter>&amp;C&amp;12Gas Sales by Rate Schedules
12 Mos. Ended October 31, 2009&amp;R&amp;12Page &amp;P of 4</oddFooter>
  </headerFooter>
  <rowBreaks count="1" manualBreakCount="1">
    <brk id="49" min="37" max="51" man="1"/>
  </rowBreaks>
  <colBreaks count="1" manualBreakCount="1">
    <brk id="37" min="2" max="161" man="1"/>
  </colBreaks>
  <ignoredErrors>
    <ignoredError sqref="D37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39997558519241921"/>
  </sheetPr>
  <dimension ref="A1:BF351"/>
  <sheetViews>
    <sheetView zoomScale="70" zoomScaleNormal="70" workbookViewId="0"/>
  </sheetViews>
  <sheetFormatPr defaultRowHeight="15" x14ac:dyDescent="0.25"/>
  <cols>
    <col min="1" max="2" width="9.140625" style="210"/>
    <col min="3" max="3" width="14" style="210" bestFit="1" customWidth="1"/>
    <col min="4" max="4" width="9.140625" style="210"/>
    <col min="5" max="5" width="17.28515625" style="210" customWidth="1"/>
    <col min="6" max="8" width="11.85546875" style="210" customWidth="1"/>
    <col min="9" max="9" width="13.85546875" style="210" bestFit="1" customWidth="1"/>
    <col min="10" max="10" width="11.42578125" style="210" bestFit="1" customWidth="1"/>
    <col min="11" max="11" width="11.140625" style="210" bestFit="1" customWidth="1"/>
    <col min="12" max="20" width="3.28515625" style="210" customWidth="1"/>
    <col min="21" max="21" width="17" style="210" bestFit="1" customWidth="1"/>
    <col min="22" max="22" width="14.42578125" style="210" customWidth="1"/>
    <col min="23" max="23" width="15.28515625" style="210" bestFit="1" customWidth="1"/>
    <col min="24" max="24" width="16.42578125" style="210" bestFit="1" customWidth="1"/>
    <col min="25" max="25" width="15.5703125" style="210" bestFit="1" customWidth="1"/>
    <col min="26" max="26" width="17.28515625" style="210" bestFit="1" customWidth="1"/>
    <col min="27" max="27" width="10.28515625" style="210" bestFit="1" customWidth="1"/>
    <col min="28" max="28" width="9.42578125" style="210" bestFit="1" customWidth="1"/>
    <col min="29" max="29" width="12.42578125" style="210" bestFit="1" customWidth="1"/>
    <col min="30" max="30" width="9.42578125" style="210" bestFit="1" customWidth="1"/>
    <col min="31" max="32" width="10.42578125" style="210" customWidth="1"/>
    <col min="33" max="33" width="13.7109375" style="210" customWidth="1"/>
    <col min="34" max="34" width="11.140625" style="210" bestFit="1" customWidth="1"/>
    <col min="35" max="35" width="11.7109375" style="210" bestFit="1" customWidth="1"/>
    <col min="36" max="36" width="11.5703125" style="210" customWidth="1"/>
    <col min="37" max="37" width="13.7109375" style="210" bestFit="1" customWidth="1"/>
    <col min="38" max="38" width="9.28515625" style="210" bestFit="1" customWidth="1"/>
    <col min="39" max="39" width="13.140625" style="210" bestFit="1" customWidth="1"/>
    <col min="40" max="40" width="16" style="210" bestFit="1" customWidth="1"/>
    <col min="41" max="41" width="15" style="210" bestFit="1" customWidth="1"/>
    <col min="42" max="42" width="16" style="210" bestFit="1" customWidth="1"/>
    <col min="43" max="43" width="15.42578125" style="210" bestFit="1" customWidth="1"/>
    <col min="44" max="44" width="17.140625" style="210" bestFit="1" customWidth="1"/>
    <col min="45" max="45" width="15" style="210" bestFit="1" customWidth="1"/>
    <col min="46" max="46" width="14" style="210" bestFit="1" customWidth="1"/>
    <col min="47" max="47" width="15" style="210" bestFit="1" customWidth="1"/>
    <col min="48" max="48" width="14.42578125" style="210" customWidth="1"/>
    <col min="49" max="49" width="17.28515625" style="210" customWidth="1"/>
    <col min="50" max="50" width="17.140625" style="210" bestFit="1" customWidth="1"/>
    <col min="51" max="51" width="15.85546875" style="210" customWidth="1"/>
    <col min="52" max="52" width="15" style="210" bestFit="1" customWidth="1"/>
    <col min="53" max="53" width="17.140625" style="210" bestFit="1" customWidth="1"/>
    <col min="54" max="54" width="13.85546875" style="210" bestFit="1" customWidth="1"/>
    <col min="55" max="55" width="13.140625" style="210" bestFit="1" customWidth="1"/>
    <col min="56" max="56" width="16.42578125" style="210" bestFit="1" customWidth="1"/>
    <col min="57" max="57" width="16" style="210" bestFit="1" customWidth="1"/>
    <col min="58" max="58" width="15" style="210" bestFit="1" customWidth="1"/>
  </cols>
  <sheetData>
    <row r="1" spans="1:58" s="210" customFormat="1" ht="12.75" x14ac:dyDescent="0.2">
      <c r="A1" s="196"/>
      <c r="B1" s="196"/>
      <c r="C1" s="196"/>
      <c r="D1" s="197"/>
      <c r="E1" s="197"/>
      <c r="F1" s="214"/>
      <c r="G1" s="214"/>
      <c r="H1" s="214"/>
      <c r="I1" s="214"/>
      <c r="J1" s="214"/>
      <c r="K1" s="214"/>
      <c r="L1" s="217"/>
      <c r="M1" s="217"/>
      <c r="N1" s="217"/>
      <c r="O1" s="217"/>
      <c r="P1" s="217"/>
      <c r="Q1" s="217"/>
      <c r="R1" s="217"/>
      <c r="S1" s="217"/>
      <c r="T1" s="217"/>
      <c r="U1" s="214"/>
      <c r="V1" s="214"/>
      <c r="W1" s="225"/>
      <c r="X1" s="225"/>
      <c r="Y1" s="214"/>
      <c r="Z1" s="214"/>
      <c r="AA1" s="214"/>
      <c r="AB1" s="214"/>
      <c r="AC1" s="214"/>
      <c r="AD1" s="214"/>
      <c r="AE1" s="235"/>
      <c r="AF1" s="235"/>
      <c r="AG1" s="235"/>
      <c r="AH1" s="235"/>
      <c r="AI1" s="235"/>
      <c r="AJ1" s="235"/>
      <c r="AK1" s="235"/>
      <c r="AL1" s="235"/>
      <c r="AM1" s="235"/>
      <c r="AN1" s="214"/>
      <c r="AO1" s="225"/>
      <c r="AP1" s="225"/>
      <c r="AQ1" s="214"/>
      <c r="AR1" s="214"/>
      <c r="AS1" s="214"/>
      <c r="AT1" s="214"/>
      <c r="AU1" s="214"/>
      <c r="AV1" s="214"/>
      <c r="AW1" s="217"/>
      <c r="AX1" s="217"/>
      <c r="AY1" s="217"/>
      <c r="AZ1" s="217"/>
      <c r="BA1" s="217"/>
      <c r="BB1" s="217"/>
      <c r="BC1" s="217"/>
      <c r="BD1" s="217"/>
      <c r="BE1" s="217"/>
      <c r="BF1" s="217"/>
    </row>
    <row r="2" spans="1:58" s="210" customFormat="1" ht="12.75" x14ac:dyDescent="0.2">
      <c r="A2" s="196"/>
      <c r="B2" s="196"/>
      <c r="C2" s="196"/>
      <c r="D2" s="197"/>
      <c r="E2" s="197"/>
      <c r="F2" s="214"/>
      <c r="G2" s="214"/>
      <c r="H2" s="214"/>
      <c r="I2" s="214"/>
      <c r="J2" s="214"/>
      <c r="K2" s="214"/>
      <c r="L2" s="217"/>
      <c r="M2" s="217"/>
      <c r="N2" s="217"/>
      <c r="O2" s="217"/>
      <c r="P2" s="217"/>
      <c r="Q2" s="217"/>
      <c r="R2" s="217"/>
      <c r="S2" s="217"/>
      <c r="T2" s="217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35"/>
      <c r="AF2" s="235"/>
      <c r="AG2" s="235"/>
      <c r="AH2" s="235"/>
      <c r="AI2" s="235"/>
      <c r="AJ2" s="235"/>
      <c r="AK2" s="235"/>
      <c r="AL2" s="235"/>
      <c r="AM2" s="235"/>
      <c r="AN2" s="214"/>
      <c r="AO2" s="214"/>
      <c r="AP2" s="214"/>
      <c r="AQ2" s="214"/>
      <c r="AR2" s="214"/>
      <c r="AS2" s="214"/>
      <c r="AT2" s="214"/>
      <c r="AU2" s="214"/>
      <c r="AV2" s="214"/>
      <c r="AW2" s="217"/>
      <c r="AX2" s="217"/>
      <c r="AY2" s="217"/>
      <c r="AZ2" s="217"/>
      <c r="BA2" s="217"/>
      <c r="BB2" s="217"/>
      <c r="BC2" s="217"/>
      <c r="BD2" s="217"/>
      <c r="BE2" s="217"/>
      <c r="BF2" s="217"/>
    </row>
    <row r="3" spans="1:58" s="210" customFormat="1" ht="12.75" x14ac:dyDescent="0.2">
      <c r="A3" s="196">
        <v>1</v>
      </c>
      <c r="B3" s="196">
        <f>1+A3</f>
        <v>2</v>
      </c>
      <c r="C3" s="196">
        <f>1+B3</f>
        <v>3</v>
      </c>
      <c r="D3" s="196">
        <f>1+C3</f>
        <v>4</v>
      </c>
      <c r="E3" s="196">
        <f>1+D3</f>
        <v>5</v>
      </c>
      <c r="F3" s="214">
        <f t="shared" ref="F3:L3" si="0">+E3+1</f>
        <v>6</v>
      </c>
      <c r="G3" s="214">
        <f t="shared" si="0"/>
        <v>7</v>
      </c>
      <c r="H3" s="214">
        <f t="shared" si="0"/>
        <v>8</v>
      </c>
      <c r="I3" s="214">
        <f t="shared" si="0"/>
        <v>9</v>
      </c>
      <c r="J3" s="214">
        <f t="shared" si="0"/>
        <v>10</v>
      </c>
      <c r="K3" s="214">
        <f t="shared" si="0"/>
        <v>11</v>
      </c>
      <c r="L3" s="217">
        <f t="shared" si="0"/>
        <v>12</v>
      </c>
      <c r="M3" s="217">
        <f t="shared" ref="M3:T3" si="1">+L3+1</f>
        <v>13</v>
      </c>
      <c r="N3" s="217">
        <f t="shared" si="1"/>
        <v>14</v>
      </c>
      <c r="O3" s="217">
        <f t="shared" si="1"/>
        <v>15</v>
      </c>
      <c r="P3" s="217">
        <f t="shared" si="1"/>
        <v>16</v>
      </c>
      <c r="Q3" s="217">
        <f t="shared" si="1"/>
        <v>17</v>
      </c>
      <c r="R3" s="217">
        <f t="shared" si="1"/>
        <v>18</v>
      </c>
      <c r="S3" s="217">
        <f t="shared" si="1"/>
        <v>19</v>
      </c>
      <c r="T3" s="217">
        <f t="shared" si="1"/>
        <v>20</v>
      </c>
      <c r="U3" s="214">
        <f>+T3+1</f>
        <v>21</v>
      </c>
      <c r="V3" s="214">
        <f t="shared" ref="V3:AD3" si="2">+U3+1</f>
        <v>22</v>
      </c>
      <c r="W3" s="214">
        <f t="shared" si="2"/>
        <v>23</v>
      </c>
      <c r="X3" s="214">
        <f t="shared" si="2"/>
        <v>24</v>
      </c>
      <c r="Y3" s="214">
        <f t="shared" si="2"/>
        <v>25</v>
      </c>
      <c r="Z3" s="214">
        <f t="shared" si="2"/>
        <v>26</v>
      </c>
      <c r="AA3" s="214">
        <f t="shared" si="2"/>
        <v>27</v>
      </c>
      <c r="AB3" s="214">
        <f t="shared" si="2"/>
        <v>28</v>
      </c>
      <c r="AC3" s="214">
        <f t="shared" si="2"/>
        <v>29</v>
      </c>
      <c r="AD3" s="214">
        <f t="shared" si="2"/>
        <v>30</v>
      </c>
      <c r="AE3" s="235">
        <f>+AD3+1</f>
        <v>31</v>
      </c>
      <c r="AF3" s="235">
        <f>+AE3+1</f>
        <v>32</v>
      </c>
      <c r="AG3" s="235">
        <f t="shared" ref="AG3:AM3" si="3">+AF3+1</f>
        <v>33</v>
      </c>
      <c r="AH3" s="235">
        <f t="shared" si="3"/>
        <v>34</v>
      </c>
      <c r="AI3" s="235">
        <f t="shared" si="3"/>
        <v>35</v>
      </c>
      <c r="AJ3" s="235">
        <f t="shared" si="3"/>
        <v>36</v>
      </c>
      <c r="AK3" s="235">
        <f t="shared" si="3"/>
        <v>37</v>
      </c>
      <c r="AL3" s="235">
        <f t="shared" si="3"/>
        <v>38</v>
      </c>
      <c r="AM3" s="235">
        <f t="shared" si="3"/>
        <v>39</v>
      </c>
      <c r="AN3" s="214">
        <f>+AM3+1</f>
        <v>40</v>
      </c>
      <c r="AO3" s="214">
        <f t="shared" ref="AO3:AV3" si="4">+AN3+1</f>
        <v>41</v>
      </c>
      <c r="AP3" s="214">
        <f t="shared" si="4"/>
        <v>42</v>
      </c>
      <c r="AQ3" s="214">
        <f t="shared" si="4"/>
        <v>43</v>
      </c>
      <c r="AR3" s="214">
        <f t="shared" si="4"/>
        <v>44</v>
      </c>
      <c r="AS3" s="214">
        <f t="shared" si="4"/>
        <v>45</v>
      </c>
      <c r="AT3" s="214">
        <f t="shared" si="4"/>
        <v>46</v>
      </c>
      <c r="AU3" s="214">
        <f t="shared" si="4"/>
        <v>47</v>
      </c>
      <c r="AV3" s="214">
        <f t="shared" si="4"/>
        <v>48</v>
      </c>
      <c r="AW3" s="217">
        <f>1+AV3</f>
        <v>49</v>
      </c>
      <c r="AX3" s="217">
        <f t="shared" ref="AX3:BF3" si="5">1+AW3</f>
        <v>50</v>
      </c>
      <c r="AY3" s="217">
        <f t="shared" si="5"/>
        <v>51</v>
      </c>
      <c r="AZ3" s="217">
        <f t="shared" si="5"/>
        <v>52</v>
      </c>
      <c r="BA3" s="217">
        <f t="shared" si="5"/>
        <v>53</v>
      </c>
      <c r="BB3" s="217">
        <f t="shared" si="5"/>
        <v>54</v>
      </c>
      <c r="BC3" s="217">
        <f t="shared" si="5"/>
        <v>55</v>
      </c>
      <c r="BD3" s="217">
        <f t="shared" si="5"/>
        <v>56</v>
      </c>
      <c r="BE3" s="217">
        <f t="shared" si="5"/>
        <v>57</v>
      </c>
      <c r="BF3" s="217">
        <f t="shared" si="5"/>
        <v>58</v>
      </c>
    </row>
    <row r="4" spans="1:58" s="210" customFormat="1" ht="12.75" x14ac:dyDescent="0.2">
      <c r="A4" s="198"/>
      <c r="B4" s="199"/>
      <c r="C4" s="199"/>
      <c r="D4" s="199"/>
      <c r="E4" s="199"/>
      <c r="F4" s="215" t="s">
        <v>272</v>
      </c>
      <c r="G4" s="215"/>
      <c r="H4" s="215"/>
      <c r="I4" s="216"/>
      <c r="J4" s="216"/>
      <c r="K4" s="216"/>
      <c r="L4" s="218" t="s">
        <v>270</v>
      </c>
      <c r="M4" s="219"/>
      <c r="N4" s="219"/>
      <c r="O4" s="219"/>
      <c r="P4" s="219"/>
      <c r="Q4" s="219"/>
      <c r="R4" s="219"/>
      <c r="S4" s="219"/>
      <c r="T4" s="219"/>
      <c r="U4" s="215" t="s">
        <v>277</v>
      </c>
      <c r="V4" s="215"/>
      <c r="W4" s="216"/>
      <c r="X4" s="216"/>
      <c r="Y4" s="216"/>
      <c r="Z4" s="216"/>
      <c r="AA4" s="226"/>
      <c r="AB4" s="226"/>
      <c r="AC4" s="216"/>
      <c r="AD4" s="216"/>
      <c r="AE4" s="239" t="s">
        <v>287</v>
      </c>
      <c r="AF4" s="239"/>
      <c r="AG4" s="239"/>
      <c r="AH4" s="236"/>
      <c r="AI4" s="236"/>
      <c r="AJ4" s="236"/>
      <c r="AK4" s="236"/>
      <c r="AL4" s="236"/>
      <c r="AM4" s="236"/>
      <c r="AN4" s="215" t="s">
        <v>277</v>
      </c>
      <c r="AO4" s="216"/>
      <c r="AP4" s="216"/>
      <c r="AQ4" s="216"/>
      <c r="AR4" s="216"/>
      <c r="AS4" s="226"/>
      <c r="AT4" s="226"/>
      <c r="AU4" s="216"/>
      <c r="AV4" s="215"/>
      <c r="AW4" s="218" t="s">
        <v>272</v>
      </c>
      <c r="AX4" s="219"/>
      <c r="AY4" s="219"/>
      <c r="AZ4" s="219"/>
      <c r="BA4" s="219"/>
      <c r="BB4" s="219"/>
      <c r="BC4" s="219"/>
      <c r="BD4" s="219"/>
      <c r="BE4" s="219"/>
      <c r="BF4" s="219"/>
    </row>
    <row r="5" spans="1:58" s="210" customFormat="1" ht="49.5" customHeight="1" x14ac:dyDescent="0.2">
      <c r="A5" s="200" t="s">
        <v>259</v>
      </c>
      <c r="B5" s="201" t="s">
        <v>245</v>
      </c>
      <c r="C5" s="201" t="s">
        <v>17</v>
      </c>
      <c r="D5" s="200" t="s">
        <v>260</v>
      </c>
      <c r="E5" s="200" t="s">
        <v>261</v>
      </c>
      <c r="F5" s="212" t="s">
        <v>269</v>
      </c>
      <c r="G5" s="212" t="s">
        <v>311</v>
      </c>
      <c r="H5" s="212" t="s">
        <v>312</v>
      </c>
      <c r="I5" s="213" t="s">
        <v>273</v>
      </c>
      <c r="J5" s="213" t="s">
        <v>274</v>
      </c>
      <c r="K5" s="213" t="s">
        <v>402</v>
      </c>
      <c r="L5" s="220" t="s">
        <v>271</v>
      </c>
      <c r="M5" s="220" t="s">
        <v>275</v>
      </c>
      <c r="N5" s="220" t="s">
        <v>278</v>
      </c>
      <c r="O5" s="220" t="s">
        <v>279</v>
      </c>
      <c r="P5" s="220" t="s">
        <v>292</v>
      </c>
      <c r="Q5" s="220" t="s">
        <v>265</v>
      </c>
      <c r="R5" s="220" t="s">
        <v>266</v>
      </c>
      <c r="S5" s="220" t="s">
        <v>267</v>
      </c>
      <c r="T5" s="220"/>
      <c r="U5" s="213" t="s">
        <v>276</v>
      </c>
      <c r="V5" s="212" t="s">
        <v>315</v>
      </c>
      <c r="W5" s="213" t="s">
        <v>280</v>
      </c>
      <c r="X5" s="213" t="s">
        <v>278</v>
      </c>
      <c r="Y5" s="213" t="s">
        <v>279</v>
      </c>
      <c r="Z5" s="213" t="s">
        <v>292</v>
      </c>
      <c r="AA5" s="213" t="s">
        <v>265</v>
      </c>
      <c r="AB5" s="213" t="s">
        <v>266</v>
      </c>
      <c r="AC5" s="213" t="s">
        <v>267</v>
      </c>
      <c r="AD5" s="213"/>
      <c r="AE5" s="243" t="s">
        <v>313</v>
      </c>
      <c r="AF5" s="243" t="s">
        <v>314</v>
      </c>
      <c r="AG5" s="237" t="s">
        <v>288</v>
      </c>
      <c r="AH5" s="237" t="s">
        <v>280</v>
      </c>
      <c r="AI5" s="237" t="s">
        <v>278</v>
      </c>
      <c r="AJ5" s="237" t="s">
        <v>279</v>
      </c>
      <c r="AK5" s="237" t="s">
        <v>292</v>
      </c>
      <c r="AL5" s="237" t="s">
        <v>294</v>
      </c>
      <c r="AM5" s="237" t="s">
        <v>267</v>
      </c>
      <c r="AN5" s="213" t="s">
        <v>276</v>
      </c>
      <c r="AO5" s="213" t="s">
        <v>280</v>
      </c>
      <c r="AP5" s="213" t="s">
        <v>278</v>
      </c>
      <c r="AQ5" s="213" t="s">
        <v>279</v>
      </c>
      <c r="AR5" s="213" t="s">
        <v>292</v>
      </c>
      <c r="AS5" s="213" t="s">
        <v>294</v>
      </c>
      <c r="AT5" s="213" t="s">
        <v>291</v>
      </c>
      <c r="AU5" s="213" t="s">
        <v>267</v>
      </c>
      <c r="AV5" s="213"/>
      <c r="AW5" s="221" t="s">
        <v>281</v>
      </c>
      <c r="AX5" s="221" t="s">
        <v>282</v>
      </c>
      <c r="AY5" s="220" t="s">
        <v>283</v>
      </c>
      <c r="AZ5" s="221" t="s">
        <v>284</v>
      </c>
      <c r="BA5" s="221" t="s">
        <v>290</v>
      </c>
      <c r="BB5" s="221" t="s">
        <v>291</v>
      </c>
      <c r="BC5" s="228" t="s">
        <v>285</v>
      </c>
      <c r="BD5" s="229" t="s">
        <v>286</v>
      </c>
      <c r="BE5" s="230" t="s">
        <v>289</v>
      </c>
      <c r="BF5" s="230" t="s">
        <v>403</v>
      </c>
    </row>
    <row r="6" spans="1:58" x14ac:dyDescent="0.25">
      <c r="A6" s="196">
        <v>1</v>
      </c>
      <c r="B6" s="211" t="s">
        <v>442</v>
      </c>
      <c r="C6" s="211" t="str">
        <f>+'Retail Rates'!B7</f>
        <v>LGCMG865</v>
      </c>
      <c r="D6" s="197" t="str">
        <f t="shared" ref="D6:D16" si="6">MID(C6,6,3)</f>
        <v>865</v>
      </c>
      <c r="E6" s="197" t="str">
        <f>VLOOKUP(C6,'Retail Rates'!$B$7:$D$35,3,FALSE)</f>
        <v>AAGS-C</v>
      </c>
      <c r="F6" s="222">
        <f ca="1">SUMIF('Apr11-Mar12 Billed-RETAIL'!$C$5:$BF$148,'12-MO Billed Summary RETAIL'!$C6,'Apr11-Mar12 Billed-RETAIL'!F$5:F$148)</f>
        <v>56</v>
      </c>
      <c r="G6" s="222">
        <f ca="1">SUMIF('Apr11-Mar12 Billed-RETAIL'!$C$5:$BF$148,'12-MO Billed Summary RETAIL'!$C6,'Apr11-Mar12 Billed-RETAIL'!G$5:G$148)</f>
        <v>0</v>
      </c>
      <c r="H6" s="222">
        <f ca="1">SUMIF('Apr11-Mar12 Billed-RETAIL'!$C$5:$BF$148,'12-MO Billed Summary RETAIL'!$C6,'Apr11-Mar12 Billed-RETAIL'!H$5:H$148)</f>
        <v>0</v>
      </c>
      <c r="I6" s="222">
        <f ca="1">SUMIF('Apr11-Mar12 Billed-RETAIL'!$C$5:$BF$148,'12-MO Billed Summary RETAIL'!$C6,'Apr11-Mar12 Billed-RETAIL'!I$5:I$148)</f>
        <v>1469230</v>
      </c>
      <c r="J6" s="222">
        <f ca="1">SUMIF('Apr11-Mar12 Billed-RETAIL'!$C$5:$BF$148,'12-MO Billed Summary RETAIL'!$C6,'Apr11-Mar12 Billed-RETAIL'!J$5:J$148)</f>
        <v>0</v>
      </c>
      <c r="K6" s="222">
        <f ca="1">SUMIF('Apr11-Mar12 Billed-RETAIL'!$C$5:$BF$148,'12-MO Billed Summary RETAIL'!$C6,'Apr11-Mar12 Billed-RETAIL'!K$5:K$148)</f>
        <v>0</v>
      </c>
      <c r="L6" s="223"/>
      <c r="M6" s="223"/>
      <c r="N6" s="224"/>
      <c r="O6" s="224"/>
      <c r="P6" s="224"/>
      <c r="Q6" s="223"/>
      <c r="R6" s="224"/>
      <c r="S6" s="223"/>
      <c r="T6" s="223"/>
      <c r="U6" s="225">
        <f ca="1">SUMIF('Apr11-Mar12 Billed-RETAIL'!$C$5:$BF$148,'12-MO Billed Summary RETAIL'!$C6,'Apr11-Mar12 Billed-RETAIL'!U$5:U$148)</f>
        <v>15400</v>
      </c>
      <c r="V6" s="225">
        <f ca="1">SUMIF('Apr11-Mar12 Billed-RETAIL'!$C$5:$BF$148,'12-MO Billed Summary RETAIL'!$C6,'Apr11-Mar12 Billed-RETAIL'!V$5:V$148)</f>
        <v>0</v>
      </c>
      <c r="W6" s="225">
        <f ca="1">SUMIF('Apr11-Mar12 Billed-RETAIL'!$C$5:$BF$148,'12-MO Billed Summary RETAIL'!$C6,'Apr11-Mar12 Billed-RETAIL'!W$5:W$148)</f>
        <v>0</v>
      </c>
      <c r="X6" s="225">
        <f ca="1">SUMIF('Apr11-Mar12 Billed-RETAIL'!$C$5:$BF$148,'12-MO Billed Summary RETAIL'!$C6,'Apr11-Mar12 Billed-RETAIL'!X$5:X$148)</f>
        <v>77163.959599999987</v>
      </c>
      <c r="Y6" s="225">
        <f ca="1">SUMIF('Apr11-Mar12 Billed-RETAIL'!$C$5:$BF$148,'12-MO Billed Summary RETAIL'!$C6,'Apr11-Mar12 Billed-RETAIL'!Y$5:Y$148)</f>
        <v>0</v>
      </c>
      <c r="Z6" s="225">
        <f ca="1">SUMIF('Apr11-Mar12 Billed-RETAIL'!$C$5:$BF$148,'12-MO Billed Summary RETAIL'!$C6,'Apr11-Mar12 Billed-RETAIL'!Z$5:Z$148)</f>
        <v>771223.85648999992</v>
      </c>
      <c r="AA6" s="225">
        <f ca="1">SUMIF('Apr11-Mar12 Billed-RETAIL'!$C$5:$BF$148,'12-MO Billed Summary RETAIL'!$C6,'Apr11-Mar12 Billed-RETAIL'!AA$5:AA$148)</f>
        <v>0</v>
      </c>
      <c r="AB6" s="225">
        <f ca="1">SUMIF('Apr11-Mar12 Billed-RETAIL'!$C$5:$BF$148,'12-MO Billed Summary RETAIL'!$C6,'Apr11-Mar12 Billed-RETAIL'!AB$5:AB$148)</f>
        <v>0</v>
      </c>
      <c r="AC6" s="225">
        <f ca="1">SUMIF('Apr11-Mar12 Billed-RETAIL'!$C$5:$BF$148,'12-MO Billed Summary RETAIL'!$C6,'Apr11-Mar12 Billed-RETAIL'!AC$5:AC$148)</f>
        <v>0</v>
      </c>
      <c r="AD6" s="225">
        <f ca="1">SUMIF('Apr11-Mar12 Billed-RETAIL'!$C$5:$BF$148,'12-MO Billed Summary RETAIL'!$C6,'Apr11-Mar12 Billed-RETAIL'!AD$5:AD$148)</f>
        <v>0</v>
      </c>
      <c r="AE6" s="244">
        <f ca="1">SUMIF('Apr11-Mar12 Billed-RETAIL'!$C$5:$BF$148,'12-MO Billed Summary RETAIL'!$C6,'Apr11-Mar12 Billed-RETAIL'!AE$5:AE$148)</f>
        <v>-4</v>
      </c>
      <c r="AF6" s="244">
        <f ca="1">SUMIF('Apr11-Mar12 Billed-RETAIL'!$C$5:$BF$148,'12-MO Billed Summary RETAIL'!$C6,'Apr11-Mar12 Billed-RETAIL'!AF$5:AF$148)</f>
        <v>0</v>
      </c>
      <c r="AG6" s="238">
        <f ca="1">SUMIF('Apr11-Mar12 Billed-RETAIL'!$C$5:$BF$148,'12-MO Billed Summary RETAIL'!$C6,'Apr11-Mar12 Billed-RETAIL'!AG$5:AG$148)</f>
        <v>165.01</v>
      </c>
      <c r="AH6" s="238">
        <f ca="1">SUMIF('Apr11-Mar12 Billed-RETAIL'!$C$5:$BF$148,'12-MO Billed Summary RETAIL'!$C6,'Apr11-Mar12 Billed-RETAIL'!AH$5:AH$148)</f>
        <v>0</v>
      </c>
      <c r="AI6" s="238">
        <f ca="1">SUMIF('Apr11-Mar12 Billed-RETAIL'!$C$5:$BF$148,'12-MO Billed Summary RETAIL'!$C6,'Apr11-Mar12 Billed-RETAIL'!AI$5:AI$148)</f>
        <v>0</v>
      </c>
      <c r="AJ6" s="238">
        <f ca="1">SUMIF('Apr11-Mar12 Billed-RETAIL'!$C$5:$BF$148,'12-MO Billed Summary RETAIL'!$C6,'Apr11-Mar12 Billed-RETAIL'!AJ$5:AJ$148)</f>
        <v>0</v>
      </c>
      <c r="AK6" s="238">
        <f ca="1">SUMIF('Apr11-Mar12 Billed-RETAIL'!$C$5:$BF$148,'12-MO Billed Summary RETAIL'!$C6,'Apr11-Mar12 Billed-RETAIL'!AK$5:AK$148)</f>
        <v>-718.14361000000054</v>
      </c>
      <c r="AL6" s="238">
        <f ca="1">SUMIF('Apr11-Mar12 Billed-RETAIL'!$C$5:$BF$148,'12-MO Billed Summary RETAIL'!$C6,'Apr11-Mar12 Billed-RETAIL'!AL$5:AL$148)</f>
        <v>0</v>
      </c>
      <c r="AM6" s="238">
        <f ca="1">SUMIF('Apr11-Mar12 Billed-RETAIL'!$C$5:$BF$148,'12-MO Billed Summary RETAIL'!$C6,'Apr11-Mar12 Billed-RETAIL'!AM$5:AM$148)</f>
        <v>0</v>
      </c>
      <c r="AN6" s="225">
        <f ca="1">SUMIF('Apr11-Mar12 Billed-RETAIL'!$C$5:$BF$148,'12-MO Billed Summary RETAIL'!$C6,'Apr11-Mar12 Billed-RETAIL'!AN$5:AN$148)</f>
        <v>14465.01</v>
      </c>
      <c r="AO6" s="225">
        <f ca="1">SUMIF('Apr11-Mar12 Billed-RETAIL'!$C$5:$BF$148,'12-MO Billed Summary RETAIL'!$C6,'Apr11-Mar12 Billed-RETAIL'!AO$5:AO$148)</f>
        <v>0</v>
      </c>
      <c r="AP6" s="225">
        <f ca="1">SUMIF('Apr11-Mar12 Billed-RETAIL'!$C$5:$BF$148,'12-MO Billed Summary RETAIL'!$C6,'Apr11-Mar12 Billed-RETAIL'!AP$5:AP$148)</f>
        <v>77163.959599999987</v>
      </c>
      <c r="AQ6" s="225">
        <f ca="1">SUMIF('Apr11-Mar12 Billed-RETAIL'!$C$5:$BF$148,'12-MO Billed Summary RETAIL'!$C6,'Apr11-Mar12 Billed-RETAIL'!AQ$5:AQ$148)</f>
        <v>0</v>
      </c>
      <c r="AR6" s="225">
        <f ca="1">SUMIF('Apr11-Mar12 Billed-RETAIL'!$C$5:$BF$148,'12-MO Billed Summary RETAIL'!$C6,'Apr11-Mar12 Billed-RETAIL'!AR$5:AR$148)</f>
        <v>789379.46</v>
      </c>
      <c r="AS6" s="225">
        <f ca="1">SUMIF('Apr11-Mar12 Billed-RETAIL'!$C$5:$BF$148,'12-MO Billed Summary RETAIL'!$C6,'Apr11-Mar12 Billed-RETAIL'!AS$5:AS$148)</f>
        <v>1478.34</v>
      </c>
      <c r="AT6" s="225">
        <f ca="1">SUMIF('Apr11-Mar12 Billed-RETAIL'!$C$5:$BF$148,'12-MO Billed Summary RETAIL'!$C6,'Apr11-Mar12 Billed-RETAIL'!AT$5:AT$148)</f>
        <v>0</v>
      </c>
      <c r="AU6" s="225">
        <f ca="1">SUMIF('Apr11-Mar12 Billed-RETAIL'!$C$5:$BF$148,'12-MO Billed Summary RETAIL'!$C6,'Apr11-Mar12 Billed-RETAIL'!AU$5:AU$148)</f>
        <v>0</v>
      </c>
      <c r="AV6" s="225">
        <f ca="1">SUMIF('Apr11-Mar12 Billed-RETAIL'!$C$5:$BF$148,'12-MO Billed Summary RETAIL'!$C6,'Apr11-Mar12 Billed-RETAIL'!AV$5:AV$148)</f>
        <v>0</v>
      </c>
      <c r="AW6" s="232">
        <f ca="1">SUMIF('Apr11-Mar12 Billed-RETAIL'!$C$5:$BF$148,'12-MO Billed Summary RETAIL'!$C6,'Apr11-Mar12 Billed-RETAIL'!AW$5:AW$148)</f>
        <v>882486.7799999998</v>
      </c>
      <c r="AX6" s="232">
        <f ca="1">SUMIF('Apr11-Mar12 Billed-RETAIL'!$C$5:$BF$148,'12-MO Billed Summary RETAIL'!$C6,'Apr11-Mar12 Billed-RETAIL'!AX$5:AX$148)</f>
        <v>882486.77</v>
      </c>
      <c r="AY6" s="233">
        <f t="shared" ref="AY6:AY16" ca="1" si="7">IF(AX6=0,0,ROUND(AX6/AW6,6))</f>
        <v>1</v>
      </c>
      <c r="AZ6" s="232">
        <f ca="1">SUMIF('Apr11-Mar12 Billed-RETAIL'!$C$5:$BF$148,'12-MO Billed Summary RETAIL'!$C6,'Apr11-Mar12 Billed-RETAIL'!AZ$5:AZ$148)</f>
        <v>1478.34</v>
      </c>
      <c r="BA6" s="232">
        <f ca="1">SUMIF('Apr11-Mar12 Billed-RETAIL'!$C$5:$BF$148,'12-MO Billed Summary RETAIL'!$C6,'Apr11-Mar12 Billed-RETAIL'!BA$5:BA$148)</f>
        <v>789379.46</v>
      </c>
      <c r="BB6" s="232">
        <f ca="1">SUMIF('Apr11-Mar12 Billed-RETAIL'!$C$5:$BF$148,'12-MO Billed Summary RETAIL'!$C6,'Apr11-Mar12 Billed-RETAIL'!BB$5:BB$148)</f>
        <v>0</v>
      </c>
      <c r="BC6" s="232">
        <f ca="1">SUMIF('Apr11-Mar12 Billed-RETAIL'!$C$5:$BF$148,'12-MO Billed Summary RETAIL'!$C6,'Apr11-Mar12 Billed-RETAIL'!BC$5:BC$148)</f>
        <v>0</v>
      </c>
      <c r="BD6" s="232">
        <f ca="1">SUMIF('Apr11-Mar12 Billed-RETAIL'!$C$5:$BF$148,'12-MO Billed Summary RETAIL'!$C6,'Apr11-Mar12 Billed-RETAIL'!BD$5:BD$148)</f>
        <v>14465.01</v>
      </c>
      <c r="BE6" s="232">
        <f ca="1">SUMIF('Apr11-Mar12 Billed-RETAIL'!$C$5:$BF$148,'12-MO Billed Summary RETAIL'!$C6,'Apr11-Mar12 Billed-RETAIL'!BE$5:BE$148)</f>
        <v>77163.959999999992</v>
      </c>
      <c r="BF6" s="232">
        <f ca="1">SUMIF('Apr11-Mar12 Billed-RETAIL'!$C$5:$BF$148,'12-MO Billed Summary RETAIL'!$C6,'Apr11-Mar12 Billed-RETAIL'!BF$5:BF$148)</f>
        <v>0</v>
      </c>
    </row>
    <row r="7" spans="1:58" x14ac:dyDescent="0.25">
      <c r="A7" s="196">
        <f>+A6+1</f>
        <v>2</v>
      </c>
      <c r="B7" s="211" t="s">
        <v>442</v>
      </c>
      <c r="C7" s="211" t="str">
        <f>+'Retail Rates'!B10</f>
        <v>LGING866</v>
      </c>
      <c r="D7" s="197" t="str">
        <f t="shared" si="6"/>
        <v>866</v>
      </c>
      <c r="E7" s="197" t="str">
        <f>VLOOKUP(C7,'Retail Rates'!$B$7:$D$35,3,FALSE)</f>
        <v>AAGS-I</v>
      </c>
      <c r="F7" s="222">
        <f ca="1">SUMIF('Apr11-Mar12 Billed-RETAIL'!$C$5:$BF$148,'12-MO Billed Summary RETAIL'!$C7,'Apr11-Mar12 Billed-RETAIL'!F$5:F$148)</f>
        <v>106</v>
      </c>
      <c r="G7" s="222">
        <f ca="1">SUMIF('Apr11-Mar12 Billed-RETAIL'!$C$5:$BF$148,'12-MO Billed Summary RETAIL'!$C7,'Apr11-Mar12 Billed-RETAIL'!G$5:G$148)</f>
        <v>0</v>
      </c>
      <c r="H7" s="222">
        <f ca="1">SUMIF('Apr11-Mar12 Billed-RETAIL'!$C$5:$BF$148,'12-MO Billed Summary RETAIL'!$C7,'Apr11-Mar12 Billed-RETAIL'!H$5:H$148)</f>
        <v>0</v>
      </c>
      <c r="I7" s="222">
        <f ca="1">SUMIF('Apr11-Mar12 Billed-RETAIL'!$C$5:$BF$148,'12-MO Billed Summary RETAIL'!$C7,'Apr11-Mar12 Billed-RETAIL'!I$5:I$148)</f>
        <v>1970379</v>
      </c>
      <c r="J7" s="222">
        <f ca="1">SUMIF('Apr11-Mar12 Billed-RETAIL'!$C$5:$BF$148,'12-MO Billed Summary RETAIL'!$C7,'Apr11-Mar12 Billed-RETAIL'!J$5:J$148)</f>
        <v>0</v>
      </c>
      <c r="K7" s="222">
        <f ca="1">SUMIF('Apr11-Mar12 Billed-RETAIL'!$C$5:$BF$148,'12-MO Billed Summary RETAIL'!$C7,'Apr11-Mar12 Billed-RETAIL'!K$5:K$148)</f>
        <v>0</v>
      </c>
      <c r="L7" s="223"/>
      <c r="M7" s="223"/>
      <c r="N7" s="224"/>
      <c r="O7" s="224"/>
      <c r="P7" s="224"/>
      <c r="Q7" s="223"/>
      <c r="R7" s="224"/>
      <c r="S7" s="223"/>
      <c r="T7" s="223"/>
      <c r="U7" s="225">
        <f ca="1">SUMIF('Apr11-Mar12 Billed-RETAIL'!$C$5:$BF$148,'12-MO Billed Summary RETAIL'!$C7,'Apr11-Mar12 Billed-RETAIL'!U$5:U$148)</f>
        <v>29150</v>
      </c>
      <c r="V7" s="225">
        <f ca="1">SUMIF('Apr11-Mar12 Billed-RETAIL'!$C$5:$BF$148,'12-MO Billed Summary RETAIL'!$C7,'Apr11-Mar12 Billed-RETAIL'!V$5:V$148)</f>
        <v>0</v>
      </c>
      <c r="W7" s="225">
        <f ca="1">SUMIF('Apr11-Mar12 Billed-RETAIL'!$C$5:$BF$148,'12-MO Billed Summary RETAIL'!$C7,'Apr11-Mar12 Billed-RETAIL'!W$5:W$148)</f>
        <v>0</v>
      </c>
      <c r="X7" s="225">
        <f ca="1">SUMIF('Apr11-Mar12 Billed-RETAIL'!$C$5:$BF$148,'12-MO Billed Summary RETAIL'!$C7,'Apr11-Mar12 Billed-RETAIL'!X$5:X$148)</f>
        <v>103484.30507999999</v>
      </c>
      <c r="Y7" s="225">
        <f ca="1">SUMIF('Apr11-Mar12 Billed-RETAIL'!$C$5:$BF$148,'12-MO Billed Summary RETAIL'!$C7,'Apr11-Mar12 Billed-RETAIL'!Y$5:Y$148)</f>
        <v>0</v>
      </c>
      <c r="Z7" s="225">
        <f ca="1">SUMIF('Apr11-Mar12 Billed-RETAIL'!$C$5:$BF$148,'12-MO Billed Summary RETAIL'!$C7,'Apr11-Mar12 Billed-RETAIL'!Z$5:Z$148)</f>
        <v>1040564.86466</v>
      </c>
      <c r="AA7" s="225">
        <f ca="1">SUMIF('Apr11-Mar12 Billed-RETAIL'!$C$5:$BF$148,'12-MO Billed Summary RETAIL'!$C7,'Apr11-Mar12 Billed-RETAIL'!AA$5:AA$148)</f>
        <v>0</v>
      </c>
      <c r="AB7" s="225">
        <f ca="1">SUMIF('Apr11-Mar12 Billed-RETAIL'!$C$5:$BF$148,'12-MO Billed Summary RETAIL'!$C7,'Apr11-Mar12 Billed-RETAIL'!AB$5:AB$148)</f>
        <v>0</v>
      </c>
      <c r="AC7" s="225">
        <f ca="1">SUMIF('Apr11-Mar12 Billed-RETAIL'!$C$5:$BF$148,'12-MO Billed Summary RETAIL'!$C7,'Apr11-Mar12 Billed-RETAIL'!AC$5:AC$148)</f>
        <v>0</v>
      </c>
      <c r="AD7" s="225">
        <f ca="1">SUMIF('Apr11-Mar12 Billed-RETAIL'!$C$5:$BF$148,'12-MO Billed Summary RETAIL'!$C7,'Apr11-Mar12 Billed-RETAIL'!AD$5:AD$148)</f>
        <v>0</v>
      </c>
      <c r="AE7" s="244">
        <f ca="1">SUMIF('Apr11-Mar12 Billed-RETAIL'!$C$5:$BF$148,'12-MO Billed Summary RETAIL'!$C7,'Apr11-Mar12 Billed-RETAIL'!AE$5:AE$148)</f>
        <v>6</v>
      </c>
      <c r="AF7" s="244">
        <f ca="1">SUMIF('Apr11-Mar12 Billed-RETAIL'!$C$5:$BF$148,'12-MO Billed Summary RETAIL'!$C7,'Apr11-Mar12 Billed-RETAIL'!AF$5:AF$148)</f>
        <v>0</v>
      </c>
      <c r="AG7" s="238">
        <f ca="1">SUMIF('Apr11-Mar12 Billed-RETAIL'!$C$5:$BF$148,'12-MO Billed Summary RETAIL'!$C7,'Apr11-Mar12 Billed-RETAIL'!AG$5:AG$148)</f>
        <v>0</v>
      </c>
      <c r="AH7" s="238">
        <f ca="1">SUMIF('Apr11-Mar12 Billed-RETAIL'!$C$5:$BF$148,'12-MO Billed Summary RETAIL'!$C7,'Apr11-Mar12 Billed-RETAIL'!AH$5:AH$148)</f>
        <v>0</v>
      </c>
      <c r="AI7" s="238">
        <f ca="1">SUMIF('Apr11-Mar12 Billed-RETAIL'!$C$5:$BF$148,'12-MO Billed Summary RETAIL'!$C7,'Apr11-Mar12 Billed-RETAIL'!AI$5:AI$148)</f>
        <v>0</v>
      </c>
      <c r="AJ7" s="238">
        <f ca="1">SUMIF('Apr11-Mar12 Billed-RETAIL'!$C$5:$BF$148,'12-MO Billed Summary RETAIL'!$C7,'Apr11-Mar12 Billed-RETAIL'!AJ$5:AJ$148)</f>
        <v>0</v>
      </c>
      <c r="AK7" s="238">
        <f ca="1">SUMIF('Apr11-Mar12 Billed-RETAIL'!$C$5:$BF$148,'12-MO Billed Summary RETAIL'!$C7,'Apr11-Mar12 Billed-RETAIL'!AK$5:AK$148)</f>
        <v>-2270.4736600000033</v>
      </c>
      <c r="AL7" s="238">
        <f ca="1">SUMIF('Apr11-Mar12 Billed-RETAIL'!$C$5:$BF$148,'12-MO Billed Summary RETAIL'!$C7,'Apr11-Mar12 Billed-RETAIL'!AL$5:AL$148)</f>
        <v>0</v>
      </c>
      <c r="AM7" s="238">
        <f ca="1">SUMIF('Apr11-Mar12 Billed-RETAIL'!$C$5:$BF$148,'12-MO Billed Summary RETAIL'!$C7,'Apr11-Mar12 Billed-RETAIL'!AM$5:AM$148)</f>
        <v>0</v>
      </c>
      <c r="AN7" s="225">
        <f ca="1">SUMIF('Apr11-Mar12 Billed-RETAIL'!$C$5:$BF$148,'12-MO Billed Summary RETAIL'!$C7,'Apr11-Mar12 Billed-RETAIL'!AN$5:AN$148)</f>
        <v>30800</v>
      </c>
      <c r="AO7" s="225">
        <f ca="1">SUMIF('Apr11-Mar12 Billed-RETAIL'!$C$5:$BF$148,'12-MO Billed Summary RETAIL'!$C7,'Apr11-Mar12 Billed-RETAIL'!AO$5:AO$148)</f>
        <v>0</v>
      </c>
      <c r="AP7" s="225">
        <f ca="1">SUMIF('Apr11-Mar12 Billed-RETAIL'!$C$5:$BF$148,'12-MO Billed Summary RETAIL'!$C7,'Apr11-Mar12 Billed-RETAIL'!AP$5:AP$148)</f>
        <v>103484.30507999999</v>
      </c>
      <c r="AQ7" s="225">
        <f ca="1">SUMIF('Apr11-Mar12 Billed-RETAIL'!$C$5:$BF$148,'12-MO Billed Summary RETAIL'!$C7,'Apr11-Mar12 Billed-RETAIL'!AQ$5:AQ$148)</f>
        <v>0</v>
      </c>
      <c r="AR7" s="225">
        <f ca="1">SUMIF('Apr11-Mar12 Billed-RETAIL'!$C$5:$BF$148,'12-MO Billed Summary RETAIL'!$C7,'Apr11-Mar12 Billed-RETAIL'!AR$5:AR$148)</f>
        <v>1041123.8699999999</v>
      </c>
      <c r="AS7" s="225">
        <f ca="1">SUMIF('Apr11-Mar12 Billed-RETAIL'!$C$5:$BF$148,'12-MO Billed Summary RETAIL'!$C7,'Apr11-Mar12 Billed-RETAIL'!AS$5:AS$148)</f>
        <v>109.94</v>
      </c>
      <c r="AT7" s="225">
        <f ca="1">SUMIF('Apr11-Mar12 Billed-RETAIL'!$C$5:$BF$148,'12-MO Billed Summary RETAIL'!$C7,'Apr11-Mar12 Billed-RETAIL'!AT$5:AT$148)</f>
        <v>0</v>
      </c>
      <c r="AU7" s="225">
        <f ca="1">SUMIF('Apr11-Mar12 Billed-RETAIL'!$C$5:$BF$148,'12-MO Billed Summary RETAIL'!$C7,'Apr11-Mar12 Billed-RETAIL'!AU$5:AU$148)</f>
        <v>0</v>
      </c>
      <c r="AV7" s="225">
        <f ca="1">SUMIF('Apr11-Mar12 Billed-RETAIL'!$C$5:$BF$148,'12-MO Billed Summary RETAIL'!$C7,'Apr11-Mar12 Billed-RETAIL'!AV$5:AV$148)</f>
        <v>0</v>
      </c>
      <c r="AW7" s="232">
        <f ca="1">SUMIF('Apr11-Mar12 Billed-RETAIL'!$C$5:$BF$148,'12-MO Billed Summary RETAIL'!$C7,'Apr11-Mar12 Billed-RETAIL'!AW$5:AW$148)</f>
        <v>1175518.1299999999</v>
      </c>
      <c r="AX7" s="232">
        <f ca="1">SUMIF('Apr11-Mar12 Billed-RETAIL'!$C$5:$BF$148,'12-MO Billed Summary RETAIL'!$C7,'Apr11-Mar12 Billed-RETAIL'!AX$5:AX$148)</f>
        <v>1175518.1199999999</v>
      </c>
      <c r="AY7" s="233">
        <f t="shared" ca="1" si="7"/>
        <v>1</v>
      </c>
      <c r="AZ7" s="232">
        <f ca="1">SUMIF('Apr11-Mar12 Billed-RETAIL'!$C$5:$BF$148,'12-MO Billed Summary RETAIL'!$C7,'Apr11-Mar12 Billed-RETAIL'!AZ$5:AZ$148)</f>
        <v>109.94</v>
      </c>
      <c r="BA7" s="232">
        <f ca="1">SUMIF('Apr11-Mar12 Billed-RETAIL'!$C$5:$BF$148,'12-MO Billed Summary RETAIL'!$C7,'Apr11-Mar12 Billed-RETAIL'!BA$5:BA$148)</f>
        <v>1041123.8699999999</v>
      </c>
      <c r="BB7" s="232">
        <f ca="1">SUMIF('Apr11-Mar12 Billed-RETAIL'!$C$5:$BF$148,'12-MO Billed Summary RETAIL'!$C7,'Apr11-Mar12 Billed-RETAIL'!BB$5:BB$148)</f>
        <v>0</v>
      </c>
      <c r="BC7" s="232">
        <f ca="1">SUMIF('Apr11-Mar12 Billed-RETAIL'!$C$5:$BF$148,'12-MO Billed Summary RETAIL'!$C7,'Apr11-Mar12 Billed-RETAIL'!BC$5:BC$148)</f>
        <v>0</v>
      </c>
      <c r="BD7" s="232">
        <f ca="1">SUMIF('Apr11-Mar12 Billed-RETAIL'!$C$5:$BF$148,'12-MO Billed Summary RETAIL'!$C7,'Apr11-Mar12 Billed-RETAIL'!BD$5:BD$148)</f>
        <v>30800</v>
      </c>
      <c r="BE7" s="232">
        <f ca="1">SUMIF('Apr11-Mar12 Billed-RETAIL'!$C$5:$BF$148,'12-MO Billed Summary RETAIL'!$C7,'Apr11-Mar12 Billed-RETAIL'!BE$5:BE$148)</f>
        <v>103484.31</v>
      </c>
      <c r="BF7" s="232">
        <f ca="1">SUMIF('Apr11-Mar12 Billed-RETAIL'!$C$5:$BF$148,'12-MO Billed Summary RETAIL'!$C7,'Apr11-Mar12 Billed-RETAIL'!BF$5:BF$148)</f>
        <v>0</v>
      </c>
    </row>
    <row r="8" spans="1:58" x14ac:dyDescent="0.25">
      <c r="A8" s="196">
        <f t="shared" ref="A8:A16" si="8">+A7+1</f>
        <v>3</v>
      </c>
      <c r="B8" s="211" t="s">
        <v>442</v>
      </c>
      <c r="C8" s="211" t="str">
        <f>+'Retail Rates'!B13</f>
        <v>LGCMG851</v>
      </c>
      <c r="D8" s="197" t="str">
        <f t="shared" si="6"/>
        <v>851</v>
      </c>
      <c r="E8" s="197" t="str">
        <f>VLOOKUP(C8,'Retail Rates'!$B$7:$D$35,3,FALSE)</f>
        <v>CGS</v>
      </c>
      <c r="F8" s="222">
        <f ca="1">SUMIF('Apr11-Mar12 Billed-RETAIL'!$C$5:$BF$148,'12-MO Billed Summary RETAIL'!$C8,'Apr11-Mar12 Billed-RETAIL'!F$5:F$148)</f>
        <v>0</v>
      </c>
      <c r="G8" s="222">
        <f ca="1">SUMIF('Apr11-Mar12 Billed-RETAIL'!$C$5:$BF$148,'12-MO Billed Summary RETAIL'!$C8,'Apr11-Mar12 Billed-RETAIL'!G$5:G$148)</f>
        <v>288244</v>
      </c>
      <c r="H8" s="222">
        <f ca="1">SUMIF('Apr11-Mar12 Billed-RETAIL'!$C$5:$BF$148,'12-MO Billed Summary RETAIL'!$C8,'Apr11-Mar12 Billed-RETAIL'!H$5:H$148)</f>
        <v>12643</v>
      </c>
      <c r="I8" s="222">
        <f ca="1">SUMIF('Apr11-Mar12 Billed-RETAIL'!$C$5:$BF$148,'12-MO Billed Summary RETAIL'!$C8,'Apr11-Mar12 Billed-RETAIL'!I$5:I$148)</f>
        <v>78794414</v>
      </c>
      <c r="J8" s="222">
        <f ca="1">SUMIF('Apr11-Mar12 Billed-RETAIL'!$C$5:$BF$148,'12-MO Billed Summary RETAIL'!$C8,'Apr11-Mar12 Billed-RETAIL'!J$5:J$148)</f>
        <v>9596034</v>
      </c>
      <c r="K8" s="222">
        <f ca="1">SUMIF('Apr11-Mar12 Billed-RETAIL'!$C$5:$BF$148,'12-MO Billed Summary RETAIL'!$C8,'Apr11-Mar12 Billed-RETAIL'!K$5:K$148)</f>
        <v>0</v>
      </c>
      <c r="L8" s="223"/>
      <c r="M8" s="223"/>
      <c r="N8" s="224"/>
      <c r="O8" s="224"/>
      <c r="P8" s="224"/>
      <c r="Q8" s="223"/>
      <c r="R8" s="224"/>
      <c r="S8" s="223"/>
      <c r="T8" s="223"/>
      <c r="U8" s="225">
        <f ca="1">SUMIF('Apr11-Mar12 Billed-RETAIL'!$C$5:$BF$148,'12-MO Billed Summary RETAIL'!$C8,'Apr11-Mar12 Billed-RETAIL'!U$5:U$148)</f>
        <v>8647320</v>
      </c>
      <c r="V8" s="225">
        <f ca="1">SUMIF('Apr11-Mar12 Billed-RETAIL'!$C$5:$BF$148,'12-MO Billed Summary RETAIL'!$C8,'Apr11-Mar12 Billed-RETAIL'!V$5:V$148)</f>
        <v>0</v>
      </c>
      <c r="W8" s="225">
        <f ca="1">SUMIF('Apr11-Mar12 Billed-RETAIL'!$C$5:$BF$148,'12-MO Billed Summary RETAIL'!$C8,'Apr11-Mar12 Billed-RETAIL'!W$5:W$148)</f>
        <v>2149310</v>
      </c>
      <c r="X8" s="225">
        <f ca="1">SUMIF('Apr11-Mar12 Billed-RETAIL'!$C$5:$BF$148,'12-MO Billed Summary RETAIL'!$C8,'Apr11-Mar12 Billed-RETAIL'!X$5:X$148)</f>
        <v>14751890.18908</v>
      </c>
      <c r="Y8" s="225">
        <f ca="1">SUMIF('Apr11-Mar12 Billed-RETAIL'!$C$5:$BF$148,'12-MO Billed Summary RETAIL'!$C8,'Apr11-Mar12 Billed-RETAIL'!Y$5:Y$148)</f>
        <v>1316767.7854800001</v>
      </c>
      <c r="Z8" s="225">
        <f ca="1">SUMIF('Apr11-Mar12 Billed-RETAIL'!$C$5:$BF$148,'12-MO Billed Summary RETAIL'!$C8,'Apr11-Mar12 Billed-RETAIL'!Z$5:Z$148)</f>
        <v>45523128.991509996</v>
      </c>
      <c r="AA8" s="225">
        <f ca="1">SUMIF('Apr11-Mar12 Billed-RETAIL'!$C$5:$BF$148,'12-MO Billed Summary RETAIL'!$C8,'Apr11-Mar12 Billed-RETAIL'!AA$5:AA$148)</f>
        <v>0</v>
      </c>
      <c r="AB8" s="225">
        <f ca="1">SUMIF('Apr11-Mar12 Billed-RETAIL'!$C$5:$BF$148,'12-MO Billed Summary RETAIL'!$C8,'Apr11-Mar12 Billed-RETAIL'!AB$5:AB$148)</f>
        <v>0</v>
      </c>
      <c r="AC8" s="225">
        <f ca="1">SUMIF('Apr11-Mar12 Billed-RETAIL'!$C$5:$BF$148,'12-MO Billed Summary RETAIL'!$C8,'Apr11-Mar12 Billed-RETAIL'!AC$5:AC$148)</f>
        <v>0</v>
      </c>
      <c r="AD8" s="225">
        <f ca="1">SUMIF('Apr11-Mar12 Billed-RETAIL'!$C$5:$BF$148,'12-MO Billed Summary RETAIL'!$C8,'Apr11-Mar12 Billed-RETAIL'!AD$5:AD$148)</f>
        <v>0</v>
      </c>
      <c r="AE8" s="244">
        <f ca="1">SUMIF('Apr11-Mar12 Billed-RETAIL'!$C$5:$BF$148,'12-MO Billed Summary RETAIL'!$C8,'Apr11-Mar12 Billed-RETAIL'!AE$5:AE$148)</f>
        <v>0</v>
      </c>
      <c r="AF8" s="244">
        <f ca="1">SUMIF('Apr11-Mar12 Billed-RETAIL'!$C$5:$BF$148,'12-MO Billed Summary RETAIL'!$C8,'Apr11-Mar12 Billed-RETAIL'!AF$5:AF$148)</f>
        <v>0</v>
      </c>
      <c r="AG8" s="238">
        <f ca="1">SUMIF('Apr11-Mar12 Billed-RETAIL'!$C$5:$BF$148,'12-MO Billed Summary RETAIL'!$C8,'Apr11-Mar12 Billed-RETAIL'!AG$5:AG$148)</f>
        <v>4168.99</v>
      </c>
      <c r="AH8" s="238">
        <f ca="1">SUMIF('Apr11-Mar12 Billed-RETAIL'!$C$5:$BF$148,'12-MO Billed Summary RETAIL'!$C8,'Apr11-Mar12 Billed-RETAIL'!AH$5:AH$148)</f>
        <v>-117.33000000000001</v>
      </c>
      <c r="AI8" s="238">
        <f ca="1">SUMIF('Apr11-Mar12 Billed-RETAIL'!$C$5:$BF$148,'12-MO Billed Summary RETAIL'!$C8,'Apr11-Mar12 Billed-RETAIL'!AI$5:AI$148)</f>
        <v>-190.17000000000002</v>
      </c>
      <c r="AJ8" s="238">
        <f ca="1">SUMIF('Apr11-Mar12 Billed-RETAIL'!$C$5:$BF$148,'12-MO Billed Summary RETAIL'!$C8,'Apr11-Mar12 Billed-RETAIL'!AJ$5:AJ$148)</f>
        <v>0</v>
      </c>
      <c r="AK8" s="238">
        <f ca="1">SUMIF('Apr11-Mar12 Billed-RETAIL'!$C$5:$BF$148,'12-MO Billed Summary RETAIL'!$C8,'Apr11-Mar12 Billed-RETAIL'!AK$5:AK$148)</f>
        <v>-91346.81778000023</v>
      </c>
      <c r="AL8" s="238">
        <f ca="1">SUMIF('Apr11-Mar12 Billed-RETAIL'!$C$5:$BF$148,'12-MO Billed Summary RETAIL'!$C8,'Apr11-Mar12 Billed-RETAIL'!AL$5:AL$148)</f>
        <v>0</v>
      </c>
      <c r="AM8" s="238">
        <f ca="1">SUMIF('Apr11-Mar12 Billed-RETAIL'!$C$5:$BF$148,'12-MO Billed Summary RETAIL'!$C8,'Apr11-Mar12 Billed-RETAIL'!AM$5:AM$148)</f>
        <v>0</v>
      </c>
      <c r="AN8" s="225">
        <f ca="1">SUMIF('Apr11-Mar12 Billed-RETAIL'!$C$5:$BF$148,'12-MO Billed Summary RETAIL'!$C8,'Apr11-Mar12 Billed-RETAIL'!AN$5:AN$148)</f>
        <v>8651488.9899999984</v>
      </c>
      <c r="AO8" s="225">
        <f ca="1">SUMIF('Apr11-Mar12 Billed-RETAIL'!$C$5:$BF$148,'12-MO Billed Summary RETAIL'!$C8,'Apr11-Mar12 Billed-RETAIL'!AO$5:AO$148)</f>
        <v>2149192.67</v>
      </c>
      <c r="AP8" s="225">
        <f ca="1">SUMIF('Apr11-Mar12 Billed-RETAIL'!$C$5:$BF$148,'12-MO Billed Summary RETAIL'!$C8,'Apr11-Mar12 Billed-RETAIL'!AP$5:AP$148)</f>
        <v>14751700.01908</v>
      </c>
      <c r="AQ8" s="225">
        <f ca="1">SUMIF('Apr11-Mar12 Billed-RETAIL'!$C$5:$BF$148,'12-MO Billed Summary RETAIL'!$C8,'Apr11-Mar12 Billed-RETAIL'!AQ$5:AQ$148)</f>
        <v>1316767.7854800001</v>
      </c>
      <c r="AR8" s="225">
        <f ca="1">SUMIF('Apr11-Mar12 Billed-RETAIL'!$C$5:$BF$148,'12-MO Billed Summary RETAIL'!$C8,'Apr11-Mar12 Billed-RETAIL'!AR$5:AR$148)</f>
        <v>45900985.18</v>
      </c>
      <c r="AS8" s="225">
        <f ca="1">SUMIF('Apr11-Mar12 Billed-RETAIL'!$C$5:$BF$148,'12-MO Billed Summary RETAIL'!$C8,'Apr11-Mar12 Billed-RETAIL'!AS$5:AS$148)</f>
        <v>92259.049999999988</v>
      </c>
      <c r="AT8" s="225">
        <f ca="1">SUMIF('Apr11-Mar12 Billed-RETAIL'!$C$5:$BF$148,'12-MO Billed Summary RETAIL'!$C8,'Apr11-Mar12 Billed-RETAIL'!AT$5:AT$148)</f>
        <v>1964317.27</v>
      </c>
      <c r="AU8" s="225">
        <f ca="1">SUMIF('Apr11-Mar12 Billed-RETAIL'!$C$5:$BF$148,'12-MO Billed Summary RETAIL'!$C8,'Apr11-Mar12 Billed-RETAIL'!AU$5:AU$148)</f>
        <v>0</v>
      </c>
      <c r="AV8" s="225">
        <f ca="1">SUMIF('Apr11-Mar12 Billed-RETAIL'!$C$5:$BF$148,'12-MO Billed Summary RETAIL'!$C8,'Apr11-Mar12 Billed-RETAIL'!AV$5:AV$148)</f>
        <v>0</v>
      </c>
      <c r="AW8" s="232">
        <f ca="1">SUMIF('Apr11-Mar12 Billed-RETAIL'!$C$5:$BF$148,'12-MO Billed Summary RETAIL'!$C8,'Apr11-Mar12 Billed-RETAIL'!AW$5:AW$148)</f>
        <v>74826710.969999999</v>
      </c>
      <c r="AX8" s="232">
        <f ca="1">SUMIF('Apr11-Mar12 Billed-RETAIL'!$C$5:$BF$148,'12-MO Billed Summary RETAIL'!$C8,'Apr11-Mar12 Billed-RETAIL'!AX$5:AX$148)</f>
        <v>74826710.970000014</v>
      </c>
      <c r="AY8" s="233">
        <f t="shared" ca="1" si="7"/>
        <v>1</v>
      </c>
      <c r="AZ8" s="232">
        <f ca="1">SUMIF('Apr11-Mar12 Billed-RETAIL'!$C$5:$BF$148,'12-MO Billed Summary RETAIL'!$C8,'Apr11-Mar12 Billed-RETAIL'!AZ$5:AZ$148)</f>
        <v>92259.049999999988</v>
      </c>
      <c r="BA8" s="232">
        <f ca="1">SUMIF('Apr11-Mar12 Billed-RETAIL'!$C$5:$BF$148,'12-MO Billed Summary RETAIL'!$C8,'Apr11-Mar12 Billed-RETAIL'!BA$5:BA$148)</f>
        <v>45900985.18</v>
      </c>
      <c r="BB8" s="232">
        <f ca="1">SUMIF('Apr11-Mar12 Billed-RETAIL'!$C$5:$BF$148,'12-MO Billed Summary RETAIL'!$C8,'Apr11-Mar12 Billed-RETAIL'!BB$5:BB$148)</f>
        <v>1964317.27</v>
      </c>
      <c r="BC8" s="232">
        <f ca="1">SUMIF('Apr11-Mar12 Billed-RETAIL'!$C$5:$BF$148,'12-MO Billed Summary RETAIL'!$C8,'Apr11-Mar12 Billed-RETAIL'!BC$5:BC$148)</f>
        <v>0</v>
      </c>
      <c r="BD8" s="232">
        <f ca="1">SUMIF('Apr11-Mar12 Billed-RETAIL'!$C$5:$BF$148,'12-MO Billed Summary RETAIL'!$C8,'Apr11-Mar12 Billed-RETAIL'!BD$5:BD$148)</f>
        <v>10800681.659999996</v>
      </c>
      <c r="BE8" s="232">
        <f ca="1">SUMIF('Apr11-Mar12 Billed-RETAIL'!$C$5:$BF$148,'12-MO Billed Summary RETAIL'!$C8,'Apr11-Mar12 Billed-RETAIL'!BE$5:BE$148)</f>
        <v>16068467.809999999</v>
      </c>
      <c r="BF8" s="232">
        <f ca="1">SUMIF('Apr11-Mar12 Billed-RETAIL'!$C$5:$BF$148,'12-MO Billed Summary RETAIL'!$C8,'Apr11-Mar12 Billed-RETAIL'!BF$5:BF$148)</f>
        <v>0</v>
      </c>
    </row>
    <row r="9" spans="1:58" x14ac:dyDescent="0.25">
      <c r="A9" s="196">
        <f t="shared" si="8"/>
        <v>4</v>
      </c>
      <c r="B9" s="211" t="s">
        <v>442</v>
      </c>
      <c r="C9" s="211" t="str">
        <f>+'Retail Rates'!B14</f>
        <v>LGUMG860</v>
      </c>
      <c r="D9" s="197" t="str">
        <f t="shared" si="6"/>
        <v>860</v>
      </c>
      <c r="E9" s="197" t="str">
        <f>VLOOKUP(C9,'Retail Rates'!$B$7:$D$35,3,FALSE)</f>
        <v>CGS</v>
      </c>
      <c r="F9" s="222">
        <f ca="1">SUMIF('Apr11-Mar12 Billed-RETAIL'!$C$5:$BF$148,'12-MO Billed Summary RETAIL'!$C9,'Apr11-Mar12 Billed-RETAIL'!F$5:F$148)</f>
        <v>0</v>
      </c>
      <c r="G9" s="222">
        <f ca="1">SUMIF('Apr11-Mar12 Billed-RETAIL'!$C$5:$BF$148,'12-MO Billed Summary RETAIL'!$C9,'Apr11-Mar12 Billed-RETAIL'!G$5:G$148)</f>
        <v>228</v>
      </c>
      <c r="H9" s="222">
        <f ca="1">SUMIF('Apr11-Mar12 Billed-RETAIL'!$C$5:$BF$148,'12-MO Billed Summary RETAIL'!$C9,'Apr11-Mar12 Billed-RETAIL'!H$5:H$148)</f>
        <v>0</v>
      </c>
      <c r="I9" s="222">
        <f ca="1">SUMIF('Apr11-Mar12 Billed-RETAIL'!$C$5:$BF$148,'12-MO Billed Summary RETAIL'!$C9,'Apr11-Mar12 Billed-RETAIL'!I$5:I$148)</f>
        <v>4296</v>
      </c>
      <c r="J9" s="222">
        <f ca="1">SUMIF('Apr11-Mar12 Billed-RETAIL'!$C$5:$BF$148,'12-MO Billed Summary RETAIL'!$C9,'Apr11-Mar12 Billed-RETAIL'!J$5:J$148)</f>
        <v>0</v>
      </c>
      <c r="K9" s="222">
        <f ca="1">SUMIF('Apr11-Mar12 Billed-RETAIL'!$C$5:$BF$148,'12-MO Billed Summary RETAIL'!$C9,'Apr11-Mar12 Billed-RETAIL'!K$5:K$148)</f>
        <v>0</v>
      </c>
      <c r="L9" s="223"/>
      <c r="M9" s="223"/>
      <c r="N9" s="224"/>
      <c r="O9" s="224"/>
      <c r="P9" s="224"/>
      <c r="Q9" s="223"/>
      <c r="R9" s="224"/>
      <c r="S9" s="223"/>
      <c r="T9" s="223"/>
      <c r="U9" s="225">
        <f ca="1">SUMIF('Apr11-Mar12 Billed-RETAIL'!$C$5:$BF$148,'12-MO Billed Summary RETAIL'!$C9,'Apr11-Mar12 Billed-RETAIL'!U$5:U$148)</f>
        <v>6840</v>
      </c>
      <c r="V9" s="225">
        <f ca="1">SUMIF('Apr11-Mar12 Billed-RETAIL'!$C$5:$BF$148,'12-MO Billed Summary RETAIL'!$C9,'Apr11-Mar12 Billed-RETAIL'!V$5:V$148)</f>
        <v>0</v>
      </c>
      <c r="W9" s="225">
        <f ca="1">SUMIF('Apr11-Mar12 Billed-RETAIL'!$C$5:$BF$148,'12-MO Billed Summary RETAIL'!$C9,'Apr11-Mar12 Billed-RETAIL'!W$5:W$148)</f>
        <v>0</v>
      </c>
      <c r="X9" s="225">
        <f ca="1">SUMIF('Apr11-Mar12 Billed-RETAIL'!$C$5:$BF$148,'12-MO Billed Summary RETAIL'!$C9,'Apr11-Mar12 Billed-RETAIL'!X$5:X$148)</f>
        <v>804.29712000000006</v>
      </c>
      <c r="Y9" s="225">
        <f ca="1">SUMIF('Apr11-Mar12 Billed-RETAIL'!$C$5:$BF$148,'12-MO Billed Summary RETAIL'!$C9,'Apr11-Mar12 Billed-RETAIL'!Y$5:Y$148)</f>
        <v>0</v>
      </c>
      <c r="Z9" s="225">
        <f ca="1">SUMIF('Apr11-Mar12 Billed-RETAIL'!$C$5:$BF$148,'12-MO Billed Summary RETAIL'!$C9,'Apr11-Mar12 Billed-RETAIL'!Z$5:Z$148)</f>
        <v>2287.4445799999999</v>
      </c>
      <c r="AA9" s="225">
        <f ca="1">SUMIF('Apr11-Mar12 Billed-RETAIL'!$C$5:$BF$148,'12-MO Billed Summary RETAIL'!$C9,'Apr11-Mar12 Billed-RETAIL'!AA$5:AA$148)</f>
        <v>0</v>
      </c>
      <c r="AB9" s="225">
        <f ca="1">SUMIF('Apr11-Mar12 Billed-RETAIL'!$C$5:$BF$148,'12-MO Billed Summary RETAIL'!$C9,'Apr11-Mar12 Billed-RETAIL'!AB$5:AB$148)</f>
        <v>0</v>
      </c>
      <c r="AC9" s="225">
        <f ca="1">SUMIF('Apr11-Mar12 Billed-RETAIL'!$C$5:$BF$148,'12-MO Billed Summary RETAIL'!$C9,'Apr11-Mar12 Billed-RETAIL'!AC$5:AC$148)</f>
        <v>0</v>
      </c>
      <c r="AD9" s="225">
        <f ca="1">SUMIF('Apr11-Mar12 Billed-RETAIL'!$C$5:$BF$148,'12-MO Billed Summary RETAIL'!$C9,'Apr11-Mar12 Billed-RETAIL'!AD$5:AD$148)</f>
        <v>0</v>
      </c>
      <c r="AE9" s="244">
        <f ca="1">SUMIF('Apr11-Mar12 Billed-RETAIL'!$C$5:$BF$148,'12-MO Billed Summary RETAIL'!$C9,'Apr11-Mar12 Billed-RETAIL'!AE$5:AE$148)</f>
        <v>0</v>
      </c>
      <c r="AF9" s="244">
        <f ca="1">SUMIF('Apr11-Mar12 Billed-RETAIL'!$C$5:$BF$148,'12-MO Billed Summary RETAIL'!$C9,'Apr11-Mar12 Billed-RETAIL'!AF$5:AF$148)</f>
        <v>0</v>
      </c>
      <c r="AG9" s="238">
        <f ca="1">SUMIF('Apr11-Mar12 Billed-RETAIL'!$C$5:$BF$148,'12-MO Billed Summary RETAIL'!$C9,'Apr11-Mar12 Billed-RETAIL'!AG$5:AG$148)</f>
        <v>0</v>
      </c>
      <c r="AH9" s="238">
        <f ca="1">SUMIF('Apr11-Mar12 Billed-RETAIL'!$C$5:$BF$148,'12-MO Billed Summary RETAIL'!$C9,'Apr11-Mar12 Billed-RETAIL'!AH$5:AH$148)</f>
        <v>0</v>
      </c>
      <c r="AI9" s="238">
        <f ca="1">SUMIF('Apr11-Mar12 Billed-RETAIL'!$C$5:$BF$148,'12-MO Billed Summary RETAIL'!$C9,'Apr11-Mar12 Billed-RETAIL'!AI$5:AI$148)</f>
        <v>0</v>
      </c>
      <c r="AJ9" s="238">
        <f ca="1">SUMIF('Apr11-Mar12 Billed-RETAIL'!$C$5:$BF$148,'12-MO Billed Summary RETAIL'!$C9,'Apr11-Mar12 Billed-RETAIL'!AJ$5:AJ$148)</f>
        <v>0</v>
      </c>
      <c r="AK9" s="238">
        <f ca="1">SUMIF('Apr11-Mar12 Billed-RETAIL'!$C$5:$BF$148,'12-MO Billed Summary RETAIL'!$C9,'Apr11-Mar12 Billed-RETAIL'!AK$5:AK$148)</f>
        <v>-3.3619400000000041</v>
      </c>
      <c r="AL9" s="238">
        <f ca="1">SUMIF('Apr11-Mar12 Billed-RETAIL'!$C$5:$BF$148,'12-MO Billed Summary RETAIL'!$C9,'Apr11-Mar12 Billed-RETAIL'!AL$5:AL$148)</f>
        <v>0</v>
      </c>
      <c r="AM9" s="238">
        <f ca="1">SUMIF('Apr11-Mar12 Billed-RETAIL'!$C$5:$BF$148,'12-MO Billed Summary RETAIL'!$C9,'Apr11-Mar12 Billed-RETAIL'!AM$5:AM$148)</f>
        <v>0</v>
      </c>
      <c r="AN9" s="225">
        <f ca="1">SUMIF('Apr11-Mar12 Billed-RETAIL'!$C$5:$BF$148,'12-MO Billed Summary RETAIL'!$C9,'Apr11-Mar12 Billed-RETAIL'!AN$5:AN$148)</f>
        <v>6840</v>
      </c>
      <c r="AO9" s="225">
        <f ca="1">SUMIF('Apr11-Mar12 Billed-RETAIL'!$C$5:$BF$148,'12-MO Billed Summary RETAIL'!$C9,'Apr11-Mar12 Billed-RETAIL'!AO$5:AO$148)</f>
        <v>0</v>
      </c>
      <c r="AP9" s="225">
        <f ca="1">SUMIF('Apr11-Mar12 Billed-RETAIL'!$C$5:$BF$148,'12-MO Billed Summary RETAIL'!$C9,'Apr11-Mar12 Billed-RETAIL'!AP$5:AP$148)</f>
        <v>804.29712000000006</v>
      </c>
      <c r="AQ9" s="225">
        <f ca="1">SUMIF('Apr11-Mar12 Billed-RETAIL'!$C$5:$BF$148,'12-MO Billed Summary RETAIL'!$C9,'Apr11-Mar12 Billed-RETAIL'!AQ$5:AQ$148)</f>
        <v>0</v>
      </c>
      <c r="AR9" s="225">
        <f ca="1">SUMIF('Apr11-Mar12 Billed-RETAIL'!$C$5:$BF$148,'12-MO Billed Summary RETAIL'!$C9,'Apr11-Mar12 Billed-RETAIL'!AR$5:AR$148)</f>
        <v>2291.9399999999996</v>
      </c>
      <c r="AS9" s="225">
        <f ca="1">SUMIF('Apr11-Mar12 Billed-RETAIL'!$C$5:$BF$148,'12-MO Billed Summary RETAIL'!$C9,'Apr11-Mar12 Billed-RETAIL'!AS$5:AS$148)</f>
        <v>4.2499999999999991</v>
      </c>
      <c r="AT9" s="225">
        <f ca="1">SUMIF('Apr11-Mar12 Billed-RETAIL'!$C$5:$BF$148,'12-MO Billed Summary RETAIL'!$C9,'Apr11-Mar12 Billed-RETAIL'!AT$5:AT$148)</f>
        <v>0</v>
      </c>
      <c r="AU9" s="225">
        <f ca="1">SUMIF('Apr11-Mar12 Billed-RETAIL'!$C$5:$BF$148,'12-MO Billed Summary RETAIL'!$C9,'Apr11-Mar12 Billed-RETAIL'!AU$5:AU$148)</f>
        <v>0</v>
      </c>
      <c r="AV9" s="225">
        <f ca="1">SUMIF('Apr11-Mar12 Billed-RETAIL'!$C$5:$BF$148,'12-MO Billed Summary RETAIL'!$C9,'Apr11-Mar12 Billed-RETAIL'!AV$5:AV$148)</f>
        <v>0</v>
      </c>
      <c r="AW9" s="232">
        <f ca="1">SUMIF('Apr11-Mar12 Billed-RETAIL'!$C$5:$BF$148,'12-MO Billed Summary RETAIL'!$C9,'Apr11-Mar12 Billed-RETAIL'!AW$5:AW$148)</f>
        <v>9940.43</v>
      </c>
      <c r="AX9" s="232">
        <f ca="1">SUMIF('Apr11-Mar12 Billed-RETAIL'!$C$5:$BF$148,'12-MO Billed Summary RETAIL'!$C9,'Apr11-Mar12 Billed-RETAIL'!AX$5:AX$148)</f>
        <v>9940.43</v>
      </c>
      <c r="AY9" s="233">
        <f t="shared" ca="1" si="7"/>
        <v>1</v>
      </c>
      <c r="AZ9" s="232">
        <f ca="1">SUMIF('Apr11-Mar12 Billed-RETAIL'!$C$5:$BF$148,'12-MO Billed Summary RETAIL'!$C9,'Apr11-Mar12 Billed-RETAIL'!AZ$5:AZ$148)</f>
        <v>4.2499999999999991</v>
      </c>
      <c r="BA9" s="232">
        <f ca="1">SUMIF('Apr11-Mar12 Billed-RETAIL'!$C$5:$BF$148,'12-MO Billed Summary RETAIL'!$C9,'Apr11-Mar12 Billed-RETAIL'!BA$5:BA$148)</f>
        <v>2291.9399999999996</v>
      </c>
      <c r="BB9" s="232">
        <f ca="1">SUMIF('Apr11-Mar12 Billed-RETAIL'!$C$5:$BF$148,'12-MO Billed Summary RETAIL'!$C9,'Apr11-Mar12 Billed-RETAIL'!BB$5:BB$148)</f>
        <v>0</v>
      </c>
      <c r="BC9" s="232">
        <f ca="1">SUMIF('Apr11-Mar12 Billed-RETAIL'!$C$5:$BF$148,'12-MO Billed Summary RETAIL'!$C9,'Apr11-Mar12 Billed-RETAIL'!BC$5:BC$148)</f>
        <v>0</v>
      </c>
      <c r="BD9" s="232">
        <f ca="1">SUMIF('Apr11-Mar12 Billed-RETAIL'!$C$5:$BF$148,'12-MO Billed Summary RETAIL'!$C9,'Apr11-Mar12 Billed-RETAIL'!BD$5:BD$148)</f>
        <v>6840</v>
      </c>
      <c r="BE9" s="232">
        <f ca="1">SUMIF('Apr11-Mar12 Billed-RETAIL'!$C$5:$BF$148,'12-MO Billed Summary RETAIL'!$C9,'Apr11-Mar12 Billed-RETAIL'!BE$5:BE$148)</f>
        <v>804.2399999999999</v>
      </c>
      <c r="BF9" s="232">
        <f ca="1">SUMIF('Apr11-Mar12 Billed-RETAIL'!$C$5:$BF$148,'12-MO Billed Summary RETAIL'!$C9,'Apr11-Mar12 Billed-RETAIL'!BF$5:BF$148)</f>
        <v>0</v>
      </c>
    </row>
    <row r="10" spans="1:58" x14ac:dyDescent="0.25">
      <c r="A10" s="196">
        <f t="shared" si="8"/>
        <v>5</v>
      </c>
      <c r="B10" s="211" t="s">
        <v>442</v>
      </c>
      <c r="C10" s="211" t="str">
        <f>+'Retail Rates'!B15</f>
        <v>LGUMG861</v>
      </c>
      <c r="D10" s="197" t="str">
        <f t="shared" si="6"/>
        <v>861</v>
      </c>
      <c r="E10" s="197" t="str">
        <f>VLOOKUP(C10,'Retail Rates'!$B$7:$D$35,3,FALSE)</f>
        <v>CGS</v>
      </c>
      <c r="F10" s="222">
        <f ca="1">SUMIF('Apr11-Mar12 Billed-RETAIL'!$C$5:$BF$148,'12-MO Billed Summary RETAIL'!$C10,'Apr11-Mar12 Billed-RETAIL'!F$5:F$148)</f>
        <v>0</v>
      </c>
      <c r="G10" s="222">
        <f ca="1">SUMIF('Apr11-Mar12 Billed-RETAIL'!$C$5:$BF$148,'12-MO Billed Summary RETAIL'!$C10,'Apr11-Mar12 Billed-RETAIL'!G$5:G$148)</f>
        <v>7459</v>
      </c>
      <c r="H10" s="222">
        <f ca="1">SUMIF('Apr11-Mar12 Billed-RETAIL'!$C$5:$BF$148,'12-MO Billed Summary RETAIL'!$C10,'Apr11-Mar12 Billed-RETAIL'!H$5:H$148)</f>
        <v>0</v>
      </c>
      <c r="I10" s="222">
        <f ca="1">SUMIF('Apr11-Mar12 Billed-RETAIL'!$C$5:$BF$148,'12-MO Billed Summary RETAIL'!$C10,'Apr11-Mar12 Billed-RETAIL'!I$5:I$148)</f>
        <v>7371</v>
      </c>
      <c r="J10" s="222">
        <f ca="1">SUMIF('Apr11-Mar12 Billed-RETAIL'!$C$5:$BF$148,'12-MO Billed Summary RETAIL'!$C10,'Apr11-Mar12 Billed-RETAIL'!J$5:J$148)</f>
        <v>0</v>
      </c>
      <c r="K10" s="222">
        <f ca="1">SUMIF('Apr11-Mar12 Billed-RETAIL'!$C$5:$BF$148,'12-MO Billed Summary RETAIL'!$C10,'Apr11-Mar12 Billed-RETAIL'!K$5:K$148)</f>
        <v>0</v>
      </c>
      <c r="L10" s="223"/>
      <c r="M10" s="223"/>
      <c r="N10" s="224"/>
      <c r="O10" s="224"/>
      <c r="P10" s="224"/>
      <c r="Q10" s="223"/>
      <c r="R10" s="224"/>
      <c r="S10" s="223"/>
      <c r="T10" s="223"/>
      <c r="U10" s="225">
        <f ca="1">SUMIF('Apr11-Mar12 Billed-RETAIL'!$C$5:$BF$148,'12-MO Billed Summary RETAIL'!$C10,'Apr11-Mar12 Billed-RETAIL'!U$5:U$148)</f>
        <v>223770</v>
      </c>
      <c r="V10" s="225">
        <f ca="1">SUMIF('Apr11-Mar12 Billed-RETAIL'!$C$5:$BF$148,'12-MO Billed Summary RETAIL'!$C10,'Apr11-Mar12 Billed-RETAIL'!V$5:V$148)</f>
        <v>0</v>
      </c>
      <c r="W10" s="225">
        <f ca="1">SUMIF('Apr11-Mar12 Billed-RETAIL'!$C$5:$BF$148,'12-MO Billed Summary RETAIL'!$C10,'Apr11-Mar12 Billed-RETAIL'!W$5:W$148)</f>
        <v>0</v>
      </c>
      <c r="X10" s="225">
        <f ca="1">SUMIF('Apr11-Mar12 Billed-RETAIL'!$C$5:$BF$148,'12-MO Billed Summary RETAIL'!$C10,'Apr11-Mar12 Billed-RETAIL'!X$5:X$148)</f>
        <v>1379.9986199999998</v>
      </c>
      <c r="Y10" s="225">
        <f ca="1">SUMIF('Apr11-Mar12 Billed-RETAIL'!$C$5:$BF$148,'12-MO Billed Summary RETAIL'!$C10,'Apr11-Mar12 Billed-RETAIL'!Y$5:Y$148)</f>
        <v>0</v>
      </c>
      <c r="Z10" s="225">
        <f ca="1">SUMIF('Apr11-Mar12 Billed-RETAIL'!$C$5:$BF$148,'12-MO Billed Summary RETAIL'!$C10,'Apr11-Mar12 Billed-RETAIL'!Z$5:Z$148)</f>
        <v>3925.3827299999994</v>
      </c>
      <c r="AA10" s="225">
        <f ca="1">SUMIF('Apr11-Mar12 Billed-RETAIL'!$C$5:$BF$148,'12-MO Billed Summary RETAIL'!$C10,'Apr11-Mar12 Billed-RETAIL'!AA$5:AA$148)</f>
        <v>0</v>
      </c>
      <c r="AB10" s="225">
        <f ca="1">SUMIF('Apr11-Mar12 Billed-RETAIL'!$C$5:$BF$148,'12-MO Billed Summary RETAIL'!$C10,'Apr11-Mar12 Billed-RETAIL'!AB$5:AB$148)</f>
        <v>0</v>
      </c>
      <c r="AC10" s="225">
        <f ca="1">SUMIF('Apr11-Mar12 Billed-RETAIL'!$C$5:$BF$148,'12-MO Billed Summary RETAIL'!$C10,'Apr11-Mar12 Billed-RETAIL'!AC$5:AC$148)</f>
        <v>0</v>
      </c>
      <c r="AD10" s="225">
        <f ca="1">SUMIF('Apr11-Mar12 Billed-RETAIL'!$C$5:$BF$148,'12-MO Billed Summary RETAIL'!$C10,'Apr11-Mar12 Billed-RETAIL'!AD$5:AD$148)</f>
        <v>0</v>
      </c>
      <c r="AE10" s="244">
        <f ca="1">SUMIF('Apr11-Mar12 Billed-RETAIL'!$C$5:$BF$148,'12-MO Billed Summary RETAIL'!$C10,'Apr11-Mar12 Billed-RETAIL'!AE$5:AE$148)</f>
        <v>0</v>
      </c>
      <c r="AF10" s="244">
        <f ca="1">SUMIF('Apr11-Mar12 Billed-RETAIL'!$C$5:$BF$148,'12-MO Billed Summary RETAIL'!$C10,'Apr11-Mar12 Billed-RETAIL'!AF$5:AF$148)</f>
        <v>0</v>
      </c>
      <c r="AG10" s="238">
        <f ca="1">SUMIF('Apr11-Mar12 Billed-RETAIL'!$C$5:$BF$148,'12-MO Billed Summary RETAIL'!$C10,'Apr11-Mar12 Billed-RETAIL'!AG$5:AG$148)</f>
        <v>18.64</v>
      </c>
      <c r="AH10" s="238">
        <f ca="1">SUMIF('Apr11-Mar12 Billed-RETAIL'!$C$5:$BF$148,'12-MO Billed Summary RETAIL'!$C10,'Apr11-Mar12 Billed-RETAIL'!AH$5:AH$148)</f>
        <v>0</v>
      </c>
      <c r="AI10" s="238">
        <f ca="1">SUMIF('Apr11-Mar12 Billed-RETAIL'!$C$5:$BF$148,'12-MO Billed Summary RETAIL'!$C10,'Apr11-Mar12 Billed-RETAIL'!AI$5:AI$148)</f>
        <v>19.139999999999997</v>
      </c>
      <c r="AJ10" s="238">
        <f ca="1">SUMIF('Apr11-Mar12 Billed-RETAIL'!$C$5:$BF$148,'12-MO Billed Summary RETAIL'!$C10,'Apr11-Mar12 Billed-RETAIL'!AJ$5:AJ$148)</f>
        <v>0</v>
      </c>
      <c r="AK10" s="238">
        <f ca="1">SUMIF('Apr11-Mar12 Billed-RETAIL'!$C$5:$BF$148,'12-MO Billed Summary RETAIL'!$C10,'Apr11-Mar12 Billed-RETAIL'!AK$5:AK$148)</f>
        <v>-9.3922999999999917</v>
      </c>
      <c r="AL10" s="238">
        <f ca="1">SUMIF('Apr11-Mar12 Billed-RETAIL'!$C$5:$BF$148,'12-MO Billed Summary RETAIL'!$C10,'Apr11-Mar12 Billed-RETAIL'!AL$5:AL$148)</f>
        <v>0</v>
      </c>
      <c r="AM10" s="238">
        <f ca="1">SUMIF('Apr11-Mar12 Billed-RETAIL'!$C$5:$BF$148,'12-MO Billed Summary RETAIL'!$C10,'Apr11-Mar12 Billed-RETAIL'!AM$5:AM$148)</f>
        <v>0</v>
      </c>
      <c r="AN10" s="225">
        <f ca="1">SUMIF('Apr11-Mar12 Billed-RETAIL'!$C$5:$BF$148,'12-MO Billed Summary RETAIL'!$C10,'Apr11-Mar12 Billed-RETAIL'!AN$5:AN$148)</f>
        <v>223788.64</v>
      </c>
      <c r="AO10" s="225">
        <f ca="1">SUMIF('Apr11-Mar12 Billed-RETAIL'!$C$5:$BF$148,'12-MO Billed Summary RETAIL'!$C10,'Apr11-Mar12 Billed-RETAIL'!AO$5:AO$148)</f>
        <v>0</v>
      </c>
      <c r="AP10" s="225">
        <f ca="1">SUMIF('Apr11-Mar12 Billed-RETAIL'!$C$5:$BF$148,'12-MO Billed Summary RETAIL'!$C10,'Apr11-Mar12 Billed-RETAIL'!AP$5:AP$148)</f>
        <v>1399.1386200000002</v>
      </c>
      <c r="AQ10" s="225">
        <f ca="1">SUMIF('Apr11-Mar12 Billed-RETAIL'!$C$5:$BF$148,'12-MO Billed Summary RETAIL'!$C10,'Apr11-Mar12 Billed-RETAIL'!AQ$5:AQ$148)</f>
        <v>0</v>
      </c>
      <c r="AR10" s="225">
        <f ca="1">SUMIF('Apr11-Mar12 Billed-RETAIL'!$C$5:$BF$148,'12-MO Billed Summary RETAIL'!$C10,'Apr11-Mar12 Billed-RETAIL'!AR$5:AR$148)</f>
        <v>3946.8700000000003</v>
      </c>
      <c r="AS10" s="225">
        <f ca="1">SUMIF('Apr11-Mar12 Billed-RETAIL'!$C$5:$BF$148,'12-MO Billed Summary RETAIL'!$C10,'Apr11-Mar12 Billed-RETAIL'!AS$5:AS$148)</f>
        <v>0</v>
      </c>
      <c r="AT10" s="225">
        <f ca="1">SUMIF('Apr11-Mar12 Billed-RETAIL'!$C$5:$BF$148,'12-MO Billed Summary RETAIL'!$C10,'Apr11-Mar12 Billed-RETAIL'!AT$5:AT$148)</f>
        <v>0</v>
      </c>
      <c r="AU10" s="225">
        <f ca="1">SUMIF('Apr11-Mar12 Billed-RETAIL'!$C$5:$BF$148,'12-MO Billed Summary RETAIL'!$C10,'Apr11-Mar12 Billed-RETAIL'!AU$5:AU$148)</f>
        <v>0</v>
      </c>
      <c r="AV10" s="225">
        <f ca="1">SUMIF('Apr11-Mar12 Billed-RETAIL'!$C$5:$BF$148,'12-MO Billed Summary RETAIL'!$C10,'Apr11-Mar12 Billed-RETAIL'!AV$5:AV$148)</f>
        <v>0</v>
      </c>
      <c r="AW10" s="232">
        <f ca="1">SUMIF('Apr11-Mar12 Billed-RETAIL'!$C$5:$BF$148,'12-MO Billed Summary RETAIL'!$C10,'Apr11-Mar12 Billed-RETAIL'!AW$5:AW$148)</f>
        <v>229134.66000000003</v>
      </c>
      <c r="AX10" s="232">
        <f ca="1">SUMIF('Apr11-Mar12 Billed-RETAIL'!$C$5:$BF$148,'12-MO Billed Summary RETAIL'!$C10,'Apr11-Mar12 Billed-RETAIL'!AX$5:AX$148)</f>
        <v>229134.66000000003</v>
      </c>
      <c r="AY10" s="233">
        <f t="shared" ca="1" si="7"/>
        <v>1</v>
      </c>
      <c r="AZ10" s="232">
        <f ca="1">SUMIF('Apr11-Mar12 Billed-RETAIL'!$C$5:$BF$148,'12-MO Billed Summary RETAIL'!$C10,'Apr11-Mar12 Billed-RETAIL'!AZ$5:AZ$148)</f>
        <v>0</v>
      </c>
      <c r="BA10" s="232">
        <f ca="1">SUMIF('Apr11-Mar12 Billed-RETAIL'!$C$5:$BF$148,'12-MO Billed Summary RETAIL'!$C10,'Apr11-Mar12 Billed-RETAIL'!BA$5:BA$148)</f>
        <v>3946.8700000000003</v>
      </c>
      <c r="BB10" s="232">
        <f ca="1">SUMIF('Apr11-Mar12 Billed-RETAIL'!$C$5:$BF$148,'12-MO Billed Summary RETAIL'!$C10,'Apr11-Mar12 Billed-RETAIL'!BB$5:BB$148)</f>
        <v>0</v>
      </c>
      <c r="BC10" s="232">
        <f ca="1">SUMIF('Apr11-Mar12 Billed-RETAIL'!$C$5:$BF$148,'12-MO Billed Summary RETAIL'!$C10,'Apr11-Mar12 Billed-RETAIL'!BC$5:BC$148)</f>
        <v>0</v>
      </c>
      <c r="BD10" s="232">
        <f ca="1">SUMIF('Apr11-Mar12 Billed-RETAIL'!$C$5:$BF$148,'12-MO Billed Summary RETAIL'!$C10,'Apr11-Mar12 Billed-RETAIL'!BD$5:BD$148)</f>
        <v>223788.64</v>
      </c>
      <c r="BE10" s="232">
        <f ca="1">SUMIF('Apr11-Mar12 Billed-RETAIL'!$C$5:$BF$148,'12-MO Billed Summary RETAIL'!$C10,'Apr11-Mar12 Billed-RETAIL'!BE$5:BE$148)</f>
        <v>1399.15</v>
      </c>
      <c r="BF10" s="232">
        <f ca="1">SUMIF('Apr11-Mar12 Billed-RETAIL'!$C$5:$BF$148,'12-MO Billed Summary RETAIL'!$C10,'Apr11-Mar12 Billed-RETAIL'!BF$5:BF$148)</f>
        <v>0</v>
      </c>
    </row>
    <row r="11" spans="1:58" x14ac:dyDescent="0.25">
      <c r="A11" s="196">
        <f t="shared" si="8"/>
        <v>6</v>
      </c>
      <c r="B11" s="211" t="s">
        <v>442</v>
      </c>
      <c r="C11" s="211" t="str">
        <f>+'Retail Rates'!B18</f>
        <v>LGCMG875</v>
      </c>
      <c r="D11" s="197" t="str">
        <f t="shared" si="6"/>
        <v>875</v>
      </c>
      <c r="E11" s="197" t="str">
        <f>VLOOKUP(C11,'Retail Rates'!$B$7:$D$35,3,FALSE)</f>
        <v>DGGS-C</v>
      </c>
      <c r="F11" s="222">
        <f ca="1">SUMIF('Apr11-Mar12 Billed-RETAIL'!$C$5:$BF$148,'12-MO Billed Summary RETAIL'!$C11,'Apr11-Mar12 Billed-RETAIL'!F$5:F$148)</f>
        <v>1</v>
      </c>
      <c r="G11" s="222">
        <f ca="1">SUMIF('Apr11-Mar12 Billed-RETAIL'!$C$5:$BF$148,'12-MO Billed Summary RETAIL'!$C11,'Apr11-Mar12 Billed-RETAIL'!G$5:G$148)</f>
        <v>0</v>
      </c>
      <c r="H11" s="222">
        <f ca="1">SUMIF('Apr11-Mar12 Billed-RETAIL'!$C$5:$BF$148,'12-MO Billed Summary RETAIL'!$C11,'Apr11-Mar12 Billed-RETAIL'!H$5:H$148)</f>
        <v>0</v>
      </c>
      <c r="I11" s="222">
        <f ca="1">SUMIF('Apr11-Mar12 Billed-RETAIL'!$C$5:$BF$148,'12-MO Billed Summary RETAIL'!$C11,'Apr11-Mar12 Billed-RETAIL'!I$5:I$148)</f>
        <v>2</v>
      </c>
      <c r="J11" s="222">
        <f ca="1">SUMIF('Apr11-Mar12 Billed-RETAIL'!$C$5:$BF$148,'12-MO Billed Summary RETAIL'!$C11,'Apr11-Mar12 Billed-RETAIL'!J$5:J$148)</f>
        <v>0</v>
      </c>
      <c r="K11" s="222">
        <f ca="1">SUMIF('Apr11-Mar12 Billed-RETAIL'!$C$5:$BF$148,'12-MO Billed Summary RETAIL'!$C11,'Apr11-Mar12 Billed-RETAIL'!K$5:K$148)</f>
        <v>0</v>
      </c>
      <c r="L11" s="223"/>
      <c r="M11" s="223"/>
      <c r="N11" s="224"/>
      <c r="O11" s="224"/>
      <c r="P11" s="224"/>
      <c r="Q11" s="223"/>
      <c r="R11" s="224"/>
      <c r="S11" s="223"/>
      <c r="T11" s="223"/>
      <c r="U11" s="225">
        <f ca="1">SUMIF('Apr11-Mar12 Billed-RETAIL'!$C$5:$BF$148,'12-MO Billed Summary RETAIL'!$C11,'Apr11-Mar12 Billed-RETAIL'!U$5:U$148)</f>
        <v>30</v>
      </c>
      <c r="V11" s="225">
        <f ca="1">SUMIF('Apr11-Mar12 Billed-RETAIL'!$C$5:$BF$148,'12-MO Billed Summary RETAIL'!$C11,'Apr11-Mar12 Billed-RETAIL'!V$5:V$148)</f>
        <v>0</v>
      </c>
      <c r="W11" s="225">
        <f ca="1">SUMIF('Apr11-Mar12 Billed-RETAIL'!$C$5:$BF$148,'12-MO Billed Summary RETAIL'!$C11,'Apr11-Mar12 Billed-RETAIL'!W$5:W$148)</f>
        <v>0</v>
      </c>
      <c r="X11" s="225">
        <f ca="1">SUMIF('Apr11-Mar12 Billed-RETAIL'!$C$5:$BF$148,'12-MO Billed Summary RETAIL'!$C11,'Apr11-Mar12 Billed-RETAIL'!X$5:X$148)</f>
        <v>5.4879999999999998E-2</v>
      </c>
      <c r="Y11" s="225">
        <f ca="1">SUMIF('Apr11-Mar12 Billed-RETAIL'!$C$5:$BF$148,'12-MO Billed Summary RETAIL'!$C11,'Apr11-Mar12 Billed-RETAIL'!Y$5:Y$148)</f>
        <v>0</v>
      </c>
      <c r="Z11" s="225">
        <f ca="1">SUMIF('Apr11-Mar12 Billed-RETAIL'!$C$5:$BF$148,'12-MO Billed Summary RETAIL'!$C11,'Apr11-Mar12 Billed-RETAIL'!Z$5:Z$148)</f>
        <v>0.94845999999999997</v>
      </c>
      <c r="AA11" s="225">
        <f ca="1">SUMIF('Apr11-Mar12 Billed-RETAIL'!$C$5:$BF$148,'12-MO Billed Summary RETAIL'!$C11,'Apr11-Mar12 Billed-RETAIL'!AA$5:AA$148)</f>
        <v>0</v>
      </c>
      <c r="AB11" s="225">
        <f ca="1">SUMIF('Apr11-Mar12 Billed-RETAIL'!$C$5:$BF$148,'12-MO Billed Summary RETAIL'!$C11,'Apr11-Mar12 Billed-RETAIL'!AB$5:AB$148)</f>
        <v>0</v>
      </c>
      <c r="AC11" s="225">
        <f ca="1">SUMIF('Apr11-Mar12 Billed-RETAIL'!$C$5:$BF$148,'12-MO Billed Summary RETAIL'!$C11,'Apr11-Mar12 Billed-RETAIL'!AC$5:AC$148)</f>
        <v>0</v>
      </c>
      <c r="AD11" s="225">
        <f ca="1">SUMIF('Apr11-Mar12 Billed-RETAIL'!$C$5:$BF$148,'12-MO Billed Summary RETAIL'!$C11,'Apr11-Mar12 Billed-RETAIL'!AD$5:AD$148)</f>
        <v>0</v>
      </c>
      <c r="AE11" s="244">
        <f ca="1">SUMIF('Apr11-Mar12 Billed-RETAIL'!$C$5:$BF$148,'12-MO Billed Summary RETAIL'!$C11,'Apr11-Mar12 Billed-RETAIL'!AE$5:AE$148)</f>
        <v>0</v>
      </c>
      <c r="AF11" s="244">
        <f ca="1">SUMIF('Apr11-Mar12 Billed-RETAIL'!$C$5:$BF$148,'12-MO Billed Summary RETAIL'!$C11,'Apr11-Mar12 Billed-RETAIL'!AF$5:AF$148)</f>
        <v>0</v>
      </c>
      <c r="AG11" s="238">
        <f ca="1">SUMIF('Apr11-Mar12 Billed-RETAIL'!$C$5:$BF$148,'12-MO Billed Summary RETAIL'!$C11,'Apr11-Mar12 Billed-RETAIL'!AG$5:AG$148)</f>
        <v>0</v>
      </c>
      <c r="AH11" s="238">
        <f ca="1">SUMIF('Apr11-Mar12 Billed-RETAIL'!$C$5:$BF$148,'12-MO Billed Summary RETAIL'!$C11,'Apr11-Mar12 Billed-RETAIL'!AH$5:AH$148)</f>
        <v>0</v>
      </c>
      <c r="AI11" s="238">
        <f ca="1">SUMIF('Apr11-Mar12 Billed-RETAIL'!$C$5:$BF$148,'12-MO Billed Summary RETAIL'!$C11,'Apr11-Mar12 Billed-RETAIL'!AI$5:AI$148)</f>
        <v>0</v>
      </c>
      <c r="AJ11" s="238">
        <f ca="1">SUMIF('Apr11-Mar12 Billed-RETAIL'!$C$5:$BF$148,'12-MO Billed Summary RETAIL'!$C11,'Apr11-Mar12 Billed-RETAIL'!AJ$5:AJ$148)</f>
        <v>0</v>
      </c>
      <c r="AK11" s="238">
        <f ca="1">SUMIF('Apr11-Mar12 Billed-RETAIL'!$C$5:$BF$148,'12-MO Billed Summary RETAIL'!$C11,'Apr11-Mar12 Billed-RETAIL'!AK$5:AK$148)</f>
        <v>0</v>
      </c>
      <c r="AL11" s="238">
        <f ca="1">SUMIF('Apr11-Mar12 Billed-RETAIL'!$C$5:$BF$148,'12-MO Billed Summary RETAIL'!$C11,'Apr11-Mar12 Billed-RETAIL'!AL$5:AL$148)</f>
        <v>0</v>
      </c>
      <c r="AM11" s="238">
        <f ca="1">SUMIF('Apr11-Mar12 Billed-RETAIL'!$C$5:$BF$148,'12-MO Billed Summary RETAIL'!$C11,'Apr11-Mar12 Billed-RETAIL'!AM$5:AM$148)</f>
        <v>0</v>
      </c>
      <c r="AN11" s="225">
        <f ca="1">SUMIF('Apr11-Mar12 Billed-RETAIL'!$C$5:$BF$148,'12-MO Billed Summary RETAIL'!$C11,'Apr11-Mar12 Billed-RETAIL'!AN$5:AN$148)</f>
        <v>30</v>
      </c>
      <c r="AO11" s="225">
        <f ca="1">SUMIF('Apr11-Mar12 Billed-RETAIL'!$C$5:$BF$148,'12-MO Billed Summary RETAIL'!$C11,'Apr11-Mar12 Billed-RETAIL'!AO$5:AO$148)</f>
        <v>0</v>
      </c>
      <c r="AP11" s="225">
        <f ca="1">SUMIF('Apr11-Mar12 Billed-RETAIL'!$C$5:$BF$148,'12-MO Billed Summary RETAIL'!$C11,'Apr11-Mar12 Billed-RETAIL'!AP$5:AP$148)</f>
        <v>5.4879999999999998E-2</v>
      </c>
      <c r="AQ11" s="225">
        <f ca="1">SUMIF('Apr11-Mar12 Billed-RETAIL'!$C$5:$BF$148,'12-MO Billed Summary RETAIL'!$C11,'Apr11-Mar12 Billed-RETAIL'!AQ$5:AQ$148)</f>
        <v>0</v>
      </c>
      <c r="AR11" s="225">
        <f ca="1">SUMIF('Apr11-Mar12 Billed-RETAIL'!$C$5:$BF$148,'12-MO Billed Summary RETAIL'!$C11,'Apr11-Mar12 Billed-RETAIL'!AR$5:AR$148)</f>
        <v>0.95</v>
      </c>
      <c r="AS11" s="225">
        <f ca="1">SUMIF('Apr11-Mar12 Billed-RETAIL'!$C$5:$BF$148,'12-MO Billed Summary RETAIL'!$C11,'Apr11-Mar12 Billed-RETAIL'!AS$5:AS$148)</f>
        <v>0</v>
      </c>
      <c r="AT11" s="225">
        <f ca="1">SUMIF('Apr11-Mar12 Billed-RETAIL'!$C$5:$BF$148,'12-MO Billed Summary RETAIL'!$C11,'Apr11-Mar12 Billed-RETAIL'!AT$5:AT$148)</f>
        <v>0</v>
      </c>
      <c r="AU11" s="225">
        <f ca="1">SUMIF('Apr11-Mar12 Billed-RETAIL'!$C$5:$BF$148,'12-MO Billed Summary RETAIL'!$C11,'Apr11-Mar12 Billed-RETAIL'!AU$5:AU$148)</f>
        <v>0</v>
      </c>
      <c r="AV11" s="225">
        <f ca="1">SUMIF('Apr11-Mar12 Billed-RETAIL'!$C$5:$BF$148,'12-MO Billed Summary RETAIL'!$C11,'Apr11-Mar12 Billed-RETAIL'!AV$5:AV$148)</f>
        <v>0</v>
      </c>
      <c r="AW11" s="232">
        <f ca="1">SUMIF('Apr11-Mar12 Billed-RETAIL'!$C$5:$BF$148,'12-MO Billed Summary RETAIL'!$C11,'Apr11-Mar12 Billed-RETAIL'!AW$5:AW$148)</f>
        <v>31</v>
      </c>
      <c r="AX11" s="232">
        <f ca="1">SUMIF('Apr11-Mar12 Billed-RETAIL'!$C$5:$BF$148,'12-MO Billed Summary RETAIL'!$C11,'Apr11-Mar12 Billed-RETAIL'!AX$5:AX$148)</f>
        <v>1</v>
      </c>
      <c r="AY11" s="233">
        <f t="shared" ca="1" si="7"/>
        <v>3.2258000000000002E-2</v>
      </c>
      <c r="AZ11" s="232">
        <f ca="1">SUMIF('Apr11-Mar12 Billed-RETAIL'!$C$5:$BF$148,'12-MO Billed Summary RETAIL'!$C11,'Apr11-Mar12 Billed-RETAIL'!AZ$5:AZ$148)</f>
        <v>0</v>
      </c>
      <c r="BA11" s="232">
        <f ca="1">SUMIF('Apr11-Mar12 Billed-RETAIL'!$C$5:$BF$148,'12-MO Billed Summary RETAIL'!$C11,'Apr11-Mar12 Billed-RETAIL'!BA$5:BA$148)</f>
        <v>0.95</v>
      </c>
      <c r="BB11" s="232">
        <f ca="1">SUMIF('Apr11-Mar12 Billed-RETAIL'!$C$5:$BF$148,'12-MO Billed Summary RETAIL'!$C11,'Apr11-Mar12 Billed-RETAIL'!BB$5:BB$148)</f>
        <v>0</v>
      </c>
      <c r="BC11" s="232">
        <f ca="1">SUMIF('Apr11-Mar12 Billed-RETAIL'!$C$5:$BF$148,'12-MO Billed Summary RETAIL'!$C11,'Apr11-Mar12 Billed-RETAIL'!BC$5:BC$148)</f>
        <v>0</v>
      </c>
      <c r="BD11" s="232">
        <f ca="1">SUMIF('Apr11-Mar12 Billed-RETAIL'!$C$5:$BF$148,'12-MO Billed Summary RETAIL'!$C11,'Apr11-Mar12 Billed-RETAIL'!BD$5:BD$148)</f>
        <v>0</v>
      </c>
      <c r="BE11" s="232">
        <f ca="1">SUMIF('Apr11-Mar12 Billed-RETAIL'!$C$5:$BF$148,'12-MO Billed Summary RETAIL'!$C11,'Apr11-Mar12 Billed-RETAIL'!BE$5:BE$148)</f>
        <v>0.05</v>
      </c>
      <c r="BF11" s="232">
        <f ca="1">SUMIF('Apr11-Mar12 Billed-RETAIL'!$C$5:$BF$148,'12-MO Billed Summary RETAIL'!$C11,'Apr11-Mar12 Billed-RETAIL'!BF$5:BF$148)</f>
        <v>0</v>
      </c>
    </row>
    <row r="12" spans="1:58" x14ac:dyDescent="0.25">
      <c r="A12" s="196">
        <f t="shared" si="8"/>
        <v>7</v>
      </c>
      <c r="B12" s="211" t="s">
        <v>442</v>
      </c>
      <c r="C12" s="211" t="str">
        <f>+'Retail Rates'!B23</f>
        <v>LGING855</v>
      </c>
      <c r="D12" s="197" t="str">
        <f t="shared" si="6"/>
        <v>855</v>
      </c>
      <c r="E12" s="197" t="str">
        <f>VLOOKUP(C12,'Retail Rates'!$B$7:$D$35,3,FALSE)</f>
        <v>IGS</v>
      </c>
      <c r="F12" s="222">
        <f ca="1">SUMIF('Apr11-Mar12 Billed-RETAIL'!$C$5:$BF$148,'12-MO Billed Summary RETAIL'!$C12,'Apr11-Mar12 Billed-RETAIL'!F$5:F$148)</f>
        <v>0</v>
      </c>
      <c r="G12" s="222">
        <f ca="1">SUMIF('Apr11-Mar12 Billed-RETAIL'!$C$5:$BF$148,'12-MO Billed Summary RETAIL'!$C12,'Apr11-Mar12 Billed-RETAIL'!G$5:G$148)</f>
        <v>1358</v>
      </c>
      <c r="H12" s="222">
        <f ca="1">SUMIF('Apr11-Mar12 Billed-RETAIL'!$C$5:$BF$148,'12-MO Billed Summary RETAIL'!$C12,'Apr11-Mar12 Billed-RETAIL'!H$5:H$148)</f>
        <v>1205</v>
      </c>
      <c r="I12" s="222">
        <f ca="1">SUMIF('Apr11-Mar12 Billed-RETAIL'!$C$5:$BF$148,'12-MO Billed Summary RETAIL'!$C12,'Apr11-Mar12 Billed-RETAIL'!I$5:I$148)</f>
        <v>4963646</v>
      </c>
      <c r="J12" s="222">
        <f ca="1">SUMIF('Apr11-Mar12 Billed-RETAIL'!$C$5:$BF$148,'12-MO Billed Summary RETAIL'!$C12,'Apr11-Mar12 Billed-RETAIL'!J$5:J$148)</f>
        <v>2880904</v>
      </c>
      <c r="K12" s="222">
        <f ca="1">SUMIF('Apr11-Mar12 Billed-RETAIL'!$C$5:$BF$148,'12-MO Billed Summary RETAIL'!$C12,'Apr11-Mar12 Billed-RETAIL'!K$5:K$148)</f>
        <v>0</v>
      </c>
      <c r="L12" s="223"/>
      <c r="M12" s="223"/>
      <c r="N12" s="224"/>
      <c r="O12" s="224"/>
      <c r="P12" s="224"/>
      <c r="Q12" s="223"/>
      <c r="R12" s="224"/>
      <c r="S12" s="223"/>
      <c r="T12" s="223"/>
      <c r="U12" s="225">
        <f ca="1">SUMIF('Apr11-Mar12 Billed-RETAIL'!$C$5:$BF$148,'12-MO Billed Summary RETAIL'!$C12,'Apr11-Mar12 Billed-RETAIL'!U$5:U$148)</f>
        <v>40740</v>
      </c>
      <c r="V12" s="225">
        <f ca="1">SUMIF('Apr11-Mar12 Billed-RETAIL'!$C$5:$BF$148,'12-MO Billed Summary RETAIL'!$C12,'Apr11-Mar12 Billed-RETAIL'!V$5:V$148)</f>
        <v>0</v>
      </c>
      <c r="W12" s="225">
        <f ca="1">SUMIF('Apr11-Mar12 Billed-RETAIL'!$C$5:$BF$148,'12-MO Billed Summary RETAIL'!$C12,'Apr11-Mar12 Billed-RETAIL'!W$5:W$148)</f>
        <v>204850</v>
      </c>
      <c r="X12" s="225">
        <f ca="1">SUMIF('Apr11-Mar12 Billed-RETAIL'!$C$5:$BF$148,'12-MO Billed Summary RETAIL'!$C12,'Apr11-Mar12 Billed-RETAIL'!X$5:X$148)</f>
        <v>944184.74212000007</v>
      </c>
      <c r="Y12" s="225">
        <f ca="1">SUMIF('Apr11-Mar12 Billed-RETAIL'!$C$5:$BF$148,'12-MO Billed Summary RETAIL'!$C12,'Apr11-Mar12 Billed-RETAIL'!Y$5:Y$148)</f>
        <v>403960.35888000001</v>
      </c>
      <c r="Z12" s="225">
        <f ca="1">SUMIF('Apr11-Mar12 Billed-RETAIL'!$C$5:$BF$148,'12-MO Billed Summary RETAIL'!$C12,'Apr11-Mar12 Billed-RETAIL'!Z$5:Z$148)</f>
        <v>4099096.8814400001</v>
      </c>
      <c r="AA12" s="225">
        <f ca="1">SUMIF('Apr11-Mar12 Billed-RETAIL'!$C$5:$BF$148,'12-MO Billed Summary RETAIL'!$C12,'Apr11-Mar12 Billed-RETAIL'!AA$5:AA$148)</f>
        <v>0</v>
      </c>
      <c r="AB12" s="225">
        <f ca="1">SUMIF('Apr11-Mar12 Billed-RETAIL'!$C$5:$BF$148,'12-MO Billed Summary RETAIL'!$C12,'Apr11-Mar12 Billed-RETAIL'!AB$5:AB$148)</f>
        <v>0</v>
      </c>
      <c r="AC12" s="225">
        <f ca="1">SUMIF('Apr11-Mar12 Billed-RETAIL'!$C$5:$BF$148,'12-MO Billed Summary RETAIL'!$C12,'Apr11-Mar12 Billed-RETAIL'!AC$5:AC$148)</f>
        <v>0</v>
      </c>
      <c r="AD12" s="225">
        <f ca="1">SUMIF('Apr11-Mar12 Billed-RETAIL'!$C$5:$BF$148,'12-MO Billed Summary RETAIL'!$C12,'Apr11-Mar12 Billed-RETAIL'!AD$5:AD$148)</f>
        <v>0</v>
      </c>
      <c r="AE12" s="244">
        <f ca="1">SUMIF('Apr11-Mar12 Billed-RETAIL'!$C$5:$BF$148,'12-MO Billed Summary RETAIL'!$C12,'Apr11-Mar12 Billed-RETAIL'!AE$5:AE$148)</f>
        <v>0</v>
      </c>
      <c r="AF12" s="244">
        <f ca="1">SUMIF('Apr11-Mar12 Billed-RETAIL'!$C$5:$BF$148,'12-MO Billed Summary RETAIL'!$C12,'Apr11-Mar12 Billed-RETAIL'!AF$5:AF$148)</f>
        <v>0</v>
      </c>
      <c r="AG12" s="238">
        <f ca="1">SUMIF('Apr11-Mar12 Billed-RETAIL'!$C$5:$BF$148,'12-MO Billed Summary RETAIL'!$C12,'Apr11-Mar12 Billed-RETAIL'!AG$5:AG$148)</f>
        <v>-13</v>
      </c>
      <c r="AH12" s="238">
        <f ca="1">SUMIF('Apr11-Mar12 Billed-RETAIL'!$C$5:$BF$148,'12-MO Billed Summary RETAIL'!$C12,'Apr11-Mar12 Billed-RETAIL'!AH$5:AH$148)</f>
        <v>-22.680000000000007</v>
      </c>
      <c r="AI12" s="238">
        <f ca="1">SUMIF('Apr11-Mar12 Billed-RETAIL'!$C$5:$BF$148,'12-MO Billed Summary RETAIL'!$C12,'Apr11-Mar12 Billed-RETAIL'!AI$5:AI$148)</f>
        <v>-0.04</v>
      </c>
      <c r="AJ12" s="238">
        <f ca="1">SUMIF('Apr11-Mar12 Billed-RETAIL'!$C$5:$BF$148,'12-MO Billed Summary RETAIL'!$C12,'Apr11-Mar12 Billed-RETAIL'!AJ$5:AJ$148)</f>
        <v>0</v>
      </c>
      <c r="AK12" s="238">
        <f ca="1">SUMIF('Apr11-Mar12 Billed-RETAIL'!$C$5:$BF$148,'12-MO Billed Summary RETAIL'!$C12,'Apr11-Mar12 Billed-RETAIL'!AK$5:AK$148)</f>
        <v>-7254.2720800000288</v>
      </c>
      <c r="AL12" s="238">
        <f ca="1">SUMIF('Apr11-Mar12 Billed-RETAIL'!$C$5:$BF$148,'12-MO Billed Summary RETAIL'!$C12,'Apr11-Mar12 Billed-RETAIL'!AL$5:AL$148)</f>
        <v>0</v>
      </c>
      <c r="AM12" s="238">
        <f ca="1">SUMIF('Apr11-Mar12 Billed-RETAIL'!$C$5:$BF$148,'12-MO Billed Summary RETAIL'!$C12,'Apr11-Mar12 Billed-RETAIL'!AM$5:AM$148)</f>
        <v>0</v>
      </c>
      <c r="AN12" s="225">
        <f ca="1">SUMIF('Apr11-Mar12 Billed-RETAIL'!$C$5:$BF$148,'12-MO Billed Summary RETAIL'!$C12,'Apr11-Mar12 Billed-RETAIL'!AN$5:AN$148)</f>
        <v>40727</v>
      </c>
      <c r="AO12" s="225">
        <f ca="1">SUMIF('Apr11-Mar12 Billed-RETAIL'!$C$5:$BF$148,'12-MO Billed Summary RETAIL'!$C12,'Apr11-Mar12 Billed-RETAIL'!AO$5:AO$148)</f>
        <v>204827.31999999998</v>
      </c>
      <c r="AP12" s="225">
        <f ca="1">SUMIF('Apr11-Mar12 Billed-RETAIL'!$C$5:$BF$148,'12-MO Billed Summary RETAIL'!$C12,'Apr11-Mar12 Billed-RETAIL'!AP$5:AP$148)</f>
        <v>944184.70212000003</v>
      </c>
      <c r="AQ12" s="225">
        <f ca="1">SUMIF('Apr11-Mar12 Billed-RETAIL'!$C$5:$BF$148,'12-MO Billed Summary RETAIL'!$C12,'Apr11-Mar12 Billed-RETAIL'!AQ$5:AQ$148)</f>
        <v>403960.35888000001</v>
      </c>
      <c r="AR12" s="225">
        <f ca="1">SUMIF('Apr11-Mar12 Billed-RETAIL'!$C$5:$BF$148,'12-MO Billed Summary RETAIL'!$C12,'Apr11-Mar12 Billed-RETAIL'!AR$5:AR$148)</f>
        <v>4121371.55</v>
      </c>
      <c r="AS12" s="225">
        <f ca="1">SUMIF('Apr11-Mar12 Billed-RETAIL'!$C$5:$BF$148,'12-MO Billed Summary RETAIL'!$C12,'Apr11-Mar12 Billed-RETAIL'!AS$5:AS$148)</f>
        <v>0</v>
      </c>
      <c r="AT12" s="225">
        <f ca="1">SUMIF('Apr11-Mar12 Billed-RETAIL'!$C$5:$BF$148,'12-MO Billed Summary RETAIL'!$C12,'Apr11-Mar12 Billed-RETAIL'!AT$5:AT$148)</f>
        <v>0</v>
      </c>
      <c r="AU12" s="225">
        <f ca="1">SUMIF('Apr11-Mar12 Billed-RETAIL'!$C$5:$BF$148,'12-MO Billed Summary RETAIL'!$C12,'Apr11-Mar12 Billed-RETAIL'!AU$5:AU$148)</f>
        <v>0</v>
      </c>
      <c r="AV12" s="225">
        <f ca="1">SUMIF('Apr11-Mar12 Billed-RETAIL'!$C$5:$BF$148,'12-MO Billed Summary RETAIL'!$C12,'Apr11-Mar12 Billed-RETAIL'!AV$5:AV$148)</f>
        <v>0</v>
      </c>
      <c r="AW12" s="232">
        <f ca="1">SUMIF('Apr11-Mar12 Billed-RETAIL'!$C$5:$BF$148,'12-MO Billed Summary RETAIL'!$C12,'Apr11-Mar12 Billed-RETAIL'!AW$5:AW$148)</f>
        <v>5715070.9399999995</v>
      </c>
      <c r="AX12" s="232">
        <f ca="1">SUMIF('Apr11-Mar12 Billed-RETAIL'!$C$5:$BF$148,'12-MO Billed Summary RETAIL'!$C12,'Apr11-Mar12 Billed-RETAIL'!AX$5:AX$148)</f>
        <v>5715070.8399999999</v>
      </c>
      <c r="AY12" s="233">
        <f t="shared" ca="1" si="7"/>
        <v>1</v>
      </c>
      <c r="AZ12" s="232">
        <f ca="1">SUMIF('Apr11-Mar12 Billed-RETAIL'!$C$5:$BF$148,'12-MO Billed Summary RETAIL'!$C12,'Apr11-Mar12 Billed-RETAIL'!AZ$5:AZ$148)</f>
        <v>0</v>
      </c>
      <c r="BA12" s="232">
        <f ca="1">SUMIF('Apr11-Mar12 Billed-RETAIL'!$C$5:$BF$148,'12-MO Billed Summary RETAIL'!$C12,'Apr11-Mar12 Billed-RETAIL'!BA$5:BA$148)</f>
        <v>4121371.55</v>
      </c>
      <c r="BB12" s="232">
        <f ca="1">SUMIF('Apr11-Mar12 Billed-RETAIL'!$C$5:$BF$148,'12-MO Billed Summary RETAIL'!$C12,'Apr11-Mar12 Billed-RETAIL'!BB$5:BB$148)</f>
        <v>0</v>
      </c>
      <c r="BC12" s="232">
        <f ca="1">SUMIF('Apr11-Mar12 Billed-RETAIL'!$C$5:$BF$148,'12-MO Billed Summary RETAIL'!$C12,'Apr11-Mar12 Billed-RETAIL'!BC$5:BC$148)</f>
        <v>0</v>
      </c>
      <c r="BD12" s="232">
        <f ca="1">SUMIF('Apr11-Mar12 Billed-RETAIL'!$C$5:$BF$148,'12-MO Billed Summary RETAIL'!$C12,'Apr11-Mar12 Billed-RETAIL'!BD$5:BD$148)</f>
        <v>245554.32</v>
      </c>
      <c r="BE12" s="232">
        <f ca="1">SUMIF('Apr11-Mar12 Billed-RETAIL'!$C$5:$BF$148,'12-MO Billed Summary RETAIL'!$C12,'Apr11-Mar12 Billed-RETAIL'!BE$5:BE$148)</f>
        <v>1348144.97</v>
      </c>
      <c r="BF12" s="232">
        <f ca="1">SUMIF('Apr11-Mar12 Billed-RETAIL'!$C$5:$BF$148,'12-MO Billed Summary RETAIL'!$C12,'Apr11-Mar12 Billed-RETAIL'!BF$5:BF$148)</f>
        <v>0</v>
      </c>
    </row>
    <row r="13" spans="1:58" x14ac:dyDescent="0.25">
      <c r="A13" s="196">
        <f t="shared" si="8"/>
        <v>8</v>
      </c>
      <c r="B13" s="211" t="s">
        <v>442</v>
      </c>
      <c r="C13" s="211" t="str">
        <f>+'Retail Rates'!B26</f>
        <v>LGRSG811</v>
      </c>
      <c r="D13" s="197" t="str">
        <f t="shared" si="6"/>
        <v>811</v>
      </c>
      <c r="E13" s="197" t="str">
        <f>VLOOKUP(C13,'Retail Rates'!$B$7:$D$35,3,FALSE)</f>
        <v>RGS</v>
      </c>
      <c r="F13" s="222">
        <f ca="1">SUMIF('Apr11-Mar12 Billed-RETAIL'!$C$5:$BF$148,'12-MO Billed Summary RETAIL'!$C13,'Apr11-Mar12 Billed-RETAIL'!F$5:F$148)</f>
        <v>3496800</v>
      </c>
      <c r="G13" s="222">
        <f ca="1">SUMIF('Apr11-Mar12 Billed-RETAIL'!$C$5:$BF$148,'12-MO Billed Summary RETAIL'!$C13,'Apr11-Mar12 Billed-RETAIL'!G$5:G$148)</f>
        <v>0</v>
      </c>
      <c r="H13" s="222">
        <f ca="1">SUMIF('Apr11-Mar12 Billed-RETAIL'!$C$5:$BF$148,'12-MO Billed Summary RETAIL'!$C13,'Apr11-Mar12 Billed-RETAIL'!H$5:H$148)</f>
        <v>0</v>
      </c>
      <c r="I13" s="222">
        <f ca="1">SUMIF('Apr11-Mar12 Billed-RETAIL'!$C$5:$BF$148,'12-MO Billed Summary RETAIL'!$C13,'Apr11-Mar12 Billed-RETAIL'!I$5:I$148)</f>
        <v>174528484</v>
      </c>
      <c r="J13" s="222">
        <f ca="1">SUMIF('Apr11-Mar12 Billed-RETAIL'!$C$5:$BF$148,'12-MO Billed Summary RETAIL'!$C13,'Apr11-Mar12 Billed-RETAIL'!J$5:J$148)</f>
        <v>0</v>
      </c>
      <c r="K13" s="222">
        <f ca="1">SUMIF('Apr11-Mar12 Billed-RETAIL'!$C$5:$BF$148,'12-MO Billed Summary RETAIL'!$C13,'Apr11-Mar12 Billed-RETAIL'!K$5:K$148)</f>
        <v>0</v>
      </c>
      <c r="L13" s="223"/>
      <c r="M13" s="223"/>
      <c r="N13" s="224"/>
      <c r="O13" s="224"/>
      <c r="P13" s="224"/>
      <c r="Q13" s="223"/>
      <c r="R13" s="224"/>
      <c r="S13" s="223"/>
      <c r="T13" s="223"/>
      <c r="U13" s="225">
        <f ca="1">SUMIF('Apr11-Mar12 Billed-RETAIL'!$C$5:$BF$148,'12-MO Billed Summary RETAIL'!$C13,'Apr11-Mar12 Billed-RETAIL'!U$5:U$148)</f>
        <v>43710000</v>
      </c>
      <c r="V13" s="225">
        <f ca="1">SUMIF('Apr11-Mar12 Billed-RETAIL'!$C$5:$BF$148,'12-MO Billed Summary RETAIL'!$C13,'Apr11-Mar12 Billed-RETAIL'!V$5:V$148)</f>
        <v>0</v>
      </c>
      <c r="W13" s="225">
        <f ca="1">SUMIF('Apr11-Mar12 Billed-RETAIL'!$C$5:$BF$148,'12-MO Billed Summary RETAIL'!$C13,'Apr11-Mar12 Billed-RETAIL'!W$5:W$148)</f>
        <v>0</v>
      </c>
      <c r="X13" s="225">
        <f ca="1">SUMIF('Apr11-Mar12 Billed-RETAIL'!$C$5:$BF$148,'12-MO Billed Summary RETAIL'!$C13,'Apr11-Mar12 Billed-RETAIL'!X$5:X$148)</f>
        <v>39087399.276640005</v>
      </c>
      <c r="Y13" s="225">
        <f ca="1">SUMIF('Apr11-Mar12 Billed-RETAIL'!$C$5:$BF$148,'12-MO Billed Summary RETAIL'!$C13,'Apr11-Mar12 Billed-RETAIL'!Y$5:Y$148)</f>
        <v>0</v>
      </c>
      <c r="Z13" s="225">
        <f ca="1">SUMIF('Apr11-Mar12 Billed-RETAIL'!$C$5:$BF$148,'12-MO Billed Summary RETAIL'!$C13,'Apr11-Mar12 Billed-RETAIL'!Z$5:Z$148)</f>
        <v>89347563.442179978</v>
      </c>
      <c r="AA13" s="225">
        <f ca="1">SUMIF('Apr11-Mar12 Billed-RETAIL'!$C$5:$BF$148,'12-MO Billed Summary RETAIL'!$C13,'Apr11-Mar12 Billed-RETAIL'!AA$5:AA$148)</f>
        <v>0</v>
      </c>
      <c r="AB13" s="225">
        <f ca="1">SUMIF('Apr11-Mar12 Billed-RETAIL'!$C$5:$BF$148,'12-MO Billed Summary RETAIL'!$C13,'Apr11-Mar12 Billed-RETAIL'!AB$5:AB$148)</f>
        <v>0</v>
      </c>
      <c r="AC13" s="225">
        <f ca="1">SUMIF('Apr11-Mar12 Billed-RETAIL'!$C$5:$BF$148,'12-MO Billed Summary RETAIL'!$C13,'Apr11-Mar12 Billed-RETAIL'!AC$5:AC$148)</f>
        <v>0</v>
      </c>
      <c r="AD13" s="225">
        <f ca="1">SUMIF('Apr11-Mar12 Billed-RETAIL'!$C$5:$BF$148,'12-MO Billed Summary RETAIL'!$C13,'Apr11-Mar12 Billed-RETAIL'!AD$5:AD$148)</f>
        <v>0</v>
      </c>
      <c r="AE13" s="244">
        <f ca="1">SUMIF('Apr11-Mar12 Billed-RETAIL'!$C$5:$BF$148,'12-MO Billed Summary RETAIL'!$C13,'Apr11-Mar12 Billed-RETAIL'!AE$5:AE$148)</f>
        <v>-4520</v>
      </c>
      <c r="AF13" s="244">
        <f ca="1">SUMIF('Apr11-Mar12 Billed-RETAIL'!$C$5:$BF$148,'12-MO Billed Summary RETAIL'!$C13,'Apr11-Mar12 Billed-RETAIL'!AF$5:AF$148)</f>
        <v>0</v>
      </c>
      <c r="AG13" s="238">
        <f ca="1">SUMIF('Apr11-Mar12 Billed-RETAIL'!$C$5:$BF$148,'12-MO Billed Summary RETAIL'!$C13,'Apr11-Mar12 Billed-RETAIL'!AG$5:AG$148)</f>
        <v>32.369999999999997</v>
      </c>
      <c r="AH13" s="238">
        <f ca="1">SUMIF('Apr11-Mar12 Billed-RETAIL'!$C$5:$BF$148,'12-MO Billed Summary RETAIL'!$C13,'Apr11-Mar12 Billed-RETAIL'!AH$5:AH$148)</f>
        <v>0</v>
      </c>
      <c r="AI13" s="238">
        <f ca="1">SUMIF('Apr11-Mar12 Billed-RETAIL'!$C$5:$BF$148,'12-MO Billed Summary RETAIL'!$C13,'Apr11-Mar12 Billed-RETAIL'!AI$5:AI$148)</f>
        <v>296.97000000000003</v>
      </c>
      <c r="AJ13" s="238">
        <f ca="1">SUMIF('Apr11-Mar12 Billed-RETAIL'!$C$5:$BF$148,'12-MO Billed Summary RETAIL'!$C13,'Apr11-Mar12 Billed-RETAIL'!AJ$5:AJ$148)</f>
        <v>0</v>
      </c>
      <c r="AK13" s="238">
        <f ca="1">SUMIF('Apr11-Mar12 Billed-RETAIL'!$C$5:$BF$148,'12-MO Billed Summary RETAIL'!$C13,'Apr11-Mar12 Billed-RETAIL'!AK$5:AK$148)</f>
        <v>-156617.78286000044</v>
      </c>
      <c r="AL13" s="238">
        <f ca="1">SUMIF('Apr11-Mar12 Billed-RETAIL'!$C$5:$BF$148,'12-MO Billed Summary RETAIL'!$C13,'Apr11-Mar12 Billed-RETAIL'!AL$5:AL$148)</f>
        <v>0</v>
      </c>
      <c r="AM13" s="238">
        <f ca="1">SUMIF('Apr11-Mar12 Billed-RETAIL'!$C$5:$BF$148,'12-MO Billed Summary RETAIL'!$C13,'Apr11-Mar12 Billed-RETAIL'!AM$5:AM$148)</f>
        <v>0</v>
      </c>
      <c r="AN13" s="225">
        <f ca="1">SUMIF('Apr11-Mar12 Billed-RETAIL'!$C$5:$BF$148,'12-MO Billed Summary RETAIL'!$C13,'Apr11-Mar12 Billed-RETAIL'!AN$5:AN$148)</f>
        <v>43653532.369999997</v>
      </c>
      <c r="AO13" s="225">
        <f ca="1">SUMIF('Apr11-Mar12 Billed-RETAIL'!$C$5:$BF$148,'12-MO Billed Summary RETAIL'!$C13,'Apr11-Mar12 Billed-RETAIL'!AO$5:AO$148)</f>
        <v>0</v>
      </c>
      <c r="AP13" s="225">
        <f ca="1">SUMIF('Apr11-Mar12 Billed-RETAIL'!$C$5:$BF$148,'12-MO Billed Summary RETAIL'!$C13,'Apr11-Mar12 Billed-RETAIL'!AP$5:AP$148)</f>
        <v>39087696.246639997</v>
      </c>
      <c r="AQ13" s="225">
        <f ca="1">SUMIF('Apr11-Mar12 Billed-RETAIL'!$C$5:$BF$148,'12-MO Billed Summary RETAIL'!$C13,'Apr11-Mar12 Billed-RETAIL'!AQ$5:AQ$148)</f>
        <v>0</v>
      </c>
      <c r="AR13" s="225">
        <f ca="1">SUMIF('Apr11-Mar12 Billed-RETAIL'!$C$5:$BF$148,'12-MO Billed Summary RETAIL'!$C13,'Apr11-Mar12 Billed-RETAIL'!AR$5:AR$148)</f>
        <v>90202305.960000008</v>
      </c>
      <c r="AS13" s="225">
        <f ca="1">SUMIF('Apr11-Mar12 Billed-RETAIL'!$C$5:$BF$148,'12-MO Billed Summary RETAIL'!$C13,'Apr11-Mar12 Billed-RETAIL'!AS$5:AS$148)</f>
        <v>3867826.8500000006</v>
      </c>
      <c r="AT13" s="225">
        <f ca="1">SUMIF('Apr11-Mar12 Billed-RETAIL'!$C$5:$BF$148,'12-MO Billed Summary RETAIL'!$C13,'Apr11-Mar12 Billed-RETAIL'!AT$5:AT$148)</f>
        <v>5278101.72</v>
      </c>
      <c r="AU13" s="225">
        <f ca="1">SUMIF('Apr11-Mar12 Billed-RETAIL'!$C$5:$BF$148,'12-MO Billed Summary RETAIL'!$C13,'Apr11-Mar12 Billed-RETAIL'!AU$5:AU$148)</f>
        <v>0</v>
      </c>
      <c r="AV13" s="225">
        <f ca="1">SUMIF('Apr11-Mar12 Billed-RETAIL'!$C$5:$BF$148,'12-MO Billed Summary RETAIL'!$C13,'Apr11-Mar12 Billed-RETAIL'!AV$5:AV$148)</f>
        <v>0</v>
      </c>
      <c r="AW13" s="232">
        <f ca="1">SUMIF('Apr11-Mar12 Billed-RETAIL'!$C$5:$BF$148,'12-MO Billed Summary RETAIL'!$C13,'Apr11-Mar12 Billed-RETAIL'!AW$5:AW$148)</f>
        <v>182089463.15000001</v>
      </c>
      <c r="AX13" s="232">
        <f ca="1">SUMIF('Apr11-Mar12 Billed-RETAIL'!$C$5:$BF$148,'12-MO Billed Summary RETAIL'!$C13,'Apr11-Mar12 Billed-RETAIL'!AX$5:AX$148)</f>
        <v>182089463.15000001</v>
      </c>
      <c r="AY13" s="233">
        <f t="shared" ca="1" si="7"/>
        <v>1</v>
      </c>
      <c r="AZ13" s="232">
        <f ca="1">SUMIF('Apr11-Mar12 Billed-RETAIL'!$C$5:$BF$148,'12-MO Billed Summary RETAIL'!$C13,'Apr11-Mar12 Billed-RETAIL'!AZ$5:AZ$148)</f>
        <v>3867826.8500000006</v>
      </c>
      <c r="BA13" s="232">
        <f ca="1">SUMIF('Apr11-Mar12 Billed-RETAIL'!$C$5:$BF$148,'12-MO Billed Summary RETAIL'!$C13,'Apr11-Mar12 Billed-RETAIL'!BA$5:BA$148)</f>
        <v>90202305.960000008</v>
      </c>
      <c r="BB13" s="232">
        <f ca="1">SUMIF('Apr11-Mar12 Billed-RETAIL'!$C$5:$BF$148,'12-MO Billed Summary RETAIL'!$C13,'Apr11-Mar12 Billed-RETAIL'!BB$5:BB$148)</f>
        <v>5278101.72</v>
      </c>
      <c r="BC13" s="232">
        <f ca="1">SUMIF('Apr11-Mar12 Billed-RETAIL'!$C$5:$BF$148,'12-MO Billed Summary RETAIL'!$C13,'Apr11-Mar12 Billed-RETAIL'!BC$5:BC$148)</f>
        <v>490690.35</v>
      </c>
      <c r="BD13" s="232">
        <f ca="1">SUMIF('Apr11-Mar12 Billed-RETAIL'!$C$5:$BF$148,'12-MO Billed Summary RETAIL'!$C13,'Apr11-Mar12 Billed-RETAIL'!BD$5:BD$148)</f>
        <v>43653532.369999997</v>
      </c>
      <c r="BE13" s="232">
        <f ca="1">SUMIF('Apr11-Mar12 Billed-RETAIL'!$C$5:$BF$148,'12-MO Billed Summary RETAIL'!$C13,'Apr11-Mar12 Billed-RETAIL'!BE$5:BE$148)</f>
        <v>39087696.25</v>
      </c>
      <c r="BF13" s="232">
        <f ca="1">SUMIF('Apr11-Mar12 Billed-RETAIL'!$C$5:$BF$148,'12-MO Billed Summary RETAIL'!$C13,'Apr11-Mar12 Billed-RETAIL'!BF$5:BF$148)</f>
        <v>0</v>
      </c>
    </row>
    <row r="14" spans="1:58" x14ac:dyDescent="0.25">
      <c r="A14" s="196">
        <f t="shared" si="8"/>
        <v>9</v>
      </c>
      <c r="B14" s="211" t="s">
        <v>442</v>
      </c>
      <c r="C14" s="211" t="str">
        <f>+'Retail Rates'!B27</f>
        <v>LGRSG811S1</v>
      </c>
      <c r="D14" s="197" t="str">
        <f t="shared" si="6"/>
        <v>811</v>
      </c>
      <c r="E14" s="197" t="str">
        <f>VLOOKUP(C14,'Retail Rates'!$B$7:$D$35,3,FALSE)</f>
        <v>RGS</v>
      </c>
      <c r="F14" s="222">
        <f ca="1">SUMIF('Apr11-Mar12 Billed-RETAIL'!$C$5:$BF$148,'12-MO Billed Summary RETAIL'!$C14,'Apr11-Mar12 Billed-RETAIL'!F$5:F$148)</f>
        <v>10</v>
      </c>
      <c r="G14" s="222">
        <f ca="1">SUMIF('Apr11-Mar12 Billed-RETAIL'!$C$5:$BF$148,'12-MO Billed Summary RETAIL'!$C14,'Apr11-Mar12 Billed-RETAIL'!G$5:G$148)</f>
        <v>0</v>
      </c>
      <c r="H14" s="222">
        <f ca="1">SUMIF('Apr11-Mar12 Billed-RETAIL'!$C$5:$BF$148,'12-MO Billed Summary RETAIL'!$C14,'Apr11-Mar12 Billed-RETAIL'!H$5:H$148)</f>
        <v>0</v>
      </c>
      <c r="I14" s="222">
        <f ca="1">SUMIF('Apr11-Mar12 Billed-RETAIL'!$C$5:$BF$148,'12-MO Billed Summary RETAIL'!$C14,'Apr11-Mar12 Billed-RETAIL'!I$5:I$148)</f>
        <v>10479</v>
      </c>
      <c r="J14" s="222">
        <f ca="1">SUMIF('Apr11-Mar12 Billed-RETAIL'!$C$5:$BF$148,'12-MO Billed Summary RETAIL'!$C14,'Apr11-Mar12 Billed-RETAIL'!J$5:J$148)</f>
        <v>0</v>
      </c>
      <c r="K14" s="222">
        <f ca="1">SUMIF('Apr11-Mar12 Billed-RETAIL'!$C$5:$BF$148,'12-MO Billed Summary RETAIL'!$C14,'Apr11-Mar12 Billed-RETAIL'!K$5:K$148)</f>
        <v>0</v>
      </c>
      <c r="L14" s="223"/>
      <c r="M14" s="223"/>
      <c r="N14" s="224"/>
      <c r="O14" s="224"/>
      <c r="P14" s="224"/>
      <c r="Q14" s="223"/>
      <c r="R14" s="224"/>
      <c r="S14" s="223"/>
      <c r="T14" s="223"/>
      <c r="U14" s="225">
        <f ca="1">SUMIF('Apr11-Mar12 Billed-RETAIL'!$C$5:$BF$148,'12-MO Billed Summary RETAIL'!$C14,'Apr11-Mar12 Billed-RETAIL'!U$5:U$148)</f>
        <v>125</v>
      </c>
      <c r="V14" s="225">
        <f ca="1">SUMIF('Apr11-Mar12 Billed-RETAIL'!$C$5:$BF$148,'12-MO Billed Summary RETAIL'!$C14,'Apr11-Mar12 Billed-RETAIL'!V$5:V$148)</f>
        <v>0</v>
      </c>
      <c r="W14" s="225">
        <f ca="1">SUMIF('Apr11-Mar12 Billed-RETAIL'!$C$5:$BF$148,'12-MO Billed Summary RETAIL'!$C14,'Apr11-Mar12 Billed-RETAIL'!W$5:W$148)</f>
        <v>0</v>
      </c>
      <c r="X14" s="225">
        <f ca="1">SUMIF('Apr11-Mar12 Billed-RETAIL'!$C$5:$BF$148,'12-MO Billed Summary RETAIL'!$C14,'Apr11-Mar12 Billed-RETAIL'!X$5:X$148)</f>
        <v>2346.8768399999999</v>
      </c>
      <c r="Y14" s="225">
        <f ca="1">SUMIF('Apr11-Mar12 Billed-RETAIL'!$C$5:$BF$148,'12-MO Billed Summary RETAIL'!$C14,'Apr11-Mar12 Billed-RETAIL'!Y$5:Y$148)</f>
        <v>0</v>
      </c>
      <c r="Z14" s="225">
        <f ca="1">SUMIF('Apr11-Mar12 Billed-RETAIL'!$C$5:$BF$148,'12-MO Billed Summary RETAIL'!$C14,'Apr11-Mar12 Billed-RETAIL'!Z$5:Z$148)</f>
        <v>5494.6224699999993</v>
      </c>
      <c r="AA14" s="225">
        <f ca="1">SUMIF('Apr11-Mar12 Billed-RETAIL'!$C$5:$BF$148,'12-MO Billed Summary RETAIL'!$C14,'Apr11-Mar12 Billed-RETAIL'!AA$5:AA$148)</f>
        <v>0</v>
      </c>
      <c r="AB14" s="225">
        <f ca="1">SUMIF('Apr11-Mar12 Billed-RETAIL'!$C$5:$BF$148,'12-MO Billed Summary RETAIL'!$C14,'Apr11-Mar12 Billed-RETAIL'!AB$5:AB$148)</f>
        <v>0</v>
      </c>
      <c r="AC14" s="225">
        <f ca="1">SUMIF('Apr11-Mar12 Billed-RETAIL'!$C$5:$BF$148,'12-MO Billed Summary RETAIL'!$C14,'Apr11-Mar12 Billed-RETAIL'!AC$5:AC$148)</f>
        <v>0</v>
      </c>
      <c r="AD14" s="225">
        <f ca="1">SUMIF('Apr11-Mar12 Billed-RETAIL'!$C$5:$BF$148,'12-MO Billed Summary RETAIL'!$C14,'Apr11-Mar12 Billed-RETAIL'!AD$5:AD$148)</f>
        <v>0</v>
      </c>
      <c r="AE14" s="244">
        <f ca="1">SUMIF('Apr11-Mar12 Billed-RETAIL'!$C$5:$BF$148,'12-MO Billed Summary RETAIL'!$C14,'Apr11-Mar12 Billed-RETAIL'!AE$5:AE$148)</f>
        <v>0</v>
      </c>
      <c r="AF14" s="244">
        <f ca="1">SUMIF('Apr11-Mar12 Billed-RETAIL'!$C$5:$BF$148,'12-MO Billed Summary RETAIL'!$C14,'Apr11-Mar12 Billed-RETAIL'!AF$5:AF$148)</f>
        <v>0</v>
      </c>
      <c r="AG14" s="238">
        <f ca="1">SUMIF('Apr11-Mar12 Billed-RETAIL'!$C$5:$BF$148,'12-MO Billed Summary RETAIL'!$C14,'Apr11-Mar12 Billed-RETAIL'!AG$5:AG$148)</f>
        <v>-120</v>
      </c>
      <c r="AH14" s="238">
        <f ca="1">SUMIF('Apr11-Mar12 Billed-RETAIL'!$C$5:$BF$148,'12-MO Billed Summary RETAIL'!$C14,'Apr11-Mar12 Billed-RETAIL'!AH$5:AH$148)</f>
        <v>0</v>
      </c>
      <c r="AI14" s="238">
        <f ca="1">SUMIF('Apr11-Mar12 Billed-RETAIL'!$C$5:$BF$148,'12-MO Billed Summary RETAIL'!$C14,'Apr11-Mar12 Billed-RETAIL'!AI$5:AI$148)</f>
        <v>-2819.67</v>
      </c>
      <c r="AJ14" s="238">
        <f ca="1">SUMIF('Apr11-Mar12 Billed-RETAIL'!$C$5:$BF$148,'12-MO Billed Summary RETAIL'!$C14,'Apr11-Mar12 Billed-RETAIL'!AJ$5:AJ$148)</f>
        <v>0</v>
      </c>
      <c r="AK14" s="238">
        <f ca="1">SUMIF('Apr11-Mar12 Billed-RETAIL'!$C$5:$BF$148,'12-MO Billed Summary RETAIL'!$C14,'Apr11-Mar12 Billed-RETAIL'!AK$5:AK$148)</f>
        <v>-2.77503999999999</v>
      </c>
      <c r="AL14" s="238">
        <f ca="1">SUMIF('Apr11-Mar12 Billed-RETAIL'!$C$5:$BF$148,'12-MO Billed Summary RETAIL'!$C14,'Apr11-Mar12 Billed-RETAIL'!AL$5:AL$148)</f>
        <v>0</v>
      </c>
      <c r="AM14" s="238">
        <f ca="1">SUMIF('Apr11-Mar12 Billed-RETAIL'!$C$5:$BF$148,'12-MO Billed Summary RETAIL'!$C14,'Apr11-Mar12 Billed-RETAIL'!AM$5:AM$148)</f>
        <v>0</v>
      </c>
      <c r="AN14" s="225">
        <f ca="1">SUMIF('Apr11-Mar12 Billed-RETAIL'!$C$5:$BF$148,'12-MO Billed Summary RETAIL'!$C14,'Apr11-Mar12 Billed-RETAIL'!AN$5:AN$148)</f>
        <v>5</v>
      </c>
      <c r="AO14" s="225">
        <f ca="1">SUMIF('Apr11-Mar12 Billed-RETAIL'!$C$5:$BF$148,'12-MO Billed Summary RETAIL'!$C14,'Apr11-Mar12 Billed-RETAIL'!AO$5:AO$148)</f>
        <v>0</v>
      </c>
      <c r="AP14" s="225">
        <f ca="1">SUMIF('Apr11-Mar12 Billed-RETAIL'!$C$5:$BF$148,'12-MO Billed Summary RETAIL'!$C14,'Apr11-Mar12 Billed-RETAIL'!AP$5:AP$148)</f>
        <v>-472.79316000000017</v>
      </c>
      <c r="AQ14" s="225">
        <f ca="1">SUMIF('Apr11-Mar12 Billed-RETAIL'!$C$5:$BF$148,'12-MO Billed Summary RETAIL'!$C14,'Apr11-Mar12 Billed-RETAIL'!AQ$5:AQ$148)</f>
        <v>0</v>
      </c>
      <c r="AR14" s="225">
        <f ca="1">SUMIF('Apr11-Mar12 Billed-RETAIL'!$C$5:$BF$148,'12-MO Billed Summary RETAIL'!$C14,'Apr11-Mar12 Billed-RETAIL'!AR$5:AR$148)</f>
        <v>5503.41</v>
      </c>
      <c r="AS14" s="225">
        <f ca="1">SUMIF('Apr11-Mar12 Billed-RETAIL'!$C$5:$BF$148,'12-MO Billed Summary RETAIL'!$C14,'Apr11-Mar12 Billed-RETAIL'!AS$5:AS$148)</f>
        <v>0</v>
      </c>
      <c r="AT14" s="225">
        <f ca="1">SUMIF('Apr11-Mar12 Billed-RETAIL'!$C$5:$BF$148,'12-MO Billed Summary RETAIL'!$C14,'Apr11-Mar12 Billed-RETAIL'!AT$5:AT$148)</f>
        <v>0</v>
      </c>
      <c r="AU14" s="225">
        <f ca="1">SUMIF('Apr11-Mar12 Billed-RETAIL'!$C$5:$BF$148,'12-MO Billed Summary RETAIL'!$C14,'Apr11-Mar12 Billed-RETAIL'!AU$5:AU$148)</f>
        <v>0</v>
      </c>
      <c r="AV14" s="225">
        <f ca="1">SUMIF('Apr11-Mar12 Billed-RETAIL'!$C$5:$BF$148,'12-MO Billed Summary RETAIL'!$C14,'Apr11-Mar12 Billed-RETAIL'!AV$5:AV$148)</f>
        <v>0</v>
      </c>
      <c r="AW14" s="232">
        <f ca="1">SUMIF('Apr11-Mar12 Billed-RETAIL'!$C$5:$BF$148,'12-MO Billed Summary RETAIL'!$C14,'Apr11-Mar12 Billed-RETAIL'!AW$5:AW$148)</f>
        <v>5035.6099999999997</v>
      </c>
      <c r="AX14" s="232">
        <f ca="1">SUMIF('Apr11-Mar12 Billed-RETAIL'!$C$5:$BF$148,'12-MO Billed Summary RETAIL'!$C14,'Apr11-Mar12 Billed-RETAIL'!AX$5:AX$148)</f>
        <v>5035.6100000000006</v>
      </c>
      <c r="AY14" s="233">
        <f t="shared" ca="1" si="7"/>
        <v>1</v>
      </c>
      <c r="AZ14" s="232">
        <f ca="1">SUMIF('Apr11-Mar12 Billed-RETAIL'!$C$5:$BF$148,'12-MO Billed Summary RETAIL'!$C14,'Apr11-Mar12 Billed-RETAIL'!AZ$5:AZ$148)</f>
        <v>0</v>
      </c>
      <c r="BA14" s="232">
        <f ca="1">SUMIF('Apr11-Mar12 Billed-RETAIL'!$C$5:$BF$148,'12-MO Billed Summary RETAIL'!$C14,'Apr11-Mar12 Billed-RETAIL'!BA$5:BA$148)</f>
        <v>5503.41</v>
      </c>
      <c r="BB14" s="232">
        <f ca="1">SUMIF('Apr11-Mar12 Billed-RETAIL'!$C$5:$BF$148,'12-MO Billed Summary RETAIL'!$C14,'Apr11-Mar12 Billed-RETAIL'!BB$5:BB$148)</f>
        <v>0</v>
      </c>
      <c r="BC14" s="232">
        <f ca="1">SUMIF('Apr11-Mar12 Billed-RETAIL'!$C$5:$BF$148,'12-MO Billed Summary RETAIL'!$C14,'Apr11-Mar12 Billed-RETAIL'!BC$5:BC$148)</f>
        <v>0</v>
      </c>
      <c r="BD14" s="232">
        <f ca="1">SUMIF('Apr11-Mar12 Billed-RETAIL'!$C$5:$BF$148,'12-MO Billed Summary RETAIL'!$C14,'Apr11-Mar12 Billed-RETAIL'!BD$5:BD$148)</f>
        <v>5</v>
      </c>
      <c r="BE14" s="232">
        <f ca="1">SUMIF('Apr11-Mar12 Billed-RETAIL'!$C$5:$BF$148,'12-MO Billed Summary RETAIL'!$C14,'Apr11-Mar12 Billed-RETAIL'!BE$5:BE$148)</f>
        <v>-472.80000000000007</v>
      </c>
      <c r="BF14" s="232">
        <f ca="1">SUMIF('Apr11-Mar12 Billed-RETAIL'!$C$5:$BF$148,'12-MO Billed Summary RETAIL'!$C14,'Apr11-Mar12 Billed-RETAIL'!BF$5:BF$148)</f>
        <v>0</v>
      </c>
    </row>
    <row r="15" spans="1:58" x14ac:dyDescent="0.25">
      <c r="A15" s="196">
        <f t="shared" si="8"/>
        <v>10</v>
      </c>
      <c r="B15" s="211" t="s">
        <v>442</v>
      </c>
      <c r="C15" s="211" t="str">
        <f>+'Retail Rates'!B28</f>
        <v>LGRSG840</v>
      </c>
      <c r="D15" s="197" t="str">
        <f t="shared" si="6"/>
        <v>840</v>
      </c>
      <c r="E15" s="197" t="str">
        <f>VLOOKUP(C15,'Retail Rates'!$B$7:$D$35,3,FALSE)</f>
        <v>RGS</v>
      </c>
      <c r="F15" s="222">
        <f ca="1">SUMIF('Apr11-Mar12 Billed-RETAIL'!$C$5:$BF$148,'12-MO Billed Summary RETAIL'!$C15,'Apr11-Mar12 Billed-RETAIL'!F$5:F$148)</f>
        <v>48</v>
      </c>
      <c r="G15" s="222">
        <f ca="1">SUMIF('Apr11-Mar12 Billed-RETAIL'!$C$5:$BF$148,'12-MO Billed Summary RETAIL'!$C15,'Apr11-Mar12 Billed-RETAIL'!G$5:G$148)</f>
        <v>0</v>
      </c>
      <c r="H15" s="222">
        <f ca="1">SUMIF('Apr11-Mar12 Billed-RETAIL'!$C$5:$BF$148,'12-MO Billed Summary RETAIL'!$C15,'Apr11-Mar12 Billed-RETAIL'!H$5:H$148)</f>
        <v>0</v>
      </c>
      <c r="I15" s="222">
        <f ca="1">SUMIF('Apr11-Mar12 Billed-RETAIL'!$C$5:$BF$148,'12-MO Billed Summary RETAIL'!$C15,'Apr11-Mar12 Billed-RETAIL'!I$5:I$148)</f>
        <v>12559</v>
      </c>
      <c r="J15" s="222">
        <f ca="1">SUMIF('Apr11-Mar12 Billed-RETAIL'!$C$5:$BF$148,'12-MO Billed Summary RETAIL'!$C15,'Apr11-Mar12 Billed-RETAIL'!J$5:J$148)</f>
        <v>0</v>
      </c>
      <c r="K15" s="222">
        <f ca="1">SUMIF('Apr11-Mar12 Billed-RETAIL'!$C$5:$BF$148,'12-MO Billed Summary RETAIL'!$C15,'Apr11-Mar12 Billed-RETAIL'!K$5:K$148)</f>
        <v>0</v>
      </c>
      <c r="L15" s="223"/>
      <c r="M15" s="223"/>
      <c r="N15" s="224"/>
      <c r="O15" s="224"/>
      <c r="P15" s="224"/>
      <c r="Q15" s="223"/>
      <c r="R15" s="224"/>
      <c r="S15" s="223"/>
      <c r="T15" s="223"/>
      <c r="U15" s="225">
        <f ca="1">SUMIF('Apr11-Mar12 Billed-RETAIL'!$C$5:$BF$148,'12-MO Billed Summary RETAIL'!$C15,'Apr11-Mar12 Billed-RETAIL'!U$5:U$148)</f>
        <v>600</v>
      </c>
      <c r="V15" s="225">
        <f ca="1">SUMIF('Apr11-Mar12 Billed-RETAIL'!$C$5:$BF$148,'12-MO Billed Summary RETAIL'!$C15,'Apr11-Mar12 Billed-RETAIL'!V$5:V$148)</f>
        <v>0</v>
      </c>
      <c r="W15" s="225">
        <f ca="1">SUMIF('Apr11-Mar12 Billed-RETAIL'!$C$5:$BF$148,'12-MO Billed Summary RETAIL'!$C15,'Apr11-Mar12 Billed-RETAIL'!W$5:W$148)</f>
        <v>0</v>
      </c>
      <c r="X15" s="225">
        <f ca="1">SUMIF('Apr11-Mar12 Billed-RETAIL'!$C$5:$BF$148,'12-MO Billed Summary RETAIL'!$C15,'Apr11-Mar12 Billed-RETAIL'!X$5:X$148)</f>
        <v>2812.7136400000004</v>
      </c>
      <c r="Y15" s="225">
        <f ca="1">SUMIF('Apr11-Mar12 Billed-RETAIL'!$C$5:$BF$148,'12-MO Billed Summary RETAIL'!$C15,'Apr11-Mar12 Billed-RETAIL'!Y$5:Y$148)</f>
        <v>0</v>
      </c>
      <c r="Z15" s="225">
        <f ca="1">SUMIF('Apr11-Mar12 Billed-RETAIL'!$C$5:$BF$148,'12-MO Billed Summary RETAIL'!$C15,'Apr11-Mar12 Billed-RETAIL'!Z$5:Z$148)</f>
        <v>6412.7748199999996</v>
      </c>
      <c r="AA15" s="225">
        <f ca="1">SUMIF('Apr11-Mar12 Billed-RETAIL'!$C$5:$BF$148,'12-MO Billed Summary RETAIL'!$C15,'Apr11-Mar12 Billed-RETAIL'!AA$5:AA$148)</f>
        <v>0</v>
      </c>
      <c r="AB15" s="225">
        <f ca="1">SUMIF('Apr11-Mar12 Billed-RETAIL'!$C$5:$BF$148,'12-MO Billed Summary RETAIL'!$C15,'Apr11-Mar12 Billed-RETAIL'!AB$5:AB$148)</f>
        <v>0</v>
      </c>
      <c r="AC15" s="225">
        <f ca="1">SUMIF('Apr11-Mar12 Billed-RETAIL'!$C$5:$BF$148,'12-MO Billed Summary RETAIL'!$C15,'Apr11-Mar12 Billed-RETAIL'!AC$5:AC$148)</f>
        <v>0</v>
      </c>
      <c r="AD15" s="225">
        <f ca="1">SUMIF('Apr11-Mar12 Billed-RETAIL'!$C$5:$BF$148,'12-MO Billed Summary RETAIL'!$C15,'Apr11-Mar12 Billed-RETAIL'!AD$5:AD$148)</f>
        <v>0</v>
      </c>
      <c r="AE15" s="244">
        <f ca="1">SUMIF('Apr11-Mar12 Billed-RETAIL'!$C$5:$BF$148,'12-MO Billed Summary RETAIL'!$C15,'Apr11-Mar12 Billed-RETAIL'!AE$5:AE$148)</f>
        <v>0</v>
      </c>
      <c r="AF15" s="244">
        <f ca="1">SUMIF('Apr11-Mar12 Billed-RETAIL'!$C$5:$BF$148,'12-MO Billed Summary RETAIL'!$C15,'Apr11-Mar12 Billed-RETAIL'!AF$5:AF$148)</f>
        <v>0</v>
      </c>
      <c r="AG15" s="238">
        <f ca="1">SUMIF('Apr11-Mar12 Billed-RETAIL'!$C$5:$BF$148,'12-MO Billed Summary RETAIL'!$C15,'Apr11-Mar12 Billed-RETAIL'!AG$5:AG$148)</f>
        <v>-0.56999999999999995</v>
      </c>
      <c r="AH15" s="238">
        <f ca="1">SUMIF('Apr11-Mar12 Billed-RETAIL'!$C$5:$BF$148,'12-MO Billed Summary RETAIL'!$C15,'Apr11-Mar12 Billed-RETAIL'!AH$5:AH$148)</f>
        <v>0</v>
      </c>
      <c r="AI15" s="238">
        <f ca="1">SUMIF('Apr11-Mar12 Billed-RETAIL'!$C$5:$BF$148,'12-MO Billed Summary RETAIL'!$C15,'Apr11-Mar12 Billed-RETAIL'!AI$5:AI$148)</f>
        <v>-0.05</v>
      </c>
      <c r="AJ15" s="238">
        <f ca="1">SUMIF('Apr11-Mar12 Billed-RETAIL'!$C$5:$BF$148,'12-MO Billed Summary RETAIL'!$C15,'Apr11-Mar12 Billed-RETAIL'!AJ$5:AJ$148)</f>
        <v>0</v>
      </c>
      <c r="AK15" s="238">
        <f ca="1">SUMIF('Apr11-Mar12 Billed-RETAIL'!$C$5:$BF$148,'12-MO Billed Summary RETAIL'!$C15,'Apr11-Mar12 Billed-RETAIL'!AK$5:AK$148)</f>
        <v>0</v>
      </c>
      <c r="AL15" s="238">
        <f ca="1">SUMIF('Apr11-Mar12 Billed-RETAIL'!$C$5:$BF$148,'12-MO Billed Summary RETAIL'!$C15,'Apr11-Mar12 Billed-RETAIL'!AL$5:AL$148)</f>
        <v>0</v>
      </c>
      <c r="AM15" s="238">
        <f ca="1">SUMIF('Apr11-Mar12 Billed-RETAIL'!$C$5:$BF$148,'12-MO Billed Summary RETAIL'!$C15,'Apr11-Mar12 Billed-RETAIL'!AM$5:AM$148)</f>
        <v>0</v>
      </c>
      <c r="AN15" s="225">
        <f ca="1">SUMIF('Apr11-Mar12 Billed-RETAIL'!$C$5:$BF$148,'12-MO Billed Summary RETAIL'!$C15,'Apr11-Mar12 Billed-RETAIL'!AN$5:AN$148)</f>
        <v>599.42999999999995</v>
      </c>
      <c r="AO15" s="225">
        <f ca="1">SUMIF('Apr11-Mar12 Billed-RETAIL'!$C$5:$BF$148,'12-MO Billed Summary RETAIL'!$C15,'Apr11-Mar12 Billed-RETAIL'!AO$5:AO$148)</f>
        <v>0</v>
      </c>
      <c r="AP15" s="225">
        <f ca="1">SUMIF('Apr11-Mar12 Billed-RETAIL'!$C$5:$BF$148,'12-MO Billed Summary RETAIL'!$C15,'Apr11-Mar12 Billed-RETAIL'!AP$5:AP$148)</f>
        <v>2812.6636400000002</v>
      </c>
      <c r="AQ15" s="225">
        <f ca="1">SUMIF('Apr11-Mar12 Billed-RETAIL'!$C$5:$BF$148,'12-MO Billed Summary RETAIL'!$C15,'Apr11-Mar12 Billed-RETAIL'!AQ$5:AQ$148)</f>
        <v>0</v>
      </c>
      <c r="AR15" s="225">
        <f ca="1">SUMIF('Apr11-Mar12 Billed-RETAIL'!$C$5:$BF$148,'12-MO Billed Summary RETAIL'!$C15,'Apr11-Mar12 Billed-RETAIL'!AR$5:AR$148)</f>
        <v>6472.2699999999986</v>
      </c>
      <c r="AS15" s="225">
        <f ca="1">SUMIF('Apr11-Mar12 Billed-RETAIL'!$C$5:$BF$148,'12-MO Billed Summary RETAIL'!$C15,'Apr11-Mar12 Billed-RETAIL'!AS$5:AS$148)</f>
        <v>283.04000000000002</v>
      </c>
      <c r="AT15" s="225">
        <f ca="1">SUMIF('Apr11-Mar12 Billed-RETAIL'!$C$5:$BF$148,'12-MO Billed Summary RETAIL'!$C15,'Apr11-Mar12 Billed-RETAIL'!AT$5:AT$148)</f>
        <v>351.63</v>
      </c>
      <c r="AU15" s="225">
        <f ca="1">SUMIF('Apr11-Mar12 Billed-RETAIL'!$C$5:$BF$148,'12-MO Billed Summary RETAIL'!$C15,'Apr11-Mar12 Billed-RETAIL'!AU$5:AU$148)</f>
        <v>0</v>
      </c>
      <c r="AV15" s="225">
        <f ca="1">SUMIF('Apr11-Mar12 Billed-RETAIL'!$C$5:$BF$148,'12-MO Billed Summary RETAIL'!$C15,'Apr11-Mar12 Billed-RETAIL'!AV$5:AV$148)</f>
        <v>0</v>
      </c>
      <c r="AW15" s="232">
        <f ca="1">SUMIF('Apr11-Mar12 Billed-RETAIL'!$C$5:$BF$148,'12-MO Billed Summary RETAIL'!$C15,'Apr11-Mar12 Billed-RETAIL'!AW$5:AW$148)</f>
        <v>10519.05</v>
      </c>
      <c r="AX15" s="232">
        <f ca="1">SUMIF('Apr11-Mar12 Billed-RETAIL'!$C$5:$BF$148,'12-MO Billed Summary RETAIL'!$C15,'Apr11-Mar12 Billed-RETAIL'!AX$5:AX$148)</f>
        <v>10519.050000000001</v>
      </c>
      <c r="AY15" s="233">
        <f t="shared" ca="1" si="7"/>
        <v>1</v>
      </c>
      <c r="AZ15" s="232">
        <f ca="1">SUMIF('Apr11-Mar12 Billed-RETAIL'!$C$5:$BF$148,'12-MO Billed Summary RETAIL'!$C15,'Apr11-Mar12 Billed-RETAIL'!AZ$5:AZ$148)</f>
        <v>283.04000000000002</v>
      </c>
      <c r="BA15" s="232">
        <f ca="1">SUMIF('Apr11-Mar12 Billed-RETAIL'!$C$5:$BF$148,'12-MO Billed Summary RETAIL'!$C15,'Apr11-Mar12 Billed-RETAIL'!BA$5:BA$148)</f>
        <v>6472.2699999999986</v>
      </c>
      <c r="BB15" s="232">
        <f ca="1">SUMIF('Apr11-Mar12 Billed-RETAIL'!$C$5:$BF$148,'12-MO Billed Summary RETAIL'!$C15,'Apr11-Mar12 Billed-RETAIL'!BB$5:BB$148)</f>
        <v>351.63</v>
      </c>
      <c r="BC15" s="232">
        <f ca="1">SUMIF('Apr11-Mar12 Billed-RETAIL'!$C$5:$BF$148,'12-MO Billed Summary RETAIL'!$C15,'Apr11-Mar12 Billed-RETAIL'!BC$5:BC$148)</f>
        <v>0</v>
      </c>
      <c r="BD15" s="232">
        <f ca="1">SUMIF('Apr11-Mar12 Billed-RETAIL'!$C$5:$BF$148,'12-MO Billed Summary RETAIL'!$C15,'Apr11-Mar12 Billed-RETAIL'!BD$5:BD$148)</f>
        <v>599.42999999999995</v>
      </c>
      <c r="BE15" s="232">
        <f ca="1">SUMIF('Apr11-Mar12 Billed-RETAIL'!$C$5:$BF$148,'12-MO Billed Summary RETAIL'!$C15,'Apr11-Mar12 Billed-RETAIL'!BE$5:BE$148)</f>
        <v>2812.6800000000003</v>
      </c>
      <c r="BF15" s="232">
        <f ca="1">SUMIF('Apr11-Mar12 Billed-RETAIL'!$C$5:$BF$148,'12-MO Billed Summary RETAIL'!$C15,'Apr11-Mar12 Billed-RETAIL'!BF$5:BF$148)</f>
        <v>0</v>
      </c>
    </row>
    <row r="16" spans="1:58" x14ac:dyDescent="0.25">
      <c r="A16" s="196">
        <f t="shared" si="8"/>
        <v>11</v>
      </c>
      <c r="B16" s="211" t="s">
        <v>442</v>
      </c>
      <c r="C16" s="211" t="str">
        <f>+'Retail Rates'!B29</f>
        <v>LGUMG830</v>
      </c>
      <c r="D16" s="197" t="str">
        <f t="shared" si="6"/>
        <v>830</v>
      </c>
      <c r="E16" s="197" t="str">
        <f>VLOOKUP(C16,'Retail Rates'!$B$7:$D$35,3,FALSE)</f>
        <v>RGS</v>
      </c>
      <c r="F16" s="222">
        <f ca="1">SUMIF('Apr11-Mar12 Billed-RETAIL'!$C$5:$BF$148,'12-MO Billed Summary RETAIL'!$C16,'Apr11-Mar12 Billed-RETAIL'!F$5:F$148)</f>
        <v>12</v>
      </c>
      <c r="G16" s="222">
        <f ca="1">SUMIF('Apr11-Mar12 Billed-RETAIL'!$C$5:$BF$148,'12-MO Billed Summary RETAIL'!$C16,'Apr11-Mar12 Billed-RETAIL'!G$5:G$148)</f>
        <v>0</v>
      </c>
      <c r="H16" s="222">
        <f ca="1">SUMIF('Apr11-Mar12 Billed-RETAIL'!$C$5:$BF$148,'12-MO Billed Summary RETAIL'!$C16,'Apr11-Mar12 Billed-RETAIL'!H$5:H$148)</f>
        <v>0</v>
      </c>
      <c r="I16" s="222">
        <f ca="1">SUMIF('Apr11-Mar12 Billed-RETAIL'!$C$5:$BF$148,'12-MO Billed Summary RETAIL'!$C16,'Apr11-Mar12 Billed-RETAIL'!I$5:I$148)</f>
        <v>384</v>
      </c>
      <c r="J16" s="222">
        <f ca="1">SUMIF('Apr11-Mar12 Billed-RETAIL'!$C$5:$BF$148,'12-MO Billed Summary RETAIL'!$C16,'Apr11-Mar12 Billed-RETAIL'!J$5:J$148)</f>
        <v>0</v>
      </c>
      <c r="K16" s="222">
        <f ca="1">SUMIF('Apr11-Mar12 Billed-RETAIL'!$C$5:$BF$148,'12-MO Billed Summary RETAIL'!$C16,'Apr11-Mar12 Billed-RETAIL'!K$5:K$148)</f>
        <v>0</v>
      </c>
      <c r="L16" s="223"/>
      <c r="M16" s="223"/>
      <c r="N16" s="224"/>
      <c r="O16" s="224"/>
      <c r="P16" s="224"/>
      <c r="Q16" s="223"/>
      <c r="R16" s="224"/>
      <c r="S16" s="223"/>
      <c r="T16" s="223"/>
      <c r="U16" s="225">
        <f ca="1">SUMIF('Apr11-Mar12 Billed-RETAIL'!$C$5:$BF$148,'12-MO Billed Summary RETAIL'!$C16,'Apr11-Mar12 Billed-RETAIL'!U$5:U$148)</f>
        <v>150</v>
      </c>
      <c r="V16" s="225">
        <f ca="1">SUMIF('Apr11-Mar12 Billed-RETAIL'!$C$5:$BF$148,'12-MO Billed Summary RETAIL'!$C16,'Apr11-Mar12 Billed-RETAIL'!V$5:V$148)</f>
        <v>0</v>
      </c>
      <c r="W16" s="225">
        <f ca="1">SUMIF('Apr11-Mar12 Billed-RETAIL'!$C$5:$BF$148,'12-MO Billed Summary RETAIL'!$C16,'Apr11-Mar12 Billed-RETAIL'!W$5:W$148)</f>
        <v>0</v>
      </c>
      <c r="X16" s="225">
        <f ca="1">SUMIF('Apr11-Mar12 Billed-RETAIL'!$C$5:$BF$148,'12-MO Billed Summary RETAIL'!$C16,'Apr11-Mar12 Billed-RETAIL'!X$5:X$148)</f>
        <v>86.00063999999999</v>
      </c>
      <c r="Y16" s="225">
        <f ca="1">SUMIF('Apr11-Mar12 Billed-RETAIL'!$C$5:$BF$148,'12-MO Billed Summary RETAIL'!$C16,'Apr11-Mar12 Billed-RETAIL'!Y$5:Y$148)</f>
        <v>0</v>
      </c>
      <c r="Z16" s="225">
        <f ca="1">SUMIF('Apr11-Mar12 Billed-RETAIL'!$C$5:$BF$148,'12-MO Billed Summary RETAIL'!$C16,'Apr11-Mar12 Billed-RETAIL'!Z$5:Z$148)</f>
        <v>204.46432000000004</v>
      </c>
      <c r="AA16" s="225">
        <f ca="1">SUMIF('Apr11-Mar12 Billed-RETAIL'!$C$5:$BF$148,'12-MO Billed Summary RETAIL'!$C16,'Apr11-Mar12 Billed-RETAIL'!AA$5:AA$148)</f>
        <v>0</v>
      </c>
      <c r="AB16" s="225">
        <f ca="1">SUMIF('Apr11-Mar12 Billed-RETAIL'!$C$5:$BF$148,'12-MO Billed Summary RETAIL'!$C16,'Apr11-Mar12 Billed-RETAIL'!AB$5:AB$148)</f>
        <v>0</v>
      </c>
      <c r="AC16" s="225">
        <f ca="1">SUMIF('Apr11-Mar12 Billed-RETAIL'!$C$5:$BF$148,'12-MO Billed Summary RETAIL'!$C16,'Apr11-Mar12 Billed-RETAIL'!AC$5:AC$148)</f>
        <v>0</v>
      </c>
      <c r="AD16" s="225">
        <f ca="1">SUMIF('Apr11-Mar12 Billed-RETAIL'!$C$5:$BF$148,'12-MO Billed Summary RETAIL'!$C16,'Apr11-Mar12 Billed-RETAIL'!AD$5:AD$148)</f>
        <v>0</v>
      </c>
      <c r="AE16" s="244">
        <f ca="1">SUMIF('Apr11-Mar12 Billed-RETAIL'!$C$5:$BF$148,'12-MO Billed Summary RETAIL'!$C16,'Apr11-Mar12 Billed-RETAIL'!AE$5:AE$148)</f>
        <v>12</v>
      </c>
      <c r="AF16" s="244">
        <f ca="1">SUMIF('Apr11-Mar12 Billed-RETAIL'!$C$5:$BF$148,'12-MO Billed Summary RETAIL'!$C16,'Apr11-Mar12 Billed-RETAIL'!AF$5:AF$148)</f>
        <v>0</v>
      </c>
      <c r="AG16" s="238">
        <f ca="1">SUMIF('Apr11-Mar12 Billed-RETAIL'!$C$5:$BF$148,'12-MO Billed Summary RETAIL'!$C16,'Apr11-Mar12 Billed-RETAIL'!AG$5:AG$148)</f>
        <v>0</v>
      </c>
      <c r="AH16" s="238">
        <f ca="1">SUMIF('Apr11-Mar12 Billed-RETAIL'!$C$5:$BF$148,'12-MO Billed Summary RETAIL'!$C16,'Apr11-Mar12 Billed-RETAIL'!AH$5:AH$148)</f>
        <v>0</v>
      </c>
      <c r="AI16" s="238">
        <f ca="1">SUMIF('Apr11-Mar12 Billed-RETAIL'!$C$5:$BF$148,'12-MO Billed Summary RETAIL'!$C16,'Apr11-Mar12 Billed-RETAIL'!AI$5:AI$148)</f>
        <v>0</v>
      </c>
      <c r="AJ16" s="238">
        <f ca="1">SUMIF('Apr11-Mar12 Billed-RETAIL'!$C$5:$BF$148,'12-MO Billed Summary RETAIL'!$C16,'Apr11-Mar12 Billed-RETAIL'!AJ$5:AJ$148)</f>
        <v>0</v>
      </c>
      <c r="AK16" s="238">
        <f ca="1">SUMIF('Apr11-Mar12 Billed-RETAIL'!$C$5:$BF$148,'12-MO Billed Summary RETAIL'!$C16,'Apr11-Mar12 Billed-RETAIL'!AK$5:AK$148)</f>
        <v>-0.34575999999999851</v>
      </c>
      <c r="AL16" s="238">
        <f ca="1">SUMIF('Apr11-Mar12 Billed-RETAIL'!$C$5:$BF$148,'12-MO Billed Summary RETAIL'!$C16,'Apr11-Mar12 Billed-RETAIL'!AL$5:AL$148)</f>
        <v>0</v>
      </c>
      <c r="AM16" s="238">
        <f ca="1">SUMIF('Apr11-Mar12 Billed-RETAIL'!$C$5:$BF$148,'12-MO Billed Summary RETAIL'!$C16,'Apr11-Mar12 Billed-RETAIL'!AM$5:AM$148)</f>
        <v>0</v>
      </c>
      <c r="AN16" s="225">
        <f ca="1">SUMIF('Apr11-Mar12 Billed-RETAIL'!$C$5:$BF$148,'12-MO Billed Summary RETAIL'!$C16,'Apr11-Mar12 Billed-RETAIL'!AN$5:AN$148)</f>
        <v>300</v>
      </c>
      <c r="AO16" s="225">
        <f ca="1">SUMIF('Apr11-Mar12 Billed-RETAIL'!$C$5:$BF$148,'12-MO Billed Summary RETAIL'!$C16,'Apr11-Mar12 Billed-RETAIL'!AO$5:AO$148)</f>
        <v>0</v>
      </c>
      <c r="AP16" s="225">
        <f ca="1">SUMIF('Apr11-Mar12 Billed-RETAIL'!$C$5:$BF$148,'12-MO Billed Summary RETAIL'!$C16,'Apr11-Mar12 Billed-RETAIL'!AP$5:AP$148)</f>
        <v>86.00063999999999</v>
      </c>
      <c r="AQ16" s="225">
        <f ca="1">SUMIF('Apr11-Mar12 Billed-RETAIL'!$C$5:$BF$148,'12-MO Billed Summary RETAIL'!$C16,'Apr11-Mar12 Billed-RETAIL'!AQ$5:AQ$148)</f>
        <v>0</v>
      </c>
      <c r="AR16" s="225">
        <f ca="1">SUMIF('Apr11-Mar12 Billed-RETAIL'!$C$5:$BF$148,'12-MO Billed Summary RETAIL'!$C16,'Apr11-Mar12 Billed-RETAIL'!AR$5:AR$148)</f>
        <v>204.98</v>
      </c>
      <c r="AS16" s="225">
        <f ca="1">SUMIF('Apr11-Mar12 Billed-RETAIL'!$C$5:$BF$148,'12-MO Billed Summary RETAIL'!$C16,'Apr11-Mar12 Billed-RETAIL'!AS$5:AS$148)</f>
        <v>7.78</v>
      </c>
      <c r="AT16" s="225">
        <f ca="1">SUMIF('Apr11-Mar12 Billed-RETAIL'!$C$5:$BF$148,'12-MO Billed Summary RETAIL'!$C16,'Apr11-Mar12 Billed-RETAIL'!AT$5:AT$148)</f>
        <v>0</v>
      </c>
      <c r="AU16" s="225">
        <f ca="1">SUMIF('Apr11-Mar12 Billed-RETAIL'!$C$5:$BF$148,'12-MO Billed Summary RETAIL'!$C16,'Apr11-Mar12 Billed-RETAIL'!AU$5:AU$148)</f>
        <v>0</v>
      </c>
      <c r="AV16" s="225">
        <f ca="1">SUMIF('Apr11-Mar12 Billed-RETAIL'!$C$5:$BF$148,'12-MO Billed Summary RETAIL'!$C16,'Apr11-Mar12 Billed-RETAIL'!AV$5:AV$148)</f>
        <v>0</v>
      </c>
      <c r="AW16" s="232">
        <f ca="1">SUMIF('Apr11-Mar12 Billed-RETAIL'!$C$5:$BF$148,'12-MO Billed Summary RETAIL'!$C16,'Apr11-Mar12 Billed-RETAIL'!AW$5:AW$148)</f>
        <v>598.79999999999995</v>
      </c>
      <c r="AX16" s="232">
        <f ca="1">SUMIF('Apr11-Mar12 Billed-RETAIL'!$C$5:$BF$148,'12-MO Billed Summary RETAIL'!$C16,'Apr11-Mar12 Billed-RETAIL'!AX$5:AX$148)</f>
        <v>598.79999999999995</v>
      </c>
      <c r="AY16" s="233">
        <f t="shared" ca="1" si="7"/>
        <v>1</v>
      </c>
      <c r="AZ16" s="232">
        <f ca="1">SUMIF('Apr11-Mar12 Billed-RETAIL'!$C$5:$BF$148,'12-MO Billed Summary RETAIL'!$C16,'Apr11-Mar12 Billed-RETAIL'!AZ$5:AZ$148)</f>
        <v>7.78</v>
      </c>
      <c r="BA16" s="232">
        <f ca="1">SUMIF('Apr11-Mar12 Billed-RETAIL'!$C$5:$BF$148,'12-MO Billed Summary RETAIL'!$C16,'Apr11-Mar12 Billed-RETAIL'!BA$5:BA$148)</f>
        <v>204.98</v>
      </c>
      <c r="BB16" s="232">
        <f ca="1">SUMIF('Apr11-Mar12 Billed-RETAIL'!$C$5:$BF$148,'12-MO Billed Summary RETAIL'!$C16,'Apr11-Mar12 Billed-RETAIL'!BB$5:BB$148)</f>
        <v>0</v>
      </c>
      <c r="BC16" s="232">
        <f ca="1">SUMIF('Apr11-Mar12 Billed-RETAIL'!$C$5:$BF$148,'12-MO Billed Summary RETAIL'!$C16,'Apr11-Mar12 Billed-RETAIL'!BC$5:BC$148)</f>
        <v>0</v>
      </c>
      <c r="BD16" s="232">
        <f ca="1">SUMIF('Apr11-Mar12 Billed-RETAIL'!$C$5:$BF$148,'12-MO Billed Summary RETAIL'!$C16,'Apr11-Mar12 Billed-RETAIL'!BD$5:BD$148)</f>
        <v>300</v>
      </c>
      <c r="BE16" s="232">
        <f ca="1">SUMIF('Apr11-Mar12 Billed-RETAIL'!$C$5:$BF$148,'12-MO Billed Summary RETAIL'!$C16,'Apr11-Mar12 Billed-RETAIL'!BE$5:BE$148)</f>
        <v>86.04</v>
      </c>
      <c r="BF16" s="232">
        <f ca="1">SUMIF('Apr11-Mar12 Billed-RETAIL'!$C$5:$BF$148,'12-MO Billed Summary RETAIL'!$C16,'Apr11-Mar12 Billed-RETAIL'!BF$5:BF$148)</f>
        <v>0</v>
      </c>
    </row>
    <row r="17" spans="1:58" x14ac:dyDescent="0.25">
      <c r="A17" s="196"/>
      <c r="B17" s="211"/>
      <c r="C17" s="211"/>
      <c r="D17" s="197"/>
      <c r="E17" s="197"/>
      <c r="F17" s="222"/>
      <c r="G17" s="222"/>
      <c r="H17" s="222"/>
      <c r="I17" s="222"/>
      <c r="J17" s="222"/>
      <c r="K17" s="222"/>
      <c r="L17" s="223"/>
      <c r="M17" s="223"/>
      <c r="N17" s="224"/>
      <c r="O17" s="224"/>
      <c r="P17" s="224"/>
      <c r="Q17" s="223"/>
      <c r="R17" s="224"/>
      <c r="S17" s="223"/>
      <c r="T17" s="223"/>
      <c r="U17" s="225"/>
      <c r="V17" s="225"/>
      <c r="W17" s="225"/>
      <c r="X17" s="225"/>
      <c r="Y17" s="225"/>
      <c r="Z17" s="225"/>
      <c r="AA17" s="225"/>
      <c r="AB17" s="225"/>
      <c r="AC17" s="222"/>
      <c r="AD17" s="225"/>
      <c r="AE17" s="244"/>
      <c r="AF17" s="244"/>
      <c r="AG17" s="238"/>
      <c r="AH17" s="238"/>
      <c r="AI17" s="238"/>
      <c r="AJ17" s="238"/>
      <c r="AK17" s="238"/>
      <c r="AL17" s="238"/>
      <c r="AM17" s="238"/>
      <c r="AN17" s="225"/>
      <c r="AO17" s="225"/>
      <c r="AP17" s="225"/>
      <c r="AQ17" s="225"/>
      <c r="AR17" s="225"/>
      <c r="AS17" s="225"/>
      <c r="AT17" s="225"/>
      <c r="AU17" s="225"/>
      <c r="AV17" s="225"/>
      <c r="AW17" s="232"/>
      <c r="AX17" s="232"/>
      <c r="AY17" s="233"/>
      <c r="AZ17" s="232"/>
      <c r="BA17" s="232"/>
      <c r="BB17" s="232"/>
      <c r="BC17" s="232"/>
      <c r="BD17" s="232"/>
      <c r="BE17" s="232"/>
      <c r="BF17" s="232"/>
    </row>
    <row r="18" spans="1:58" x14ac:dyDescent="0.25">
      <c r="A18" s="196"/>
      <c r="B18" s="211"/>
      <c r="C18" s="211"/>
      <c r="D18" s="197"/>
      <c r="E18" s="197"/>
      <c r="F18" s="222"/>
      <c r="G18" s="222"/>
      <c r="H18" s="222"/>
      <c r="I18" s="222"/>
      <c r="J18" s="222"/>
      <c r="K18" s="222"/>
      <c r="L18" s="223"/>
      <c r="M18" s="223"/>
      <c r="N18" s="224"/>
      <c r="O18" s="224"/>
      <c r="P18" s="224"/>
      <c r="Q18" s="223"/>
      <c r="R18" s="224"/>
      <c r="S18" s="223"/>
      <c r="T18" s="223"/>
      <c r="U18" s="225"/>
      <c r="V18" s="225"/>
      <c r="W18" s="225"/>
      <c r="X18" s="225"/>
      <c r="Y18" s="225"/>
      <c r="Z18" s="225"/>
      <c r="AA18" s="225"/>
      <c r="AB18" s="225"/>
      <c r="AC18" s="222"/>
      <c r="AD18" s="225"/>
      <c r="AE18" s="244"/>
      <c r="AF18" s="244"/>
      <c r="AG18" s="238"/>
      <c r="AH18" s="238"/>
      <c r="AI18" s="238"/>
      <c r="AJ18" s="238"/>
      <c r="AK18" s="238"/>
      <c r="AL18" s="238"/>
      <c r="AM18" s="238"/>
      <c r="AN18" s="225"/>
      <c r="AO18" s="225"/>
      <c r="AP18" s="225"/>
      <c r="AQ18" s="225"/>
      <c r="AR18" s="225"/>
      <c r="AS18" s="225"/>
      <c r="AT18" s="225"/>
      <c r="AU18" s="225"/>
      <c r="AV18" s="225"/>
      <c r="AW18" s="232"/>
      <c r="AX18" s="232"/>
      <c r="AY18" s="233"/>
      <c r="AZ18" s="232"/>
      <c r="BA18" s="232"/>
      <c r="BB18" s="232"/>
      <c r="BC18" s="232"/>
      <c r="BD18" s="232"/>
      <c r="BE18" s="232"/>
      <c r="BF18" s="232"/>
    </row>
    <row r="19" spans="1:58" x14ac:dyDescent="0.25">
      <c r="A19" s="196"/>
      <c r="B19" s="211"/>
      <c r="C19" s="211"/>
      <c r="D19" s="197"/>
      <c r="E19" s="197"/>
      <c r="F19" s="222"/>
      <c r="G19" s="222"/>
      <c r="H19" s="222"/>
      <c r="I19" s="222"/>
      <c r="J19" s="222"/>
      <c r="K19" s="222"/>
      <c r="L19" s="223"/>
      <c r="M19" s="223"/>
      <c r="N19" s="224"/>
      <c r="O19" s="224"/>
      <c r="P19" s="224"/>
      <c r="Q19" s="223"/>
      <c r="R19" s="224"/>
      <c r="S19" s="223"/>
      <c r="T19" s="223"/>
      <c r="U19" s="225"/>
      <c r="V19" s="225"/>
      <c r="W19" s="225"/>
      <c r="X19" s="225"/>
      <c r="Y19" s="225"/>
      <c r="Z19" s="225"/>
      <c r="AA19" s="225"/>
      <c r="AB19" s="225"/>
      <c r="AC19" s="222"/>
      <c r="AD19" s="225"/>
      <c r="AE19" s="244"/>
      <c r="AF19" s="244"/>
      <c r="AG19" s="238"/>
      <c r="AH19" s="238"/>
      <c r="AI19" s="238"/>
      <c r="AJ19" s="238"/>
      <c r="AK19" s="238"/>
      <c r="AL19" s="238"/>
      <c r="AM19" s="238"/>
      <c r="AN19" s="225"/>
      <c r="AO19" s="225"/>
      <c r="AP19" s="225"/>
      <c r="AQ19" s="225"/>
      <c r="AR19" s="225"/>
      <c r="AS19" s="225"/>
      <c r="AT19" s="225"/>
      <c r="AU19" s="225"/>
      <c r="AV19" s="225"/>
      <c r="AW19" s="232"/>
      <c r="AX19" s="232"/>
      <c r="AY19" s="233"/>
      <c r="AZ19" s="232"/>
      <c r="BA19" s="232"/>
      <c r="BB19" s="232"/>
      <c r="BC19" s="232"/>
      <c r="BD19" s="232"/>
      <c r="BE19" s="232"/>
      <c r="BF19" s="232"/>
    </row>
    <row r="20" spans="1:58" x14ac:dyDescent="0.25">
      <c r="A20" s="196"/>
      <c r="B20" s="211"/>
      <c r="C20" s="211"/>
      <c r="D20" s="197"/>
      <c r="E20" s="197"/>
      <c r="F20" s="222"/>
      <c r="G20" s="222"/>
      <c r="H20" s="222"/>
      <c r="I20" s="222"/>
      <c r="J20" s="222"/>
      <c r="K20" s="222"/>
      <c r="L20" s="223"/>
      <c r="M20" s="223"/>
      <c r="N20" s="224"/>
      <c r="O20" s="224"/>
      <c r="P20" s="224"/>
      <c r="Q20" s="223"/>
      <c r="R20" s="224"/>
      <c r="S20" s="223"/>
      <c r="T20" s="223"/>
      <c r="U20" s="225"/>
      <c r="V20" s="225"/>
      <c r="W20" s="225"/>
      <c r="X20" s="225"/>
      <c r="Y20" s="225"/>
      <c r="Z20" s="225"/>
      <c r="AA20" s="225"/>
      <c r="AB20" s="225"/>
      <c r="AC20" s="222"/>
      <c r="AD20" s="225"/>
      <c r="AE20" s="244"/>
      <c r="AF20" s="244"/>
      <c r="AG20" s="238"/>
      <c r="AH20" s="238"/>
      <c r="AI20" s="238"/>
      <c r="AJ20" s="238"/>
      <c r="AK20" s="238"/>
      <c r="AL20" s="238"/>
      <c r="AM20" s="238"/>
      <c r="AN20" s="225"/>
      <c r="AO20" s="225"/>
      <c r="AP20" s="225"/>
      <c r="AQ20" s="225"/>
      <c r="AR20" s="225"/>
      <c r="AS20" s="225"/>
      <c r="AT20" s="225"/>
      <c r="AU20" s="225"/>
      <c r="AV20" s="225"/>
      <c r="AW20" s="232"/>
      <c r="AX20" s="232"/>
      <c r="AY20" s="233"/>
      <c r="AZ20" s="232"/>
      <c r="BA20" s="232"/>
      <c r="BB20" s="232"/>
      <c r="BC20" s="232"/>
      <c r="BD20" s="232"/>
      <c r="BE20" s="232"/>
      <c r="BF20" s="232"/>
    </row>
    <row r="21" spans="1:58" x14ac:dyDescent="0.25">
      <c r="A21" s="196"/>
      <c r="B21" s="211"/>
      <c r="C21" s="211"/>
      <c r="D21" s="197"/>
      <c r="E21" s="197"/>
      <c r="F21" s="222"/>
      <c r="G21" s="222"/>
      <c r="H21" s="222"/>
      <c r="I21" s="222"/>
      <c r="J21" s="222"/>
      <c r="K21" s="222"/>
      <c r="L21" s="223"/>
      <c r="M21" s="223"/>
      <c r="N21" s="224"/>
      <c r="O21" s="224"/>
      <c r="P21" s="224"/>
      <c r="Q21" s="223"/>
      <c r="R21" s="224"/>
      <c r="S21" s="223"/>
      <c r="T21" s="223"/>
      <c r="U21" s="225"/>
      <c r="V21" s="225"/>
      <c r="W21" s="225"/>
      <c r="X21" s="225"/>
      <c r="Y21" s="225"/>
      <c r="Z21" s="225"/>
      <c r="AA21" s="225"/>
      <c r="AB21" s="225"/>
      <c r="AC21" s="222"/>
      <c r="AD21" s="225"/>
      <c r="AE21" s="244"/>
      <c r="AF21" s="244"/>
      <c r="AG21" s="238"/>
      <c r="AH21" s="238"/>
      <c r="AI21" s="238"/>
      <c r="AJ21" s="238"/>
      <c r="AK21" s="238"/>
      <c r="AL21" s="238"/>
      <c r="AM21" s="238"/>
      <c r="AN21" s="225"/>
      <c r="AO21" s="225"/>
      <c r="AP21" s="225"/>
      <c r="AQ21" s="225"/>
      <c r="AR21" s="225"/>
      <c r="AS21" s="225"/>
      <c r="AT21" s="225"/>
      <c r="AU21" s="225"/>
      <c r="AV21" s="225"/>
      <c r="AW21" s="232"/>
      <c r="AX21" s="232"/>
      <c r="AY21" s="233"/>
      <c r="AZ21" s="232"/>
      <c r="BA21" s="232"/>
      <c r="BB21" s="232"/>
      <c r="BC21" s="232"/>
      <c r="BD21" s="232"/>
      <c r="BE21" s="232"/>
      <c r="BF21" s="232"/>
    </row>
    <row r="22" spans="1:58" x14ac:dyDescent="0.25">
      <c r="A22" s="196"/>
      <c r="B22" s="211"/>
      <c r="C22" s="211"/>
      <c r="D22" s="197"/>
      <c r="E22" s="197"/>
      <c r="F22" s="222"/>
      <c r="G22" s="222"/>
      <c r="H22" s="222"/>
      <c r="I22" s="222"/>
      <c r="J22" s="222"/>
      <c r="K22" s="222"/>
      <c r="L22" s="223"/>
      <c r="M22" s="223"/>
      <c r="N22" s="224"/>
      <c r="O22" s="224"/>
      <c r="P22" s="224"/>
      <c r="Q22" s="223"/>
      <c r="R22" s="224"/>
      <c r="S22" s="223"/>
      <c r="T22" s="223"/>
      <c r="U22" s="225"/>
      <c r="V22" s="225"/>
      <c r="W22" s="225"/>
      <c r="X22" s="225"/>
      <c r="Y22" s="225"/>
      <c r="Z22" s="225"/>
      <c r="AA22" s="225"/>
      <c r="AB22" s="225"/>
      <c r="AC22" s="222"/>
      <c r="AD22" s="225"/>
      <c r="AE22" s="244"/>
      <c r="AF22" s="244"/>
      <c r="AG22" s="238"/>
      <c r="AH22" s="238"/>
      <c r="AI22" s="238"/>
      <c r="AJ22" s="238"/>
      <c r="AK22" s="238"/>
      <c r="AL22" s="238"/>
      <c r="AM22" s="238"/>
      <c r="AN22" s="225"/>
      <c r="AO22" s="225"/>
      <c r="AP22" s="225"/>
      <c r="AQ22" s="225"/>
      <c r="AR22" s="225"/>
      <c r="AS22" s="225"/>
      <c r="AT22" s="225"/>
      <c r="AU22" s="225"/>
      <c r="AV22" s="225"/>
      <c r="AW22" s="232"/>
      <c r="AX22" s="232"/>
      <c r="AY22" s="233"/>
      <c r="AZ22" s="232"/>
      <c r="BA22" s="232"/>
      <c r="BB22" s="232"/>
      <c r="BC22" s="232"/>
      <c r="BD22" s="232"/>
      <c r="BE22" s="232"/>
      <c r="BF22" s="232"/>
    </row>
    <row r="23" spans="1:58" x14ac:dyDescent="0.25">
      <c r="A23" s="196"/>
      <c r="B23" s="211"/>
      <c r="C23" s="211"/>
      <c r="D23" s="197"/>
      <c r="E23" s="197"/>
      <c r="F23" s="222"/>
      <c r="G23" s="222"/>
      <c r="H23" s="222"/>
      <c r="I23" s="222"/>
      <c r="J23" s="222"/>
      <c r="K23" s="222"/>
      <c r="L23" s="223"/>
      <c r="M23" s="223"/>
      <c r="N23" s="224"/>
      <c r="O23" s="224"/>
      <c r="P23" s="224"/>
      <c r="Q23" s="223"/>
      <c r="R23" s="224"/>
      <c r="S23" s="223"/>
      <c r="T23" s="223"/>
      <c r="U23" s="225"/>
      <c r="V23" s="225"/>
      <c r="W23" s="225"/>
      <c r="X23" s="225"/>
      <c r="Y23" s="225"/>
      <c r="Z23" s="225"/>
      <c r="AA23" s="225"/>
      <c r="AB23" s="225"/>
      <c r="AC23" s="222"/>
      <c r="AD23" s="225"/>
      <c r="AE23" s="244"/>
      <c r="AF23" s="244"/>
      <c r="AG23" s="238"/>
      <c r="AH23" s="238"/>
      <c r="AI23" s="238"/>
      <c r="AJ23" s="238"/>
      <c r="AK23" s="238"/>
      <c r="AL23" s="238"/>
      <c r="AM23" s="238"/>
      <c r="AN23" s="225"/>
      <c r="AO23" s="225"/>
      <c r="AP23" s="225"/>
      <c r="AQ23" s="225"/>
      <c r="AR23" s="225"/>
      <c r="AS23" s="225"/>
      <c r="AT23" s="225"/>
      <c r="AU23" s="225"/>
      <c r="AV23" s="225"/>
      <c r="AW23" s="232"/>
      <c r="AX23" s="232"/>
      <c r="AY23" s="233"/>
      <c r="AZ23" s="232"/>
      <c r="BA23" s="232"/>
      <c r="BB23" s="232"/>
      <c r="BC23" s="232"/>
      <c r="BD23" s="232"/>
      <c r="BE23" s="232"/>
      <c r="BF23" s="232"/>
    </row>
    <row r="24" spans="1:58" x14ac:dyDescent="0.25">
      <c r="A24" s="196"/>
      <c r="B24" s="211"/>
      <c r="C24" s="211"/>
      <c r="D24" s="197"/>
      <c r="E24" s="197"/>
      <c r="F24" s="222"/>
      <c r="G24" s="222"/>
      <c r="H24" s="222"/>
      <c r="I24" s="222"/>
      <c r="J24" s="222"/>
      <c r="K24" s="222"/>
      <c r="L24" s="223"/>
      <c r="M24" s="223"/>
      <c r="N24" s="224"/>
      <c r="O24" s="224"/>
      <c r="P24" s="224"/>
      <c r="Q24" s="223"/>
      <c r="R24" s="224"/>
      <c r="S24" s="223"/>
      <c r="T24" s="223"/>
      <c r="U24" s="225"/>
      <c r="V24" s="225"/>
      <c r="W24" s="225"/>
      <c r="X24" s="225"/>
      <c r="Y24" s="225"/>
      <c r="Z24" s="225"/>
      <c r="AA24" s="225"/>
      <c r="AB24" s="225"/>
      <c r="AC24" s="222"/>
      <c r="AD24" s="225"/>
      <c r="AE24" s="244"/>
      <c r="AF24" s="244"/>
      <c r="AG24" s="238"/>
      <c r="AH24" s="238"/>
      <c r="AI24" s="238"/>
      <c r="AJ24" s="238"/>
      <c r="AK24" s="238"/>
      <c r="AL24" s="238"/>
      <c r="AM24" s="238"/>
      <c r="AN24" s="225"/>
      <c r="AO24" s="225"/>
      <c r="AP24" s="225"/>
      <c r="AQ24" s="225"/>
      <c r="AR24" s="225"/>
      <c r="AS24" s="225"/>
      <c r="AT24" s="225"/>
      <c r="AU24" s="225"/>
      <c r="AV24" s="225"/>
      <c r="AW24" s="232"/>
      <c r="AX24" s="232"/>
      <c r="AY24" s="233"/>
      <c r="AZ24" s="232"/>
      <c r="BA24" s="232"/>
      <c r="BB24" s="232"/>
      <c r="BC24" s="232"/>
      <c r="BD24" s="232"/>
      <c r="BE24" s="232"/>
      <c r="BF24" s="232"/>
    </row>
    <row r="25" spans="1:58" x14ac:dyDescent="0.25">
      <c r="A25" s="196"/>
      <c r="B25" s="211"/>
      <c r="C25" s="211"/>
      <c r="D25" s="197"/>
      <c r="E25" s="197"/>
      <c r="F25" s="222"/>
      <c r="G25" s="222"/>
      <c r="H25" s="222"/>
      <c r="I25" s="222"/>
      <c r="J25" s="222"/>
      <c r="K25" s="222"/>
      <c r="L25" s="223"/>
      <c r="M25" s="223"/>
      <c r="N25" s="224"/>
      <c r="O25" s="224"/>
      <c r="P25" s="224"/>
      <c r="Q25" s="223"/>
      <c r="R25" s="224"/>
      <c r="S25" s="223"/>
      <c r="T25" s="223"/>
      <c r="U25" s="225"/>
      <c r="V25" s="225"/>
      <c r="W25" s="225"/>
      <c r="X25" s="225"/>
      <c r="Y25" s="225"/>
      <c r="Z25" s="225"/>
      <c r="AA25" s="225"/>
      <c r="AB25" s="225"/>
      <c r="AC25" s="222"/>
      <c r="AD25" s="225"/>
      <c r="AE25" s="244"/>
      <c r="AF25" s="244"/>
      <c r="AG25" s="238"/>
      <c r="AH25" s="238"/>
      <c r="AI25" s="238"/>
      <c r="AJ25" s="238"/>
      <c r="AK25" s="238"/>
      <c r="AL25" s="238"/>
      <c r="AM25" s="238"/>
      <c r="AN25" s="225"/>
      <c r="AO25" s="225"/>
      <c r="AP25" s="225"/>
      <c r="AQ25" s="225"/>
      <c r="AR25" s="225"/>
      <c r="AS25" s="225"/>
      <c r="AT25" s="225"/>
      <c r="AU25" s="225"/>
      <c r="AV25" s="225"/>
      <c r="AW25" s="232"/>
      <c r="AX25" s="232"/>
      <c r="AY25" s="233"/>
      <c r="AZ25" s="232"/>
      <c r="BA25" s="232"/>
      <c r="BB25" s="232"/>
      <c r="BC25" s="232"/>
      <c r="BD25" s="232"/>
      <c r="BE25" s="232"/>
      <c r="BF25" s="232"/>
    </row>
    <row r="26" spans="1:58" x14ac:dyDescent="0.25">
      <c r="A26" s="196"/>
      <c r="B26" s="211"/>
      <c r="C26" s="211"/>
      <c r="D26" s="197"/>
      <c r="E26" s="197"/>
      <c r="F26" s="222"/>
      <c r="G26" s="222"/>
      <c r="H26" s="222"/>
      <c r="I26" s="222"/>
      <c r="J26" s="222"/>
      <c r="K26" s="222"/>
      <c r="L26" s="223"/>
      <c r="M26" s="223"/>
      <c r="N26" s="224"/>
      <c r="O26" s="224"/>
      <c r="P26" s="224"/>
      <c r="Q26" s="223"/>
      <c r="R26" s="224"/>
      <c r="S26" s="223"/>
      <c r="T26" s="223"/>
      <c r="U26" s="225"/>
      <c r="V26" s="225"/>
      <c r="W26" s="225"/>
      <c r="X26" s="225"/>
      <c r="Y26" s="225"/>
      <c r="Z26" s="225"/>
      <c r="AA26" s="225"/>
      <c r="AB26" s="225"/>
      <c r="AC26" s="222"/>
      <c r="AD26" s="225"/>
      <c r="AE26" s="244"/>
      <c r="AF26" s="244"/>
      <c r="AG26" s="238"/>
      <c r="AH26" s="238"/>
      <c r="AI26" s="238"/>
      <c r="AJ26" s="238"/>
      <c r="AK26" s="238"/>
      <c r="AL26" s="238"/>
      <c r="AM26" s="238"/>
      <c r="AN26" s="225"/>
      <c r="AO26" s="225"/>
      <c r="AP26" s="225"/>
      <c r="AQ26" s="225"/>
      <c r="AR26" s="225"/>
      <c r="AS26" s="225"/>
      <c r="AT26" s="225"/>
      <c r="AU26" s="225"/>
      <c r="AV26" s="225"/>
      <c r="AW26" s="232"/>
      <c r="AX26" s="232"/>
      <c r="AY26" s="233"/>
      <c r="AZ26" s="232"/>
      <c r="BA26" s="232"/>
      <c r="BB26" s="232"/>
      <c r="BC26" s="232"/>
      <c r="BD26" s="232"/>
      <c r="BE26" s="232"/>
      <c r="BF26" s="232"/>
    </row>
    <row r="27" spans="1:58" x14ac:dyDescent="0.25">
      <c r="A27" s="196"/>
      <c r="B27" s="211"/>
      <c r="C27" s="211"/>
      <c r="D27" s="197"/>
      <c r="E27" s="197"/>
      <c r="F27" s="222"/>
      <c r="G27" s="222"/>
      <c r="H27" s="222"/>
      <c r="I27" s="222"/>
      <c r="J27" s="222"/>
      <c r="K27" s="222"/>
      <c r="L27" s="223"/>
      <c r="M27" s="223"/>
      <c r="N27" s="224"/>
      <c r="O27" s="224"/>
      <c r="P27" s="224"/>
      <c r="Q27" s="223"/>
      <c r="R27" s="224"/>
      <c r="S27" s="223"/>
      <c r="T27" s="223"/>
      <c r="U27" s="225"/>
      <c r="V27" s="225"/>
      <c r="W27" s="225"/>
      <c r="X27" s="225"/>
      <c r="Y27" s="225"/>
      <c r="Z27" s="225"/>
      <c r="AA27" s="225"/>
      <c r="AB27" s="225"/>
      <c r="AC27" s="222"/>
      <c r="AD27" s="225"/>
      <c r="AE27" s="244"/>
      <c r="AF27" s="244"/>
      <c r="AG27" s="238"/>
      <c r="AH27" s="238"/>
      <c r="AI27" s="238"/>
      <c r="AJ27" s="238"/>
      <c r="AK27" s="238"/>
      <c r="AL27" s="238"/>
      <c r="AM27" s="238"/>
      <c r="AN27" s="225"/>
      <c r="AO27" s="225"/>
      <c r="AP27" s="225"/>
      <c r="AQ27" s="225"/>
      <c r="AR27" s="225"/>
      <c r="AS27" s="225"/>
      <c r="AT27" s="225"/>
      <c r="AU27" s="225"/>
      <c r="AV27" s="225"/>
      <c r="AW27" s="232"/>
      <c r="AX27" s="232"/>
      <c r="AY27" s="233"/>
      <c r="AZ27" s="232"/>
      <c r="BA27" s="232"/>
      <c r="BB27" s="232"/>
      <c r="BC27" s="232"/>
      <c r="BD27" s="232"/>
      <c r="BE27" s="232"/>
      <c r="BF27" s="232"/>
    </row>
    <row r="28" spans="1:58" x14ac:dyDescent="0.25">
      <c r="A28" s="196"/>
      <c r="B28" s="211"/>
      <c r="C28" s="211"/>
      <c r="D28" s="197"/>
      <c r="E28" s="197"/>
      <c r="F28" s="222"/>
      <c r="G28" s="222"/>
      <c r="H28" s="222"/>
      <c r="I28" s="222"/>
      <c r="J28" s="222"/>
      <c r="K28" s="222"/>
      <c r="L28" s="223"/>
      <c r="M28" s="223"/>
      <c r="N28" s="224"/>
      <c r="O28" s="224"/>
      <c r="P28" s="224"/>
      <c r="Q28" s="223"/>
      <c r="R28" s="224"/>
      <c r="S28" s="223"/>
      <c r="T28" s="223"/>
      <c r="U28" s="225"/>
      <c r="V28" s="225"/>
      <c r="W28" s="225"/>
      <c r="X28" s="225"/>
      <c r="Y28" s="225"/>
      <c r="Z28" s="225"/>
      <c r="AA28" s="225"/>
      <c r="AB28" s="225"/>
      <c r="AC28" s="222"/>
      <c r="AD28" s="225"/>
      <c r="AE28" s="244"/>
      <c r="AF28" s="244"/>
      <c r="AG28" s="238"/>
      <c r="AH28" s="238"/>
      <c r="AI28" s="238"/>
      <c r="AJ28" s="238"/>
      <c r="AK28" s="238"/>
      <c r="AL28" s="238"/>
      <c r="AM28" s="238"/>
      <c r="AN28" s="225"/>
      <c r="AO28" s="225"/>
      <c r="AP28" s="225"/>
      <c r="AQ28" s="225"/>
      <c r="AR28" s="225"/>
      <c r="AS28" s="225"/>
      <c r="AT28" s="225"/>
      <c r="AU28" s="225"/>
      <c r="AV28" s="225"/>
      <c r="AW28" s="232"/>
      <c r="AX28" s="232"/>
      <c r="AY28" s="233"/>
      <c r="AZ28" s="232"/>
      <c r="BA28" s="232"/>
      <c r="BB28" s="232"/>
      <c r="BC28" s="232"/>
      <c r="BD28" s="232"/>
      <c r="BE28" s="232"/>
      <c r="BF28" s="232"/>
    </row>
    <row r="29" spans="1:58" x14ac:dyDescent="0.25">
      <c r="A29" s="196"/>
      <c r="B29" s="211"/>
      <c r="C29" s="211"/>
      <c r="D29" s="197"/>
      <c r="E29" s="197"/>
      <c r="F29" s="222"/>
      <c r="G29" s="222"/>
      <c r="H29" s="222"/>
      <c r="I29" s="222"/>
      <c r="J29" s="222"/>
      <c r="K29" s="222"/>
      <c r="L29" s="223"/>
      <c r="M29" s="223"/>
      <c r="N29" s="224"/>
      <c r="O29" s="224"/>
      <c r="P29" s="224"/>
      <c r="Q29" s="223"/>
      <c r="R29" s="224"/>
      <c r="S29" s="223"/>
      <c r="T29" s="223"/>
      <c r="U29" s="225"/>
      <c r="V29" s="225"/>
      <c r="W29" s="225"/>
      <c r="X29" s="225"/>
      <c r="Y29" s="225"/>
      <c r="Z29" s="225"/>
      <c r="AA29" s="225"/>
      <c r="AB29" s="225"/>
      <c r="AC29" s="222"/>
      <c r="AD29" s="225"/>
      <c r="AE29" s="244"/>
      <c r="AF29" s="244"/>
      <c r="AG29" s="238"/>
      <c r="AH29" s="238"/>
      <c r="AI29" s="238"/>
      <c r="AJ29" s="238"/>
      <c r="AK29" s="238"/>
      <c r="AL29" s="238"/>
      <c r="AM29" s="238"/>
      <c r="AN29" s="225"/>
      <c r="AO29" s="225"/>
      <c r="AP29" s="225"/>
      <c r="AQ29" s="225"/>
      <c r="AR29" s="225"/>
      <c r="AS29" s="225"/>
      <c r="AT29" s="225"/>
      <c r="AU29" s="225"/>
      <c r="AV29" s="225"/>
      <c r="AW29" s="232"/>
      <c r="AX29" s="232"/>
      <c r="AY29" s="233"/>
      <c r="AZ29" s="232"/>
      <c r="BA29" s="232"/>
      <c r="BB29" s="232"/>
      <c r="BC29" s="232"/>
      <c r="BD29" s="232"/>
      <c r="BE29" s="232"/>
      <c r="BF29" s="232"/>
    </row>
    <row r="30" spans="1:58" x14ac:dyDescent="0.25">
      <c r="A30" s="196"/>
      <c r="B30" s="211"/>
      <c r="C30" s="211"/>
      <c r="D30" s="197"/>
      <c r="E30" s="197"/>
      <c r="F30" s="222"/>
      <c r="G30" s="222"/>
      <c r="H30" s="222"/>
      <c r="I30" s="222"/>
      <c r="J30" s="222"/>
      <c r="K30" s="222"/>
      <c r="L30" s="223"/>
      <c r="M30" s="223"/>
      <c r="N30" s="224"/>
      <c r="O30" s="224"/>
      <c r="P30" s="224"/>
      <c r="Q30" s="223"/>
      <c r="R30" s="224"/>
      <c r="S30" s="223"/>
      <c r="T30" s="223"/>
      <c r="U30" s="225"/>
      <c r="V30" s="225"/>
      <c r="W30" s="225"/>
      <c r="X30" s="225"/>
      <c r="Y30" s="225"/>
      <c r="Z30" s="225"/>
      <c r="AA30" s="225"/>
      <c r="AB30" s="225"/>
      <c r="AC30" s="222"/>
      <c r="AD30" s="225"/>
      <c r="AE30" s="244"/>
      <c r="AF30" s="244"/>
      <c r="AG30" s="238"/>
      <c r="AH30" s="238"/>
      <c r="AI30" s="238"/>
      <c r="AJ30" s="238"/>
      <c r="AK30" s="238"/>
      <c r="AL30" s="238"/>
      <c r="AM30" s="238"/>
      <c r="AN30" s="225"/>
      <c r="AO30" s="225"/>
      <c r="AP30" s="225"/>
      <c r="AQ30" s="225"/>
      <c r="AR30" s="225"/>
      <c r="AS30" s="225"/>
      <c r="AT30" s="225"/>
      <c r="AU30" s="225"/>
      <c r="AV30" s="225"/>
      <c r="AW30" s="232"/>
      <c r="AX30" s="232"/>
      <c r="AY30" s="233"/>
      <c r="AZ30" s="232"/>
      <c r="BA30" s="232"/>
      <c r="BB30" s="232"/>
      <c r="BC30" s="232"/>
      <c r="BD30" s="232"/>
      <c r="BE30" s="232"/>
      <c r="BF30" s="232"/>
    </row>
    <row r="31" spans="1:58" x14ac:dyDescent="0.25">
      <c r="A31" s="196"/>
      <c r="B31" s="211"/>
      <c r="C31" s="211"/>
      <c r="D31" s="197"/>
      <c r="E31" s="197"/>
      <c r="F31" s="222"/>
      <c r="G31" s="222"/>
      <c r="H31" s="222"/>
      <c r="I31" s="222"/>
      <c r="J31" s="222"/>
      <c r="K31" s="222"/>
      <c r="L31" s="223"/>
      <c r="M31" s="223"/>
      <c r="N31" s="224"/>
      <c r="O31" s="224"/>
      <c r="P31" s="224"/>
      <c r="Q31" s="223"/>
      <c r="R31" s="224"/>
      <c r="S31" s="223"/>
      <c r="T31" s="223"/>
      <c r="U31" s="225"/>
      <c r="V31" s="225"/>
      <c r="W31" s="225"/>
      <c r="X31" s="225"/>
      <c r="Y31" s="225"/>
      <c r="Z31" s="225"/>
      <c r="AA31" s="225"/>
      <c r="AB31" s="225"/>
      <c r="AC31" s="222"/>
      <c r="AD31" s="225"/>
      <c r="AE31" s="244"/>
      <c r="AF31" s="244"/>
      <c r="AG31" s="238"/>
      <c r="AH31" s="238"/>
      <c r="AI31" s="238"/>
      <c r="AJ31" s="238"/>
      <c r="AK31" s="238"/>
      <c r="AL31" s="238"/>
      <c r="AM31" s="238"/>
      <c r="AN31" s="225"/>
      <c r="AO31" s="225"/>
      <c r="AP31" s="225"/>
      <c r="AQ31" s="225"/>
      <c r="AR31" s="225"/>
      <c r="AS31" s="225"/>
      <c r="AT31" s="225"/>
      <c r="AU31" s="225"/>
      <c r="AV31" s="225"/>
      <c r="AW31" s="232"/>
      <c r="AX31" s="232"/>
      <c r="AY31" s="233"/>
      <c r="AZ31" s="232"/>
      <c r="BA31" s="232"/>
      <c r="BB31" s="232"/>
      <c r="BC31" s="232"/>
      <c r="BD31" s="232"/>
      <c r="BE31" s="232"/>
      <c r="BF31" s="232"/>
    </row>
    <row r="32" spans="1:58" x14ac:dyDescent="0.25">
      <c r="A32" s="196"/>
      <c r="B32" s="211"/>
      <c r="C32" s="211"/>
      <c r="D32" s="197"/>
      <c r="E32" s="197"/>
      <c r="F32" s="222"/>
      <c r="G32" s="222"/>
      <c r="H32" s="222"/>
      <c r="I32" s="222"/>
      <c r="J32" s="222"/>
      <c r="K32" s="222"/>
      <c r="L32" s="223"/>
      <c r="M32" s="223"/>
      <c r="N32" s="224"/>
      <c r="O32" s="224"/>
      <c r="P32" s="224"/>
      <c r="Q32" s="223"/>
      <c r="R32" s="224"/>
      <c r="S32" s="223"/>
      <c r="T32" s="223"/>
      <c r="U32" s="225"/>
      <c r="V32" s="225"/>
      <c r="W32" s="225"/>
      <c r="X32" s="225"/>
      <c r="Y32" s="225"/>
      <c r="Z32" s="225"/>
      <c r="AA32" s="225"/>
      <c r="AB32" s="225"/>
      <c r="AC32" s="222"/>
      <c r="AD32" s="225"/>
      <c r="AE32" s="244"/>
      <c r="AF32" s="244"/>
      <c r="AG32" s="238"/>
      <c r="AH32" s="238"/>
      <c r="AI32" s="238"/>
      <c r="AJ32" s="238"/>
      <c r="AK32" s="238"/>
      <c r="AL32" s="238"/>
      <c r="AM32" s="238"/>
      <c r="AN32" s="225"/>
      <c r="AO32" s="225"/>
      <c r="AP32" s="225"/>
      <c r="AQ32" s="225"/>
      <c r="AR32" s="225"/>
      <c r="AS32" s="225"/>
      <c r="AT32" s="225"/>
      <c r="AU32" s="225"/>
      <c r="AV32" s="225"/>
      <c r="AW32" s="232"/>
      <c r="AX32" s="232"/>
      <c r="AY32" s="233"/>
      <c r="AZ32" s="232"/>
      <c r="BA32" s="232"/>
      <c r="BB32" s="232"/>
      <c r="BC32" s="232"/>
      <c r="BD32" s="232"/>
      <c r="BE32" s="232"/>
      <c r="BF32" s="232"/>
    </row>
    <row r="33" spans="1:58" x14ac:dyDescent="0.25">
      <c r="A33" s="196"/>
      <c r="B33" s="211"/>
      <c r="C33" s="211"/>
      <c r="D33" s="197"/>
      <c r="E33" s="197"/>
      <c r="F33" s="222"/>
      <c r="G33" s="222"/>
      <c r="H33" s="222"/>
      <c r="I33" s="222"/>
      <c r="J33" s="222"/>
      <c r="K33" s="222"/>
      <c r="L33" s="223"/>
      <c r="M33" s="223"/>
      <c r="N33" s="224"/>
      <c r="O33" s="224"/>
      <c r="P33" s="224"/>
      <c r="Q33" s="223"/>
      <c r="R33" s="224"/>
      <c r="S33" s="223"/>
      <c r="T33" s="223"/>
      <c r="U33" s="225"/>
      <c r="V33" s="225"/>
      <c r="W33" s="225"/>
      <c r="X33" s="225"/>
      <c r="Y33" s="225"/>
      <c r="Z33" s="225"/>
      <c r="AA33" s="225"/>
      <c r="AB33" s="225"/>
      <c r="AC33" s="222"/>
      <c r="AD33" s="225"/>
      <c r="AE33" s="244"/>
      <c r="AF33" s="244"/>
      <c r="AG33" s="238"/>
      <c r="AH33" s="238"/>
      <c r="AI33" s="238"/>
      <c r="AJ33" s="238"/>
      <c r="AK33" s="238"/>
      <c r="AL33" s="238"/>
      <c r="AM33" s="238"/>
      <c r="AN33" s="225"/>
      <c r="AO33" s="225"/>
      <c r="AP33" s="225"/>
      <c r="AQ33" s="225"/>
      <c r="AR33" s="225"/>
      <c r="AS33" s="225"/>
      <c r="AT33" s="225"/>
      <c r="AU33" s="225"/>
      <c r="AV33" s="225"/>
      <c r="AW33" s="232"/>
      <c r="AX33" s="232"/>
      <c r="AY33" s="233"/>
      <c r="AZ33" s="232"/>
      <c r="BA33" s="232"/>
      <c r="BB33" s="232"/>
      <c r="BC33" s="232"/>
      <c r="BD33" s="232"/>
      <c r="BE33" s="232"/>
      <c r="BF33" s="232"/>
    </row>
    <row r="34" spans="1:58" x14ac:dyDescent="0.25">
      <c r="A34" s="196"/>
      <c r="B34" s="211"/>
      <c r="C34" s="211"/>
      <c r="D34" s="197"/>
      <c r="E34" s="197"/>
      <c r="F34" s="222"/>
      <c r="G34" s="222"/>
      <c r="H34" s="222"/>
      <c r="I34" s="222"/>
      <c r="J34" s="222"/>
      <c r="K34" s="222"/>
      <c r="L34" s="223"/>
      <c r="M34" s="223"/>
      <c r="N34" s="224"/>
      <c r="O34" s="224"/>
      <c r="P34" s="224"/>
      <c r="Q34" s="223"/>
      <c r="R34" s="224"/>
      <c r="S34" s="223"/>
      <c r="T34" s="223"/>
      <c r="U34" s="225"/>
      <c r="V34" s="225"/>
      <c r="W34" s="225"/>
      <c r="X34" s="225"/>
      <c r="Y34" s="225"/>
      <c r="Z34" s="225"/>
      <c r="AA34" s="225"/>
      <c r="AB34" s="225"/>
      <c r="AC34" s="222"/>
      <c r="AD34" s="225"/>
      <c r="AE34" s="244"/>
      <c r="AF34" s="244"/>
      <c r="AG34" s="238"/>
      <c r="AH34" s="238"/>
      <c r="AI34" s="238"/>
      <c r="AJ34" s="238"/>
      <c r="AK34" s="238"/>
      <c r="AL34" s="238"/>
      <c r="AM34" s="238"/>
      <c r="AN34" s="225"/>
      <c r="AO34" s="225"/>
      <c r="AP34" s="225"/>
      <c r="AQ34" s="225"/>
      <c r="AR34" s="225"/>
      <c r="AS34" s="225"/>
      <c r="AT34" s="225"/>
      <c r="AU34" s="225"/>
      <c r="AV34" s="225"/>
      <c r="AW34" s="232"/>
      <c r="AX34" s="232"/>
      <c r="AY34" s="233"/>
      <c r="AZ34" s="232"/>
      <c r="BA34" s="232"/>
      <c r="BB34" s="232"/>
      <c r="BC34" s="232"/>
      <c r="BD34" s="232"/>
      <c r="BE34" s="232"/>
      <c r="BF34" s="232"/>
    </row>
    <row r="35" spans="1:58" x14ac:dyDescent="0.25">
      <c r="A35" s="196"/>
      <c r="B35" s="211"/>
      <c r="C35" s="211"/>
      <c r="D35" s="197"/>
      <c r="E35" s="197"/>
      <c r="F35" s="222"/>
      <c r="G35" s="222"/>
      <c r="H35" s="222"/>
      <c r="I35" s="222"/>
      <c r="J35" s="222"/>
      <c r="K35" s="222"/>
      <c r="L35" s="223"/>
      <c r="M35" s="223"/>
      <c r="N35" s="224"/>
      <c r="O35" s="224"/>
      <c r="P35" s="224"/>
      <c r="Q35" s="223"/>
      <c r="R35" s="224"/>
      <c r="S35" s="223"/>
      <c r="T35" s="223"/>
      <c r="U35" s="225"/>
      <c r="V35" s="225"/>
      <c r="W35" s="225"/>
      <c r="X35" s="225"/>
      <c r="Y35" s="225"/>
      <c r="Z35" s="225"/>
      <c r="AA35" s="225"/>
      <c r="AB35" s="225"/>
      <c r="AC35" s="222"/>
      <c r="AD35" s="225"/>
      <c r="AE35" s="244"/>
      <c r="AF35" s="244"/>
      <c r="AG35" s="238"/>
      <c r="AH35" s="238"/>
      <c r="AI35" s="238"/>
      <c r="AJ35" s="238"/>
      <c r="AK35" s="238"/>
      <c r="AL35" s="238"/>
      <c r="AM35" s="238"/>
      <c r="AN35" s="225"/>
      <c r="AO35" s="225"/>
      <c r="AP35" s="225"/>
      <c r="AQ35" s="225"/>
      <c r="AR35" s="225"/>
      <c r="AS35" s="225"/>
      <c r="AT35" s="225"/>
      <c r="AU35" s="225"/>
      <c r="AV35" s="225"/>
      <c r="AW35" s="232"/>
      <c r="AX35" s="232"/>
      <c r="AY35" s="233"/>
      <c r="AZ35" s="232"/>
      <c r="BA35" s="232"/>
      <c r="BB35" s="232"/>
      <c r="BC35" s="232"/>
      <c r="BD35" s="232"/>
      <c r="BE35" s="232"/>
      <c r="BF35" s="232"/>
    </row>
    <row r="36" spans="1:58" x14ac:dyDescent="0.25">
      <c r="A36" s="196"/>
      <c r="B36" s="211"/>
      <c r="C36" s="211"/>
      <c r="D36" s="197"/>
      <c r="E36" s="197"/>
      <c r="F36" s="222"/>
      <c r="G36" s="222"/>
      <c r="H36" s="222"/>
      <c r="I36" s="222"/>
      <c r="J36" s="222"/>
      <c r="K36" s="222"/>
      <c r="L36" s="223"/>
      <c r="M36" s="223"/>
      <c r="N36" s="224"/>
      <c r="O36" s="224"/>
      <c r="P36" s="224"/>
      <c r="Q36" s="223"/>
      <c r="R36" s="224"/>
      <c r="S36" s="223"/>
      <c r="T36" s="223"/>
      <c r="U36" s="225"/>
      <c r="V36" s="225"/>
      <c r="W36" s="225"/>
      <c r="X36" s="225"/>
      <c r="Y36" s="225"/>
      <c r="Z36" s="225"/>
      <c r="AA36" s="225"/>
      <c r="AB36" s="225"/>
      <c r="AC36" s="222"/>
      <c r="AD36" s="225"/>
      <c r="AE36" s="244"/>
      <c r="AF36" s="244"/>
      <c r="AG36" s="238"/>
      <c r="AH36" s="238"/>
      <c r="AI36" s="238"/>
      <c r="AJ36" s="238"/>
      <c r="AK36" s="238"/>
      <c r="AL36" s="238"/>
      <c r="AM36" s="238"/>
      <c r="AN36" s="225"/>
      <c r="AO36" s="225"/>
      <c r="AP36" s="225"/>
      <c r="AQ36" s="225"/>
      <c r="AR36" s="225"/>
      <c r="AS36" s="225"/>
      <c r="AT36" s="225"/>
      <c r="AU36" s="225"/>
      <c r="AV36" s="225"/>
      <c r="AW36" s="232"/>
      <c r="AX36" s="232"/>
      <c r="AY36" s="233"/>
      <c r="AZ36" s="232"/>
      <c r="BA36" s="232"/>
      <c r="BB36" s="232"/>
      <c r="BC36" s="232"/>
      <c r="BD36" s="232"/>
      <c r="BE36" s="232"/>
      <c r="BF36" s="232"/>
    </row>
    <row r="37" spans="1:58" x14ac:dyDescent="0.25">
      <c r="A37" s="196"/>
      <c r="B37" s="211"/>
      <c r="C37" s="211"/>
      <c r="D37" s="197"/>
      <c r="E37" s="197"/>
      <c r="F37" s="222"/>
      <c r="G37" s="222"/>
      <c r="H37" s="222"/>
      <c r="I37" s="222"/>
      <c r="J37" s="222"/>
      <c r="K37" s="222"/>
      <c r="L37" s="223"/>
      <c r="M37" s="223"/>
      <c r="N37" s="224"/>
      <c r="O37" s="224"/>
      <c r="P37" s="224"/>
      <c r="Q37" s="223"/>
      <c r="R37" s="224"/>
      <c r="S37" s="223"/>
      <c r="T37" s="223"/>
      <c r="U37" s="225"/>
      <c r="V37" s="225"/>
      <c r="W37" s="225"/>
      <c r="X37" s="225"/>
      <c r="Y37" s="225"/>
      <c r="Z37" s="225"/>
      <c r="AA37" s="225"/>
      <c r="AB37" s="225"/>
      <c r="AC37" s="222"/>
      <c r="AD37" s="225"/>
      <c r="AE37" s="244"/>
      <c r="AF37" s="244"/>
      <c r="AG37" s="238"/>
      <c r="AH37" s="238"/>
      <c r="AI37" s="238"/>
      <c r="AJ37" s="238"/>
      <c r="AK37" s="238"/>
      <c r="AL37" s="238"/>
      <c r="AM37" s="238"/>
      <c r="AN37" s="225"/>
      <c r="AO37" s="225"/>
      <c r="AP37" s="225"/>
      <c r="AQ37" s="225"/>
      <c r="AR37" s="225"/>
      <c r="AS37" s="225"/>
      <c r="AT37" s="225"/>
      <c r="AU37" s="225"/>
      <c r="AV37" s="225"/>
      <c r="AW37" s="232"/>
      <c r="AX37" s="232"/>
      <c r="AY37" s="233"/>
      <c r="AZ37" s="232"/>
      <c r="BA37" s="232"/>
      <c r="BB37" s="232"/>
      <c r="BC37" s="232"/>
      <c r="BD37" s="232"/>
      <c r="BE37" s="232"/>
      <c r="BF37" s="232"/>
    </row>
    <row r="38" spans="1:58" x14ac:dyDescent="0.25">
      <c r="A38" s="196"/>
      <c r="B38" s="211"/>
      <c r="C38" s="211"/>
      <c r="D38" s="197"/>
      <c r="E38" s="197"/>
      <c r="F38" s="222"/>
      <c r="G38" s="222"/>
      <c r="H38" s="222"/>
      <c r="I38" s="222"/>
      <c r="J38" s="222"/>
      <c r="K38" s="222"/>
      <c r="L38" s="223"/>
      <c r="M38" s="223"/>
      <c r="N38" s="224"/>
      <c r="O38" s="224"/>
      <c r="P38" s="224"/>
      <c r="Q38" s="223"/>
      <c r="R38" s="224"/>
      <c r="S38" s="223"/>
      <c r="T38" s="223"/>
      <c r="U38" s="225"/>
      <c r="V38" s="225"/>
      <c r="W38" s="225"/>
      <c r="X38" s="225"/>
      <c r="Y38" s="225"/>
      <c r="Z38" s="225"/>
      <c r="AA38" s="225"/>
      <c r="AB38" s="225"/>
      <c r="AC38" s="222"/>
      <c r="AD38" s="225"/>
      <c r="AE38" s="244"/>
      <c r="AF38" s="244"/>
      <c r="AG38" s="238"/>
      <c r="AH38" s="238"/>
      <c r="AI38" s="238"/>
      <c r="AJ38" s="238"/>
      <c r="AK38" s="238"/>
      <c r="AL38" s="238"/>
      <c r="AM38" s="238"/>
      <c r="AN38" s="225"/>
      <c r="AO38" s="225"/>
      <c r="AP38" s="225"/>
      <c r="AQ38" s="225"/>
      <c r="AR38" s="225"/>
      <c r="AS38" s="225"/>
      <c r="AT38" s="225"/>
      <c r="AU38" s="225"/>
      <c r="AV38" s="225"/>
      <c r="AW38" s="232"/>
      <c r="AX38" s="232"/>
      <c r="AY38" s="233"/>
      <c r="AZ38" s="232"/>
      <c r="BA38" s="232"/>
      <c r="BB38" s="232"/>
      <c r="BC38" s="232"/>
      <c r="BD38" s="232"/>
      <c r="BE38" s="232"/>
      <c r="BF38" s="232"/>
    </row>
    <row r="39" spans="1:58" x14ac:dyDescent="0.25">
      <c r="A39" s="196"/>
      <c r="B39" s="211"/>
      <c r="C39" s="211"/>
      <c r="D39" s="197"/>
      <c r="E39" s="197"/>
      <c r="F39" s="222"/>
      <c r="G39" s="222"/>
      <c r="H39" s="222"/>
      <c r="I39" s="222"/>
      <c r="J39" s="222"/>
      <c r="K39" s="222"/>
      <c r="L39" s="223"/>
      <c r="M39" s="223"/>
      <c r="N39" s="224"/>
      <c r="O39" s="224"/>
      <c r="P39" s="224"/>
      <c r="Q39" s="223"/>
      <c r="R39" s="224"/>
      <c r="S39" s="223"/>
      <c r="T39" s="223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44"/>
      <c r="AF39" s="244"/>
      <c r="AG39" s="238"/>
      <c r="AH39" s="238"/>
      <c r="AI39" s="238"/>
      <c r="AJ39" s="238"/>
      <c r="AK39" s="238"/>
      <c r="AL39" s="238"/>
      <c r="AM39" s="238"/>
      <c r="AN39" s="225"/>
      <c r="AO39" s="225"/>
      <c r="AP39" s="225"/>
      <c r="AQ39" s="225"/>
      <c r="AR39" s="225"/>
      <c r="AS39" s="225"/>
      <c r="AT39" s="225"/>
      <c r="AU39" s="225"/>
      <c r="AV39" s="225"/>
      <c r="AW39" s="232"/>
      <c r="AX39" s="232"/>
      <c r="AY39" s="233"/>
      <c r="AZ39" s="232"/>
      <c r="BA39" s="232"/>
      <c r="BB39" s="232"/>
      <c r="BC39" s="232"/>
      <c r="BD39" s="232"/>
      <c r="BE39" s="232"/>
      <c r="BF39" s="232"/>
    </row>
    <row r="40" spans="1:58" x14ac:dyDescent="0.25">
      <c r="A40" s="196"/>
      <c r="B40" s="211"/>
      <c r="C40" s="211"/>
      <c r="D40" s="197"/>
      <c r="E40" s="197"/>
      <c r="F40" s="222"/>
      <c r="G40" s="222"/>
      <c r="H40" s="222"/>
      <c r="I40" s="222"/>
      <c r="J40" s="222"/>
      <c r="K40" s="222"/>
      <c r="L40" s="223"/>
      <c r="M40" s="223"/>
      <c r="N40" s="224"/>
      <c r="O40" s="224"/>
      <c r="P40" s="224"/>
      <c r="Q40" s="223"/>
      <c r="R40" s="224"/>
      <c r="S40" s="223"/>
      <c r="T40" s="223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44"/>
      <c r="AF40" s="244"/>
      <c r="AG40" s="238"/>
      <c r="AH40" s="238"/>
      <c r="AI40" s="238"/>
      <c r="AJ40" s="238"/>
      <c r="AK40" s="238"/>
      <c r="AL40" s="238"/>
      <c r="AM40" s="238"/>
      <c r="AN40" s="225"/>
      <c r="AO40" s="225"/>
      <c r="AP40" s="225"/>
      <c r="AQ40" s="225"/>
      <c r="AR40" s="225"/>
      <c r="AS40" s="225"/>
      <c r="AT40" s="225"/>
      <c r="AU40" s="225"/>
      <c r="AV40" s="225"/>
      <c r="AW40" s="232"/>
      <c r="AX40" s="232"/>
      <c r="AY40" s="233"/>
      <c r="AZ40" s="232"/>
      <c r="BA40" s="232"/>
      <c r="BB40" s="232"/>
      <c r="BC40" s="232"/>
      <c r="BD40" s="232"/>
      <c r="BE40" s="232"/>
      <c r="BF40" s="232"/>
    </row>
    <row r="41" spans="1:58" x14ac:dyDescent="0.25">
      <c r="A41" s="196"/>
      <c r="B41" s="211"/>
      <c r="C41" s="211"/>
      <c r="D41" s="197"/>
      <c r="E41" s="197"/>
      <c r="F41" s="222"/>
      <c r="G41" s="222"/>
      <c r="H41" s="222"/>
      <c r="I41" s="222"/>
      <c r="J41" s="222"/>
      <c r="K41" s="222"/>
      <c r="L41" s="223"/>
      <c r="M41" s="223"/>
      <c r="N41" s="224"/>
      <c r="O41" s="224"/>
      <c r="P41" s="224"/>
      <c r="Q41" s="223"/>
      <c r="R41" s="224"/>
      <c r="S41" s="223"/>
      <c r="T41" s="223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44"/>
      <c r="AF41" s="244"/>
      <c r="AG41" s="238"/>
      <c r="AH41" s="238"/>
      <c r="AI41" s="238"/>
      <c r="AJ41" s="238"/>
      <c r="AK41" s="238"/>
      <c r="AL41" s="238"/>
      <c r="AM41" s="238"/>
      <c r="AN41" s="225"/>
      <c r="AO41" s="225"/>
      <c r="AP41" s="225"/>
      <c r="AQ41" s="225"/>
      <c r="AR41" s="225"/>
      <c r="AS41" s="225"/>
      <c r="AT41" s="225"/>
      <c r="AU41" s="225"/>
      <c r="AV41" s="225"/>
      <c r="AW41" s="232"/>
      <c r="AX41" s="232"/>
      <c r="AY41" s="233"/>
      <c r="AZ41" s="232"/>
      <c r="BA41" s="232"/>
      <c r="BB41" s="232"/>
      <c r="BC41" s="232"/>
      <c r="BD41" s="232"/>
      <c r="BE41" s="232"/>
      <c r="BF41" s="232"/>
    </row>
    <row r="42" spans="1:58" x14ac:dyDescent="0.25">
      <c r="A42" s="196"/>
      <c r="B42" s="211"/>
      <c r="C42" s="211"/>
      <c r="D42" s="197"/>
      <c r="E42" s="197"/>
      <c r="F42" s="222"/>
      <c r="G42" s="222"/>
      <c r="H42" s="222"/>
      <c r="I42" s="222"/>
      <c r="J42" s="222"/>
      <c r="K42" s="222"/>
      <c r="L42" s="223"/>
      <c r="M42" s="223"/>
      <c r="N42" s="224"/>
      <c r="O42" s="224"/>
      <c r="P42" s="224"/>
      <c r="Q42" s="223"/>
      <c r="R42" s="224"/>
      <c r="S42" s="223"/>
      <c r="T42" s="223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44"/>
      <c r="AF42" s="244"/>
      <c r="AG42" s="238"/>
      <c r="AH42" s="238"/>
      <c r="AI42" s="238"/>
      <c r="AJ42" s="238"/>
      <c r="AK42" s="238"/>
      <c r="AL42" s="238"/>
      <c r="AM42" s="238"/>
      <c r="AN42" s="225"/>
      <c r="AO42" s="225"/>
      <c r="AP42" s="225"/>
      <c r="AQ42" s="225"/>
      <c r="AR42" s="225"/>
      <c r="AS42" s="225"/>
      <c r="AT42" s="225"/>
      <c r="AU42" s="225"/>
      <c r="AV42" s="225"/>
      <c r="AW42" s="232"/>
      <c r="AX42" s="232"/>
      <c r="AY42" s="233"/>
      <c r="AZ42" s="232"/>
      <c r="BA42" s="232"/>
      <c r="BB42" s="232"/>
      <c r="BC42" s="232"/>
      <c r="BD42" s="232"/>
      <c r="BE42" s="232"/>
      <c r="BF42" s="232"/>
    </row>
    <row r="43" spans="1:58" x14ac:dyDescent="0.25">
      <c r="A43" s="196"/>
      <c r="B43" s="211"/>
      <c r="C43" s="211"/>
      <c r="D43" s="197"/>
      <c r="E43" s="197"/>
      <c r="F43" s="222"/>
      <c r="G43" s="222"/>
      <c r="H43" s="222"/>
      <c r="I43" s="222"/>
      <c r="J43" s="222"/>
      <c r="K43" s="222"/>
      <c r="L43" s="223"/>
      <c r="M43" s="223"/>
      <c r="N43" s="224"/>
      <c r="O43" s="224"/>
      <c r="P43" s="224"/>
      <c r="Q43" s="223"/>
      <c r="R43" s="224"/>
      <c r="S43" s="223"/>
      <c r="T43" s="223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44"/>
      <c r="AF43" s="244"/>
      <c r="AG43" s="238"/>
      <c r="AH43" s="238"/>
      <c r="AI43" s="238"/>
      <c r="AJ43" s="238"/>
      <c r="AK43" s="238"/>
      <c r="AL43" s="238"/>
      <c r="AM43" s="238"/>
      <c r="AN43" s="225"/>
      <c r="AO43" s="225"/>
      <c r="AP43" s="225"/>
      <c r="AQ43" s="225"/>
      <c r="AR43" s="225"/>
      <c r="AS43" s="225"/>
      <c r="AT43" s="225"/>
      <c r="AU43" s="225"/>
      <c r="AV43" s="225"/>
      <c r="AW43" s="232"/>
      <c r="AX43" s="232"/>
      <c r="AY43" s="233"/>
      <c r="AZ43" s="232"/>
      <c r="BA43" s="232"/>
      <c r="BB43" s="232"/>
      <c r="BC43" s="232"/>
      <c r="BD43" s="232"/>
      <c r="BE43" s="232"/>
      <c r="BF43" s="232"/>
    </row>
    <row r="44" spans="1:58" x14ac:dyDescent="0.25">
      <c r="A44" s="196"/>
      <c r="B44" s="211"/>
      <c r="C44" s="211"/>
      <c r="D44" s="197"/>
      <c r="E44" s="197"/>
      <c r="F44" s="222"/>
      <c r="G44" s="222"/>
      <c r="H44" s="222"/>
      <c r="I44" s="222"/>
      <c r="J44" s="222"/>
      <c r="K44" s="222"/>
      <c r="L44" s="223"/>
      <c r="M44" s="223"/>
      <c r="N44" s="224"/>
      <c r="O44" s="224"/>
      <c r="P44" s="224"/>
      <c r="Q44" s="223"/>
      <c r="R44" s="224"/>
      <c r="S44" s="223"/>
      <c r="T44" s="223"/>
      <c r="U44" s="225"/>
      <c r="V44" s="225"/>
      <c r="W44" s="225"/>
      <c r="X44" s="225"/>
      <c r="Y44" s="225"/>
      <c r="Z44" s="225"/>
      <c r="AA44" s="225"/>
      <c r="AB44" s="225"/>
      <c r="AC44" s="222"/>
      <c r="AD44" s="225"/>
      <c r="AE44" s="244"/>
      <c r="AF44" s="244"/>
      <c r="AG44" s="238"/>
      <c r="AH44" s="238"/>
      <c r="AI44" s="238"/>
      <c r="AJ44" s="238"/>
      <c r="AK44" s="238"/>
      <c r="AL44" s="238"/>
      <c r="AM44" s="238"/>
      <c r="AN44" s="225"/>
      <c r="AO44" s="225"/>
      <c r="AP44" s="225"/>
      <c r="AQ44" s="225"/>
      <c r="AR44" s="225"/>
      <c r="AS44" s="225"/>
      <c r="AT44" s="225"/>
      <c r="AU44" s="225"/>
      <c r="AV44" s="225"/>
      <c r="AW44" s="232"/>
      <c r="AX44" s="232"/>
      <c r="AY44" s="233"/>
      <c r="AZ44" s="232"/>
      <c r="BA44" s="232"/>
      <c r="BB44" s="232"/>
      <c r="BC44" s="232"/>
      <c r="BD44" s="232"/>
      <c r="BE44" s="232"/>
      <c r="BF44" s="232"/>
    </row>
    <row r="45" spans="1:58" x14ac:dyDescent="0.25">
      <c r="A45" s="196"/>
      <c r="B45" s="211"/>
      <c r="C45" s="211"/>
      <c r="D45" s="197"/>
      <c r="E45" s="197"/>
      <c r="F45" s="222"/>
      <c r="G45" s="222"/>
      <c r="H45" s="222"/>
      <c r="I45" s="222"/>
      <c r="J45" s="222"/>
      <c r="K45" s="222"/>
      <c r="L45" s="223"/>
      <c r="M45" s="223"/>
      <c r="N45" s="224"/>
      <c r="O45" s="224"/>
      <c r="P45" s="224"/>
      <c r="Q45" s="223"/>
      <c r="R45" s="224"/>
      <c r="S45" s="223"/>
      <c r="T45" s="223"/>
      <c r="U45" s="225"/>
      <c r="V45" s="225"/>
      <c r="W45" s="225"/>
      <c r="X45" s="225"/>
      <c r="Y45" s="225"/>
      <c r="Z45" s="225"/>
      <c r="AA45" s="225"/>
      <c r="AB45" s="225"/>
      <c r="AC45" s="222"/>
      <c r="AD45" s="225"/>
      <c r="AE45" s="244"/>
      <c r="AF45" s="244"/>
      <c r="AG45" s="238"/>
      <c r="AH45" s="238"/>
      <c r="AI45" s="238"/>
      <c r="AJ45" s="238"/>
      <c r="AK45" s="238"/>
      <c r="AL45" s="238"/>
      <c r="AM45" s="238"/>
      <c r="AN45" s="225"/>
      <c r="AO45" s="225"/>
      <c r="AP45" s="225"/>
      <c r="AQ45" s="225"/>
      <c r="AR45" s="225"/>
      <c r="AS45" s="225"/>
      <c r="AT45" s="225"/>
      <c r="AU45" s="225"/>
      <c r="AV45" s="225"/>
      <c r="AW45" s="232"/>
      <c r="AX45" s="232"/>
      <c r="AY45" s="233"/>
      <c r="AZ45" s="232"/>
      <c r="BA45" s="232"/>
      <c r="BB45" s="232"/>
      <c r="BC45" s="232"/>
      <c r="BD45" s="232"/>
      <c r="BE45" s="232"/>
      <c r="BF45" s="232"/>
    </row>
    <row r="46" spans="1:58" x14ac:dyDescent="0.25">
      <c r="A46" s="196"/>
      <c r="B46" s="211"/>
      <c r="C46" s="211"/>
      <c r="D46" s="197"/>
      <c r="E46" s="197"/>
      <c r="F46" s="222"/>
      <c r="G46" s="222"/>
      <c r="H46" s="222"/>
      <c r="I46" s="222"/>
      <c r="J46" s="222"/>
      <c r="K46" s="222"/>
      <c r="L46" s="223"/>
      <c r="M46" s="223"/>
      <c r="N46" s="224"/>
      <c r="O46" s="224"/>
      <c r="P46" s="224"/>
      <c r="Q46" s="223"/>
      <c r="R46" s="224"/>
      <c r="S46" s="223"/>
      <c r="T46" s="223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44"/>
      <c r="AF46" s="244"/>
      <c r="AG46" s="238"/>
      <c r="AH46" s="238"/>
      <c r="AI46" s="238"/>
      <c r="AJ46" s="238"/>
      <c r="AK46" s="238"/>
      <c r="AL46" s="238"/>
      <c r="AM46" s="238"/>
      <c r="AN46" s="225"/>
      <c r="AO46" s="225"/>
      <c r="AP46" s="225"/>
      <c r="AQ46" s="225"/>
      <c r="AR46" s="225"/>
      <c r="AS46" s="225"/>
      <c r="AT46" s="225"/>
      <c r="AU46" s="225"/>
      <c r="AV46" s="225"/>
      <c r="AW46" s="232"/>
      <c r="AX46" s="232"/>
      <c r="AY46" s="233"/>
      <c r="AZ46" s="232"/>
      <c r="BA46" s="232"/>
      <c r="BB46" s="232"/>
      <c r="BC46" s="232"/>
      <c r="BD46" s="232"/>
      <c r="BE46" s="232"/>
      <c r="BF46" s="232"/>
    </row>
    <row r="47" spans="1:58" x14ac:dyDescent="0.25">
      <c r="A47" s="196"/>
      <c r="B47" s="211"/>
      <c r="C47" s="211"/>
      <c r="D47" s="197"/>
      <c r="E47" s="197"/>
      <c r="F47" s="222"/>
      <c r="G47" s="222"/>
      <c r="H47" s="222"/>
      <c r="I47" s="222"/>
      <c r="J47" s="222"/>
      <c r="K47" s="222"/>
      <c r="L47" s="223"/>
      <c r="M47" s="223"/>
      <c r="N47" s="224"/>
      <c r="O47" s="224"/>
      <c r="P47" s="224"/>
      <c r="Q47" s="223"/>
      <c r="R47" s="224"/>
      <c r="S47" s="223"/>
      <c r="T47" s="223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44"/>
      <c r="AF47" s="244"/>
      <c r="AG47" s="238"/>
      <c r="AH47" s="238"/>
      <c r="AI47" s="238"/>
      <c r="AJ47" s="238"/>
      <c r="AK47" s="238"/>
      <c r="AL47" s="238"/>
      <c r="AM47" s="238"/>
      <c r="AN47" s="225"/>
      <c r="AO47" s="225"/>
      <c r="AP47" s="225"/>
      <c r="AQ47" s="225"/>
      <c r="AR47" s="225"/>
      <c r="AS47" s="225"/>
      <c r="AT47" s="225"/>
      <c r="AU47" s="225"/>
      <c r="AV47" s="225"/>
      <c r="AW47" s="232"/>
      <c r="AX47" s="232"/>
      <c r="AY47" s="233"/>
      <c r="AZ47" s="232"/>
      <c r="BA47" s="232"/>
      <c r="BB47" s="232"/>
      <c r="BC47" s="232"/>
      <c r="BD47" s="232"/>
      <c r="BE47" s="232"/>
      <c r="BF47" s="232"/>
    </row>
    <row r="48" spans="1:58" x14ac:dyDescent="0.25">
      <c r="A48" s="196"/>
      <c r="B48" s="211"/>
      <c r="C48" s="211"/>
      <c r="D48" s="197"/>
      <c r="E48" s="197"/>
      <c r="F48" s="222"/>
      <c r="G48" s="222"/>
      <c r="H48" s="222"/>
      <c r="I48" s="222"/>
      <c r="J48" s="222"/>
      <c r="K48" s="222"/>
      <c r="L48" s="223"/>
      <c r="M48" s="223"/>
      <c r="N48" s="224"/>
      <c r="O48" s="224"/>
      <c r="P48" s="224"/>
      <c r="Q48" s="223"/>
      <c r="R48" s="224"/>
      <c r="S48" s="223"/>
      <c r="T48" s="223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44"/>
      <c r="AF48" s="244"/>
      <c r="AG48" s="238"/>
      <c r="AH48" s="238"/>
      <c r="AI48" s="238"/>
      <c r="AJ48" s="238"/>
      <c r="AK48" s="238"/>
      <c r="AL48" s="238"/>
      <c r="AM48" s="238"/>
      <c r="AN48" s="225"/>
      <c r="AO48" s="225"/>
      <c r="AP48" s="225"/>
      <c r="AQ48" s="225"/>
      <c r="AR48" s="225"/>
      <c r="AS48" s="225"/>
      <c r="AT48" s="225"/>
      <c r="AU48" s="225"/>
      <c r="AV48" s="225"/>
      <c r="AW48" s="232"/>
      <c r="AX48" s="232"/>
      <c r="AY48" s="233"/>
      <c r="AZ48" s="232"/>
      <c r="BA48" s="232"/>
      <c r="BB48" s="232"/>
      <c r="BC48" s="232"/>
      <c r="BD48" s="232"/>
      <c r="BE48" s="232"/>
      <c r="BF48" s="232"/>
    </row>
    <row r="49" spans="1:58" x14ac:dyDescent="0.25">
      <c r="A49" s="196"/>
      <c r="B49" s="211"/>
      <c r="C49" s="211"/>
      <c r="D49" s="197"/>
      <c r="E49" s="197"/>
      <c r="F49" s="222"/>
      <c r="G49" s="222"/>
      <c r="H49" s="222"/>
      <c r="I49" s="222"/>
      <c r="J49" s="222"/>
      <c r="K49" s="222"/>
      <c r="L49" s="223"/>
      <c r="M49" s="223"/>
      <c r="N49" s="224"/>
      <c r="O49" s="224"/>
      <c r="P49" s="224"/>
      <c r="Q49" s="223"/>
      <c r="R49" s="224"/>
      <c r="S49" s="223"/>
      <c r="T49" s="223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44"/>
      <c r="AF49" s="244"/>
      <c r="AG49" s="238"/>
      <c r="AH49" s="238"/>
      <c r="AI49" s="238"/>
      <c r="AJ49" s="238"/>
      <c r="AK49" s="238"/>
      <c r="AL49" s="238"/>
      <c r="AM49" s="238"/>
      <c r="AN49" s="225"/>
      <c r="AO49" s="225"/>
      <c r="AP49" s="225"/>
      <c r="AQ49" s="225"/>
      <c r="AR49" s="225"/>
      <c r="AS49" s="225"/>
      <c r="AT49" s="225"/>
      <c r="AU49" s="225"/>
      <c r="AV49" s="225"/>
      <c r="AW49" s="232"/>
      <c r="AX49" s="232"/>
      <c r="AY49" s="233"/>
      <c r="AZ49" s="232"/>
      <c r="BA49" s="232"/>
      <c r="BB49" s="232"/>
      <c r="BC49" s="232"/>
      <c r="BD49" s="232"/>
      <c r="BE49" s="232"/>
      <c r="BF49" s="232"/>
    </row>
    <row r="50" spans="1:58" x14ac:dyDescent="0.25">
      <c r="A50" s="196"/>
      <c r="B50" s="211"/>
      <c r="C50" s="211"/>
      <c r="D50" s="197"/>
      <c r="E50" s="197"/>
      <c r="F50" s="222"/>
      <c r="G50" s="222"/>
      <c r="H50" s="222"/>
      <c r="I50" s="222"/>
      <c r="J50" s="222"/>
      <c r="K50" s="222"/>
      <c r="L50" s="223"/>
      <c r="M50" s="223"/>
      <c r="N50" s="224"/>
      <c r="O50" s="224"/>
      <c r="P50" s="224"/>
      <c r="Q50" s="223"/>
      <c r="R50" s="224"/>
      <c r="S50" s="223"/>
      <c r="T50" s="223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44"/>
      <c r="AF50" s="244"/>
      <c r="AG50" s="238"/>
      <c r="AH50" s="238"/>
      <c r="AI50" s="238"/>
      <c r="AJ50" s="238"/>
      <c r="AK50" s="238"/>
      <c r="AL50" s="238"/>
      <c r="AM50" s="238"/>
      <c r="AN50" s="225"/>
      <c r="AO50" s="225"/>
      <c r="AP50" s="225"/>
      <c r="AQ50" s="225"/>
      <c r="AR50" s="225"/>
      <c r="AS50" s="225"/>
      <c r="AT50" s="225"/>
      <c r="AU50" s="225"/>
      <c r="AV50" s="225"/>
      <c r="AW50" s="232"/>
      <c r="AX50" s="232"/>
      <c r="AY50" s="233"/>
      <c r="AZ50" s="232"/>
      <c r="BA50" s="232"/>
      <c r="BB50" s="232"/>
      <c r="BC50" s="232"/>
      <c r="BD50" s="232"/>
      <c r="BE50" s="232"/>
      <c r="BF50" s="232"/>
    </row>
    <row r="51" spans="1:58" x14ac:dyDescent="0.25">
      <c r="A51" s="196"/>
      <c r="B51" s="211"/>
      <c r="C51" s="211"/>
      <c r="D51" s="197"/>
      <c r="E51" s="197"/>
      <c r="F51" s="222"/>
      <c r="G51" s="222"/>
      <c r="H51" s="222"/>
      <c r="I51" s="222"/>
      <c r="J51" s="222"/>
      <c r="K51" s="222"/>
      <c r="L51" s="223"/>
      <c r="M51" s="223"/>
      <c r="N51" s="224"/>
      <c r="O51" s="224"/>
      <c r="P51" s="224"/>
      <c r="Q51" s="223"/>
      <c r="R51" s="224"/>
      <c r="S51" s="223"/>
      <c r="T51" s="223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44"/>
      <c r="AF51" s="244"/>
      <c r="AG51" s="238"/>
      <c r="AH51" s="238"/>
      <c r="AI51" s="238"/>
      <c r="AJ51" s="238"/>
      <c r="AK51" s="238"/>
      <c r="AL51" s="238"/>
      <c r="AM51" s="238"/>
      <c r="AN51" s="225"/>
      <c r="AO51" s="225"/>
      <c r="AP51" s="225"/>
      <c r="AQ51" s="225"/>
      <c r="AR51" s="225"/>
      <c r="AS51" s="225"/>
      <c r="AT51" s="225"/>
      <c r="AU51" s="225"/>
      <c r="AV51" s="225"/>
      <c r="AW51" s="232"/>
      <c r="AX51" s="232"/>
      <c r="AY51" s="233"/>
      <c r="AZ51" s="232"/>
      <c r="BA51" s="232"/>
      <c r="BB51" s="232"/>
      <c r="BC51" s="232"/>
      <c r="BD51" s="232"/>
      <c r="BE51" s="232"/>
      <c r="BF51" s="232"/>
    </row>
    <row r="52" spans="1:58" x14ac:dyDescent="0.25">
      <c r="A52" s="196"/>
      <c r="B52" s="211"/>
      <c r="C52" s="211"/>
      <c r="D52" s="197"/>
      <c r="E52" s="197"/>
      <c r="F52" s="222"/>
      <c r="G52" s="222"/>
      <c r="H52" s="222"/>
      <c r="I52" s="222"/>
      <c r="J52" s="222"/>
      <c r="K52" s="222"/>
      <c r="L52" s="223"/>
      <c r="M52" s="223"/>
      <c r="N52" s="224"/>
      <c r="O52" s="224"/>
      <c r="P52" s="224"/>
      <c r="Q52" s="223"/>
      <c r="R52" s="224"/>
      <c r="S52" s="223"/>
      <c r="T52" s="223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44"/>
      <c r="AF52" s="244"/>
      <c r="AG52" s="238"/>
      <c r="AH52" s="238"/>
      <c r="AI52" s="238"/>
      <c r="AJ52" s="238"/>
      <c r="AK52" s="238"/>
      <c r="AL52" s="238"/>
      <c r="AM52" s="238"/>
      <c r="AN52" s="225"/>
      <c r="AO52" s="225"/>
      <c r="AP52" s="225"/>
      <c r="AQ52" s="225"/>
      <c r="AR52" s="225"/>
      <c r="AS52" s="225"/>
      <c r="AT52" s="225"/>
      <c r="AU52" s="225"/>
      <c r="AV52" s="225"/>
      <c r="AW52" s="232"/>
      <c r="AX52" s="232"/>
      <c r="AY52" s="233"/>
      <c r="AZ52" s="232"/>
      <c r="BA52" s="232"/>
      <c r="BB52" s="232"/>
      <c r="BC52" s="232"/>
      <c r="BD52" s="232"/>
      <c r="BE52" s="232"/>
      <c r="BF52" s="232"/>
    </row>
    <row r="53" spans="1:58" x14ac:dyDescent="0.25">
      <c r="A53" s="196"/>
      <c r="B53" s="211"/>
      <c r="C53" s="211"/>
      <c r="D53" s="197"/>
      <c r="E53" s="197"/>
      <c r="F53" s="222"/>
      <c r="G53" s="222"/>
      <c r="H53" s="222"/>
      <c r="I53" s="222"/>
      <c r="J53" s="222"/>
      <c r="K53" s="222"/>
      <c r="L53" s="223"/>
      <c r="M53" s="223"/>
      <c r="N53" s="224"/>
      <c r="O53" s="224"/>
      <c r="P53" s="224"/>
      <c r="Q53" s="223"/>
      <c r="R53" s="224"/>
      <c r="S53" s="223"/>
      <c r="T53" s="223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44"/>
      <c r="AF53" s="244"/>
      <c r="AG53" s="238"/>
      <c r="AH53" s="238"/>
      <c r="AI53" s="238"/>
      <c r="AJ53" s="238"/>
      <c r="AK53" s="238"/>
      <c r="AL53" s="238"/>
      <c r="AM53" s="238"/>
      <c r="AN53" s="225"/>
      <c r="AO53" s="225"/>
      <c r="AP53" s="225"/>
      <c r="AQ53" s="225"/>
      <c r="AR53" s="225"/>
      <c r="AS53" s="225"/>
      <c r="AT53" s="225"/>
      <c r="AU53" s="225"/>
      <c r="AV53" s="225"/>
      <c r="AW53" s="232"/>
      <c r="AX53" s="232"/>
      <c r="AY53" s="233"/>
      <c r="AZ53" s="232"/>
      <c r="BA53" s="232"/>
      <c r="BB53" s="232"/>
      <c r="BC53" s="232"/>
      <c r="BD53" s="232"/>
      <c r="BE53" s="232"/>
      <c r="BF53" s="232"/>
    </row>
    <row r="54" spans="1:58" x14ac:dyDescent="0.25">
      <c r="A54" s="196"/>
      <c r="B54" s="211"/>
      <c r="C54" s="211"/>
      <c r="D54" s="197"/>
      <c r="E54" s="197"/>
      <c r="F54" s="222"/>
      <c r="G54" s="222"/>
      <c r="H54" s="222"/>
      <c r="I54" s="222"/>
      <c r="J54" s="222"/>
      <c r="K54" s="222"/>
      <c r="L54" s="223"/>
      <c r="M54" s="223"/>
      <c r="N54" s="224"/>
      <c r="O54" s="224"/>
      <c r="P54" s="224"/>
      <c r="Q54" s="223"/>
      <c r="R54" s="224"/>
      <c r="S54" s="223"/>
      <c r="T54" s="223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44"/>
      <c r="AF54" s="244"/>
      <c r="AG54" s="238"/>
      <c r="AH54" s="238"/>
      <c r="AI54" s="238"/>
      <c r="AJ54" s="238"/>
      <c r="AK54" s="238"/>
      <c r="AL54" s="238"/>
      <c r="AM54" s="238"/>
      <c r="AN54" s="225"/>
      <c r="AO54" s="225"/>
      <c r="AP54" s="225"/>
      <c r="AQ54" s="225"/>
      <c r="AR54" s="225"/>
      <c r="AS54" s="225"/>
      <c r="AT54" s="225"/>
      <c r="AU54" s="225"/>
      <c r="AV54" s="225"/>
      <c r="AW54" s="232"/>
      <c r="AX54" s="232"/>
      <c r="AY54" s="233"/>
      <c r="AZ54" s="232"/>
      <c r="BA54" s="232"/>
      <c r="BB54" s="232"/>
      <c r="BC54" s="232"/>
      <c r="BD54" s="232"/>
      <c r="BE54" s="232"/>
      <c r="BF54" s="232"/>
    </row>
    <row r="55" spans="1:58" x14ac:dyDescent="0.25">
      <c r="A55" s="196"/>
      <c r="B55" s="211"/>
      <c r="C55" s="211"/>
      <c r="D55" s="197"/>
      <c r="E55" s="197"/>
      <c r="F55" s="222"/>
      <c r="G55" s="222"/>
      <c r="H55" s="222"/>
      <c r="I55" s="222"/>
      <c r="J55" s="222"/>
      <c r="K55" s="222"/>
      <c r="L55" s="223"/>
      <c r="M55" s="223"/>
      <c r="N55" s="224"/>
      <c r="O55" s="224"/>
      <c r="P55" s="224"/>
      <c r="Q55" s="223"/>
      <c r="R55" s="224"/>
      <c r="S55" s="223"/>
      <c r="T55" s="223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44"/>
      <c r="AF55" s="244"/>
      <c r="AG55" s="238"/>
      <c r="AH55" s="238"/>
      <c r="AI55" s="238"/>
      <c r="AJ55" s="238"/>
      <c r="AK55" s="238"/>
      <c r="AL55" s="238"/>
      <c r="AM55" s="238"/>
      <c r="AN55" s="225"/>
      <c r="AO55" s="225"/>
      <c r="AP55" s="225"/>
      <c r="AQ55" s="225"/>
      <c r="AR55" s="225"/>
      <c r="AS55" s="225"/>
      <c r="AT55" s="225"/>
      <c r="AU55" s="225"/>
      <c r="AV55" s="225"/>
      <c r="AW55" s="232"/>
      <c r="AX55" s="232"/>
      <c r="AY55" s="233"/>
      <c r="AZ55" s="232"/>
      <c r="BA55" s="232"/>
      <c r="BB55" s="232"/>
      <c r="BC55" s="232"/>
      <c r="BD55" s="232"/>
      <c r="BE55" s="232"/>
      <c r="BF55" s="232"/>
    </row>
    <row r="56" spans="1:58" x14ac:dyDescent="0.25">
      <c r="A56" s="196"/>
      <c r="B56" s="211"/>
      <c r="C56" s="211"/>
      <c r="D56" s="197"/>
      <c r="E56" s="197"/>
      <c r="F56" s="222"/>
      <c r="G56" s="222"/>
      <c r="H56" s="222"/>
      <c r="I56" s="222"/>
      <c r="J56" s="222"/>
      <c r="K56" s="222"/>
      <c r="L56" s="223"/>
      <c r="M56" s="223"/>
      <c r="N56" s="224"/>
      <c r="O56" s="224"/>
      <c r="P56" s="224"/>
      <c r="Q56" s="223"/>
      <c r="R56" s="224"/>
      <c r="S56" s="223"/>
      <c r="T56" s="223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44"/>
      <c r="AF56" s="244"/>
      <c r="AG56" s="238"/>
      <c r="AH56" s="238"/>
      <c r="AI56" s="238"/>
      <c r="AJ56" s="238"/>
      <c r="AK56" s="238"/>
      <c r="AL56" s="238"/>
      <c r="AM56" s="238"/>
      <c r="AN56" s="225"/>
      <c r="AO56" s="225"/>
      <c r="AP56" s="225"/>
      <c r="AQ56" s="225"/>
      <c r="AR56" s="225"/>
      <c r="AS56" s="225"/>
      <c r="AT56" s="225"/>
      <c r="AU56" s="225"/>
      <c r="AV56" s="225"/>
      <c r="AW56" s="232"/>
      <c r="AX56" s="232"/>
      <c r="AY56" s="233"/>
      <c r="AZ56" s="232"/>
      <c r="BA56" s="232"/>
      <c r="BB56" s="232"/>
      <c r="BC56" s="232"/>
      <c r="BD56" s="232"/>
      <c r="BE56" s="232"/>
      <c r="BF56" s="232"/>
    </row>
    <row r="57" spans="1:58" x14ac:dyDescent="0.25">
      <c r="A57" s="196"/>
      <c r="B57" s="211"/>
      <c r="C57" s="211"/>
      <c r="D57" s="197"/>
      <c r="E57" s="197"/>
      <c r="F57" s="222"/>
      <c r="G57" s="222"/>
      <c r="H57" s="222"/>
      <c r="I57" s="222"/>
      <c r="J57" s="222"/>
      <c r="K57" s="222"/>
      <c r="L57" s="223"/>
      <c r="M57" s="223"/>
      <c r="N57" s="224"/>
      <c r="O57" s="224"/>
      <c r="P57" s="224"/>
      <c r="Q57" s="223"/>
      <c r="R57" s="224"/>
      <c r="S57" s="223"/>
      <c r="T57" s="223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44"/>
      <c r="AF57" s="244"/>
      <c r="AG57" s="238"/>
      <c r="AH57" s="238"/>
      <c r="AI57" s="238"/>
      <c r="AJ57" s="238"/>
      <c r="AK57" s="238"/>
      <c r="AL57" s="238"/>
      <c r="AM57" s="238"/>
      <c r="AN57" s="225"/>
      <c r="AO57" s="225"/>
      <c r="AP57" s="225"/>
      <c r="AQ57" s="225"/>
      <c r="AR57" s="225"/>
      <c r="AS57" s="225"/>
      <c r="AT57" s="225"/>
      <c r="AU57" s="225"/>
      <c r="AV57" s="225"/>
      <c r="AW57" s="232"/>
      <c r="AX57" s="232"/>
      <c r="AY57" s="233"/>
      <c r="AZ57" s="232"/>
      <c r="BA57" s="232"/>
      <c r="BB57" s="232"/>
      <c r="BC57" s="232"/>
      <c r="BD57" s="232"/>
      <c r="BE57" s="232"/>
      <c r="BF57" s="232"/>
    </row>
    <row r="58" spans="1:58" x14ac:dyDescent="0.25">
      <c r="A58" s="196"/>
      <c r="B58" s="211"/>
      <c r="C58" s="211"/>
      <c r="D58" s="197"/>
      <c r="E58" s="197"/>
      <c r="F58" s="222"/>
      <c r="G58" s="222"/>
      <c r="H58" s="222"/>
      <c r="I58" s="222"/>
      <c r="J58" s="222"/>
      <c r="K58" s="222"/>
      <c r="L58" s="223"/>
      <c r="M58" s="223"/>
      <c r="N58" s="224"/>
      <c r="O58" s="224"/>
      <c r="P58" s="224"/>
      <c r="Q58" s="223"/>
      <c r="R58" s="224"/>
      <c r="S58" s="223"/>
      <c r="T58" s="223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44"/>
      <c r="AF58" s="244"/>
      <c r="AG58" s="238"/>
      <c r="AH58" s="238"/>
      <c r="AI58" s="238"/>
      <c r="AJ58" s="238"/>
      <c r="AK58" s="238"/>
      <c r="AL58" s="238"/>
      <c r="AM58" s="238"/>
      <c r="AN58" s="225"/>
      <c r="AO58" s="225"/>
      <c r="AP58" s="225"/>
      <c r="AQ58" s="225"/>
      <c r="AR58" s="225"/>
      <c r="AS58" s="225"/>
      <c r="AT58" s="225"/>
      <c r="AU58" s="225"/>
      <c r="AV58" s="225"/>
      <c r="AW58" s="232"/>
      <c r="AX58" s="232"/>
      <c r="AY58" s="233"/>
      <c r="AZ58" s="232"/>
      <c r="BA58" s="232"/>
      <c r="BB58" s="232"/>
      <c r="BC58" s="232"/>
      <c r="BD58" s="232"/>
      <c r="BE58" s="232"/>
      <c r="BF58" s="232"/>
    </row>
    <row r="59" spans="1:58" x14ac:dyDescent="0.25">
      <c r="A59" s="196"/>
      <c r="B59" s="211"/>
      <c r="C59" s="211"/>
      <c r="D59" s="197"/>
      <c r="E59" s="197"/>
      <c r="F59" s="222"/>
      <c r="G59" s="222"/>
      <c r="H59" s="222"/>
      <c r="I59" s="222"/>
      <c r="J59" s="222"/>
      <c r="K59" s="222"/>
      <c r="L59" s="223"/>
      <c r="M59" s="223"/>
      <c r="N59" s="224"/>
      <c r="O59" s="224"/>
      <c r="P59" s="224"/>
      <c r="Q59" s="223"/>
      <c r="R59" s="224"/>
      <c r="S59" s="223"/>
      <c r="T59" s="223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44"/>
      <c r="AF59" s="244"/>
      <c r="AG59" s="238"/>
      <c r="AH59" s="238"/>
      <c r="AI59" s="238"/>
      <c r="AJ59" s="238"/>
      <c r="AK59" s="238"/>
      <c r="AL59" s="238"/>
      <c r="AM59" s="238"/>
      <c r="AN59" s="225"/>
      <c r="AO59" s="225"/>
      <c r="AP59" s="225"/>
      <c r="AQ59" s="225"/>
      <c r="AR59" s="225"/>
      <c r="AS59" s="225"/>
      <c r="AT59" s="225"/>
      <c r="AU59" s="225"/>
      <c r="AV59" s="225"/>
      <c r="AW59" s="232"/>
      <c r="AX59" s="232"/>
      <c r="AY59" s="233"/>
      <c r="AZ59" s="232"/>
      <c r="BA59" s="232"/>
      <c r="BB59" s="232"/>
      <c r="BC59" s="232"/>
      <c r="BD59" s="232"/>
      <c r="BE59" s="232"/>
      <c r="BF59" s="232"/>
    </row>
    <row r="60" spans="1:58" x14ac:dyDescent="0.25">
      <c r="A60" s="196"/>
      <c r="B60" s="211"/>
      <c r="C60" s="211"/>
      <c r="D60" s="197"/>
      <c r="E60" s="197"/>
      <c r="F60" s="222"/>
      <c r="G60" s="222"/>
      <c r="H60" s="222"/>
      <c r="I60" s="222"/>
      <c r="J60" s="222"/>
      <c r="K60" s="222"/>
      <c r="L60" s="223"/>
      <c r="M60" s="223"/>
      <c r="N60" s="224"/>
      <c r="O60" s="224"/>
      <c r="P60" s="224"/>
      <c r="Q60" s="223"/>
      <c r="R60" s="224"/>
      <c r="S60" s="223"/>
      <c r="T60" s="223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44"/>
      <c r="AF60" s="244"/>
      <c r="AG60" s="238"/>
      <c r="AH60" s="238"/>
      <c r="AI60" s="238"/>
      <c r="AJ60" s="238"/>
      <c r="AK60" s="238"/>
      <c r="AL60" s="238"/>
      <c r="AM60" s="238"/>
      <c r="AN60" s="225"/>
      <c r="AO60" s="225"/>
      <c r="AP60" s="225"/>
      <c r="AQ60" s="225"/>
      <c r="AR60" s="225"/>
      <c r="AS60" s="225"/>
      <c r="AT60" s="225"/>
      <c r="AU60" s="225"/>
      <c r="AV60" s="225"/>
      <c r="AW60" s="232"/>
      <c r="AX60" s="232"/>
      <c r="AY60" s="233"/>
      <c r="AZ60" s="232"/>
      <c r="BA60" s="232"/>
      <c r="BB60" s="232"/>
      <c r="BC60" s="232"/>
      <c r="BD60" s="232"/>
      <c r="BE60" s="232"/>
      <c r="BF60" s="232"/>
    </row>
    <row r="61" spans="1:58" x14ac:dyDescent="0.25">
      <c r="A61" s="196"/>
      <c r="B61" s="211"/>
      <c r="C61" s="211"/>
      <c r="D61" s="197"/>
      <c r="E61" s="197"/>
      <c r="F61" s="222"/>
      <c r="G61" s="222"/>
      <c r="H61" s="222"/>
      <c r="I61" s="222"/>
      <c r="J61" s="222"/>
      <c r="K61" s="222"/>
      <c r="L61" s="223"/>
      <c r="M61" s="223"/>
      <c r="N61" s="224"/>
      <c r="O61" s="224"/>
      <c r="P61" s="224"/>
      <c r="Q61" s="223"/>
      <c r="R61" s="224"/>
      <c r="S61" s="223"/>
      <c r="T61" s="223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44"/>
      <c r="AF61" s="244"/>
      <c r="AG61" s="238"/>
      <c r="AH61" s="238"/>
      <c r="AI61" s="238"/>
      <c r="AJ61" s="238"/>
      <c r="AK61" s="238"/>
      <c r="AL61" s="238"/>
      <c r="AM61" s="238"/>
      <c r="AN61" s="225"/>
      <c r="AO61" s="225"/>
      <c r="AP61" s="225"/>
      <c r="AQ61" s="225"/>
      <c r="AR61" s="225"/>
      <c r="AS61" s="225"/>
      <c r="AT61" s="225"/>
      <c r="AU61" s="225"/>
      <c r="AV61" s="225"/>
      <c r="AW61" s="232"/>
      <c r="AX61" s="232"/>
      <c r="AY61" s="233"/>
      <c r="AZ61" s="232"/>
      <c r="BA61" s="232"/>
      <c r="BB61" s="232"/>
      <c r="BC61" s="232"/>
      <c r="BD61" s="232"/>
      <c r="BE61" s="232"/>
      <c r="BF61" s="232"/>
    </row>
    <row r="62" spans="1:58" x14ac:dyDescent="0.25">
      <c r="A62" s="196"/>
      <c r="B62" s="211"/>
      <c r="C62" s="211"/>
      <c r="D62" s="197"/>
      <c r="E62" s="197"/>
      <c r="F62" s="222"/>
      <c r="G62" s="222"/>
      <c r="H62" s="222"/>
      <c r="I62" s="222"/>
      <c r="J62" s="222"/>
      <c r="K62" s="222"/>
      <c r="L62" s="223"/>
      <c r="M62" s="223"/>
      <c r="N62" s="224"/>
      <c r="O62" s="224"/>
      <c r="P62" s="224"/>
      <c r="Q62" s="223"/>
      <c r="R62" s="224"/>
      <c r="S62" s="223"/>
      <c r="T62" s="223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44"/>
      <c r="AF62" s="244"/>
      <c r="AG62" s="238"/>
      <c r="AH62" s="238"/>
      <c r="AI62" s="238"/>
      <c r="AJ62" s="238"/>
      <c r="AK62" s="238"/>
      <c r="AL62" s="238"/>
      <c r="AM62" s="238"/>
      <c r="AN62" s="225"/>
      <c r="AO62" s="225"/>
      <c r="AP62" s="225"/>
      <c r="AQ62" s="225"/>
      <c r="AR62" s="225"/>
      <c r="AS62" s="225"/>
      <c r="AT62" s="225"/>
      <c r="AU62" s="225"/>
      <c r="AV62" s="225"/>
      <c r="AW62" s="232"/>
      <c r="AX62" s="232"/>
      <c r="AY62" s="233"/>
      <c r="AZ62" s="232"/>
      <c r="BA62" s="232"/>
      <c r="BB62" s="232"/>
      <c r="BC62" s="232"/>
      <c r="BD62" s="232"/>
      <c r="BE62" s="232"/>
      <c r="BF62" s="232"/>
    </row>
    <row r="63" spans="1:58" x14ac:dyDescent="0.25">
      <c r="A63" s="196"/>
      <c r="B63" s="211"/>
      <c r="C63" s="211"/>
      <c r="D63" s="197"/>
      <c r="E63" s="197"/>
      <c r="F63" s="222"/>
      <c r="G63" s="222"/>
      <c r="H63" s="222"/>
      <c r="I63" s="222"/>
      <c r="J63" s="222"/>
      <c r="K63" s="222"/>
      <c r="L63" s="223"/>
      <c r="M63" s="223"/>
      <c r="N63" s="224"/>
      <c r="O63" s="224"/>
      <c r="P63" s="224"/>
      <c r="Q63" s="223"/>
      <c r="R63" s="224"/>
      <c r="S63" s="223"/>
      <c r="T63" s="223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44"/>
      <c r="AF63" s="244"/>
      <c r="AG63" s="238"/>
      <c r="AH63" s="238"/>
      <c r="AI63" s="238"/>
      <c r="AJ63" s="238"/>
      <c r="AK63" s="238"/>
      <c r="AL63" s="238"/>
      <c r="AM63" s="238"/>
      <c r="AN63" s="225"/>
      <c r="AO63" s="225"/>
      <c r="AP63" s="225"/>
      <c r="AQ63" s="225"/>
      <c r="AR63" s="225"/>
      <c r="AS63" s="225"/>
      <c r="AT63" s="225"/>
      <c r="AU63" s="225"/>
      <c r="AV63" s="225"/>
      <c r="AW63" s="232"/>
      <c r="AX63" s="232"/>
      <c r="AY63" s="233"/>
      <c r="AZ63" s="232"/>
      <c r="BA63" s="232"/>
      <c r="BB63" s="232"/>
      <c r="BC63" s="232"/>
      <c r="BD63" s="232"/>
      <c r="BE63" s="232"/>
      <c r="BF63" s="232"/>
    </row>
    <row r="64" spans="1:58" x14ac:dyDescent="0.25">
      <c r="A64" s="196"/>
      <c r="B64" s="211"/>
      <c r="C64" s="211"/>
      <c r="D64" s="197"/>
      <c r="E64" s="197"/>
      <c r="F64" s="222"/>
      <c r="G64" s="222"/>
      <c r="H64" s="222"/>
      <c r="I64" s="222"/>
      <c r="J64" s="222"/>
      <c r="K64" s="222"/>
      <c r="L64" s="223"/>
      <c r="M64" s="223"/>
      <c r="N64" s="224"/>
      <c r="O64" s="224"/>
      <c r="P64" s="224"/>
      <c r="Q64" s="223"/>
      <c r="R64" s="224"/>
      <c r="S64" s="223"/>
      <c r="T64" s="223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44"/>
      <c r="AF64" s="244"/>
      <c r="AG64" s="238"/>
      <c r="AH64" s="238"/>
      <c r="AI64" s="238"/>
      <c r="AJ64" s="238"/>
      <c r="AK64" s="238"/>
      <c r="AL64" s="238"/>
      <c r="AM64" s="238"/>
      <c r="AN64" s="225"/>
      <c r="AO64" s="225"/>
      <c r="AP64" s="225"/>
      <c r="AQ64" s="225"/>
      <c r="AR64" s="225"/>
      <c r="AS64" s="225"/>
      <c r="AT64" s="225"/>
      <c r="AU64" s="225"/>
      <c r="AV64" s="225"/>
      <c r="AW64" s="232"/>
      <c r="AX64" s="232"/>
      <c r="AY64" s="233"/>
      <c r="AZ64" s="232"/>
      <c r="BA64" s="232"/>
      <c r="BB64" s="232"/>
      <c r="BC64" s="232"/>
      <c r="BD64" s="232"/>
      <c r="BE64" s="232"/>
      <c r="BF64" s="232"/>
    </row>
    <row r="65" spans="1:58" x14ac:dyDescent="0.25">
      <c r="A65" s="196"/>
      <c r="B65" s="211"/>
      <c r="C65" s="211"/>
      <c r="D65" s="197"/>
      <c r="E65" s="197"/>
      <c r="F65" s="222"/>
      <c r="G65" s="222"/>
      <c r="H65" s="222"/>
      <c r="I65" s="222"/>
      <c r="J65" s="222"/>
      <c r="K65" s="222"/>
      <c r="L65" s="223"/>
      <c r="M65" s="223"/>
      <c r="N65" s="224"/>
      <c r="O65" s="224"/>
      <c r="P65" s="224"/>
      <c r="Q65" s="223"/>
      <c r="R65" s="224"/>
      <c r="S65" s="223"/>
      <c r="T65" s="223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44"/>
      <c r="AF65" s="244"/>
      <c r="AG65" s="238"/>
      <c r="AH65" s="238"/>
      <c r="AI65" s="238"/>
      <c r="AJ65" s="238"/>
      <c r="AK65" s="238"/>
      <c r="AL65" s="238"/>
      <c r="AM65" s="238"/>
      <c r="AN65" s="225"/>
      <c r="AO65" s="225"/>
      <c r="AP65" s="225"/>
      <c r="AQ65" s="225"/>
      <c r="AR65" s="225"/>
      <c r="AS65" s="225"/>
      <c r="AT65" s="225"/>
      <c r="AU65" s="225"/>
      <c r="AV65" s="225"/>
      <c r="AW65" s="232"/>
      <c r="AX65" s="232"/>
      <c r="AY65" s="233"/>
      <c r="AZ65" s="232"/>
      <c r="BA65" s="232"/>
      <c r="BB65" s="232"/>
      <c r="BC65" s="232"/>
      <c r="BD65" s="232"/>
      <c r="BE65" s="232"/>
      <c r="BF65" s="232"/>
    </row>
    <row r="66" spans="1:58" x14ac:dyDescent="0.25">
      <c r="A66" s="196"/>
      <c r="B66" s="211"/>
      <c r="C66" s="211"/>
      <c r="D66" s="197"/>
      <c r="E66" s="197"/>
      <c r="F66" s="222"/>
      <c r="G66" s="222"/>
      <c r="H66" s="222"/>
      <c r="I66" s="222"/>
      <c r="J66" s="222"/>
      <c r="K66" s="222"/>
      <c r="L66" s="223"/>
      <c r="M66" s="223"/>
      <c r="N66" s="224"/>
      <c r="O66" s="224"/>
      <c r="P66" s="224"/>
      <c r="Q66" s="223"/>
      <c r="R66" s="224"/>
      <c r="S66" s="223"/>
      <c r="T66" s="223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44"/>
      <c r="AF66" s="244"/>
      <c r="AG66" s="238"/>
      <c r="AH66" s="238"/>
      <c r="AI66" s="238"/>
      <c r="AJ66" s="238"/>
      <c r="AK66" s="238"/>
      <c r="AL66" s="238"/>
      <c r="AM66" s="238"/>
      <c r="AN66" s="225"/>
      <c r="AO66" s="225"/>
      <c r="AP66" s="225"/>
      <c r="AQ66" s="225"/>
      <c r="AR66" s="225"/>
      <c r="AS66" s="225"/>
      <c r="AT66" s="225"/>
      <c r="AU66" s="225"/>
      <c r="AV66" s="225"/>
      <c r="AW66" s="232"/>
      <c r="AX66" s="232"/>
      <c r="AY66" s="233"/>
      <c r="AZ66" s="232"/>
      <c r="BA66" s="232"/>
      <c r="BB66" s="232"/>
      <c r="BC66" s="232"/>
      <c r="BD66" s="232"/>
      <c r="BE66" s="232"/>
      <c r="BF66" s="232"/>
    </row>
    <row r="67" spans="1:58" x14ac:dyDescent="0.25">
      <c r="A67" s="196"/>
      <c r="B67" s="211"/>
      <c r="C67" s="211"/>
      <c r="D67" s="197"/>
      <c r="E67" s="197"/>
      <c r="F67" s="222"/>
      <c r="G67" s="222"/>
      <c r="H67" s="222"/>
      <c r="I67" s="222"/>
      <c r="J67" s="222"/>
      <c r="K67" s="222"/>
      <c r="L67" s="223"/>
      <c r="M67" s="223"/>
      <c r="N67" s="224"/>
      <c r="O67" s="224"/>
      <c r="P67" s="224"/>
      <c r="Q67" s="223"/>
      <c r="R67" s="224"/>
      <c r="S67" s="223"/>
      <c r="T67" s="223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44"/>
      <c r="AF67" s="244"/>
      <c r="AG67" s="238"/>
      <c r="AH67" s="238"/>
      <c r="AI67" s="238"/>
      <c r="AJ67" s="238"/>
      <c r="AK67" s="238"/>
      <c r="AL67" s="238"/>
      <c r="AM67" s="238"/>
      <c r="AN67" s="225"/>
      <c r="AO67" s="225"/>
      <c r="AP67" s="225"/>
      <c r="AQ67" s="225"/>
      <c r="AR67" s="225"/>
      <c r="AS67" s="225"/>
      <c r="AT67" s="225"/>
      <c r="AU67" s="225"/>
      <c r="AV67" s="225"/>
      <c r="AW67" s="232"/>
      <c r="AX67" s="232"/>
      <c r="AY67" s="233"/>
      <c r="AZ67" s="232"/>
      <c r="BA67" s="232"/>
      <c r="BB67" s="232"/>
      <c r="BC67" s="232"/>
      <c r="BD67" s="232"/>
      <c r="BE67" s="232"/>
      <c r="BF67" s="232"/>
    </row>
    <row r="68" spans="1:58" x14ac:dyDescent="0.25">
      <c r="A68" s="196"/>
      <c r="B68" s="211"/>
      <c r="C68" s="211"/>
      <c r="D68" s="197"/>
      <c r="E68" s="197"/>
      <c r="F68" s="222"/>
      <c r="G68" s="222"/>
      <c r="H68" s="222"/>
      <c r="I68" s="222"/>
      <c r="J68" s="222"/>
      <c r="K68" s="222"/>
      <c r="L68" s="223"/>
      <c r="M68" s="223"/>
      <c r="N68" s="224"/>
      <c r="O68" s="224"/>
      <c r="P68" s="224"/>
      <c r="Q68" s="223"/>
      <c r="R68" s="224"/>
      <c r="S68" s="223"/>
      <c r="T68" s="223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44"/>
      <c r="AF68" s="244"/>
      <c r="AG68" s="238"/>
      <c r="AH68" s="238"/>
      <c r="AI68" s="238"/>
      <c r="AJ68" s="238"/>
      <c r="AK68" s="238"/>
      <c r="AL68" s="238"/>
      <c r="AM68" s="238"/>
      <c r="AN68" s="225"/>
      <c r="AO68" s="225"/>
      <c r="AP68" s="225"/>
      <c r="AQ68" s="225"/>
      <c r="AR68" s="225"/>
      <c r="AS68" s="225"/>
      <c r="AT68" s="225"/>
      <c r="AU68" s="225"/>
      <c r="AV68" s="225"/>
      <c r="AW68" s="232"/>
      <c r="AX68" s="232"/>
      <c r="AY68" s="233"/>
      <c r="AZ68" s="232"/>
      <c r="BA68" s="232"/>
      <c r="BB68" s="232"/>
      <c r="BC68" s="232"/>
      <c r="BD68" s="232"/>
      <c r="BE68" s="232"/>
      <c r="BF68" s="232"/>
    </row>
    <row r="69" spans="1:58" x14ac:dyDescent="0.25">
      <c r="A69" s="196"/>
      <c r="B69" s="211"/>
      <c r="C69" s="211"/>
      <c r="D69" s="197"/>
      <c r="E69" s="197"/>
      <c r="F69" s="222"/>
      <c r="G69" s="222"/>
      <c r="H69" s="222"/>
      <c r="I69" s="222"/>
      <c r="J69" s="222"/>
      <c r="K69" s="222"/>
      <c r="L69" s="223"/>
      <c r="M69" s="223"/>
      <c r="N69" s="224"/>
      <c r="O69" s="224"/>
      <c r="P69" s="224"/>
      <c r="Q69" s="223"/>
      <c r="R69" s="224"/>
      <c r="S69" s="223"/>
      <c r="T69" s="223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44"/>
      <c r="AF69" s="244"/>
      <c r="AG69" s="238"/>
      <c r="AH69" s="238"/>
      <c r="AI69" s="238"/>
      <c r="AJ69" s="238"/>
      <c r="AK69" s="238"/>
      <c r="AL69" s="238"/>
      <c r="AM69" s="238"/>
      <c r="AN69" s="225"/>
      <c r="AO69" s="225"/>
      <c r="AP69" s="225"/>
      <c r="AQ69" s="225"/>
      <c r="AR69" s="225"/>
      <c r="AS69" s="225"/>
      <c r="AT69" s="225"/>
      <c r="AU69" s="225"/>
      <c r="AV69" s="225"/>
      <c r="AW69" s="232"/>
      <c r="AX69" s="232"/>
      <c r="AY69" s="233"/>
      <c r="AZ69" s="232"/>
      <c r="BA69" s="232"/>
      <c r="BB69" s="232"/>
      <c r="BC69" s="232"/>
      <c r="BD69" s="232"/>
      <c r="BE69" s="232"/>
      <c r="BF69" s="232"/>
    </row>
    <row r="70" spans="1:58" x14ac:dyDescent="0.25">
      <c r="A70" s="196"/>
      <c r="B70" s="211"/>
      <c r="C70" s="211"/>
      <c r="D70" s="197"/>
      <c r="E70" s="197"/>
      <c r="F70" s="222"/>
      <c r="G70" s="222"/>
      <c r="H70" s="222"/>
      <c r="I70" s="222"/>
      <c r="J70" s="222"/>
      <c r="K70" s="222"/>
      <c r="L70" s="223"/>
      <c r="M70" s="223"/>
      <c r="N70" s="224"/>
      <c r="O70" s="224"/>
      <c r="P70" s="224"/>
      <c r="Q70" s="223"/>
      <c r="R70" s="224"/>
      <c r="S70" s="223"/>
      <c r="T70" s="223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44"/>
      <c r="AF70" s="244"/>
      <c r="AG70" s="238"/>
      <c r="AH70" s="238"/>
      <c r="AI70" s="238"/>
      <c r="AJ70" s="238"/>
      <c r="AK70" s="238"/>
      <c r="AL70" s="238"/>
      <c r="AM70" s="238"/>
      <c r="AN70" s="225"/>
      <c r="AO70" s="225"/>
      <c r="AP70" s="225"/>
      <c r="AQ70" s="225"/>
      <c r="AR70" s="225"/>
      <c r="AS70" s="225"/>
      <c r="AT70" s="225"/>
      <c r="AU70" s="225"/>
      <c r="AV70" s="225"/>
      <c r="AW70" s="232"/>
      <c r="AX70" s="232"/>
      <c r="AY70" s="233"/>
      <c r="AZ70" s="232"/>
      <c r="BA70" s="232"/>
      <c r="BB70" s="232"/>
      <c r="BC70" s="232"/>
      <c r="BD70" s="232"/>
      <c r="BE70" s="232"/>
      <c r="BF70" s="232"/>
    </row>
    <row r="71" spans="1:58" x14ac:dyDescent="0.25">
      <c r="A71" s="196"/>
      <c r="B71" s="211"/>
      <c r="C71" s="211"/>
      <c r="D71" s="197"/>
      <c r="E71" s="197"/>
      <c r="F71" s="222"/>
      <c r="G71" s="222"/>
      <c r="H71" s="222"/>
      <c r="I71" s="222"/>
      <c r="J71" s="222"/>
      <c r="K71" s="222"/>
      <c r="L71" s="223"/>
      <c r="M71" s="223"/>
      <c r="N71" s="224"/>
      <c r="O71" s="224"/>
      <c r="P71" s="224"/>
      <c r="Q71" s="223"/>
      <c r="R71" s="224"/>
      <c r="S71" s="223"/>
      <c r="T71" s="223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44"/>
      <c r="AF71" s="244"/>
      <c r="AG71" s="238"/>
      <c r="AH71" s="238"/>
      <c r="AI71" s="238"/>
      <c r="AJ71" s="238"/>
      <c r="AK71" s="238"/>
      <c r="AL71" s="238"/>
      <c r="AM71" s="238"/>
      <c r="AN71" s="225"/>
      <c r="AO71" s="225"/>
      <c r="AP71" s="225"/>
      <c r="AQ71" s="225"/>
      <c r="AR71" s="225"/>
      <c r="AS71" s="225"/>
      <c r="AT71" s="225"/>
      <c r="AU71" s="225"/>
      <c r="AV71" s="225"/>
      <c r="AW71" s="232"/>
      <c r="AX71" s="232"/>
      <c r="AY71" s="233"/>
      <c r="AZ71" s="232"/>
      <c r="BA71" s="232"/>
      <c r="BB71" s="232"/>
      <c r="BC71" s="232"/>
      <c r="BD71" s="232"/>
      <c r="BE71" s="232"/>
      <c r="BF71" s="232"/>
    </row>
    <row r="72" spans="1:58" x14ac:dyDescent="0.25">
      <c r="A72" s="196"/>
      <c r="B72" s="211"/>
      <c r="C72" s="211"/>
      <c r="D72" s="197"/>
      <c r="E72" s="197"/>
      <c r="F72" s="222"/>
      <c r="G72" s="222"/>
      <c r="H72" s="222"/>
      <c r="I72" s="222"/>
      <c r="J72" s="222"/>
      <c r="K72" s="222"/>
      <c r="L72" s="223"/>
      <c r="M72" s="223"/>
      <c r="N72" s="224"/>
      <c r="O72" s="224"/>
      <c r="P72" s="224"/>
      <c r="Q72" s="223"/>
      <c r="R72" s="224"/>
      <c r="S72" s="223"/>
      <c r="T72" s="223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44"/>
      <c r="AF72" s="244"/>
      <c r="AG72" s="238"/>
      <c r="AH72" s="238"/>
      <c r="AI72" s="238"/>
      <c r="AJ72" s="238"/>
      <c r="AK72" s="238"/>
      <c r="AL72" s="238"/>
      <c r="AM72" s="238"/>
      <c r="AN72" s="225"/>
      <c r="AO72" s="225"/>
      <c r="AP72" s="225"/>
      <c r="AQ72" s="225"/>
      <c r="AR72" s="225"/>
      <c r="AS72" s="225"/>
      <c r="AT72" s="225"/>
      <c r="AU72" s="225"/>
      <c r="AV72" s="225"/>
      <c r="AW72" s="232"/>
      <c r="AX72" s="232"/>
      <c r="AY72" s="233"/>
      <c r="AZ72" s="232"/>
      <c r="BA72" s="232"/>
      <c r="BB72" s="232"/>
      <c r="BC72" s="232"/>
      <c r="BD72" s="232"/>
      <c r="BE72" s="232"/>
      <c r="BF72" s="232"/>
    </row>
    <row r="73" spans="1:58" x14ac:dyDescent="0.25">
      <c r="A73" s="196"/>
      <c r="B73" s="211"/>
      <c r="C73" s="211"/>
      <c r="D73" s="197"/>
      <c r="E73" s="197"/>
      <c r="F73" s="222"/>
      <c r="G73" s="222"/>
      <c r="H73" s="222"/>
      <c r="I73" s="222"/>
      <c r="J73" s="222"/>
      <c r="K73" s="222"/>
      <c r="L73" s="223"/>
      <c r="M73" s="223"/>
      <c r="N73" s="224"/>
      <c r="O73" s="224"/>
      <c r="P73" s="224"/>
      <c r="Q73" s="223"/>
      <c r="R73" s="224"/>
      <c r="S73" s="223"/>
      <c r="T73" s="223"/>
      <c r="U73" s="225"/>
      <c r="V73" s="225"/>
      <c r="W73" s="225"/>
      <c r="X73" s="225"/>
      <c r="Y73" s="225"/>
      <c r="Z73" s="225"/>
      <c r="AA73" s="225"/>
      <c r="AB73" s="225"/>
      <c r="AC73" s="222"/>
      <c r="AD73" s="225"/>
      <c r="AE73" s="244"/>
      <c r="AF73" s="244"/>
      <c r="AG73" s="238"/>
      <c r="AH73" s="238"/>
      <c r="AI73" s="238"/>
      <c r="AJ73" s="238"/>
      <c r="AK73" s="238"/>
      <c r="AL73" s="238"/>
      <c r="AM73" s="238"/>
      <c r="AN73" s="225"/>
      <c r="AO73" s="225"/>
      <c r="AP73" s="225"/>
      <c r="AQ73" s="225"/>
      <c r="AR73" s="225"/>
      <c r="AS73" s="225"/>
      <c r="AT73" s="225"/>
      <c r="AU73" s="225"/>
      <c r="AV73" s="225"/>
      <c r="AW73" s="232"/>
      <c r="AX73" s="232"/>
      <c r="AY73" s="233"/>
      <c r="AZ73" s="232"/>
      <c r="BA73" s="232"/>
      <c r="BB73" s="232"/>
      <c r="BC73" s="232"/>
      <c r="BD73" s="232"/>
      <c r="BE73" s="232"/>
      <c r="BF73" s="232"/>
    </row>
    <row r="74" spans="1:58" x14ac:dyDescent="0.25">
      <c r="A74" s="196"/>
      <c r="B74" s="211"/>
      <c r="C74" s="211"/>
      <c r="D74" s="197"/>
      <c r="E74" s="197"/>
      <c r="F74" s="222"/>
      <c r="G74" s="222"/>
      <c r="H74" s="222"/>
      <c r="I74" s="222"/>
      <c r="J74" s="222"/>
      <c r="K74" s="222"/>
      <c r="L74" s="223"/>
      <c r="M74" s="223"/>
      <c r="N74" s="224"/>
      <c r="O74" s="224"/>
      <c r="P74" s="224"/>
      <c r="Q74" s="223"/>
      <c r="R74" s="224"/>
      <c r="S74" s="223"/>
      <c r="T74" s="223"/>
      <c r="U74" s="225"/>
      <c r="V74" s="225"/>
      <c r="W74" s="225"/>
      <c r="X74" s="225"/>
      <c r="Y74" s="225"/>
      <c r="Z74" s="225"/>
      <c r="AA74" s="225"/>
      <c r="AB74" s="225"/>
      <c r="AC74" s="222"/>
      <c r="AD74" s="225"/>
      <c r="AE74" s="244"/>
      <c r="AF74" s="244"/>
      <c r="AG74" s="238"/>
      <c r="AH74" s="238"/>
      <c r="AI74" s="238"/>
      <c r="AJ74" s="238"/>
      <c r="AK74" s="238"/>
      <c r="AL74" s="238"/>
      <c r="AM74" s="238"/>
      <c r="AN74" s="225"/>
      <c r="AO74" s="225"/>
      <c r="AP74" s="225"/>
      <c r="AQ74" s="225"/>
      <c r="AR74" s="225"/>
      <c r="AS74" s="225"/>
      <c r="AT74" s="225"/>
      <c r="AU74" s="225"/>
      <c r="AV74" s="225"/>
      <c r="AW74" s="232"/>
      <c r="AX74" s="232"/>
      <c r="AY74" s="233"/>
      <c r="AZ74" s="232"/>
      <c r="BA74" s="232"/>
      <c r="BB74" s="232"/>
      <c r="BC74" s="232"/>
      <c r="BD74" s="232"/>
      <c r="BE74" s="232"/>
      <c r="BF74" s="232"/>
    </row>
    <row r="75" spans="1:58" x14ac:dyDescent="0.25">
      <c r="A75" s="196"/>
      <c r="B75" s="211"/>
      <c r="C75" s="211"/>
      <c r="D75" s="197"/>
      <c r="E75" s="197"/>
      <c r="F75" s="222"/>
      <c r="G75" s="222"/>
      <c r="H75" s="222"/>
      <c r="I75" s="222"/>
      <c r="J75" s="222"/>
      <c r="K75" s="222"/>
      <c r="L75" s="223"/>
      <c r="M75" s="223"/>
      <c r="N75" s="224"/>
      <c r="O75" s="224"/>
      <c r="P75" s="224"/>
      <c r="Q75" s="223"/>
      <c r="R75" s="224"/>
      <c r="S75" s="223"/>
      <c r="T75" s="223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44"/>
      <c r="AF75" s="244"/>
      <c r="AG75" s="238"/>
      <c r="AH75" s="238"/>
      <c r="AI75" s="238"/>
      <c r="AJ75" s="238"/>
      <c r="AK75" s="238"/>
      <c r="AL75" s="238"/>
      <c r="AM75" s="238"/>
      <c r="AN75" s="225"/>
      <c r="AO75" s="225"/>
      <c r="AP75" s="225"/>
      <c r="AQ75" s="225"/>
      <c r="AR75" s="225"/>
      <c r="AS75" s="225"/>
      <c r="AT75" s="225"/>
      <c r="AU75" s="225"/>
      <c r="AV75" s="225"/>
      <c r="AW75" s="232"/>
      <c r="AX75" s="232"/>
      <c r="AY75" s="233"/>
      <c r="AZ75" s="232"/>
      <c r="BA75" s="232"/>
      <c r="BB75" s="232"/>
      <c r="BC75" s="232"/>
      <c r="BD75" s="232"/>
      <c r="BE75" s="232"/>
      <c r="BF75" s="232"/>
    </row>
    <row r="76" spans="1:58" x14ac:dyDescent="0.25">
      <c r="A76" s="196"/>
      <c r="B76" s="211"/>
      <c r="C76" s="211"/>
      <c r="D76" s="197"/>
      <c r="E76" s="197"/>
      <c r="F76" s="222"/>
      <c r="G76" s="222"/>
      <c r="H76" s="222"/>
      <c r="I76" s="222"/>
      <c r="J76" s="222"/>
      <c r="K76" s="222"/>
      <c r="L76" s="223"/>
      <c r="M76" s="223"/>
      <c r="N76" s="224"/>
      <c r="O76" s="224"/>
      <c r="P76" s="224"/>
      <c r="Q76" s="223"/>
      <c r="R76" s="224"/>
      <c r="S76" s="223"/>
      <c r="T76" s="223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44"/>
      <c r="AF76" s="244"/>
      <c r="AG76" s="238"/>
      <c r="AH76" s="238"/>
      <c r="AI76" s="238"/>
      <c r="AJ76" s="238"/>
      <c r="AK76" s="238"/>
      <c r="AL76" s="238"/>
      <c r="AM76" s="238"/>
      <c r="AN76" s="225"/>
      <c r="AO76" s="225"/>
      <c r="AP76" s="225"/>
      <c r="AQ76" s="225"/>
      <c r="AR76" s="225"/>
      <c r="AS76" s="225"/>
      <c r="AT76" s="225"/>
      <c r="AU76" s="225"/>
      <c r="AV76" s="225"/>
      <c r="AW76" s="232"/>
      <c r="AX76" s="232"/>
      <c r="AY76" s="233"/>
      <c r="AZ76" s="232"/>
      <c r="BA76" s="232"/>
      <c r="BB76" s="232"/>
      <c r="BC76" s="232"/>
      <c r="BD76" s="232"/>
      <c r="BE76" s="232"/>
      <c r="BF76" s="232"/>
    </row>
    <row r="77" spans="1:58" x14ac:dyDescent="0.25">
      <c r="A77" s="196"/>
      <c r="B77" s="211"/>
      <c r="C77" s="211"/>
      <c r="D77" s="197"/>
      <c r="E77" s="197"/>
      <c r="F77" s="222"/>
      <c r="G77" s="222"/>
      <c r="H77" s="222"/>
      <c r="I77" s="222"/>
      <c r="J77" s="222"/>
      <c r="K77" s="222"/>
      <c r="L77" s="223"/>
      <c r="M77" s="223"/>
      <c r="N77" s="224"/>
      <c r="O77" s="224"/>
      <c r="P77" s="224"/>
      <c r="Q77" s="223"/>
      <c r="R77" s="224"/>
      <c r="S77" s="223"/>
      <c r="T77" s="223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44"/>
      <c r="AF77" s="244"/>
      <c r="AG77" s="238"/>
      <c r="AH77" s="238"/>
      <c r="AI77" s="238"/>
      <c r="AJ77" s="238"/>
      <c r="AK77" s="238"/>
      <c r="AL77" s="238"/>
      <c r="AM77" s="238"/>
      <c r="AN77" s="225"/>
      <c r="AO77" s="225"/>
      <c r="AP77" s="225"/>
      <c r="AQ77" s="225"/>
      <c r="AR77" s="225"/>
      <c r="AS77" s="225"/>
      <c r="AT77" s="225"/>
      <c r="AU77" s="225"/>
      <c r="AV77" s="225"/>
      <c r="AW77" s="232"/>
      <c r="AX77" s="232"/>
      <c r="AY77" s="233"/>
      <c r="AZ77" s="232"/>
      <c r="BA77" s="232"/>
      <c r="BB77" s="232"/>
      <c r="BC77" s="232"/>
      <c r="BD77" s="232"/>
      <c r="BE77" s="232"/>
      <c r="BF77" s="232"/>
    </row>
    <row r="78" spans="1:58" x14ac:dyDescent="0.25">
      <c r="A78" s="196"/>
      <c r="B78" s="211"/>
      <c r="C78" s="211"/>
      <c r="D78" s="197"/>
      <c r="E78" s="197"/>
      <c r="F78" s="222"/>
      <c r="G78" s="222"/>
      <c r="H78" s="222"/>
      <c r="I78" s="222"/>
      <c r="J78" s="222"/>
      <c r="K78" s="222"/>
      <c r="L78" s="223"/>
      <c r="M78" s="223"/>
      <c r="N78" s="224"/>
      <c r="O78" s="224"/>
      <c r="P78" s="224"/>
      <c r="Q78" s="223"/>
      <c r="R78" s="224"/>
      <c r="S78" s="223"/>
      <c r="T78" s="223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44"/>
      <c r="AF78" s="244"/>
      <c r="AG78" s="238"/>
      <c r="AH78" s="238"/>
      <c r="AI78" s="238"/>
      <c r="AJ78" s="238"/>
      <c r="AK78" s="238"/>
      <c r="AL78" s="238"/>
      <c r="AM78" s="238"/>
      <c r="AN78" s="225"/>
      <c r="AO78" s="225"/>
      <c r="AP78" s="225"/>
      <c r="AQ78" s="225"/>
      <c r="AR78" s="225"/>
      <c r="AS78" s="225"/>
      <c r="AT78" s="225"/>
      <c r="AU78" s="225"/>
      <c r="AV78" s="225"/>
      <c r="AW78" s="232"/>
      <c r="AX78" s="232"/>
      <c r="AY78" s="233"/>
      <c r="AZ78" s="232"/>
      <c r="BA78" s="232"/>
      <c r="BB78" s="232"/>
      <c r="BC78" s="232"/>
      <c r="BD78" s="232"/>
      <c r="BE78" s="232"/>
      <c r="BF78" s="232"/>
    </row>
    <row r="79" spans="1:58" x14ac:dyDescent="0.25">
      <c r="A79" s="196"/>
      <c r="B79" s="211"/>
      <c r="C79" s="211"/>
      <c r="D79" s="197"/>
      <c r="E79" s="197"/>
      <c r="F79" s="222"/>
      <c r="G79" s="222"/>
      <c r="H79" s="222"/>
      <c r="I79" s="222"/>
      <c r="J79" s="222"/>
      <c r="K79" s="222"/>
      <c r="L79" s="223"/>
      <c r="M79" s="223"/>
      <c r="N79" s="224"/>
      <c r="O79" s="224"/>
      <c r="P79" s="224"/>
      <c r="Q79" s="223"/>
      <c r="R79" s="224"/>
      <c r="S79" s="223"/>
      <c r="T79" s="223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44"/>
      <c r="AF79" s="244"/>
      <c r="AG79" s="238"/>
      <c r="AH79" s="238"/>
      <c r="AI79" s="238"/>
      <c r="AJ79" s="238"/>
      <c r="AK79" s="238"/>
      <c r="AL79" s="238"/>
      <c r="AM79" s="238"/>
      <c r="AN79" s="225"/>
      <c r="AO79" s="225"/>
      <c r="AP79" s="225"/>
      <c r="AQ79" s="225"/>
      <c r="AR79" s="225"/>
      <c r="AS79" s="225"/>
      <c r="AT79" s="225"/>
      <c r="AU79" s="225"/>
      <c r="AV79" s="225"/>
      <c r="AW79" s="232"/>
      <c r="AX79" s="232"/>
      <c r="AY79" s="233"/>
      <c r="AZ79" s="232"/>
      <c r="BA79" s="232"/>
      <c r="BB79" s="232"/>
      <c r="BC79" s="232"/>
      <c r="BD79" s="232"/>
      <c r="BE79" s="232"/>
      <c r="BF79" s="232"/>
    </row>
    <row r="80" spans="1:58" x14ac:dyDescent="0.25">
      <c r="A80" s="196"/>
      <c r="B80" s="211"/>
      <c r="C80" s="211"/>
      <c r="D80" s="197"/>
      <c r="E80" s="197"/>
      <c r="F80" s="222"/>
      <c r="G80" s="222"/>
      <c r="H80" s="222"/>
      <c r="I80" s="222"/>
      <c r="J80" s="222"/>
      <c r="K80" s="222"/>
      <c r="L80" s="223"/>
      <c r="M80" s="223"/>
      <c r="N80" s="224"/>
      <c r="O80" s="224"/>
      <c r="P80" s="224"/>
      <c r="Q80" s="223"/>
      <c r="R80" s="224"/>
      <c r="S80" s="223"/>
      <c r="T80" s="223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44"/>
      <c r="AF80" s="244"/>
      <c r="AG80" s="238"/>
      <c r="AH80" s="238"/>
      <c r="AI80" s="238"/>
      <c r="AJ80" s="238"/>
      <c r="AK80" s="238"/>
      <c r="AL80" s="238"/>
      <c r="AM80" s="238"/>
      <c r="AN80" s="225"/>
      <c r="AO80" s="225"/>
      <c r="AP80" s="225"/>
      <c r="AQ80" s="225"/>
      <c r="AR80" s="225"/>
      <c r="AS80" s="225"/>
      <c r="AT80" s="225"/>
      <c r="AU80" s="225"/>
      <c r="AV80" s="225"/>
      <c r="AW80" s="232"/>
      <c r="AX80" s="232"/>
      <c r="AY80" s="233"/>
      <c r="AZ80" s="232"/>
      <c r="BA80" s="232"/>
      <c r="BB80" s="232"/>
      <c r="BC80" s="232"/>
      <c r="BD80" s="232"/>
      <c r="BE80" s="232"/>
      <c r="BF80" s="232"/>
    </row>
    <row r="81" spans="1:58" x14ac:dyDescent="0.25">
      <c r="A81" s="196"/>
      <c r="B81" s="211"/>
      <c r="C81" s="211"/>
      <c r="D81" s="197"/>
      <c r="E81" s="197"/>
      <c r="F81" s="222"/>
      <c r="G81" s="222"/>
      <c r="H81" s="222"/>
      <c r="I81" s="222"/>
      <c r="J81" s="222"/>
      <c r="K81" s="222"/>
      <c r="L81" s="223"/>
      <c r="M81" s="223"/>
      <c r="N81" s="224"/>
      <c r="O81" s="224"/>
      <c r="P81" s="224"/>
      <c r="Q81" s="223"/>
      <c r="R81" s="224"/>
      <c r="S81" s="223"/>
      <c r="T81" s="223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44"/>
      <c r="AF81" s="244"/>
      <c r="AG81" s="238"/>
      <c r="AH81" s="238"/>
      <c r="AI81" s="238"/>
      <c r="AJ81" s="238"/>
      <c r="AK81" s="238"/>
      <c r="AL81" s="238"/>
      <c r="AM81" s="238"/>
      <c r="AN81" s="225"/>
      <c r="AO81" s="225"/>
      <c r="AP81" s="225"/>
      <c r="AQ81" s="225"/>
      <c r="AR81" s="225"/>
      <c r="AS81" s="225"/>
      <c r="AT81" s="225"/>
      <c r="AU81" s="225"/>
      <c r="AV81" s="225"/>
      <c r="AW81" s="232"/>
      <c r="AX81" s="232"/>
      <c r="AY81" s="233"/>
      <c r="AZ81" s="232"/>
      <c r="BA81" s="232"/>
      <c r="BB81" s="232"/>
      <c r="BC81" s="232"/>
      <c r="BD81" s="232"/>
      <c r="BE81" s="232"/>
      <c r="BF81" s="232"/>
    </row>
    <row r="82" spans="1:58" x14ac:dyDescent="0.25">
      <c r="A82" s="196"/>
      <c r="B82" s="211"/>
      <c r="C82" s="211"/>
      <c r="D82" s="197"/>
      <c r="E82" s="197"/>
      <c r="F82" s="222"/>
      <c r="G82" s="222"/>
      <c r="H82" s="222"/>
      <c r="I82" s="222"/>
      <c r="J82" s="222"/>
      <c r="K82" s="222"/>
      <c r="L82" s="223"/>
      <c r="M82" s="223"/>
      <c r="N82" s="224"/>
      <c r="O82" s="224"/>
      <c r="P82" s="224"/>
      <c r="Q82" s="223"/>
      <c r="R82" s="224"/>
      <c r="S82" s="223"/>
      <c r="T82" s="223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44"/>
      <c r="AF82" s="244"/>
      <c r="AG82" s="238"/>
      <c r="AH82" s="238"/>
      <c r="AI82" s="238"/>
      <c r="AJ82" s="238"/>
      <c r="AK82" s="238"/>
      <c r="AL82" s="238"/>
      <c r="AM82" s="238"/>
      <c r="AN82" s="225"/>
      <c r="AO82" s="225"/>
      <c r="AP82" s="225"/>
      <c r="AQ82" s="225"/>
      <c r="AR82" s="225"/>
      <c r="AS82" s="225"/>
      <c r="AT82" s="225"/>
      <c r="AU82" s="225"/>
      <c r="AV82" s="225"/>
      <c r="AW82" s="232"/>
      <c r="AX82" s="232"/>
      <c r="AY82" s="233"/>
      <c r="AZ82" s="232"/>
      <c r="BA82" s="232"/>
      <c r="BB82" s="232"/>
      <c r="BC82" s="232"/>
      <c r="BD82" s="232"/>
      <c r="BE82" s="232"/>
      <c r="BF82" s="232"/>
    </row>
    <row r="83" spans="1:58" x14ac:dyDescent="0.25">
      <c r="A83" s="196"/>
      <c r="B83" s="211"/>
      <c r="C83" s="211"/>
      <c r="D83" s="197"/>
      <c r="E83" s="197"/>
      <c r="F83" s="222"/>
      <c r="G83" s="222"/>
      <c r="H83" s="222"/>
      <c r="I83" s="222"/>
      <c r="J83" s="222"/>
      <c r="K83" s="222"/>
      <c r="L83" s="223"/>
      <c r="M83" s="223"/>
      <c r="N83" s="224"/>
      <c r="O83" s="224"/>
      <c r="P83" s="224"/>
      <c r="Q83" s="223"/>
      <c r="R83" s="224"/>
      <c r="S83" s="223"/>
      <c r="T83" s="223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44"/>
      <c r="AF83" s="244"/>
      <c r="AG83" s="238"/>
      <c r="AH83" s="238"/>
      <c r="AI83" s="238"/>
      <c r="AJ83" s="238"/>
      <c r="AK83" s="238"/>
      <c r="AL83" s="238"/>
      <c r="AM83" s="238"/>
      <c r="AN83" s="225"/>
      <c r="AO83" s="225"/>
      <c r="AP83" s="225"/>
      <c r="AQ83" s="225"/>
      <c r="AR83" s="225"/>
      <c r="AS83" s="225"/>
      <c r="AT83" s="225"/>
      <c r="AU83" s="225"/>
      <c r="AV83" s="225"/>
      <c r="AW83" s="232"/>
      <c r="AX83" s="232"/>
      <c r="AY83" s="233"/>
      <c r="AZ83" s="232"/>
      <c r="BA83" s="232"/>
      <c r="BB83" s="232"/>
      <c r="BC83" s="232"/>
      <c r="BD83" s="232"/>
      <c r="BE83" s="232"/>
      <c r="BF83" s="232"/>
    </row>
    <row r="84" spans="1:58" x14ac:dyDescent="0.25">
      <c r="A84" s="196"/>
      <c r="B84" s="211"/>
      <c r="C84" s="211"/>
      <c r="D84" s="197"/>
      <c r="E84" s="197"/>
      <c r="F84" s="222"/>
      <c r="G84" s="222"/>
      <c r="H84" s="222"/>
      <c r="I84" s="222"/>
      <c r="J84" s="222"/>
      <c r="K84" s="222"/>
      <c r="L84" s="223"/>
      <c r="M84" s="223"/>
      <c r="N84" s="224"/>
      <c r="O84" s="224"/>
      <c r="P84" s="224"/>
      <c r="Q84" s="223"/>
      <c r="R84" s="224"/>
      <c r="S84" s="223"/>
      <c r="T84" s="223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44"/>
      <c r="AF84" s="244"/>
      <c r="AG84" s="238"/>
      <c r="AH84" s="238"/>
      <c r="AI84" s="238"/>
      <c r="AJ84" s="238"/>
      <c r="AK84" s="238"/>
      <c r="AL84" s="238"/>
      <c r="AM84" s="238"/>
      <c r="AN84" s="225"/>
      <c r="AO84" s="225"/>
      <c r="AP84" s="225"/>
      <c r="AQ84" s="225"/>
      <c r="AR84" s="225"/>
      <c r="AS84" s="225"/>
      <c r="AT84" s="225"/>
      <c r="AU84" s="225"/>
      <c r="AV84" s="225"/>
      <c r="AW84" s="232"/>
      <c r="AX84" s="232"/>
      <c r="AY84" s="233"/>
      <c r="AZ84" s="232"/>
      <c r="BA84" s="232"/>
      <c r="BB84" s="232"/>
      <c r="BC84" s="232"/>
      <c r="BD84" s="232"/>
      <c r="BE84" s="232"/>
      <c r="BF84" s="232"/>
    </row>
    <row r="85" spans="1:58" x14ac:dyDescent="0.25">
      <c r="A85" s="196"/>
      <c r="B85" s="211"/>
      <c r="C85" s="211"/>
      <c r="D85" s="197"/>
      <c r="E85" s="197"/>
      <c r="F85" s="222"/>
      <c r="G85" s="222"/>
      <c r="H85" s="222"/>
      <c r="I85" s="222"/>
      <c r="J85" s="222"/>
      <c r="K85" s="222"/>
      <c r="L85" s="223"/>
      <c r="M85" s="223"/>
      <c r="N85" s="224"/>
      <c r="O85" s="224"/>
      <c r="P85" s="224"/>
      <c r="Q85" s="223"/>
      <c r="R85" s="224"/>
      <c r="S85" s="223"/>
      <c r="T85" s="223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44"/>
      <c r="AF85" s="244"/>
      <c r="AG85" s="238"/>
      <c r="AH85" s="238"/>
      <c r="AI85" s="238"/>
      <c r="AJ85" s="238"/>
      <c r="AK85" s="238"/>
      <c r="AL85" s="238"/>
      <c r="AM85" s="238"/>
      <c r="AN85" s="225"/>
      <c r="AO85" s="225"/>
      <c r="AP85" s="225"/>
      <c r="AQ85" s="225"/>
      <c r="AR85" s="225"/>
      <c r="AS85" s="225"/>
      <c r="AT85" s="225"/>
      <c r="AU85" s="225"/>
      <c r="AV85" s="225"/>
      <c r="AW85" s="232"/>
      <c r="AX85" s="232"/>
      <c r="AY85" s="233"/>
      <c r="AZ85" s="232"/>
      <c r="BA85" s="232"/>
      <c r="BB85" s="232"/>
      <c r="BC85" s="232"/>
      <c r="BD85" s="232"/>
      <c r="BE85" s="232"/>
      <c r="BF85" s="232"/>
    </row>
    <row r="86" spans="1:58" x14ac:dyDescent="0.25">
      <c r="A86" s="196"/>
      <c r="B86" s="211"/>
      <c r="C86" s="211"/>
      <c r="D86" s="197"/>
      <c r="E86" s="197"/>
      <c r="F86" s="222"/>
      <c r="G86" s="222"/>
      <c r="H86" s="222"/>
      <c r="I86" s="222"/>
      <c r="J86" s="222"/>
      <c r="K86" s="222"/>
      <c r="L86" s="223"/>
      <c r="M86" s="223"/>
      <c r="N86" s="224"/>
      <c r="O86" s="224"/>
      <c r="P86" s="224"/>
      <c r="Q86" s="223"/>
      <c r="R86" s="224"/>
      <c r="S86" s="223"/>
      <c r="T86" s="223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44"/>
      <c r="AF86" s="244"/>
      <c r="AG86" s="238"/>
      <c r="AH86" s="238"/>
      <c r="AI86" s="238"/>
      <c r="AJ86" s="238"/>
      <c r="AK86" s="238"/>
      <c r="AL86" s="238"/>
      <c r="AM86" s="238"/>
      <c r="AN86" s="225"/>
      <c r="AO86" s="225"/>
      <c r="AP86" s="225"/>
      <c r="AQ86" s="225"/>
      <c r="AR86" s="225"/>
      <c r="AS86" s="225"/>
      <c r="AT86" s="225"/>
      <c r="AU86" s="225"/>
      <c r="AV86" s="225"/>
      <c r="AW86" s="232"/>
      <c r="AX86" s="232"/>
      <c r="AY86" s="233"/>
      <c r="AZ86" s="232"/>
      <c r="BA86" s="232"/>
      <c r="BB86" s="232"/>
      <c r="BC86" s="232"/>
      <c r="BD86" s="232"/>
      <c r="BE86" s="232"/>
      <c r="BF86" s="232"/>
    </row>
    <row r="87" spans="1:58" x14ac:dyDescent="0.25">
      <c r="A87" s="196"/>
      <c r="B87" s="211"/>
      <c r="C87" s="211"/>
      <c r="D87" s="197"/>
      <c r="E87" s="197"/>
      <c r="F87" s="222"/>
      <c r="G87" s="222"/>
      <c r="H87" s="222"/>
      <c r="I87" s="222"/>
      <c r="J87" s="222"/>
      <c r="K87" s="222"/>
      <c r="L87" s="223"/>
      <c r="M87" s="223"/>
      <c r="N87" s="224"/>
      <c r="O87" s="224"/>
      <c r="P87" s="224"/>
      <c r="Q87" s="223"/>
      <c r="R87" s="224"/>
      <c r="S87" s="223"/>
      <c r="T87" s="223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44"/>
      <c r="AF87" s="244"/>
      <c r="AG87" s="238"/>
      <c r="AH87" s="238"/>
      <c r="AI87" s="238"/>
      <c r="AJ87" s="238"/>
      <c r="AK87" s="238"/>
      <c r="AL87" s="238"/>
      <c r="AM87" s="238"/>
      <c r="AN87" s="225"/>
      <c r="AO87" s="225"/>
      <c r="AP87" s="225"/>
      <c r="AQ87" s="225"/>
      <c r="AR87" s="225"/>
      <c r="AS87" s="225"/>
      <c r="AT87" s="225"/>
      <c r="AU87" s="225"/>
      <c r="AV87" s="225"/>
      <c r="AW87" s="232"/>
      <c r="AX87" s="232"/>
      <c r="AY87" s="233"/>
      <c r="AZ87" s="232"/>
      <c r="BA87" s="232"/>
      <c r="BB87" s="232"/>
      <c r="BC87" s="232"/>
      <c r="BD87" s="232"/>
      <c r="BE87" s="232"/>
      <c r="BF87" s="232"/>
    </row>
    <row r="88" spans="1:58" x14ac:dyDescent="0.25">
      <c r="A88" s="196"/>
      <c r="B88" s="211"/>
      <c r="C88" s="211"/>
      <c r="D88" s="197"/>
      <c r="E88" s="197"/>
      <c r="F88" s="222"/>
      <c r="G88" s="222"/>
      <c r="H88" s="222"/>
      <c r="I88" s="222"/>
      <c r="J88" s="222"/>
      <c r="K88" s="222"/>
      <c r="L88" s="223"/>
      <c r="M88" s="223"/>
      <c r="N88" s="224"/>
      <c r="O88" s="224"/>
      <c r="P88" s="224"/>
      <c r="Q88" s="223"/>
      <c r="R88" s="224"/>
      <c r="S88" s="223"/>
      <c r="T88" s="223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44"/>
      <c r="AF88" s="244"/>
      <c r="AG88" s="238"/>
      <c r="AH88" s="238"/>
      <c r="AI88" s="238"/>
      <c r="AJ88" s="238"/>
      <c r="AK88" s="238"/>
      <c r="AL88" s="238"/>
      <c r="AM88" s="238"/>
      <c r="AN88" s="225"/>
      <c r="AO88" s="225"/>
      <c r="AP88" s="225"/>
      <c r="AQ88" s="225"/>
      <c r="AR88" s="225"/>
      <c r="AS88" s="225"/>
      <c r="AT88" s="225"/>
      <c r="AU88" s="225"/>
      <c r="AV88" s="225"/>
      <c r="AW88" s="232"/>
      <c r="AX88" s="232"/>
      <c r="AY88" s="233"/>
      <c r="AZ88" s="232"/>
      <c r="BA88" s="232"/>
      <c r="BB88" s="232"/>
      <c r="BC88" s="232"/>
      <c r="BD88" s="232"/>
      <c r="BE88" s="232"/>
      <c r="BF88" s="232"/>
    </row>
    <row r="89" spans="1:58" x14ac:dyDescent="0.25">
      <c r="A89" s="196"/>
      <c r="B89" s="211"/>
      <c r="C89" s="211"/>
      <c r="D89" s="197"/>
      <c r="E89" s="197"/>
      <c r="F89" s="222"/>
      <c r="G89" s="222"/>
      <c r="H89" s="222"/>
      <c r="I89" s="222"/>
      <c r="J89" s="222"/>
      <c r="K89" s="222"/>
      <c r="L89" s="223"/>
      <c r="M89" s="223"/>
      <c r="N89" s="224"/>
      <c r="O89" s="224"/>
      <c r="P89" s="224"/>
      <c r="Q89" s="223"/>
      <c r="R89" s="224"/>
      <c r="S89" s="223"/>
      <c r="T89" s="223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44"/>
      <c r="AF89" s="244"/>
      <c r="AG89" s="238"/>
      <c r="AH89" s="238"/>
      <c r="AI89" s="238"/>
      <c r="AJ89" s="238"/>
      <c r="AK89" s="238"/>
      <c r="AL89" s="238"/>
      <c r="AM89" s="238"/>
      <c r="AN89" s="225"/>
      <c r="AO89" s="225"/>
      <c r="AP89" s="225"/>
      <c r="AQ89" s="225"/>
      <c r="AR89" s="225"/>
      <c r="AS89" s="225"/>
      <c r="AT89" s="225"/>
      <c r="AU89" s="225"/>
      <c r="AV89" s="225"/>
      <c r="AW89" s="232"/>
      <c r="AX89" s="232"/>
      <c r="AY89" s="233"/>
      <c r="AZ89" s="232"/>
      <c r="BA89" s="232"/>
      <c r="BB89" s="232"/>
      <c r="BC89" s="232"/>
      <c r="BD89" s="232"/>
      <c r="BE89" s="232"/>
      <c r="BF89" s="232"/>
    </row>
    <row r="90" spans="1:58" x14ac:dyDescent="0.25">
      <c r="A90" s="196"/>
      <c r="B90" s="211"/>
      <c r="C90" s="211"/>
      <c r="D90" s="197"/>
      <c r="E90" s="197"/>
      <c r="F90" s="222"/>
      <c r="G90" s="222"/>
      <c r="H90" s="222"/>
      <c r="I90" s="222"/>
      <c r="J90" s="222"/>
      <c r="K90" s="222"/>
      <c r="L90" s="223"/>
      <c r="M90" s="223"/>
      <c r="N90" s="224"/>
      <c r="O90" s="224"/>
      <c r="P90" s="224"/>
      <c r="Q90" s="223"/>
      <c r="R90" s="224"/>
      <c r="S90" s="223"/>
      <c r="T90" s="223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44"/>
      <c r="AF90" s="244"/>
      <c r="AG90" s="238"/>
      <c r="AH90" s="238"/>
      <c r="AI90" s="238"/>
      <c r="AJ90" s="238"/>
      <c r="AK90" s="238"/>
      <c r="AL90" s="238"/>
      <c r="AM90" s="238"/>
      <c r="AN90" s="225"/>
      <c r="AO90" s="225"/>
      <c r="AP90" s="225"/>
      <c r="AQ90" s="225"/>
      <c r="AR90" s="225"/>
      <c r="AS90" s="225"/>
      <c r="AT90" s="225"/>
      <c r="AU90" s="225"/>
      <c r="AV90" s="225"/>
      <c r="AW90" s="232"/>
      <c r="AX90" s="232"/>
      <c r="AY90" s="233"/>
      <c r="AZ90" s="232"/>
      <c r="BA90" s="232"/>
      <c r="BB90" s="232"/>
      <c r="BC90" s="232"/>
      <c r="BD90" s="232"/>
      <c r="BE90" s="232"/>
      <c r="BF90" s="232"/>
    </row>
    <row r="91" spans="1:58" x14ac:dyDescent="0.25">
      <c r="A91" s="196"/>
      <c r="B91" s="211"/>
      <c r="C91" s="211"/>
      <c r="D91" s="197"/>
      <c r="E91" s="197"/>
      <c r="F91" s="222"/>
      <c r="G91" s="222"/>
      <c r="H91" s="222"/>
      <c r="I91" s="222"/>
      <c r="J91" s="222"/>
      <c r="K91" s="222"/>
      <c r="L91" s="223"/>
      <c r="M91" s="223"/>
      <c r="N91" s="224"/>
      <c r="O91" s="224"/>
      <c r="P91" s="224"/>
      <c r="Q91" s="223"/>
      <c r="R91" s="224"/>
      <c r="S91" s="223"/>
      <c r="T91" s="223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44"/>
      <c r="AF91" s="244"/>
      <c r="AG91" s="238"/>
      <c r="AH91" s="238"/>
      <c r="AI91" s="238"/>
      <c r="AJ91" s="238"/>
      <c r="AK91" s="238"/>
      <c r="AL91" s="238"/>
      <c r="AM91" s="238"/>
      <c r="AN91" s="225"/>
      <c r="AO91" s="225"/>
      <c r="AP91" s="225"/>
      <c r="AQ91" s="225"/>
      <c r="AR91" s="225"/>
      <c r="AS91" s="225"/>
      <c r="AT91" s="225"/>
      <c r="AU91" s="225"/>
      <c r="AV91" s="225"/>
      <c r="AW91" s="232"/>
      <c r="AX91" s="232"/>
      <c r="AY91" s="233"/>
      <c r="AZ91" s="232"/>
      <c r="BA91" s="232"/>
      <c r="BB91" s="232"/>
      <c r="BC91" s="232"/>
      <c r="BD91" s="232"/>
      <c r="BE91" s="232"/>
      <c r="BF91" s="232"/>
    </row>
    <row r="92" spans="1:58" x14ac:dyDescent="0.25">
      <c r="A92" s="196"/>
      <c r="B92" s="211"/>
      <c r="C92" s="211"/>
      <c r="D92" s="197"/>
      <c r="E92" s="197"/>
      <c r="F92" s="222"/>
      <c r="G92" s="222"/>
      <c r="H92" s="222"/>
      <c r="I92" s="222"/>
      <c r="J92" s="222"/>
      <c r="K92" s="222"/>
      <c r="L92" s="223"/>
      <c r="M92" s="223"/>
      <c r="N92" s="224"/>
      <c r="O92" s="224"/>
      <c r="P92" s="224"/>
      <c r="Q92" s="223"/>
      <c r="R92" s="224"/>
      <c r="S92" s="223"/>
      <c r="T92" s="223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44"/>
      <c r="AF92" s="244"/>
      <c r="AG92" s="238"/>
      <c r="AH92" s="238"/>
      <c r="AI92" s="238"/>
      <c r="AJ92" s="238"/>
      <c r="AK92" s="238"/>
      <c r="AL92" s="238"/>
      <c r="AM92" s="238"/>
      <c r="AN92" s="225"/>
      <c r="AO92" s="225"/>
      <c r="AP92" s="225"/>
      <c r="AQ92" s="225"/>
      <c r="AR92" s="225"/>
      <c r="AS92" s="225"/>
      <c r="AT92" s="225"/>
      <c r="AU92" s="225"/>
      <c r="AV92" s="225"/>
      <c r="AW92" s="232"/>
      <c r="AX92" s="232"/>
      <c r="AY92" s="233"/>
      <c r="AZ92" s="232"/>
      <c r="BA92" s="232"/>
      <c r="BB92" s="232"/>
      <c r="BC92" s="232"/>
      <c r="BD92" s="232"/>
      <c r="BE92" s="232"/>
      <c r="BF92" s="232"/>
    </row>
    <row r="93" spans="1:58" x14ac:dyDescent="0.25">
      <c r="A93" s="196"/>
      <c r="B93" s="211"/>
      <c r="C93" s="211"/>
      <c r="D93" s="197"/>
      <c r="E93" s="197"/>
      <c r="F93" s="222"/>
      <c r="G93" s="222"/>
      <c r="H93" s="222"/>
      <c r="I93" s="222"/>
      <c r="J93" s="222"/>
      <c r="K93" s="222"/>
      <c r="L93" s="223"/>
      <c r="M93" s="223"/>
      <c r="N93" s="224"/>
      <c r="O93" s="224"/>
      <c r="P93" s="224"/>
      <c r="Q93" s="223"/>
      <c r="R93" s="224"/>
      <c r="S93" s="223"/>
      <c r="T93" s="223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44"/>
      <c r="AF93" s="244"/>
      <c r="AG93" s="238"/>
      <c r="AH93" s="238"/>
      <c r="AI93" s="238"/>
      <c r="AJ93" s="238"/>
      <c r="AK93" s="238"/>
      <c r="AL93" s="238"/>
      <c r="AM93" s="238"/>
      <c r="AN93" s="225"/>
      <c r="AO93" s="225"/>
      <c r="AP93" s="225"/>
      <c r="AQ93" s="225"/>
      <c r="AR93" s="225"/>
      <c r="AS93" s="225"/>
      <c r="AT93" s="225"/>
      <c r="AU93" s="225"/>
      <c r="AV93" s="225"/>
      <c r="AW93" s="232"/>
      <c r="AX93" s="232"/>
      <c r="AY93" s="233"/>
      <c r="AZ93" s="232"/>
      <c r="BA93" s="232"/>
      <c r="BB93" s="232"/>
      <c r="BC93" s="232"/>
      <c r="BD93" s="232"/>
      <c r="BE93" s="232"/>
      <c r="BF93" s="232"/>
    </row>
    <row r="94" spans="1:58" x14ac:dyDescent="0.25">
      <c r="A94" s="196"/>
      <c r="B94" s="211"/>
      <c r="C94" s="211"/>
      <c r="D94" s="197"/>
      <c r="E94" s="197"/>
      <c r="F94" s="222"/>
      <c r="G94" s="222"/>
      <c r="H94" s="222"/>
      <c r="I94" s="222"/>
      <c r="J94" s="222"/>
      <c r="K94" s="222"/>
      <c r="L94" s="223"/>
      <c r="M94" s="223"/>
      <c r="N94" s="224"/>
      <c r="O94" s="224"/>
      <c r="P94" s="224"/>
      <c r="Q94" s="223"/>
      <c r="R94" s="224"/>
      <c r="S94" s="223"/>
      <c r="T94" s="223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44"/>
      <c r="AF94" s="244"/>
      <c r="AG94" s="238"/>
      <c r="AH94" s="238"/>
      <c r="AI94" s="238"/>
      <c r="AJ94" s="238"/>
      <c r="AK94" s="238"/>
      <c r="AL94" s="238"/>
      <c r="AM94" s="238"/>
      <c r="AN94" s="225"/>
      <c r="AO94" s="225"/>
      <c r="AP94" s="225"/>
      <c r="AQ94" s="225"/>
      <c r="AR94" s="225"/>
      <c r="AS94" s="225"/>
      <c r="AT94" s="225"/>
      <c r="AU94" s="225"/>
      <c r="AV94" s="225"/>
      <c r="AW94" s="232"/>
      <c r="AX94" s="232"/>
      <c r="AY94" s="233"/>
      <c r="AZ94" s="232"/>
      <c r="BA94" s="232"/>
      <c r="BB94" s="232"/>
      <c r="BC94" s="232"/>
      <c r="BD94" s="232"/>
      <c r="BE94" s="232"/>
      <c r="BF94" s="232"/>
    </row>
    <row r="95" spans="1:58" x14ac:dyDescent="0.25">
      <c r="A95" s="196"/>
      <c r="B95" s="211"/>
      <c r="C95" s="211"/>
      <c r="D95" s="197"/>
      <c r="E95" s="197"/>
      <c r="F95" s="222"/>
      <c r="G95" s="222"/>
      <c r="H95" s="222"/>
      <c r="I95" s="222"/>
      <c r="J95" s="222"/>
      <c r="K95" s="222"/>
      <c r="L95" s="223"/>
      <c r="M95" s="223"/>
      <c r="N95" s="224"/>
      <c r="O95" s="224"/>
      <c r="P95" s="224"/>
      <c r="Q95" s="223"/>
      <c r="R95" s="224"/>
      <c r="S95" s="223"/>
      <c r="T95" s="223"/>
      <c r="U95" s="225"/>
      <c r="V95" s="225"/>
      <c r="W95" s="225"/>
      <c r="X95" s="225"/>
      <c r="Y95" s="225"/>
      <c r="Z95" s="225"/>
      <c r="AA95" s="225"/>
      <c r="AB95" s="225"/>
      <c r="AC95" s="225"/>
      <c r="AD95" s="225"/>
      <c r="AE95" s="244"/>
      <c r="AF95" s="244"/>
      <c r="AG95" s="238"/>
      <c r="AH95" s="238"/>
      <c r="AI95" s="238"/>
      <c r="AJ95" s="238"/>
      <c r="AK95" s="238"/>
      <c r="AL95" s="238"/>
      <c r="AM95" s="238"/>
      <c r="AN95" s="225"/>
      <c r="AO95" s="225"/>
      <c r="AP95" s="225"/>
      <c r="AQ95" s="225"/>
      <c r="AR95" s="225"/>
      <c r="AS95" s="225"/>
      <c r="AT95" s="225"/>
      <c r="AU95" s="225"/>
      <c r="AV95" s="225"/>
      <c r="AW95" s="232"/>
      <c r="AX95" s="232"/>
      <c r="AY95" s="233"/>
      <c r="AZ95" s="232"/>
      <c r="BA95" s="232"/>
      <c r="BB95" s="232"/>
      <c r="BC95" s="232"/>
      <c r="BD95" s="232"/>
      <c r="BE95" s="232"/>
      <c r="BF95" s="232"/>
    </row>
    <row r="96" spans="1:58" x14ac:dyDescent="0.25">
      <c r="A96" s="196"/>
      <c r="B96" s="211"/>
      <c r="C96" s="211"/>
      <c r="D96" s="197"/>
      <c r="E96" s="197"/>
      <c r="F96" s="222"/>
      <c r="G96" s="222"/>
      <c r="H96" s="222"/>
      <c r="I96" s="222"/>
      <c r="J96" s="222"/>
      <c r="K96" s="222"/>
      <c r="L96" s="223"/>
      <c r="M96" s="223"/>
      <c r="N96" s="224"/>
      <c r="O96" s="224"/>
      <c r="P96" s="224"/>
      <c r="Q96" s="223"/>
      <c r="R96" s="224"/>
      <c r="S96" s="223"/>
      <c r="T96" s="223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44"/>
      <c r="AF96" s="244"/>
      <c r="AG96" s="238"/>
      <c r="AH96" s="238"/>
      <c r="AI96" s="238"/>
      <c r="AJ96" s="238"/>
      <c r="AK96" s="238"/>
      <c r="AL96" s="238"/>
      <c r="AM96" s="238"/>
      <c r="AN96" s="225"/>
      <c r="AO96" s="225"/>
      <c r="AP96" s="225"/>
      <c r="AQ96" s="225"/>
      <c r="AR96" s="225"/>
      <c r="AS96" s="225"/>
      <c r="AT96" s="225"/>
      <c r="AU96" s="225"/>
      <c r="AV96" s="225"/>
      <c r="AW96" s="232"/>
      <c r="AX96" s="232"/>
      <c r="AY96" s="233"/>
      <c r="AZ96" s="232"/>
      <c r="BA96" s="232"/>
      <c r="BB96" s="232"/>
      <c r="BC96" s="232"/>
      <c r="BD96" s="232"/>
      <c r="BE96" s="232"/>
      <c r="BF96" s="232"/>
    </row>
    <row r="97" spans="1:58" x14ac:dyDescent="0.25">
      <c r="A97" s="196"/>
      <c r="B97" s="211"/>
      <c r="C97" s="211"/>
      <c r="D97" s="197"/>
      <c r="E97" s="197"/>
      <c r="F97" s="222"/>
      <c r="G97" s="222"/>
      <c r="H97" s="222"/>
      <c r="I97" s="222"/>
      <c r="J97" s="222"/>
      <c r="K97" s="222"/>
      <c r="L97" s="223"/>
      <c r="M97" s="223"/>
      <c r="N97" s="224"/>
      <c r="O97" s="224"/>
      <c r="P97" s="224"/>
      <c r="Q97" s="223"/>
      <c r="R97" s="224"/>
      <c r="S97" s="223"/>
      <c r="T97" s="223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44"/>
      <c r="AF97" s="244"/>
      <c r="AG97" s="238"/>
      <c r="AH97" s="238"/>
      <c r="AI97" s="238"/>
      <c r="AJ97" s="238"/>
      <c r="AK97" s="238"/>
      <c r="AL97" s="238"/>
      <c r="AM97" s="238"/>
      <c r="AN97" s="225"/>
      <c r="AO97" s="225"/>
      <c r="AP97" s="225"/>
      <c r="AQ97" s="225"/>
      <c r="AR97" s="225"/>
      <c r="AS97" s="225"/>
      <c r="AT97" s="225"/>
      <c r="AU97" s="225"/>
      <c r="AV97" s="225"/>
      <c r="AW97" s="232"/>
      <c r="AX97" s="232"/>
      <c r="AY97" s="233"/>
      <c r="AZ97" s="232"/>
      <c r="BA97" s="232"/>
      <c r="BB97" s="232"/>
      <c r="BC97" s="232"/>
      <c r="BD97" s="232"/>
      <c r="BE97" s="232"/>
      <c r="BF97" s="232"/>
    </row>
    <row r="98" spans="1:58" x14ac:dyDescent="0.25">
      <c r="A98" s="196"/>
      <c r="B98" s="211"/>
      <c r="C98" s="211"/>
      <c r="D98" s="197"/>
      <c r="E98" s="197"/>
      <c r="F98" s="222"/>
      <c r="G98" s="222"/>
      <c r="H98" s="222"/>
      <c r="I98" s="222"/>
      <c r="J98" s="222"/>
      <c r="K98" s="222"/>
      <c r="L98" s="223"/>
      <c r="M98" s="223"/>
      <c r="N98" s="224"/>
      <c r="O98" s="224"/>
      <c r="P98" s="224"/>
      <c r="Q98" s="223"/>
      <c r="R98" s="224"/>
      <c r="S98" s="223"/>
      <c r="T98" s="223"/>
      <c r="U98" s="225"/>
      <c r="V98" s="225"/>
      <c r="W98" s="225"/>
      <c r="X98" s="225"/>
      <c r="Y98" s="225"/>
      <c r="Z98" s="225"/>
      <c r="AA98" s="225"/>
      <c r="AB98" s="225"/>
      <c r="AC98" s="225"/>
      <c r="AD98" s="225"/>
      <c r="AE98" s="244"/>
      <c r="AF98" s="244"/>
      <c r="AG98" s="238"/>
      <c r="AH98" s="238"/>
      <c r="AI98" s="238"/>
      <c r="AJ98" s="238"/>
      <c r="AK98" s="238"/>
      <c r="AL98" s="238"/>
      <c r="AM98" s="238"/>
      <c r="AN98" s="225"/>
      <c r="AO98" s="225"/>
      <c r="AP98" s="225"/>
      <c r="AQ98" s="225"/>
      <c r="AR98" s="225"/>
      <c r="AS98" s="225"/>
      <c r="AT98" s="225"/>
      <c r="AU98" s="225"/>
      <c r="AV98" s="225"/>
      <c r="AW98" s="232"/>
      <c r="AX98" s="232"/>
      <c r="AY98" s="233"/>
      <c r="AZ98" s="232"/>
      <c r="BA98" s="232"/>
      <c r="BB98" s="232"/>
      <c r="BC98" s="232"/>
      <c r="BD98" s="232"/>
      <c r="BE98" s="232"/>
      <c r="BF98" s="232"/>
    </row>
    <row r="99" spans="1:58" x14ac:dyDescent="0.25">
      <c r="A99" s="196"/>
      <c r="B99" s="211"/>
      <c r="C99" s="211"/>
      <c r="D99" s="197"/>
      <c r="E99" s="197"/>
      <c r="F99" s="222"/>
      <c r="G99" s="222"/>
      <c r="H99" s="222"/>
      <c r="I99" s="222"/>
      <c r="J99" s="222"/>
      <c r="K99" s="222"/>
      <c r="L99" s="223"/>
      <c r="M99" s="223"/>
      <c r="N99" s="224"/>
      <c r="O99" s="224"/>
      <c r="P99" s="224"/>
      <c r="Q99" s="223"/>
      <c r="R99" s="224"/>
      <c r="S99" s="223"/>
      <c r="T99" s="223"/>
      <c r="U99" s="225"/>
      <c r="V99" s="225"/>
      <c r="W99" s="225"/>
      <c r="X99" s="225"/>
      <c r="Y99" s="225"/>
      <c r="Z99" s="225"/>
      <c r="AA99" s="225"/>
      <c r="AB99" s="225"/>
      <c r="AC99" s="225"/>
      <c r="AD99" s="225"/>
      <c r="AE99" s="244"/>
      <c r="AF99" s="244"/>
      <c r="AG99" s="238"/>
      <c r="AH99" s="238"/>
      <c r="AI99" s="238"/>
      <c r="AJ99" s="238"/>
      <c r="AK99" s="238"/>
      <c r="AL99" s="238"/>
      <c r="AM99" s="238"/>
      <c r="AN99" s="225"/>
      <c r="AO99" s="225"/>
      <c r="AP99" s="225"/>
      <c r="AQ99" s="225"/>
      <c r="AR99" s="225"/>
      <c r="AS99" s="225"/>
      <c r="AT99" s="225"/>
      <c r="AU99" s="225"/>
      <c r="AV99" s="225"/>
      <c r="AW99" s="232"/>
      <c r="AX99" s="232"/>
      <c r="AY99" s="233"/>
      <c r="AZ99" s="232"/>
      <c r="BA99" s="232"/>
      <c r="BB99" s="232"/>
      <c r="BC99" s="232"/>
      <c r="BD99" s="232"/>
      <c r="BE99" s="232"/>
      <c r="BF99" s="232"/>
    </row>
    <row r="100" spans="1:58" x14ac:dyDescent="0.25">
      <c r="A100" s="196"/>
      <c r="B100" s="211"/>
      <c r="C100" s="211"/>
      <c r="D100" s="197"/>
      <c r="E100" s="197"/>
      <c r="F100" s="222"/>
      <c r="G100" s="222"/>
      <c r="H100" s="222"/>
      <c r="I100" s="222"/>
      <c r="J100" s="222"/>
      <c r="K100" s="222"/>
      <c r="L100" s="223"/>
      <c r="M100" s="223"/>
      <c r="N100" s="224"/>
      <c r="O100" s="224"/>
      <c r="P100" s="224"/>
      <c r="Q100" s="223"/>
      <c r="R100" s="224"/>
      <c r="S100" s="223"/>
      <c r="T100" s="223"/>
      <c r="U100" s="225"/>
      <c r="V100" s="225"/>
      <c r="W100" s="225"/>
      <c r="X100" s="225"/>
      <c r="Y100" s="225"/>
      <c r="Z100" s="225"/>
      <c r="AA100" s="225"/>
      <c r="AB100" s="225"/>
      <c r="AC100" s="225"/>
      <c r="AD100" s="225"/>
      <c r="AE100" s="244"/>
      <c r="AF100" s="244"/>
      <c r="AG100" s="238"/>
      <c r="AH100" s="238"/>
      <c r="AI100" s="238"/>
      <c r="AJ100" s="238"/>
      <c r="AK100" s="238"/>
      <c r="AL100" s="238"/>
      <c r="AM100" s="238"/>
      <c r="AN100" s="225"/>
      <c r="AO100" s="225"/>
      <c r="AP100" s="225"/>
      <c r="AQ100" s="225"/>
      <c r="AR100" s="225"/>
      <c r="AS100" s="225"/>
      <c r="AT100" s="225"/>
      <c r="AU100" s="225"/>
      <c r="AV100" s="225"/>
      <c r="AW100" s="232"/>
      <c r="AX100" s="232"/>
      <c r="AY100" s="233"/>
      <c r="AZ100" s="232"/>
      <c r="BA100" s="232"/>
      <c r="BB100" s="232"/>
      <c r="BC100" s="232"/>
      <c r="BD100" s="232"/>
      <c r="BE100" s="232"/>
      <c r="BF100" s="232"/>
    </row>
    <row r="101" spans="1:58" x14ac:dyDescent="0.25">
      <c r="A101" s="196"/>
      <c r="B101" s="211"/>
      <c r="C101" s="211"/>
      <c r="D101" s="197"/>
      <c r="E101" s="197"/>
      <c r="F101" s="222"/>
      <c r="G101" s="222"/>
      <c r="H101" s="222"/>
      <c r="I101" s="222"/>
      <c r="J101" s="222"/>
      <c r="K101" s="222"/>
      <c r="L101" s="223"/>
      <c r="M101" s="223"/>
      <c r="N101" s="224"/>
      <c r="O101" s="224"/>
      <c r="P101" s="224"/>
      <c r="Q101" s="223"/>
      <c r="R101" s="224"/>
      <c r="S101" s="223"/>
      <c r="T101" s="223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44"/>
      <c r="AF101" s="244"/>
      <c r="AG101" s="238"/>
      <c r="AH101" s="238"/>
      <c r="AI101" s="238"/>
      <c r="AJ101" s="238"/>
      <c r="AK101" s="238"/>
      <c r="AL101" s="238"/>
      <c r="AM101" s="238"/>
      <c r="AN101" s="225"/>
      <c r="AO101" s="225"/>
      <c r="AP101" s="225"/>
      <c r="AQ101" s="225"/>
      <c r="AR101" s="225"/>
      <c r="AS101" s="225"/>
      <c r="AT101" s="225"/>
      <c r="AU101" s="225"/>
      <c r="AV101" s="225"/>
      <c r="AW101" s="232"/>
      <c r="AX101" s="232"/>
      <c r="AY101" s="233"/>
      <c r="AZ101" s="232"/>
      <c r="BA101" s="232"/>
      <c r="BB101" s="232"/>
      <c r="BC101" s="232"/>
      <c r="BD101" s="232"/>
      <c r="BE101" s="232"/>
      <c r="BF101" s="232"/>
    </row>
    <row r="102" spans="1:58" x14ac:dyDescent="0.25">
      <c r="A102" s="196"/>
      <c r="B102" s="211"/>
      <c r="C102" s="211"/>
      <c r="D102" s="197"/>
      <c r="E102" s="197"/>
      <c r="F102" s="222"/>
      <c r="G102" s="222"/>
      <c r="H102" s="222"/>
      <c r="I102" s="222"/>
      <c r="J102" s="222"/>
      <c r="K102" s="222"/>
      <c r="L102" s="223"/>
      <c r="M102" s="223"/>
      <c r="N102" s="224"/>
      <c r="O102" s="224"/>
      <c r="P102" s="224"/>
      <c r="Q102" s="223"/>
      <c r="R102" s="224"/>
      <c r="S102" s="223"/>
      <c r="T102" s="223"/>
      <c r="U102" s="225"/>
      <c r="V102" s="225"/>
      <c r="W102" s="225"/>
      <c r="X102" s="225"/>
      <c r="Y102" s="225"/>
      <c r="Z102" s="225"/>
      <c r="AA102" s="225"/>
      <c r="AB102" s="225"/>
      <c r="AC102" s="222"/>
      <c r="AD102" s="225"/>
      <c r="AE102" s="244"/>
      <c r="AF102" s="244"/>
      <c r="AG102" s="238"/>
      <c r="AH102" s="238"/>
      <c r="AI102" s="238"/>
      <c r="AJ102" s="238"/>
      <c r="AK102" s="238"/>
      <c r="AL102" s="238"/>
      <c r="AM102" s="238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32"/>
      <c r="AX102" s="232"/>
      <c r="AY102" s="233"/>
      <c r="AZ102" s="232"/>
      <c r="BA102" s="232"/>
      <c r="BB102" s="232"/>
      <c r="BC102" s="232"/>
      <c r="BD102" s="232"/>
      <c r="BE102" s="232"/>
      <c r="BF102" s="232"/>
    </row>
    <row r="103" spans="1:58" x14ac:dyDescent="0.25">
      <c r="A103" s="196"/>
      <c r="B103" s="211"/>
      <c r="C103" s="211"/>
      <c r="D103" s="197"/>
      <c r="E103" s="197"/>
      <c r="F103" s="222"/>
      <c r="G103" s="222"/>
      <c r="H103" s="222"/>
      <c r="I103" s="222"/>
      <c r="J103" s="222"/>
      <c r="K103" s="222"/>
      <c r="L103" s="223"/>
      <c r="M103" s="223"/>
      <c r="N103" s="224"/>
      <c r="O103" s="224"/>
      <c r="P103" s="224"/>
      <c r="Q103" s="223"/>
      <c r="R103" s="224"/>
      <c r="S103" s="223"/>
      <c r="T103" s="223"/>
      <c r="U103" s="225"/>
      <c r="V103" s="225"/>
      <c r="W103" s="225"/>
      <c r="X103" s="225"/>
      <c r="Y103" s="225"/>
      <c r="Z103" s="225"/>
      <c r="AA103" s="225"/>
      <c r="AB103" s="225"/>
      <c r="AC103" s="222"/>
      <c r="AD103" s="225"/>
      <c r="AE103" s="244"/>
      <c r="AF103" s="244"/>
      <c r="AG103" s="238"/>
      <c r="AH103" s="238"/>
      <c r="AI103" s="238"/>
      <c r="AJ103" s="238"/>
      <c r="AK103" s="238"/>
      <c r="AL103" s="238"/>
      <c r="AM103" s="238"/>
      <c r="AN103" s="225"/>
      <c r="AO103" s="225"/>
      <c r="AP103" s="225"/>
      <c r="AQ103" s="225"/>
      <c r="AR103" s="225"/>
      <c r="AS103" s="225"/>
      <c r="AT103" s="225"/>
      <c r="AU103" s="225"/>
      <c r="AV103" s="225"/>
      <c r="AW103" s="232"/>
      <c r="AX103" s="232"/>
      <c r="AY103" s="233"/>
      <c r="AZ103" s="232"/>
      <c r="BA103" s="232"/>
      <c r="BB103" s="232"/>
      <c r="BC103" s="232"/>
      <c r="BD103" s="232"/>
      <c r="BE103" s="232"/>
      <c r="BF103" s="232"/>
    </row>
    <row r="104" spans="1:58" x14ac:dyDescent="0.25">
      <c r="A104" s="196"/>
      <c r="B104" s="211"/>
      <c r="C104" s="211"/>
      <c r="D104" s="197"/>
      <c r="E104" s="197"/>
      <c r="F104" s="222"/>
      <c r="G104" s="222"/>
      <c r="H104" s="222"/>
      <c r="I104" s="222"/>
      <c r="J104" s="222"/>
      <c r="K104" s="222"/>
      <c r="L104" s="223"/>
      <c r="M104" s="223"/>
      <c r="N104" s="224"/>
      <c r="O104" s="224"/>
      <c r="P104" s="224"/>
      <c r="Q104" s="223"/>
      <c r="R104" s="224"/>
      <c r="S104" s="223"/>
      <c r="T104" s="223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44"/>
      <c r="AF104" s="244"/>
      <c r="AG104" s="238"/>
      <c r="AH104" s="238"/>
      <c r="AI104" s="238"/>
      <c r="AJ104" s="238"/>
      <c r="AK104" s="238"/>
      <c r="AL104" s="238"/>
      <c r="AM104" s="238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32"/>
      <c r="AX104" s="232"/>
      <c r="AY104" s="233"/>
      <c r="AZ104" s="232"/>
      <c r="BA104" s="232"/>
      <c r="BB104" s="232"/>
      <c r="BC104" s="232"/>
      <c r="BD104" s="232"/>
      <c r="BE104" s="232"/>
      <c r="BF104" s="232"/>
    </row>
    <row r="105" spans="1:58" x14ac:dyDescent="0.25">
      <c r="A105" s="196"/>
      <c r="B105" s="211"/>
      <c r="C105" s="211"/>
      <c r="D105" s="197"/>
      <c r="E105" s="197"/>
      <c r="F105" s="222"/>
      <c r="G105" s="222"/>
      <c r="H105" s="222"/>
      <c r="I105" s="222"/>
      <c r="J105" s="222"/>
      <c r="K105" s="222"/>
      <c r="L105" s="223"/>
      <c r="M105" s="223"/>
      <c r="N105" s="224"/>
      <c r="O105" s="224"/>
      <c r="P105" s="224"/>
      <c r="Q105" s="223"/>
      <c r="R105" s="224"/>
      <c r="S105" s="223"/>
      <c r="T105" s="223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44"/>
      <c r="AF105" s="244"/>
      <c r="AG105" s="238"/>
      <c r="AH105" s="238"/>
      <c r="AI105" s="238"/>
      <c r="AJ105" s="238"/>
      <c r="AK105" s="238"/>
      <c r="AL105" s="238"/>
      <c r="AM105" s="238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32"/>
      <c r="AX105" s="232"/>
      <c r="AY105" s="233"/>
      <c r="AZ105" s="232"/>
      <c r="BA105" s="232"/>
      <c r="BB105" s="232"/>
      <c r="BC105" s="232"/>
      <c r="BD105" s="232"/>
      <c r="BE105" s="232"/>
      <c r="BF105" s="232"/>
    </row>
    <row r="106" spans="1:58" x14ac:dyDescent="0.25">
      <c r="A106" s="196"/>
      <c r="B106" s="211"/>
      <c r="C106" s="211"/>
      <c r="D106" s="197"/>
      <c r="E106" s="197"/>
      <c r="F106" s="222"/>
      <c r="G106" s="222"/>
      <c r="H106" s="222"/>
      <c r="I106" s="222"/>
      <c r="J106" s="222"/>
      <c r="K106" s="222"/>
      <c r="L106" s="223"/>
      <c r="M106" s="223"/>
      <c r="N106" s="224"/>
      <c r="O106" s="224"/>
      <c r="P106" s="224"/>
      <c r="Q106" s="223"/>
      <c r="R106" s="224"/>
      <c r="S106" s="223"/>
      <c r="T106" s="223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44"/>
      <c r="AF106" s="244"/>
      <c r="AG106" s="238"/>
      <c r="AH106" s="238"/>
      <c r="AI106" s="238"/>
      <c r="AJ106" s="238"/>
      <c r="AK106" s="238"/>
      <c r="AL106" s="238"/>
      <c r="AM106" s="238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32"/>
      <c r="AX106" s="232"/>
      <c r="AY106" s="233"/>
      <c r="AZ106" s="232"/>
      <c r="BA106" s="232"/>
      <c r="BB106" s="232"/>
      <c r="BC106" s="232"/>
      <c r="BD106" s="232"/>
      <c r="BE106" s="232"/>
      <c r="BF106" s="232"/>
    </row>
    <row r="107" spans="1:58" x14ac:dyDescent="0.25">
      <c r="A107" s="196"/>
      <c r="B107" s="211"/>
      <c r="C107" s="211"/>
      <c r="D107" s="197"/>
      <c r="E107" s="197"/>
      <c r="F107" s="222"/>
      <c r="G107" s="222"/>
      <c r="H107" s="222"/>
      <c r="I107" s="222"/>
      <c r="J107" s="222"/>
      <c r="K107" s="222"/>
      <c r="L107" s="223"/>
      <c r="M107" s="223"/>
      <c r="N107" s="224"/>
      <c r="O107" s="224"/>
      <c r="P107" s="224"/>
      <c r="Q107" s="223"/>
      <c r="R107" s="224"/>
      <c r="S107" s="223"/>
      <c r="T107" s="223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44"/>
      <c r="AF107" s="244"/>
      <c r="AG107" s="238"/>
      <c r="AH107" s="238"/>
      <c r="AI107" s="238"/>
      <c r="AJ107" s="238"/>
      <c r="AK107" s="238"/>
      <c r="AL107" s="238"/>
      <c r="AM107" s="238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32"/>
      <c r="AX107" s="232"/>
      <c r="AY107" s="233"/>
      <c r="AZ107" s="232"/>
      <c r="BA107" s="232"/>
      <c r="BB107" s="232"/>
      <c r="BC107" s="232"/>
      <c r="BD107" s="232"/>
      <c r="BE107" s="232"/>
      <c r="BF107" s="232"/>
    </row>
    <row r="108" spans="1:58" x14ac:dyDescent="0.25">
      <c r="A108" s="196"/>
      <c r="B108" s="211"/>
      <c r="C108" s="211"/>
      <c r="D108" s="197"/>
      <c r="E108" s="197"/>
      <c r="F108" s="222"/>
      <c r="G108" s="222"/>
      <c r="H108" s="222"/>
      <c r="I108" s="222"/>
      <c r="J108" s="222"/>
      <c r="K108" s="222"/>
      <c r="L108" s="223"/>
      <c r="M108" s="223"/>
      <c r="N108" s="224"/>
      <c r="O108" s="224"/>
      <c r="P108" s="224"/>
      <c r="Q108" s="223"/>
      <c r="R108" s="224"/>
      <c r="S108" s="223"/>
      <c r="T108" s="223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44"/>
      <c r="AF108" s="244"/>
      <c r="AG108" s="238"/>
      <c r="AH108" s="238"/>
      <c r="AI108" s="238"/>
      <c r="AJ108" s="238"/>
      <c r="AK108" s="238"/>
      <c r="AL108" s="238"/>
      <c r="AM108" s="238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32"/>
      <c r="AX108" s="232"/>
      <c r="AY108" s="233"/>
      <c r="AZ108" s="232"/>
      <c r="BA108" s="232"/>
      <c r="BB108" s="232"/>
      <c r="BC108" s="232"/>
      <c r="BD108" s="232"/>
      <c r="BE108" s="232"/>
      <c r="BF108" s="232"/>
    </row>
    <row r="109" spans="1:58" x14ac:dyDescent="0.25">
      <c r="A109" s="196"/>
      <c r="B109" s="211"/>
      <c r="C109" s="211"/>
      <c r="D109" s="197"/>
      <c r="E109" s="197"/>
      <c r="F109" s="222"/>
      <c r="G109" s="222"/>
      <c r="H109" s="222"/>
      <c r="I109" s="222"/>
      <c r="J109" s="222"/>
      <c r="K109" s="222"/>
      <c r="L109" s="223"/>
      <c r="M109" s="223"/>
      <c r="N109" s="224"/>
      <c r="O109" s="224"/>
      <c r="P109" s="224"/>
      <c r="Q109" s="223"/>
      <c r="R109" s="224"/>
      <c r="S109" s="223"/>
      <c r="T109" s="223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44"/>
      <c r="AF109" s="244"/>
      <c r="AG109" s="238"/>
      <c r="AH109" s="238"/>
      <c r="AI109" s="238"/>
      <c r="AJ109" s="238"/>
      <c r="AK109" s="238"/>
      <c r="AL109" s="238"/>
      <c r="AM109" s="238"/>
      <c r="AN109" s="225"/>
      <c r="AO109" s="225"/>
      <c r="AP109" s="225"/>
      <c r="AQ109" s="225"/>
      <c r="AR109" s="225"/>
      <c r="AS109" s="225"/>
      <c r="AT109" s="225"/>
      <c r="AU109" s="225"/>
      <c r="AV109" s="225"/>
      <c r="AW109" s="232"/>
      <c r="AX109" s="232"/>
      <c r="AY109" s="233"/>
      <c r="AZ109" s="232"/>
      <c r="BA109" s="232"/>
      <c r="BB109" s="232"/>
      <c r="BC109" s="232"/>
      <c r="BD109" s="232"/>
      <c r="BE109" s="232"/>
      <c r="BF109" s="232"/>
    </row>
    <row r="110" spans="1:58" x14ac:dyDescent="0.25">
      <c r="A110" s="196"/>
      <c r="B110" s="211"/>
      <c r="C110" s="211"/>
      <c r="D110" s="197"/>
      <c r="E110" s="197"/>
      <c r="F110" s="222"/>
      <c r="G110" s="222"/>
      <c r="H110" s="222"/>
      <c r="I110" s="222"/>
      <c r="J110" s="222"/>
      <c r="K110" s="222"/>
      <c r="L110" s="223"/>
      <c r="M110" s="223"/>
      <c r="N110" s="224"/>
      <c r="O110" s="224"/>
      <c r="P110" s="224"/>
      <c r="Q110" s="223"/>
      <c r="R110" s="224"/>
      <c r="S110" s="223"/>
      <c r="T110" s="223"/>
      <c r="U110" s="225"/>
      <c r="V110" s="225"/>
      <c r="W110" s="225"/>
      <c r="X110" s="225"/>
      <c r="Y110" s="225"/>
      <c r="Z110" s="225"/>
      <c r="AA110" s="225"/>
      <c r="AB110" s="225"/>
      <c r="AC110" s="225"/>
      <c r="AD110" s="225"/>
      <c r="AE110" s="244"/>
      <c r="AF110" s="244"/>
      <c r="AG110" s="238"/>
      <c r="AH110" s="238"/>
      <c r="AI110" s="238"/>
      <c r="AJ110" s="238"/>
      <c r="AK110" s="238"/>
      <c r="AL110" s="238"/>
      <c r="AM110" s="238"/>
      <c r="AN110" s="225"/>
      <c r="AO110" s="225"/>
      <c r="AP110" s="225"/>
      <c r="AQ110" s="225"/>
      <c r="AR110" s="225"/>
      <c r="AS110" s="225"/>
      <c r="AT110" s="225"/>
      <c r="AU110" s="225"/>
      <c r="AV110" s="225"/>
      <c r="AW110" s="232"/>
      <c r="AX110" s="232"/>
      <c r="AY110" s="233"/>
      <c r="AZ110" s="232"/>
      <c r="BA110" s="232"/>
      <c r="BB110" s="232"/>
      <c r="BC110" s="232"/>
      <c r="BD110" s="232"/>
      <c r="BE110" s="232"/>
      <c r="BF110" s="232"/>
    </row>
    <row r="111" spans="1:58" x14ac:dyDescent="0.25">
      <c r="A111" s="196"/>
      <c r="B111" s="211"/>
      <c r="C111" s="211"/>
      <c r="D111" s="197"/>
      <c r="E111" s="197"/>
      <c r="F111" s="222"/>
      <c r="G111" s="222"/>
      <c r="H111" s="222"/>
      <c r="I111" s="222"/>
      <c r="J111" s="222"/>
      <c r="K111" s="222"/>
      <c r="L111" s="223"/>
      <c r="M111" s="223"/>
      <c r="N111" s="224"/>
      <c r="O111" s="224"/>
      <c r="P111" s="224"/>
      <c r="Q111" s="223"/>
      <c r="R111" s="224"/>
      <c r="S111" s="223"/>
      <c r="T111" s="223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44"/>
      <c r="AF111" s="244"/>
      <c r="AG111" s="238"/>
      <c r="AH111" s="238"/>
      <c r="AI111" s="238"/>
      <c r="AJ111" s="238"/>
      <c r="AK111" s="238"/>
      <c r="AL111" s="238"/>
      <c r="AM111" s="238"/>
      <c r="AN111" s="225"/>
      <c r="AO111" s="225"/>
      <c r="AP111" s="225"/>
      <c r="AQ111" s="225"/>
      <c r="AR111" s="225"/>
      <c r="AS111" s="225"/>
      <c r="AT111" s="225"/>
      <c r="AU111" s="225"/>
      <c r="AV111" s="225"/>
      <c r="AW111" s="232"/>
      <c r="AX111" s="232"/>
      <c r="AY111" s="233"/>
      <c r="AZ111" s="232"/>
      <c r="BA111" s="232"/>
      <c r="BB111" s="232"/>
      <c r="BC111" s="232"/>
      <c r="BD111" s="232"/>
      <c r="BE111" s="232"/>
      <c r="BF111" s="232"/>
    </row>
    <row r="112" spans="1:58" x14ac:dyDescent="0.25">
      <c r="A112" s="196"/>
      <c r="B112" s="211"/>
      <c r="C112" s="211"/>
      <c r="D112" s="197"/>
      <c r="E112" s="197"/>
      <c r="F112" s="222"/>
      <c r="G112" s="222"/>
      <c r="H112" s="222"/>
      <c r="I112" s="222"/>
      <c r="J112" s="222"/>
      <c r="K112" s="222"/>
      <c r="L112" s="223"/>
      <c r="M112" s="223"/>
      <c r="N112" s="224"/>
      <c r="O112" s="224"/>
      <c r="P112" s="224"/>
      <c r="Q112" s="223"/>
      <c r="R112" s="224"/>
      <c r="S112" s="223"/>
      <c r="T112" s="223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44"/>
      <c r="AF112" s="244"/>
      <c r="AG112" s="238"/>
      <c r="AH112" s="238"/>
      <c r="AI112" s="238"/>
      <c r="AJ112" s="238"/>
      <c r="AK112" s="238"/>
      <c r="AL112" s="238"/>
      <c r="AM112" s="238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32"/>
      <c r="AX112" s="232"/>
      <c r="AY112" s="233"/>
      <c r="AZ112" s="232"/>
      <c r="BA112" s="232"/>
      <c r="BB112" s="232"/>
      <c r="BC112" s="232"/>
      <c r="BD112" s="232"/>
      <c r="BE112" s="232"/>
      <c r="BF112" s="232"/>
    </row>
    <row r="113" spans="1:58" x14ac:dyDescent="0.25">
      <c r="A113" s="196"/>
      <c r="B113" s="211"/>
      <c r="C113" s="211"/>
      <c r="D113" s="197"/>
      <c r="E113" s="197"/>
      <c r="F113" s="222"/>
      <c r="G113" s="222"/>
      <c r="H113" s="222"/>
      <c r="I113" s="222"/>
      <c r="J113" s="222"/>
      <c r="K113" s="222"/>
      <c r="L113" s="223"/>
      <c r="M113" s="223"/>
      <c r="N113" s="224"/>
      <c r="O113" s="224"/>
      <c r="P113" s="224"/>
      <c r="Q113" s="223"/>
      <c r="R113" s="224"/>
      <c r="S113" s="223"/>
      <c r="T113" s="223"/>
      <c r="U113" s="225"/>
      <c r="V113" s="225"/>
      <c r="W113" s="225"/>
      <c r="X113" s="225"/>
      <c r="Y113" s="225"/>
      <c r="Z113" s="225"/>
      <c r="AA113" s="225"/>
      <c r="AB113" s="225"/>
      <c r="AC113" s="225"/>
      <c r="AD113" s="225"/>
      <c r="AE113" s="244"/>
      <c r="AF113" s="244"/>
      <c r="AG113" s="238"/>
      <c r="AH113" s="238"/>
      <c r="AI113" s="238"/>
      <c r="AJ113" s="238"/>
      <c r="AK113" s="238"/>
      <c r="AL113" s="238"/>
      <c r="AM113" s="238"/>
      <c r="AN113" s="225"/>
      <c r="AO113" s="225"/>
      <c r="AP113" s="225"/>
      <c r="AQ113" s="225"/>
      <c r="AR113" s="225"/>
      <c r="AS113" s="225"/>
      <c r="AT113" s="225"/>
      <c r="AU113" s="225"/>
      <c r="AV113" s="225"/>
      <c r="AW113" s="232"/>
      <c r="AX113" s="232"/>
      <c r="AY113" s="233"/>
      <c r="AZ113" s="232"/>
      <c r="BA113" s="232"/>
      <c r="BB113" s="232"/>
      <c r="BC113" s="232"/>
      <c r="BD113" s="232"/>
      <c r="BE113" s="232"/>
      <c r="BF113" s="232"/>
    </row>
    <row r="114" spans="1:58" x14ac:dyDescent="0.25">
      <c r="A114" s="196"/>
      <c r="B114" s="211"/>
      <c r="C114" s="211"/>
      <c r="D114" s="197"/>
      <c r="E114" s="197"/>
      <c r="F114" s="222"/>
      <c r="G114" s="222"/>
      <c r="H114" s="222"/>
      <c r="I114" s="222"/>
      <c r="J114" s="222"/>
      <c r="K114" s="222"/>
      <c r="L114" s="223"/>
      <c r="M114" s="223"/>
      <c r="N114" s="224"/>
      <c r="O114" s="224"/>
      <c r="P114" s="224"/>
      <c r="Q114" s="223"/>
      <c r="R114" s="224"/>
      <c r="S114" s="223"/>
      <c r="T114" s="223"/>
      <c r="U114" s="225"/>
      <c r="V114" s="225"/>
      <c r="W114" s="225"/>
      <c r="X114" s="225"/>
      <c r="Y114" s="225"/>
      <c r="Z114" s="225"/>
      <c r="AA114" s="225"/>
      <c r="AB114" s="225"/>
      <c r="AC114" s="225"/>
      <c r="AD114" s="225"/>
      <c r="AE114" s="244"/>
      <c r="AF114" s="244"/>
      <c r="AG114" s="238"/>
      <c r="AH114" s="238"/>
      <c r="AI114" s="238"/>
      <c r="AJ114" s="238"/>
      <c r="AK114" s="238"/>
      <c r="AL114" s="238"/>
      <c r="AM114" s="238"/>
      <c r="AN114" s="225"/>
      <c r="AO114" s="225"/>
      <c r="AP114" s="225"/>
      <c r="AQ114" s="225"/>
      <c r="AR114" s="225"/>
      <c r="AS114" s="225"/>
      <c r="AT114" s="225"/>
      <c r="AU114" s="225"/>
      <c r="AV114" s="225"/>
      <c r="AW114" s="232"/>
      <c r="AX114" s="232"/>
      <c r="AY114" s="233"/>
      <c r="AZ114" s="232"/>
      <c r="BA114" s="232"/>
      <c r="BB114" s="232"/>
      <c r="BC114" s="232"/>
      <c r="BD114" s="232"/>
      <c r="BE114" s="232"/>
      <c r="BF114" s="232"/>
    </row>
    <row r="115" spans="1:58" x14ac:dyDescent="0.25">
      <c r="A115" s="196"/>
      <c r="B115" s="211"/>
      <c r="C115" s="211"/>
      <c r="D115" s="197"/>
      <c r="E115" s="197"/>
      <c r="F115" s="222"/>
      <c r="G115" s="222"/>
      <c r="H115" s="222"/>
      <c r="I115" s="222"/>
      <c r="J115" s="222"/>
      <c r="K115" s="222"/>
      <c r="L115" s="223"/>
      <c r="M115" s="223"/>
      <c r="N115" s="224"/>
      <c r="O115" s="224"/>
      <c r="P115" s="224"/>
      <c r="Q115" s="223"/>
      <c r="R115" s="224"/>
      <c r="S115" s="223"/>
      <c r="T115" s="223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44"/>
      <c r="AF115" s="244"/>
      <c r="AG115" s="238"/>
      <c r="AH115" s="238"/>
      <c r="AI115" s="238"/>
      <c r="AJ115" s="238"/>
      <c r="AK115" s="238"/>
      <c r="AL115" s="238"/>
      <c r="AM115" s="238"/>
      <c r="AN115" s="225"/>
      <c r="AO115" s="225"/>
      <c r="AP115" s="225"/>
      <c r="AQ115" s="225"/>
      <c r="AR115" s="225"/>
      <c r="AS115" s="225"/>
      <c r="AT115" s="225"/>
      <c r="AU115" s="225"/>
      <c r="AV115" s="225"/>
      <c r="AW115" s="232"/>
      <c r="AX115" s="232"/>
      <c r="AY115" s="233"/>
      <c r="AZ115" s="232"/>
      <c r="BA115" s="232"/>
      <c r="BB115" s="232"/>
      <c r="BC115" s="232"/>
      <c r="BD115" s="232"/>
      <c r="BE115" s="232"/>
      <c r="BF115" s="232"/>
    </row>
    <row r="116" spans="1:58" x14ac:dyDescent="0.25">
      <c r="A116" s="196"/>
      <c r="B116" s="211"/>
      <c r="C116" s="211"/>
      <c r="D116" s="197"/>
      <c r="E116" s="197"/>
      <c r="F116" s="222"/>
      <c r="G116" s="222"/>
      <c r="H116" s="222"/>
      <c r="I116" s="222"/>
      <c r="J116" s="222"/>
      <c r="K116" s="222"/>
      <c r="L116" s="223"/>
      <c r="M116" s="223"/>
      <c r="N116" s="224"/>
      <c r="O116" s="224"/>
      <c r="P116" s="224"/>
      <c r="Q116" s="223"/>
      <c r="R116" s="224"/>
      <c r="S116" s="223"/>
      <c r="T116" s="223"/>
      <c r="U116" s="225"/>
      <c r="V116" s="225"/>
      <c r="W116" s="225"/>
      <c r="X116" s="225"/>
      <c r="Y116" s="225"/>
      <c r="Z116" s="225"/>
      <c r="AA116" s="225"/>
      <c r="AB116" s="225"/>
      <c r="AC116" s="225"/>
      <c r="AD116" s="225"/>
      <c r="AE116" s="244"/>
      <c r="AF116" s="244"/>
      <c r="AG116" s="238"/>
      <c r="AH116" s="238"/>
      <c r="AI116" s="238"/>
      <c r="AJ116" s="238"/>
      <c r="AK116" s="238"/>
      <c r="AL116" s="238"/>
      <c r="AM116" s="238"/>
      <c r="AN116" s="225"/>
      <c r="AO116" s="225"/>
      <c r="AP116" s="225"/>
      <c r="AQ116" s="225"/>
      <c r="AR116" s="225"/>
      <c r="AS116" s="225"/>
      <c r="AT116" s="225"/>
      <c r="AU116" s="225"/>
      <c r="AV116" s="225"/>
      <c r="AW116" s="232"/>
      <c r="AX116" s="232"/>
      <c r="AY116" s="233"/>
      <c r="AZ116" s="232"/>
      <c r="BA116" s="232"/>
      <c r="BB116" s="232"/>
      <c r="BC116" s="232"/>
      <c r="BD116" s="232"/>
      <c r="BE116" s="232"/>
      <c r="BF116" s="232"/>
    </row>
    <row r="117" spans="1:58" x14ac:dyDescent="0.25">
      <c r="A117" s="196"/>
      <c r="B117" s="211"/>
      <c r="C117" s="211"/>
      <c r="D117" s="197"/>
      <c r="E117" s="197"/>
      <c r="F117" s="222"/>
      <c r="G117" s="222"/>
      <c r="H117" s="222"/>
      <c r="I117" s="222"/>
      <c r="J117" s="222"/>
      <c r="K117" s="222"/>
      <c r="L117" s="223"/>
      <c r="M117" s="223"/>
      <c r="N117" s="224"/>
      <c r="O117" s="224"/>
      <c r="P117" s="224"/>
      <c r="Q117" s="223"/>
      <c r="R117" s="224"/>
      <c r="S117" s="223"/>
      <c r="T117" s="223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44"/>
      <c r="AF117" s="244"/>
      <c r="AG117" s="238"/>
      <c r="AH117" s="238"/>
      <c r="AI117" s="238"/>
      <c r="AJ117" s="238"/>
      <c r="AK117" s="238"/>
      <c r="AL117" s="238"/>
      <c r="AM117" s="238"/>
      <c r="AN117" s="225"/>
      <c r="AO117" s="225"/>
      <c r="AP117" s="225"/>
      <c r="AQ117" s="225"/>
      <c r="AR117" s="225"/>
      <c r="AS117" s="225"/>
      <c r="AT117" s="225"/>
      <c r="AU117" s="225"/>
      <c r="AV117" s="225"/>
      <c r="AW117" s="232"/>
      <c r="AX117" s="232"/>
      <c r="AY117" s="233"/>
      <c r="AZ117" s="232"/>
      <c r="BA117" s="232"/>
      <c r="BB117" s="232"/>
      <c r="BC117" s="232"/>
      <c r="BD117" s="232"/>
      <c r="BE117" s="232"/>
      <c r="BF117" s="232"/>
    </row>
    <row r="118" spans="1:58" x14ac:dyDescent="0.25">
      <c r="A118" s="196"/>
      <c r="B118" s="211"/>
      <c r="C118" s="211"/>
      <c r="D118" s="197"/>
      <c r="E118" s="197"/>
      <c r="F118" s="222"/>
      <c r="G118" s="222"/>
      <c r="H118" s="222"/>
      <c r="I118" s="222"/>
      <c r="J118" s="222"/>
      <c r="K118" s="222"/>
      <c r="L118" s="223"/>
      <c r="M118" s="223"/>
      <c r="N118" s="224"/>
      <c r="O118" s="224"/>
      <c r="P118" s="224"/>
      <c r="Q118" s="223"/>
      <c r="R118" s="224"/>
      <c r="S118" s="223"/>
      <c r="T118" s="223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44"/>
      <c r="AF118" s="244"/>
      <c r="AG118" s="238"/>
      <c r="AH118" s="238"/>
      <c r="AI118" s="238"/>
      <c r="AJ118" s="238"/>
      <c r="AK118" s="238"/>
      <c r="AL118" s="238"/>
      <c r="AM118" s="238"/>
      <c r="AN118" s="225"/>
      <c r="AO118" s="225"/>
      <c r="AP118" s="225"/>
      <c r="AQ118" s="225"/>
      <c r="AR118" s="225"/>
      <c r="AS118" s="225"/>
      <c r="AT118" s="225"/>
      <c r="AU118" s="225"/>
      <c r="AV118" s="225"/>
      <c r="AW118" s="232"/>
      <c r="AX118" s="232"/>
      <c r="AY118" s="233"/>
      <c r="AZ118" s="232"/>
      <c r="BA118" s="232"/>
      <c r="BB118" s="232"/>
      <c r="BC118" s="232"/>
      <c r="BD118" s="232"/>
      <c r="BE118" s="232"/>
      <c r="BF118" s="232"/>
    </row>
    <row r="119" spans="1:58" x14ac:dyDescent="0.25">
      <c r="A119" s="196"/>
      <c r="B119" s="211"/>
      <c r="C119" s="211"/>
      <c r="D119" s="197"/>
      <c r="E119" s="197"/>
      <c r="F119" s="222"/>
      <c r="G119" s="222"/>
      <c r="H119" s="222"/>
      <c r="I119" s="222"/>
      <c r="J119" s="222"/>
      <c r="K119" s="222"/>
      <c r="L119" s="223"/>
      <c r="M119" s="223"/>
      <c r="N119" s="224"/>
      <c r="O119" s="224"/>
      <c r="P119" s="224"/>
      <c r="Q119" s="223"/>
      <c r="R119" s="224"/>
      <c r="S119" s="223"/>
      <c r="T119" s="223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44"/>
      <c r="AF119" s="244"/>
      <c r="AG119" s="238"/>
      <c r="AH119" s="238"/>
      <c r="AI119" s="238"/>
      <c r="AJ119" s="238"/>
      <c r="AK119" s="238"/>
      <c r="AL119" s="238"/>
      <c r="AM119" s="238"/>
      <c r="AN119" s="225"/>
      <c r="AO119" s="225"/>
      <c r="AP119" s="225"/>
      <c r="AQ119" s="225"/>
      <c r="AR119" s="225"/>
      <c r="AS119" s="225"/>
      <c r="AT119" s="225"/>
      <c r="AU119" s="225"/>
      <c r="AV119" s="225"/>
      <c r="AW119" s="232"/>
      <c r="AX119" s="232"/>
      <c r="AY119" s="233"/>
      <c r="AZ119" s="232"/>
      <c r="BA119" s="232"/>
      <c r="BB119" s="232"/>
      <c r="BC119" s="232"/>
      <c r="BD119" s="232"/>
      <c r="BE119" s="232"/>
      <c r="BF119" s="232"/>
    </row>
    <row r="120" spans="1:58" x14ac:dyDescent="0.25">
      <c r="A120" s="196"/>
      <c r="B120" s="211"/>
      <c r="C120" s="211"/>
      <c r="D120" s="197"/>
      <c r="E120" s="197"/>
      <c r="F120" s="222"/>
      <c r="G120" s="222"/>
      <c r="H120" s="222"/>
      <c r="I120" s="222"/>
      <c r="J120" s="222"/>
      <c r="K120" s="222"/>
      <c r="L120" s="223"/>
      <c r="M120" s="223"/>
      <c r="N120" s="224"/>
      <c r="O120" s="224"/>
      <c r="P120" s="224"/>
      <c r="Q120" s="223"/>
      <c r="R120" s="224"/>
      <c r="S120" s="223"/>
      <c r="T120" s="223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225"/>
      <c r="AE120" s="244"/>
      <c r="AF120" s="244"/>
      <c r="AG120" s="238"/>
      <c r="AH120" s="238"/>
      <c r="AI120" s="238"/>
      <c r="AJ120" s="238"/>
      <c r="AK120" s="238"/>
      <c r="AL120" s="238"/>
      <c r="AM120" s="238"/>
      <c r="AN120" s="225"/>
      <c r="AO120" s="225"/>
      <c r="AP120" s="225"/>
      <c r="AQ120" s="225"/>
      <c r="AR120" s="225"/>
      <c r="AS120" s="225"/>
      <c r="AT120" s="225"/>
      <c r="AU120" s="225"/>
      <c r="AV120" s="225"/>
      <c r="AW120" s="232"/>
      <c r="AX120" s="232"/>
      <c r="AY120" s="233"/>
      <c r="AZ120" s="232"/>
      <c r="BA120" s="232"/>
      <c r="BB120" s="232"/>
      <c r="BC120" s="232"/>
      <c r="BD120" s="232"/>
      <c r="BE120" s="232"/>
      <c r="BF120" s="232"/>
    </row>
    <row r="121" spans="1:58" x14ac:dyDescent="0.25">
      <c r="A121" s="196"/>
      <c r="B121" s="211"/>
      <c r="C121" s="211"/>
      <c r="D121" s="197"/>
      <c r="E121" s="197"/>
      <c r="F121" s="222"/>
      <c r="G121" s="222"/>
      <c r="H121" s="222"/>
      <c r="I121" s="222"/>
      <c r="J121" s="222"/>
      <c r="K121" s="222"/>
      <c r="L121" s="223"/>
      <c r="M121" s="223"/>
      <c r="N121" s="224"/>
      <c r="O121" s="224"/>
      <c r="P121" s="224"/>
      <c r="Q121" s="223"/>
      <c r="R121" s="224"/>
      <c r="S121" s="223"/>
      <c r="T121" s="223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44"/>
      <c r="AF121" s="244"/>
      <c r="AG121" s="238"/>
      <c r="AH121" s="238"/>
      <c r="AI121" s="238"/>
      <c r="AJ121" s="238"/>
      <c r="AK121" s="238"/>
      <c r="AL121" s="238"/>
      <c r="AM121" s="238"/>
      <c r="AN121" s="225"/>
      <c r="AO121" s="225"/>
      <c r="AP121" s="225"/>
      <c r="AQ121" s="225"/>
      <c r="AR121" s="225"/>
      <c r="AS121" s="225"/>
      <c r="AT121" s="225"/>
      <c r="AU121" s="225"/>
      <c r="AV121" s="225"/>
      <c r="AW121" s="232"/>
      <c r="AX121" s="232"/>
      <c r="AY121" s="233"/>
      <c r="AZ121" s="232"/>
      <c r="BA121" s="232"/>
      <c r="BB121" s="232"/>
      <c r="BC121" s="232"/>
      <c r="BD121" s="232"/>
      <c r="BE121" s="232"/>
      <c r="BF121" s="232"/>
    </row>
    <row r="122" spans="1:58" x14ac:dyDescent="0.25">
      <c r="A122" s="196"/>
      <c r="B122" s="211"/>
      <c r="C122" s="211"/>
      <c r="D122" s="197"/>
      <c r="E122" s="197"/>
      <c r="F122" s="222"/>
      <c r="G122" s="222"/>
      <c r="H122" s="222"/>
      <c r="I122" s="222"/>
      <c r="J122" s="222"/>
      <c r="K122" s="222"/>
      <c r="L122" s="223"/>
      <c r="M122" s="223"/>
      <c r="N122" s="224"/>
      <c r="O122" s="224"/>
      <c r="P122" s="224"/>
      <c r="Q122" s="223"/>
      <c r="R122" s="224"/>
      <c r="S122" s="223"/>
      <c r="T122" s="223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44"/>
      <c r="AF122" s="244"/>
      <c r="AG122" s="238"/>
      <c r="AH122" s="238"/>
      <c r="AI122" s="238"/>
      <c r="AJ122" s="238"/>
      <c r="AK122" s="238"/>
      <c r="AL122" s="238"/>
      <c r="AM122" s="238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32"/>
      <c r="AX122" s="232"/>
      <c r="AY122" s="233"/>
      <c r="AZ122" s="232"/>
      <c r="BA122" s="232"/>
      <c r="BB122" s="232"/>
      <c r="BC122" s="232"/>
      <c r="BD122" s="232"/>
      <c r="BE122" s="232"/>
      <c r="BF122" s="232"/>
    </row>
    <row r="123" spans="1:58" x14ac:dyDescent="0.25">
      <c r="A123" s="196"/>
      <c r="B123" s="211"/>
      <c r="C123" s="211"/>
      <c r="D123" s="197"/>
      <c r="E123" s="197"/>
      <c r="F123" s="222"/>
      <c r="G123" s="222"/>
      <c r="H123" s="222"/>
      <c r="I123" s="222"/>
      <c r="J123" s="222"/>
      <c r="K123" s="222"/>
      <c r="L123" s="223"/>
      <c r="M123" s="223"/>
      <c r="N123" s="224"/>
      <c r="O123" s="224"/>
      <c r="P123" s="224"/>
      <c r="Q123" s="223"/>
      <c r="R123" s="224"/>
      <c r="S123" s="223"/>
      <c r="T123" s="223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225"/>
      <c r="AE123" s="244"/>
      <c r="AF123" s="244"/>
      <c r="AG123" s="238"/>
      <c r="AH123" s="238"/>
      <c r="AI123" s="238"/>
      <c r="AJ123" s="238"/>
      <c r="AK123" s="238"/>
      <c r="AL123" s="238"/>
      <c r="AM123" s="238"/>
      <c r="AN123" s="225"/>
      <c r="AO123" s="225"/>
      <c r="AP123" s="225"/>
      <c r="AQ123" s="225"/>
      <c r="AR123" s="225"/>
      <c r="AS123" s="225"/>
      <c r="AT123" s="225"/>
      <c r="AU123" s="225"/>
      <c r="AV123" s="225"/>
      <c r="AW123" s="232"/>
      <c r="AX123" s="232"/>
      <c r="AY123" s="233"/>
      <c r="AZ123" s="232"/>
      <c r="BA123" s="232"/>
      <c r="BB123" s="232"/>
      <c r="BC123" s="232"/>
      <c r="BD123" s="232"/>
      <c r="BE123" s="232"/>
      <c r="BF123" s="232"/>
    </row>
    <row r="124" spans="1:58" x14ac:dyDescent="0.25">
      <c r="A124" s="196"/>
      <c r="B124" s="211"/>
      <c r="C124" s="211"/>
      <c r="D124" s="197"/>
      <c r="E124" s="197"/>
      <c r="F124" s="222"/>
      <c r="G124" s="222"/>
      <c r="H124" s="222"/>
      <c r="I124" s="222"/>
      <c r="J124" s="222"/>
      <c r="K124" s="222"/>
      <c r="L124" s="223"/>
      <c r="M124" s="223"/>
      <c r="N124" s="224"/>
      <c r="O124" s="224"/>
      <c r="P124" s="224"/>
      <c r="Q124" s="223"/>
      <c r="R124" s="224"/>
      <c r="S124" s="223"/>
      <c r="T124" s="223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225"/>
      <c r="AE124" s="244"/>
      <c r="AF124" s="244"/>
      <c r="AG124" s="238"/>
      <c r="AH124" s="238"/>
      <c r="AI124" s="238"/>
      <c r="AJ124" s="238"/>
      <c r="AK124" s="238"/>
      <c r="AL124" s="238"/>
      <c r="AM124" s="238"/>
      <c r="AN124" s="225"/>
      <c r="AO124" s="225"/>
      <c r="AP124" s="225"/>
      <c r="AQ124" s="225"/>
      <c r="AR124" s="225"/>
      <c r="AS124" s="225"/>
      <c r="AT124" s="225"/>
      <c r="AU124" s="225"/>
      <c r="AV124" s="225"/>
      <c r="AW124" s="232"/>
      <c r="AX124" s="232"/>
      <c r="AY124" s="233"/>
      <c r="AZ124" s="232"/>
      <c r="BA124" s="232"/>
      <c r="BB124" s="232"/>
      <c r="BC124" s="232"/>
      <c r="BD124" s="232"/>
      <c r="BE124" s="232"/>
      <c r="BF124" s="232"/>
    </row>
    <row r="125" spans="1:58" x14ac:dyDescent="0.25">
      <c r="A125" s="196"/>
      <c r="B125" s="211"/>
      <c r="C125" s="211"/>
      <c r="D125" s="197"/>
      <c r="E125" s="197"/>
      <c r="F125" s="222"/>
      <c r="G125" s="222"/>
      <c r="H125" s="222"/>
      <c r="I125" s="222"/>
      <c r="J125" s="222"/>
      <c r="K125" s="222"/>
      <c r="L125" s="223"/>
      <c r="M125" s="223"/>
      <c r="N125" s="224"/>
      <c r="O125" s="224"/>
      <c r="P125" s="224"/>
      <c r="Q125" s="223"/>
      <c r="R125" s="224"/>
      <c r="S125" s="223"/>
      <c r="T125" s="223"/>
      <c r="U125" s="225"/>
      <c r="V125" s="225"/>
      <c r="W125" s="225"/>
      <c r="X125" s="225"/>
      <c r="Y125" s="225"/>
      <c r="Z125" s="225"/>
      <c r="AA125" s="225"/>
      <c r="AB125" s="225"/>
      <c r="AC125" s="225"/>
      <c r="AD125" s="225"/>
      <c r="AE125" s="244"/>
      <c r="AF125" s="244"/>
      <c r="AG125" s="238"/>
      <c r="AH125" s="238"/>
      <c r="AI125" s="238"/>
      <c r="AJ125" s="238"/>
      <c r="AK125" s="238"/>
      <c r="AL125" s="238"/>
      <c r="AM125" s="238"/>
      <c r="AN125" s="225"/>
      <c r="AO125" s="225"/>
      <c r="AP125" s="225"/>
      <c r="AQ125" s="225"/>
      <c r="AR125" s="225"/>
      <c r="AS125" s="225"/>
      <c r="AT125" s="225"/>
      <c r="AU125" s="225"/>
      <c r="AV125" s="225"/>
      <c r="AW125" s="232"/>
      <c r="AX125" s="232"/>
      <c r="AY125" s="233"/>
      <c r="AZ125" s="232"/>
      <c r="BA125" s="232"/>
      <c r="BB125" s="232"/>
      <c r="BC125" s="232"/>
      <c r="BD125" s="232"/>
      <c r="BE125" s="232"/>
      <c r="BF125" s="232"/>
    </row>
    <row r="126" spans="1:58" x14ac:dyDescent="0.25">
      <c r="A126" s="196"/>
      <c r="B126" s="211"/>
      <c r="C126" s="211"/>
      <c r="D126" s="197"/>
      <c r="E126" s="197"/>
      <c r="F126" s="222"/>
      <c r="G126" s="222"/>
      <c r="H126" s="222"/>
      <c r="I126" s="222"/>
      <c r="J126" s="222"/>
      <c r="K126" s="222"/>
      <c r="L126" s="223"/>
      <c r="M126" s="223"/>
      <c r="N126" s="224"/>
      <c r="O126" s="224"/>
      <c r="P126" s="224"/>
      <c r="Q126" s="223"/>
      <c r="R126" s="224"/>
      <c r="S126" s="223"/>
      <c r="T126" s="223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225"/>
      <c r="AE126" s="244"/>
      <c r="AF126" s="244"/>
      <c r="AG126" s="238"/>
      <c r="AH126" s="238"/>
      <c r="AI126" s="238"/>
      <c r="AJ126" s="238"/>
      <c r="AK126" s="238"/>
      <c r="AL126" s="238"/>
      <c r="AM126" s="238"/>
      <c r="AN126" s="225"/>
      <c r="AO126" s="225"/>
      <c r="AP126" s="225"/>
      <c r="AQ126" s="225"/>
      <c r="AR126" s="225"/>
      <c r="AS126" s="225"/>
      <c r="AT126" s="225"/>
      <c r="AU126" s="225"/>
      <c r="AV126" s="225"/>
      <c r="AW126" s="232"/>
      <c r="AX126" s="232"/>
      <c r="AY126" s="233"/>
      <c r="AZ126" s="232"/>
      <c r="BA126" s="232"/>
      <c r="BB126" s="232"/>
      <c r="BC126" s="232"/>
      <c r="BD126" s="232"/>
      <c r="BE126" s="232"/>
      <c r="BF126" s="232"/>
    </row>
    <row r="127" spans="1:58" x14ac:dyDescent="0.25">
      <c r="A127" s="196"/>
      <c r="B127" s="211"/>
      <c r="C127" s="211"/>
      <c r="D127" s="197"/>
      <c r="E127" s="197"/>
      <c r="F127" s="222"/>
      <c r="G127" s="222"/>
      <c r="H127" s="222"/>
      <c r="I127" s="222"/>
      <c r="J127" s="222"/>
      <c r="K127" s="222"/>
      <c r="L127" s="223"/>
      <c r="M127" s="223"/>
      <c r="N127" s="224"/>
      <c r="O127" s="224"/>
      <c r="P127" s="224"/>
      <c r="Q127" s="223"/>
      <c r="R127" s="224"/>
      <c r="S127" s="223"/>
      <c r="T127" s="223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44"/>
      <c r="AF127" s="244"/>
      <c r="AG127" s="238"/>
      <c r="AH127" s="238"/>
      <c r="AI127" s="238"/>
      <c r="AJ127" s="238"/>
      <c r="AK127" s="238"/>
      <c r="AL127" s="238"/>
      <c r="AM127" s="238"/>
      <c r="AN127" s="225"/>
      <c r="AO127" s="225"/>
      <c r="AP127" s="225"/>
      <c r="AQ127" s="225"/>
      <c r="AR127" s="225"/>
      <c r="AS127" s="225"/>
      <c r="AT127" s="225"/>
      <c r="AU127" s="225"/>
      <c r="AV127" s="225"/>
      <c r="AW127" s="232"/>
      <c r="AX127" s="232"/>
      <c r="AY127" s="233"/>
      <c r="AZ127" s="232"/>
      <c r="BA127" s="232"/>
      <c r="BB127" s="232"/>
      <c r="BC127" s="232"/>
      <c r="BD127" s="232"/>
      <c r="BE127" s="232"/>
      <c r="BF127" s="232"/>
    </row>
    <row r="128" spans="1:58" x14ac:dyDescent="0.25">
      <c r="A128" s="196"/>
      <c r="B128" s="211"/>
      <c r="C128" s="211"/>
      <c r="D128" s="197"/>
      <c r="E128" s="197"/>
      <c r="F128" s="222"/>
      <c r="G128" s="222"/>
      <c r="H128" s="222"/>
      <c r="I128" s="222"/>
      <c r="J128" s="222"/>
      <c r="K128" s="222"/>
      <c r="L128" s="223"/>
      <c r="M128" s="223"/>
      <c r="N128" s="224"/>
      <c r="O128" s="224"/>
      <c r="P128" s="224"/>
      <c r="Q128" s="223"/>
      <c r="R128" s="224"/>
      <c r="S128" s="223"/>
      <c r="T128" s="223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44"/>
      <c r="AF128" s="244"/>
      <c r="AG128" s="238"/>
      <c r="AH128" s="238"/>
      <c r="AI128" s="238"/>
      <c r="AJ128" s="238"/>
      <c r="AK128" s="238"/>
      <c r="AL128" s="238"/>
      <c r="AM128" s="238"/>
      <c r="AN128" s="225"/>
      <c r="AO128" s="225"/>
      <c r="AP128" s="225"/>
      <c r="AQ128" s="225"/>
      <c r="AR128" s="225"/>
      <c r="AS128" s="225"/>
      <c r="AT128" s="225"/>
      <c r="AU128" s="225"/>
      <c r="AV128" s="225"/>
      <c r="AW128" s="232"/>
      <c r="AX128" s="232"/>
      <c r="AY128" s="233"/>
      <c r="AZ128" s="232"/>
      <c r="BA128" s="232"/>
      <c r="BB128" s="232"/>
      <c r="BC128" s="232"/>
      <c r="BD128" s="232"/>
      <c r="BE128" s="232"/>
      <c r="BF128" s="232"/>
    </row>
    <row r="129" spans="1:58" x14ac:dyDescent="0.25">
      <c r="A129" s="196"/>
      <c r="B129" s="211"/>
      <c r="C129" s="211"/>
      <c r="D129" s="197"/>
      <c r="E129" s="197"/>
      <c r="F129" s="222"/>
      <c r="G129" s="222"/>
      <c r="H129" s="222"/>
      <c r="I129" s="222"/>
      <c r="J129" s="222"/>
      <c r="K129" s="222"/>
      <c r="L129" s="223"/>
      <c r="M129" s="223"/>
      <c r="N129" s="224"/>
      <c r="O129" s="224"/>
      <c r="P129" s="224"/>
      <c r="Q129" s="223"/>
      <c r="R129" s="224"/>
      <c r="S129" s="223"/>
      <c r="T129" s="223"/>
      <c r="U129" s="225"/>
      <c r="V129" s="225"/>
      <c r="W129" s="225"/>
      <c r="X129" s="225"/>
      <c r="Y129" s="225"/>
      <c r="Z129" s="225"/>
      <c r="AA129" s="225"/>
      <c r="AB129" s="225"/>
      <c r="AC129" s="225"/>
      <c r="AD129" s="225"/>
      <c r="AE129" s="244"/>
      <c r="AF129" s="244"/>
      <c r="AG129" s="238"/>
      <c r="AH129" s="238"/>
      <c r="AI129" s="238"/>
      <c r="AJ129" s="238"/>
      <c r="AK129" s="238"/>
      <c r="AL129" s="238"/>
      <c r="AM129" s="238"/>
      <c r="AN129" s="225"/>
      <c r="AO129" s="225"/>
      <c r="AP129" s="225"/>
      <c r="AQ129" s="225"/>
      <c r="AR129" s="225"/>
      <c r="AS129" s="225"/>
      <c r="AT129" s="225"/>
      <c r="AU129" s="225"/>
      <c r="AV129" s="225"/>
      <c r="AW129" s="232"/>
      <c r="AX129" s="232"/>
      <c r="AY129" s="233"/>
      <c r="AZ129" s="232"/>
      <c r="BA129" s="232"/>
      <c r="BB129" s="232"/>
      <c r="BC129" s="232"/>
      <c r="BD129" s="232"/>
      <c r="BE129" s="232"/>
      <c r="BF129" s="232"/>
    </row>
    <row r="130" spans="1:58" x14ac:dyDescent="0.25">
      <c r="A130" s="196"/>
      <c r="B130" s="211"/>
      <c r="C130" s="211"/>
      <c r="D130" s="197"/>
      <c r="E130" s="197"/>
      <c r="F130" s="222"/>
      <c r="G130" s="222"/>
      <c r="H130" s="222"/>
      <c r="I130" s="222"/>
      <c r="J130" s="222"/>
      <c r="K130" s="222"/>
      <c r="L130" s="223"/>
      <c r="M130" s="223"/>
      <c r="N130" s="224"/>
      <c r="O130" s="224"/>
      <c r="P130" s="224"/>
      <c r="Q130" s="223"/>
      <c r="R130" s="224"/>
      <c r="S130" s="223"/>
      <c r="T130" s="223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5"/>
      <c r="AE130" s="244"/>
      <c r="AF130" s="244"/>
      <c r="AG130" s="238"/>
      <c r="AH130" s="238"/>
      <c r="AI130" s="238"/>
      <c r="AJ130" s="238"/>
      <c r="AK130" s="238"/>
      <c r="AL130" s="238"/>
      <c r="AM130" s="238"/>
      <c r="AN130" s="225"/>
      <c r="AO130" s="225"/>
      <c r="AP130" s="225"/>
      <c r="AQ130" s="225"/>
      <c r="AR130" s="225"/>
      <c r="AS130" s="225"/>
      <c r="AT130" s="225"/>
      <c r="AU130" s="225"/>
      <c r="AV130" s="225"/>
      <c r="AW130" s="232"/>
      <c r="AX130" s="232"/>
      <c r="AY130" s="233"/>
      <c r="AZ130" s="232"/>
      <c r="BA130" s="232"/>
      <c r="BB130" s="232"/>
      <c r="BC130" s="232"/>
      <c r="BD130" s="232"/>
      <c r="BE130" s="232"/>
      <c r="BF130" s="232"/>
    </row>
    <row r="131" spans="1:58" x14ac:dyDescent="0.25">
      <c r="A131" s="196"/>
      <c r="B131" s="211"/>
      <c r="C131" s="211"/>
      <c r="D131" s="197"/>
      <c r="E131" s="197"/>
      <c r="F131" s="222"/>
      <c r="G131" s="222"/>
      <c r="H131" s="222"/>
      <c r="I131" s="222"/>
      <c r="J131" s="222"/>
      <c r="K131" s="222"/>
      <c r="L131" s="223"/>
      <c r="M131" s="223"/>
      <c r="N131" s="224"/>
      <c r="O131" s="224"/>
      <c r="P131" s="224"/>
      <c r="Q131" s="223"/>
      <c r="R131" s="224"/>
      <c r="S131" s="223"/>
      <c r="T131" s="223"/>
      <c r="U131" s="225"/>
      <c r="V131" s="225"/>
      <c r="W131" s="225"/>
      <c r="X131" s="225"/>
      <c r="Y131" s="225"/>
      <c r="Z131" s="225"/>
      <c r="AA131" s="225"/>
      <c r="AB131" s="225"/>
      <c r="AC131" s="222"/>
      <c r="AD131" s="225"/>
      <c r="AE131" s="244"/>
      <c r="AF131" s="244"/>
      <c r="AG131" s="238"/>
      <c r="AH131" s="238"/>
      <c r="AI131" s="238"/>
      <c r="AJ131" s="238"/>
      <c r="AK131" s="238"/>
      <c r="AL131" s="238"/>
      <c r="AM131" s="238"/>
      <c r="AN131" s="225"/>
      <c r="AO131" s="225"/>
      <c r="AP131" s="225"/>
      <c r="AQ131" s="225"/>
      <c r="AR131" s="225"/>
      <c r="AS131" s="225"/>
      <c r="AT131" s="225"/>
      <c r="AU131" s="225"/>
      <c r="AV131" s="225"/>
      <c r="AW131" s="232"/>
      <c r="AX131" s="232"/>
      <c r="AY131" s="233"/>
      <c r="AZ131" s="232"/>
      <c r="BA131" s="232"/>
      <c r="BB131" s="232"/>
      <c r="BC131" s="232"/>
      <c r="BD131" s="232"/>
      <c r="BE131" s="232"/>
      <c r="BF131" s="232"/>
    </row>
    <row r="132" spans="1:58" x14ac:dyDescent="0.25">
      <c r="A132" s="196"/>
      <c r="B132" s="211"/>
      <c r="C132" s="211"/>
      <c r="D132" s="197"/>
      <c r="E132" s="197"/>
      <c r="F132" s="222"/>
      <c r="G132" s="222"/>
      <c r="H132" s="222"/>
      <c r="I132" s="222"/>
      <c r="J132" s="222"/>
      <c r="K132" s="222"/>
      <c r="L132" s="223"/>
      <c r="M132" s="223"/>
      <c r="N132" s="224"/>
      <c r="O132" s="224"/>
      <c r="P132" s="224"/>
      <c r="Q132" s="223"/>
      <c r="R132" s="224"/>
      <c r="S132" s="223"/>
      <c r="T132" s="223"/>
      <c r="U132" s="225"/>
      <c r="V132" s="225"/>
      <c r="W132" s="225"/>
      <c r="X132" s="225"/>
      <c r="Y132" s="225"/>
      <c r="Z132" s="225"/>
      <c r="AA132" s="225"/>
      <c r="AB132" s="225"/>
      <c r="AC132" s="222"/>
      <c r="AD132" s="225"/>
      <c r="AE132" s="244"/>
      <c r="AF132" s="244"/>
      <c r="AG132" s="238"/>
      <c r="AH132" s="238"/>
      <c r="AI132" s="238"/>
      <c r="AJ132" s="238"/>
      <c r="AK132" s="238"/>
      <c r="AL132" s="238"/>
      <c r="AM132" s="238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32"/>
      <c r="AX132" s="232"/>
      <c r="AY132" s="233"/>
      <c r="AZ132" s="232"/>
      <c r="BA132" s="232"/>
      <c r="BB132" s="232"/>
      <c r="BC132" s="232"/>
      <c r="BD132" s="232"/>
      <c r="BE132" s="232"/>
      <c r="BF132" s="232"/>
    </row>
    <row r="133" spans="1:58" x14ac:dyDescent="0.25">
      <c r="A133" s="196"/>
      <c r="B133" s="211"/>
      <c r="C133" s="211"/>
      <c r="D133" s="197"/>
      <c r="E133" s="197"/>
      <c r="F133" s="222"/>
      <c r="G133" s="222"/>
      <c r="H133" s="222"/>
      <c r="I133" s="222"/>
      <c r="J133" s="222"/>
      <c r="K133" s="222"/>
      <c r="L133" s="223"/>
      <c r="M133" s="223"/>
      <c r="N133" s="224"/>
      <c r="O133" s="224"/>
      <c r="P133" s="224"/>
      <c r="Q133" s="223"/>
      <c r="R133" s="224"/>
      <c r="S133" s="223"/>
      <c r="T133" s="223"/>
      <c r="U133" s="225"/>
      <c r="V133" s="225"/>
      <c r="W133" s="225"/>
      <c r="X133" s="225"/>
      <c r="Y133" s="225"/>
      <c r="Z133" s="225"/>
      <c r="AA133" s="225"/>
      <c r="AB133" s="225"/>
      <c r="AC133" s="225"/>
      <c r="AD133" s="225"/>
      <c r="AE133" s="244"/>
      <c r="AF133" s="244"/>
      <c r="AG133" s="238"/>
      <c r="AH133" s="238"/>
      <c r="AI133" s="238"/>
      <c r="AJ133" s="238"/>
      <c r="AK133" s="238"/>
      <c r="AL133" s="238"/>
      <c r="AM133" s="238"/>
      <c r="AN133" s="225"/>
      <c r="AO133" s="225"/>
      <c r="AP133" s="225"/>
      <c r="AQ133" s="225"/>
      <c r="AR133" s="225"/>
      <c r="AS133" s="225"/>
      <c r="AT133" s="225"/>
      <c r="AU133" s="225"/>
      <c r="AV133" s="225"/>
      <c r="AW133" s="232"/>
      <c r="AX133" s="232"/>
      <c r="AY133" s="233"/>
      <c r="AZ133" s="232"/>
      <c r="BA133" s="232"/>
      <c r="BB133" s="232"/>
      <c r="BC133" s="232"/>
      <c r="BD133" s="232"/>
      <c r="BE133" s="232"/>
      <c r="BF133" s="232"/>
    </row>
    <row r="134" spans="1:58" x14ac:dyDescent="0.25">
      <c r="A134" s="196"/>
      <c r="B134" s="211"/>
      <c r="C134" s="211"/>
      <c r="D134" s="197"/>
      <c r="E134" s="197"/>
      <c r="F134" s="222"/>
      <c r="G134" s="222"/>
      <c r="H134" s="222"/>
      <c r="I134" s="222"/>
      <c r="J134" s="222"/>
      <c r="K134" s="222"/>
      <c r="L134" s="223"/>
      <c r="M134" s="223"/>
      <c r="N134" s="224"/>
      <c r="O134" s="224"/>
      <c r="P134" s="224"/>
      <c r="Q134" s="223"/>
      <c r="R134" s="224"/>
      <c r="S134" s="223"/>
      <c r="T134" s="223"/>
      <c r="U134" s="225"/>
      <c r="V134" s="225"/>
      <c r="W134" s="225"/>
      <c r="X134" s="225"/>
      <c r="Y134" s="225"/>
      <c r="Z134" s="225"/>
      <c r="AA134" s="225"/>
      <c r="AB134" s="225"/>
      <c r="AC134" s="225"/>
      <c r="AD134" s="225"/>
      <c r="AE134" s="244"/>
      <c r="AF134" s="244"/>
      <c r="AG134" s="238"/>
      <c r="AH134" s="238"/>
      <c r="AI134" s="238"/>
      <c r="AJ134" s="238"/>
      <c r="AK134" s="238"/>
      <c r="AL134" s="238"/>
      <c r="AM134" s="238"/>
      <c r="AN134" s="225"/>
      <c r="AO134" s="225"/>
      <c r="AP134" s="225"/>
      <c r="AQ134" s="225"/>
      <c r="AR134" s="225"/>
      <c r="AS134" s="225"/>
      <c r="AT134" s="225"/>
      <c r="AU134" s="225"/>
      <c r="AV134" s="225"/>
      <c r="AW134" s="232"/>
      <c r="AX134" s="232"/>
      <c r="AY134" s="233"/>
      <c r="AZ134" s="232"/>
      <c r="BA134" s="232"/>
      <c r="BB134" s="232"/>
      <c r="BC134" s="232"/>
      <c r="BD134" s="232"/>
      <c r="BE134" s="232"/>
      <c r="BF134" s="232"/>
    </row>
    <row r="135" spans="1:58" x14ac:dyDescent="0.25">
      <c r="A135" s="196"/>
      <c r="B135" s="211"/>
      <c r="C135" s="211"/>
      <c r="D135" s="197"/>
      <c r="E135" s="197"/>
      <c r="F135" s="222"/>
      <c r="G135" s="222"/>
      <c r="H135" s="222"/>
      <c r="I135" s="222"/>
      <c r="J135" s="222"/>
      <c r="K135" s="222"/>
      <c r="L135" s="223"/>
      <c r="M135" s="223"/>
      <c r="N135" s="224"/>
      <c r="O135" s="224"/>
      <c r="P135" s="224"/>
      <c r="Q135" s="223"/>
      <c r="R135" s="224"/>
      <c r="S135" s="223"/>
      <c r="T135" s="223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44"/>
      <c r="AF135" s="244"/>
      <c r="AG135" s="238"/>
      <c r="AH135" s="238"/>
      <c r="AI135" s="238"/>
      <c r="AJ135" s="238"/>
      <c r="AK135" s="238"/>
      <c r="AL135" s="238"/>
      <c r="AM135" s="238"/>
      <c r="AN135" s="225"/>
      <c r="AO135" s="225"/>
      <c r="AP135" s="225"/>
      <c r="AQ135" s="225"/>
      <c r="AR135" s="225"/>
      <c r="AS135" s="225"/>
      <c r="AT135" s="225"/>
      <c r="AU135" s="225"/>
      <c r="AV135" s="225"/>
      <c r="AW135" s="232"/>
      <c r="AX135" s="232"/>
      <c r="AY135" s="233"/>
      <c r="AZ135" s="232"/>
      <c r="BA135" s="232"/>
      <c r="BB135" s="232"/>
      <c r="BC135" s="232"/>
      <c r="BD135" s="232"/>
      <c r="BE135" s="232"/>
      <c r="BF135" s="232"/>
    </row>
    <row r="136" spans="1:58" x14ac:dyDescent="0.25">
      <c r="A136" s="196"/>
      <c r="B136" s="211"/>
      <c r="C136" s="211"/>
      <c r="D136" s="197"/>
      <c r="E136" s="197"/>
      <c r="F136" s="222"/>
      <c r="G136" s="222"/>
      <c r="H136" s="222"/>
      <c r="I136" s="222"/>
      <c r="J136" s="222"/>
      <c r="K136" s="222"/>
      <c r="L136" s="223"/>
      <c r="M136" s="223"/>
      <c r="N136" s="224"/>
      <c r="O136" s="224"/>
      <c r="P136" s="224"/>
      <c r="Q136" s="223"/>
      <c r="R136" s="224"/>
      <c r="S136" s="223"/>
      <c r="T136" s="223"/>
      <c r="U136" s="225"/>
      <c r="V136" s="225"/>
      <c r="W136" s="225"/>
      <c r="X136" s="225"/>
      <c r="Y136" s="225"/>
      <c r="Z136" s="225"/>
      <c r="AA136" s="225"/>
      <c r="AB136" s="225"/>
      <c r="AC136" s="225"/>
      <c r="AD136" s="225"/>
      <c r="AE136" s="244"/>
      <c r="AF136" s="244"/>
      <c r="AG136" s="238"/>
      <c r="AH136" s="238"/>
      <c r="AI136" s="238"/>
      <c r="AJ136" s="238"/>
      <c r="AK136" s="238"/>
      <c r="AL136" s="238"/>
      <c r="AM136" s="238"/>
      <c r="AN136" s="225"/>
      <c r="AO136" s="225"/>
      <c r="AP136" s="225"/>
      <c r="AQ136" s="225"/>
      <c r="AR136" s="225"/>
      <c r="AS136" s="225"/>
      <c r="AT136" s="225"/>
      <c r="AU136" s="225"/>
      <c r="AV136" s="225"/>
      <c r="AW136" s="232"/>
      <c r="AX136" s="232"/>
      <c r="AY136" s="233"/>
      <c r="AZ136" s="232"/>
      <c r="BA136" s="232"/>
      <c r="BB136" s="232"/>
      <c r="BC136" s="232"/>
      <c r="BD136" s="232"/>
      <c r="BE136" s="232"/>
      <c r="BF136" s="232"/>
    </row>
    <row r="137" spans="1:58" x14ac:dyDescent="0.25">
      <c r="A137" s="196"/>
      <c r="B137" s="211"/>
      <c r="C137" s="211"/>
      <c r="D137" s="197"/>
      <c r="E137" s="197"/>
      <c r="F137" s="222"/>
      <c r="G137" s="222"/>
      <c r="H137" s="222"/>
      <c r="I137" s="222"/>
      <c r="J137" s="222"/>
      <c r="K137" s="222"/>
      <c r="L137" s="223"/>
      <c r="M137" s="223"/>
      <c r="N137" s="224"/>
      <c r="O137" s="224"/>
      <c r="P137" s="224"/>
      <c r="Q137" s="223"/>
      <c r="R137" s="224"/>
      <c r="S137" s="223"/>
      <c r="T137" s="223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44"/>
      <c r="AF137" s="244"/>
      <c r="AG137" s="238"/>
      <c r="AH137" s="238"/>
      <c r="AI137" s="238"/>
      <c r="AJ137" s="238"/>
      <c r="AK137" s="238"/>
      <c r="AL137" s="238"/>
      <c r="AM137" s="238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32"/>
      <c r="AX137" s="232"/>
      <c r="AY137" s="233"/>
      <c r="AZ137" s="232"/>
      <c r="BA137" s="232"/>
      <c r="BB137" s="232"/>
      <c r="BC137" s="232"/>
      <c r="BD137" s="232"/>
      <c r="BE137" s="232"/>
      <c r="BF137" s="232"/>
    </row>
    <row r="138" spans="1:58" x14ac:dyDescent="0.25">
      <c r="A138" s="196"/>
      <c r="B138" s="211"/>
      <c r="C138" s="211"/>
      <c r="D138" s="197"/>
      <c r="E138" s="197"/>
      <c r="F138" s="222"/>
      <c r="G138" s="222"/>
      <c r="H138" s="222"/>
      <c r="I138" s="222"/>
      <c r="J138" s="222"/>
      <c r="K138" s="222"/>
      <c r="L138" s="223"/>
      <c r="M138" s="223"/>
      <c r="N138" s="224"/>
      <c r="O138" s="224"/>
      <c r="P138" s="224"/>
      <c r="Q138" s="223"/>
      <c r="R138" s="224"/>
      <c r="S138" s="223"/>
      <c r="T138" s="223"/>
      <c r="U138" s="225"/>
      <c r="V138" s="225"/>
      <c r="W138" s="225"/>
      <c r="X138" s="225"/>
      <c r="Y138" s="225"/>
      <c r="Z138" s="225"/>
      <c r="AA138" s="225"/>
      <c r="AB138" s="225"/>
      <c r="AC138" s="225"/>
      <c r="AD138" s="225"/>
      <c r="AE138" s="244"/>
      <c r="AF138" s="244"/>
      <c r="AG138" s="238"/>
      <c r="AH138" s="238"/>
      <c r="AI138" s="238"/>
      <c r="AJ138" s="238"/>
      <c r="AK138" s="238"/>
      <c r="AL138" s="238"/>
      <c r="AM138" s="238"/>
      <c r="AN138" s="225"/>
      <c r="AO138" s="225"/>
      <c r="AP138" s="225"/>
      <c r="AQ138" s="225"/>
      <c r="AR138" s="225"/>
      <c r="AS138" s="225"/>
      <c r="AT138" s="225"/>
      <c r="AU138" s="225"/>
      <c r="AV138" s="225"/>
      <c r="AW138" s="232"/>
      <c r="AX138" s="232"/>
      <c r="AY138" s="233"/>
      <c r="AZ138" s="232"/>
      <c r="BA138" s="232"/>
      <c r="BB138" s="232"/>
      <c r="BC138" s="232"/>
      <c r="BD138" s="232"/>
      <c r="BE138" s="232"/>
      <c r="BF138" s="232"/>
    </row>
    <row r="139" spans="1:58" x14ac:dyDescent="0.25">
      <c r="A139" s="196"/>
      <c r="B139" s="211"/>
      <c r="C139" s="211"/>
      <c r="D139" s="197"/>
      <c r="E139" s="197"/>
      <c r="F139" s="222"/>
      <c r="G139" s="222"/>
      <c r="H139" s="222"/>
      <c r="I139" s="222"/>
      <c r="J139" s="222"/>
      <c r="K139" s="222"/>
      <c r="L139" s="223"/>
      <c r="M139" s="223"/>
      <c r="N139" s="224"/>
      <c r="O139" s="224"/>
      <c r="P139" s="224"/>
      <c r="Q139" s="223"/>
      <c r="R139" s="224"/>
      <c r="S139" s="223"/>
      <c r="T139" s="223"/>
      <c r="U139" s="225"/>
      <c r="V139" s="225"/>
      <c r="W139" s="225"/>
      <c r="X139" s="225"/>
      <c r="Y139" s="225"/>
      <c r="Z139" s="225"/>
      <c r="AA139" s="225"/>
      <c r="AB139" s="225"/>
      <c r="AC139" s="225"/>
      <c r="AD139" s="225"/>
      <c r="AE139" s="244"/>
      <c r="AF139" s="244"/>
      <c r="AG139" s="238"/>
      <c r="AH139" s="238"/>
      <c r="AI139" s="238"/>
      <c r="AJ139" s="238"/>
      <c r="AK139" s="238"/>
      <c r="AL139" s="238"/>
      <c r="AM139" s="238"/>
      <c r="AN139" s="225"/>
      <c r="AO139" s="225"/>
      <c r="AP139" s="225"/>
      <c r="AQ139" s="225"/>
      <c r="AR139" s="225"/>
      <c r="AS139" s="225"/>
      <c r="AT139" s="225"/>
      <c r="AU139" s="225"/>
      <c r="AV139" s="225"/>
      <c r="AW139" s="232"/>
      <c r="AX139" s="232"/>
      <c r="AY139" s="233"/>
      <c r="AZ139" s="232"/>
      <c r="BA139" s="232"/>
      <c r="BB139" s="232"/>
      <c r="BC139" s="232"/>
      <c r="BD139" s="232"/>
      <c r="BE139" s="232"/>
      <c r="BF139" s="232"/>
    </row>
    <row r="140" spans="1:58" x14ac:dyDescent="0.25">
      <c r="A140" s="196"/>
      <c r="B140" s="211"/>
      <c r="C140" s="211"/>
      <c r="D140" s="197"/>
      <c r="E140" s="197"/>
      <c r="F140" s="222"/>
      <c r="G140" s="222"/>
      <c r="H140" s="222"/>
      <c r="I140" s="222"/>
      <c r="J140" s="222"/>
      <c r="K140" s="222"/>
      <c r="L140" s="223"/>
      <c r="M140" s="223"/>
      <c r="N140" s="224"/>
      <c r="O140" s="224"/>
      <c r="P140" s="224"/>
      <c r="Q140" s="223"/>
      <c r="R140" s="224"/>
      <c r="S140" s="223"/>
      <c r="T140" s="223"/>
      <c r="U140" s="225"/>
      <c r="V140" s="225"/>
      <c r="W140" s="225"/>
      <c r="X140" s="225"/>
      <c r="Y140" s="225"/>
      <c r="Z140" s="225"/>
      <c r="AA140" s="225"/>
      <c r="AB140" s="225"/>
      <c r="AC140" s="225"/>
      <c r="AD140" s="225"/>
      <c r="AE140" s="244"/>
      <c r="AF140" s="244"/>
      <c r="AG140" s="238"/>
      <c r="AH140" s="238"/>
      <c r="AI140" s="238"/>
      <c r="AJ140" s="238"/>
      <c r="AK140" s="238"/>
      <c r="AL140" s="238"/>
      <c r="AM140" s="238"/>
      <c r="AN140" s="225"/>
      <c r="AO140" s="225"/>
      <c r="AP140" s="225"/>
      <c r="AQ140" s="225"/>
      <c r="AR140" s="225"/>
      <c r="AS140" s="225"/>
      <c r="AT140" s="225"/>
      <c r="AU140" s="225"/>
      <c r="AV140" s="225"/>
      <c r="AW140" s="232"/>
      <c r="AX140" s="232"/>
      <c r="AY140" s="233"/>
      <c r="AZ140" s="232"/>
      <c r="BA140" s="232"/>
      <c r="BB140" s="232"/>
      <c r="BC140" s="232"/>
      <c r="BD140" s="232"/>
      <c r="BE140" s="232"/>
      <c r="BF140" s="232"/>
    </row>
    <row r="141" spans="1:58" x14ac:dyDescent="0.25">
      <c r="A141" s="196"/>
      <c r="B141" s="211"/>
      <c r="C141" s="211"/>
      <c r="D141" s="197"/>
      <c r="E141" s="197"/>
      <c r="F141" s="222"/>
      <c r="G141" s="222"/>
      <c r="H141" s="222"/>
      <c r="I141" s="222"/>
      <c r="J141" s="222"/>
      <c r="K141" s="222"/>
      <c r="L141" s="223"/>
      <c r="M141" s="223"/>
      <c r="N141" s="224"/>
      <c r="O141" s="224"/>
      <c r="P141" s="224"/>
      <c r="Q141" s="223"/>
      <c r="R141" s="224"/>
      <c r="S141" s="223"/>
      <c r="T141" s="223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44"/>
      <c r="AF141" s="244"/>
      <c r="AG141" s="238"/>
      <c r="AH141" s="238"/>
      <c r="AI141" s="238"/>
      <c r="AJ141" s="238"/>
      <c r="AK141" s="238"/>
      <c r="AL141" s="238"/>
      <c r="AM141" s="238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32"/>
      <c r="AX141" s="232"/>
      <c r="AY141" s="233"/>
      <c r="AZ141" s="232"/>
      <c r="BA141" s="232"/>
      <c r="BB141" s="232"/>
      <c r="BC141" s="232"/>
      <c r="BD141" s="232"/>
      <c r="BE141" s="232"/>
      <c r="BF141" s="232"/>
    </row>
    <row r="142" spans="1:58" x14ac:dyDescent="0.25">
      <c r="A142" s="196"/>
      <c r="B142" s="211"/>
      <c r="C142" s="211"/>
      <c r="D142" s="197"/>
      <c r="E142" s="197"/>
      <c r="F142" s="222"/>
      <c r="G142" s="222"/>
      <c r="H142" s="222"/>
      <c r="I142" s="222"/>
      <c r="J142" s="222"/>
      <c r="K142" s="222"/>
      <c r="L142" s="223"/>
      <c r="M142" s="223"/>
      <c r="N142" s="224"/>
      <c r="O142" s="224"/>
      <c r="P142" s="224"/>
      <c r="Q142" s="223"/>
      <c r="R142" s="224"/>
      <c r="S142" s="223"/>
      <c r="T142" s="223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44"/>
      <c r="AF142" s="244"/>
      <c r="AG142" s="238"/>
      <c r="AH142" s="238"/>
      <c r="AI142" s="238"/>
      <c r="AJ142" s="238"/>
      <c r="AK142" s="238"/>
      <c r="AL142" s="238"/>
      <c r="AM142" s="238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32"/>
      <c r="AX142" s="232"/>
      <c r="AY142" s="233"/>
      <c r="AZ142" s="232"/>
      <c r="BA142" s="232"/>
      <c r="BB142" s="232"/>
      <c r="BC142" s="232"/>
      <c r="BD142" s="232"/>
      <c r="BE142" s="232"/>
      <c r="BF142" s="232"/>
    </row>
    <row r="143" spans="1:58" x14ac:dyDescent="0.25">
      <c r="A143" s="196"/>
      <c r="B143" s="211"/>
      <c r="C143" s="211"/>
      <c r="D143" s="197"/>
      <c r="E143" s="197"/>
      <c r="F143" s="222"/>
      <c r="G143" s="222"/>
      <c r="H143" s="222"/>
      <c r="I143" s="222"/>
      <c r="J143" s="222"/>
      <c r="K143" s="222"/>
      <c r="L143" s="223"/>
      <c r="M143" s="223"/>
      <c r="N143" s="224"/>
      <c r="O143" s="224"/>
      <c r="P143" s="224"/>
      <c r="Q143" s="223"/>
      <c r="R143" s="224"/>
      <c r="S143" s="223"/>
      <c r="T143" s="223"/>
      <c r="U143" s="225"/>
      <c r="V143" s="225"/>
      <c r="W143" s="225"/>
      <c r="X143" s="225"/>
      <c r="Y143" s="225"/>
      <c r="Z143" s="225"/>
      <c r="AA143" s="225"/>
      <c r="AB143" s="225"/>
      <c r="AC143" s="225"/>
      <c r="AD143" s="225"/>
      <c r="AE143" s="244"/>
      <c r="AF143" s="244"/>
      <c r="AG143" s="238"/>
      <c r="AH143" s="238"/>
      <c r="AI143" s="238"/>
      <c r="AJ143" s="238"/>
      <c r="AK143" s="238"/>
      <c r="AL143" s="238"/>
      <c r="AM143" s="238"/>
      <c r="AN143" s="225"/>
      <c r="AO143" s="225"/>
      <c r="AP143" s="225"/>
      <c r="AQ143" s="225"/>
      <c r="AR143" s="225"/>
      <c r="AS143" s="225"/>
      <c r="AT143" s="225"/>
      <c r="AU143" s="225"/>
      <c r="AV143" s="225"/>
      <c r="AW143" s="232"/>
      <c r="AX143" s="232"/>
      <c r="AY143" s="233"/>
      <c r="AZ143" s="232"/>
      <c r="BA143" s="232"/>
      <c r="BB143" s="232"/>
      <c r="BC143" s="232"/>
      <c r="BD143" s="232"/>
      <c r="BE143" s="232"/>
      <c r="BF143" s="232"/>
    </row>
    <row r="144" spans="1:58" x14ac:dyDescent="0.25">
      <c r="A144" s="196"/>
      <c r="B144" s="211"/>
      <c r="C144" s="211"/>
      <c r="D144" s="197"/>
      <c r="E144" s="197"/>
      <c r="F144" s="222"/>
      <c r="G144" s="222"/>
      <c r="H144" s="222"/>
      <c r="I144" s="222"/>
      <c r="J144" s="222"/>
      <c r="K144" s="222"/>
      <c r="L144" s="223"/>
      <c r="M144" s="223"/>
      <c r="N144" s="224"/>
      <c r="O144" s="224"/>
      <c r="P144" s="224"/>
      <c r="Q144" s="223"/>
      <c r="R144" s="224"/>
      <c r="S144" s="223"/>
      <c r="T144" s="223"/>
      <c r="U144" s="225"/>
      <c r="V144" s="225"/>
      <c r="W144" s="225"/>
      <c r="X144" s="225"/>
      <c r="Y144" s="225"/>
      <c r="Z144" s="225"/>
      <c r="AA144" s="225"/>
      <c r="AB144" s="225"/>
      <c r="AC144" s="225"/>
      <c r="AD144" s="225"/>
      <c r="AE144" s="244"/>
      <c r="AF144" s="244"/>
      <c r="AG144" s="238"/>
      <c r="AH144" s="238"/>
      <c r="AI144" s="238"/>
      <c r="AJ144" s="238"/>
      <c r="AK144" s="238"/>
      <c r="AL144" s="238"/>
      <c r="AM144" s="238"/>
      <c r="AN144" s="225"/>
      <c r="AO144" s="225"/>
      <c r="AP144" s="225"/>
      <c r="AQ144" s="225"/>
      <c r="AR144" s="225"/>
      <c r="AS144" s="225"/>
      <c r="AT144" s="225"/>
      <c r="AU144" s="225"/>
      <c r="AV144" s="225"/>
      <c r="AW144" s="232"/>
      <c r="AX144" s="232"/>
      <c r="AY144" s="233"/>
      <c r="AZ144" s="232"/>
      <c r="BA144" s="232"/>
      <c r="BB144" s="232"/>
      <c r="BC144" s="232"/>
      <c r="BD144" s="232"/>
      <c r="BE144" s="232"/>
      <c r="BF144" s="232"/>
    </row>
    <row r="145" spans="1:58" x14ac:dyDescent="0.25">
      <c r="A145" s="196"/>
      <c r="B145" s="211"/>
      <c r="C145" s="211"/>
      <c r="D145" s="197"/>
      <c r="E145" s="197"/>
      <c r="F145" s="222"/>
      <c r="G145" s="222"/>
      <c r="H145" s="222"/>
      <c r="I145" s="222"/>
      <c r="J145" s="222"/>
      <c r="K145" s="222"/>
      <c r="L145" s="223"/>
      <c r="M145" s="223"/>
      <c r="N145" s="224"/>
      <c r="O145" s="224"/>
      <c r="P145" s="224"/>
      <c r="Q145" s="223"/>
      <c r="R145" s="224"/>
      <c r="S145" s="223"/>
      <c r="T145" s="223"/>
      <c r="U145" s="225"/>
      <c r="V145" s="225"/>
      <c r="W145" s="225"/>
      <c r="X145" s="225"/>
      <c r="Y145" s="225"/>
      <c r="Z145" s="225"/>
      <c r="AA145" s="225"/>
      <c r="AB145" s="225"/>
      <c r="AC145" s="225"/>
      <c r="AD145" s="225"/>
      <c r="AE145" s="244"/>
      <c r="AF145" s="244"/>
      <c r="AG145" s="238"/>
      <c r="AH145" s="238"/>
      <c r="AI145" s="238"/>
      <c r="AJ145" s="238"/>
      <c r="AK145" s="238"/>
      <c r="AL145" s="238"/>
      <c r="AM145" s="238"/>
      <c r="AN145" s="225"/>
      <c r="AO145" s="225"/>
      <c r="AP145" s="225"/>
      <c r="AQ145" s="225"/>
      <c r="AR145" s="225"/>
      <c r="AS145" s="225"/>
      <c r="AT145" s="225"/>
      <c r="AU145" s="225"/>
      <c r="AV145" s="225"/>
      <c r="AW145" s="232"/>
      <c r="AX145" s="232"/>
      <c r="AY145" s="233"/>
      <c r="AZ145" s="232"/>
      <c r="BA145" s="232"/>
      <c r="BB145" s="232"/>
      <c r="BC145" s="232"/>
      <c r="BD145" s="232"/>
      <c r="BE145" s="232"/>
      <c r="BF145" s="232"/>
    </row>
    <row r="146" spans="1:58" x14ac:dyDescent="0.25">
      <c r="A146" s="196"/>
      <c r="B146" s="211"/>
      <c r="C146" s="211"/>
      <c r="D146" s="197"/>
      <c r="E146" s="197"/>
      <c r="F146" s="222"/>
      <c r="G146" s="222"/>
      <c r="H146" s="222"/>
      <c r="I146" s="222"/>
      <c r="J146" s="222"/>
      <c r="K146" s="222"/>
      <c r="L146" s="223"/>
      <c r="M146" s="223"/>
      <c r="N146" s="224"/>
      <c r="O146" s="224"/>
      <c r="P146" s="224"/>
      <c r="Q146" s="223"/>
      <c r="R146" s="224"/>
      <c r="S146" s="223"/>
      <c r="T146" s="223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44"/>
      <c r="AF146" s="244"/>
      <c r="AG146" s="238"/>
      <c r="AH146" s="238"/>
      <c r="AI146" s="238"/>
      <c r="AJ146" s="238"/>
      <c r="AK146" s="238"/>
      <c r="AL146" s="238"/>
      <c r="AM146" s="238"/>
      <c r="AN146" s="225"/>
      <c r="AO146" s="225"/>
      <c r="AP146" s="225"/>
      <c r="AQ146" s="225"/>
      <c r="AR146" s="225"/>
      <c r="AS146" s="225"/>
      <c r="AT146" s="225"/>
      <c r="AU146" s="225"/>
      <c r="AV146" s="225"/>
      <c r="AW146" s="232"/>
      <c r="AX146" s="232"/>
      <c r="AY146" s="233"/>
      <c r="AZ146" s="232"/>
      <c r="BA146" s="232"/>
      <c r="BB146" s="232"/>
      <c r="BC146" s="232"/>
      <c r="BD146" s="232"/>
      <c r="BE146" s="232"/>
      <c r="BF146" s="232"/>
    </row>
    <row r="147" spans="1:58" x14ac:dyDescent="0.25">
      <c r="A147" s="196"/>
      <c r="B147" s="211"/>
      <c r="C147" s="211"/>
      <c r="D147" s="197"/>
      <c r="E147" s="197"/>
      <c r="F147" s="222"/>
      <c r="G147" s="222"/>
      <c r="H147" s="222"/>
      <c r="I147" s="222"/>
      <c r="J147" s="222"/>
      <c r="K147" s="222"/>
      <c r="L147" s="223"/>
      <c r="M147" s="223"/>
      <c r="N147" s="224"/>
      <c r="O147" s="224"/>
      <c r="P147" s="224"/>
      <c r="Q147" s="223"/>
      <c r="R147" s="224"/>
      <c r="S147" s="223"/>
      <c r="T147" s="223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44"/>
      <c r="AF147" s="244"/>
      <c r="AG147" s="238"/>
      <c r="AH147" s="238"/>
      <c r="AI147" s="238"/>
      <c r="AJ147" s="238"/>
      <c r="AK147" s="238"/>
      <c r="AL147" s="238"/>
      <c r="AM147" s="238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32"/>
      <c r="AX147" s="232"/>
      <c r="AY147" s="233"/>
      <c r="AZ147" s="232"/>
      <c r="BA147" s="232"/>
      <c r="BB147" s="232"/>
      <c r="BC147" s="232"/>
      <c r="BD147" s="232"/>
      <c r="BE147" s="232"/>
      <c r="BF147" s="232"/>
    </row>
    <row r="148" spans="1:58" x14ac:dyDescent="0.25">
      <c r="A148" s="196"/>
      <c r="B148" s="211"/>
      <c r="C148" s="211"/>
      <c r="D148" s="197"/>
      <c r="E148" s="197"/>
      <c r="F148" s="222"/>
      <c r="G148" s="222"/>
      <c r="H148" s="222"/>
      <c r="I148" s="222"/>
      <c r="J148" s="222"/>
      <c r="K148" s="222"/>
      <c r="L148" s="223"/>
      <c r="M148" s="223"/>
      <c r="N148" s="224"/>
      <c r="O148" s="224"/>
      <c r="P148" s="224"/>
      <c r="Q148" s="223"/>
      <c r="R148" s="224"/>
      <c r="S148" s="223"/>
      <c r="T148" s="223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44"/>
      <c r="AF148" s="244"/>
      <c r="AG148" s="238"/>
      <c r="AH148" s="238"/>
      <c r="AI148" s="238"/>
      <c r="AJ148" s="238"/>
      <c r="AK148" s="238"/>
      <c r="AL148" s="238"/>
      <c r="AM148" s="238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32"/>
      <c r="AX148" s="232"/>
      <c r="AY148" s="233"/>
      <c r="AZ148" s="232"/>
      <c r="BA148" s="232"/>
      <c r="BB148" s="232"/>
      <c r="BC148" s="232"/>
      <c r="BD148" s="232"/>
      <c r="BE148" s="232"/>
      <c r="BF148" s="232"/>
    </row>
    <row r="149" spans="1:58" x14ac:dyDescent="0.25">
      <c r="A149" s="196"/>
      <c r="B149" s="211"/>
      <c r="C149" s="211"/>
      <c r="D149" s="197"/>
      <c r="E149" s="197"/>
      <c r="F149" s="222"/>
      <c r="G149" s="222"/>
      <c r="H149" s="222"/>
      <c r="I149" s="222"/>
      <c r="J149" s="222"/>
      <c r="K149" s="222"/>
      <c r="L149" s="223"/>
      <c r="M149" s="223"/>
      <c r="N149" s="224"/>
      <c r="O149" s="224"/>
      <c r="P149" s="224"/>
      <c r="Q149" s="223"/>
      <c r="R149" s="224"/>
      <c r="S149" s="223"/>
      <c r="T149" s="223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44"/>
      <c r="AF149" s="244"/>
      <c r="AG149" s="238"/>
      <c r="AH149" s="238"/>
      <c r="AI149" s="238"/>
      <c r="AJ149" s="238"/>
      <c r="AK149" s="238"/>
      <c r="AL149" s="238"/>
      <c r="AM149" s="238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32"/>
      <c r="AX149" s="232"/>
      <c r="AY149" s="233"/>
      <c r="AZ149" s="232"/>
      <c r="BA149" s="232"/>
      <c r="BB149" s="232"/>
      <c r="BC149" s="232"/>
      <c r="BD149" s="232"/>
      <c r="BE149" s="232"/>
      <c r="BF149" s="232"/>
    </row>
    <row r="150" spans="1:58" x14ac:dyDescent="0.25">
      <c r="A150" s="196"/>
      <c r="B150" s="211"/>
      <c r="C150" s="211"/>
      <c r="D150" s="197"/>
      <c r="E150" s="197"/>
      <c r="F150" s="222"/>
      <c r="G150" s="222"/>
      <c r="H150" s="222"/>
      <c r="I150" s="222"/>
      <c r="J150" s="222"/>
      <c r="K150" s="222"/>
      <c r="L150" s="223"/>
      <c r="M150" s="223"/>
      <c r="N150" s="224"/>
      <c r="O150" s="224"/>
      <c r="P150" s="224"/>
      <c r="Q150" s="223"/>
      <c r="R150" s="224"/>
      <c r="S150" s="223"/>
      <c r="T150" s="223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44"/>
      <c r="AF150" s="244"/>
      <c r="AG150" s="238"/>
      <c r="AH150" s="238"/>
      <c r="AI150" s="238"/>
      <c r="AJ150" s="238"/>
      <c r="AK150" s="238"/>
      <c r="AL150" s="238"/>
      <c r="AM150" s="238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32"/>
      <c r="AX150" s="232"/>
      <c r="AY150" s="233"/>
      <c r="AZ150" s="232"/>
      <c r="BA150" s="232"/>
      <c r="BB150" s="232"/>
      <c r="BC150" s="232"/>
      <c r="BD150" s="232"/>
      <c r="BE150" s="232"/>
      <c r="BF150" s="232"/>
    </row>
    <row r="151" spans="1:58" x14ac:dyDescent="0.25">
      <c r="A151" s="196"/>
      <c r="B151" s="211"/>
      <c r="C151" s="211"/>
      <c r="D151" s="197"/>
      <c r="E151" s="197"/>
      <c r="F151" s="222"/>
      <c r="G151" s="222"/>
      <c r="H151" s="222"/>
      <c r="I151" s="222"/>
      <c r="J151" s="222"/>
      <c r="K151" s="222"/>
      <c r="L151" s="223"/>
      <c r="M151" s="223"/>
      <c r="N151" s="224"/>
      <c r="O151" s="224"/>
      <c r="P151" s="224"/>
      <c r="Q151" s="223"/>
      <c r="R151" s="224"/>
      <c r="S151" s="223"/>
      <c r="T151" s="223"/>
      <c r="U151" s="225"/>
      <c r="V151" s="225"/>
      <c r="W151" s="225"/>
      <c r="X151" s="225"/>
      <c r="Y151" s="225"/>
      <c r="Z151" s="225"/>
      <c r="AA151" s="225"/>
      <c r="AB151" s="225"/>
      <c r="AC151" s="225"/>
      <c r="AD151" s="225"/>
      <c r="AE151" s="244"/>
      <c r="AF151" s="244"/>
      <c r="AG151" s="238"/>
      <c r="AH151" s="238"/>
      <c r="AI151" s="238"/>
      <c r="AJ151" s="238"/>
      <c r="AK151" s="238"/>
      <c r="AL151" s="238"/>
      <c r="AM151" s="238"/>
      <c r="AN151" s="225"/>
      <c r="AO151" s="225"/>
      <c r="AP151" s="225"/>
      <c r="AQ151" s="225"/>
      <c r="AR151" s="225"/>
      <c r="AS151" s="225"/>
      <c r="AT151" s="225"/>
      <c r="AU151" s="225"/>
      <c r="AV151" s="225"/>
      <c r="AW151" s="232"/>
      <c r="AX151" s="232"/>
      <c r="AY151" s="233"/>
      <c r="AZ151" s="232"/>
      <c r="BA151" s="232"/>
      <c r="BB151" s="232"/>
      <c r="BC151" s="232"/>
      <c r="BD151" s="232"/>
      <c r="BE151" s="232"/>
      <c r="BF151" s="232"/>
    </row>
    <row r="152" spans="1:58" x14ac:dyDescent="0.25">
      <c r="A152" s="196"/>
      <c r="B152" s="211"/>
      <c r="C152" s="211"/>
      <c r="D152" s="197"/>
      <c r="E152" s="197"/>
      <c r="F152" s="222"/>
      <c r="G152" s="222"/>
      <c r="H152" s="222"/>
      <c r="I152" s="222"/>
      <c r="J152" s="222"/>
      <c r="K152" s="222"/>
      <c r="L152" s="223"/>
      <c r="M152" s="223"/>
      <c r="N152" s="224"/>
      <c r="O152" s="224"/>
      <c r="P152" s="224"/>
      <c r="Q152" s="223"/>
      <c r="R152" s="224"/>
      <c r="S152" s="223"/>
      <c r="T152" s="223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44"/>
      <c r="AF152" s="244"/>
      <c r="AG152" s="238"/>
      <c r="AH152" s="238"/>
      <c r="AI152" s="238"/>
      <c r="AJ152" s="238"/>
      <c r="AK152" s="238"/>
      <c r="AL152" s="238"/>
      <c r="AM152" s="238"/>
      <c r="AN152" s="225"/>
      <c r="AO152" s="225"/>
      <c r="AP152" s="225"/>
      <c r="AQ152" s="225"/>
      <c r="AR152" s="225"/>
      <c r="AS152" s="225"/>
      <c r="AT152" s="225"/>
      <c r="AU152" s="225"/>
      <c r="AV152" s="225"/>
      <c r="AW152" s="232"/>
      <c r="AX152" s="232"/>
      <c r="AY152" s="233"/>
      <c r="AZ152" s="232"/>
      <c r="BA152" s="232"/>
      <c r="BB152" s="232"/>
      <c r="BC152" s="232"/>
      <c r="BD152" s="232"/>
      <c r="BE152" s="232"/>
      <c r="BF152" s="232"/>
    </row>
    <row r="153" spans="1:58" x14ac:dyDescent="0.25">
      <c r="A153" s="196"/>
      <c r="B153" s="211"/>
      <c r="C153" s="211"/>
      <c r="D153" s="197"/>
      <c r="E153" s="197"/>
      <c r="F153" s="222"/>
      <c r="G153" s="222"/>
      <c r="H153" s="222"/>
      <c r="I153" s="222"/>
      <c r="J153" s="222"/>
      <c r="K153" s="222"/>
      <c r="L153" s="223"/>
      <c r="M153" s="223"/>
      <c r="N153" s="224"/>
      <c r="O153" s="224"/>
      <c r="P153" s="224"/>
      <c r="Q153" s="223"/>
      <c r="R153" s="224"/>
      <c r="S153" s="223"/>
      <c r="T153" s="223"/>
      <c r="U153" s="225"/>
      <c r="V153" s="225"/>
      <c r="W153" s="225"/>
      <c r="X153" s="225"/>
      <c r="Y153" s="225"/>
      <c r="Z153" s="225"/>
      <c r="AA153" s="225"/>
      <c r="AB153" s="225"/>
      <c r="AC153" s="225"/>
      <c r="AD153" s="225"/>
      <c r="AE153" s="244"/>
      <c r="AF153" s="244"/>
      <c r="AG153" s="238"/>
      <c r="AH153" s="238"/>
      <c r="AI153" s="238"/>
      <c r="AJ153" s="238"/>
      <c r="AK153" s="238"/>
      <c r="AL153" s="238"/>
      <c r="AM153" s="238"/>
      <c r="AN153" s="225"/>
      <c r="AO153" s="225"/>
      <c r="AP153" s="225"/>
      <c r="AQ153" s="225"/>
      <c r="AR153" s="225"/>
      <c r="AS153" s="225"/>
      <c r="AT153" s="225"/>
      <c r="AU153" s="225"/>
      <c r="AV153" s="225"/>
      <c r="AW153" s="232"/>
      <c r="AX153" s="232"/>
      <c r="AY153" s="233"/>
      <c r="AZ153" s="232"/>
      <c r="BA153" s="232"/>
      <c r="BB153" s="232"/>
      <c r="BC153" s="232"/>
      <c r="BD153" s="232"/>
      <c r="BE153" s="232"/>
      <c r="BF153" s="232"/>
    </row>
    <row r="154" spans="1:58" x14ac:dyDescent="0.25">
      <c r="A154" s="196"/>
      <c r="B154" s="211"/>
      <c r="C154" s="211"/>
      <c r="D154" s="197"/>
      <c r="E154" s="197"/>
      <c r="F154" s="222"/>
      <c r="G154" s="222"/>
      <c r="H154" s="222"/>
      <c r="I154" s="222"/>
      <c r="J154" s="222"/>
      <c r="K154" s="222"/>
      <c r="L154" s="223"/>
      <c r="M154" s="223"/>
      <c r="N154" s="224"/>
      <c r="O154" s="224"/>
      <c r="P154" s="224"/>
      <c r="Q154" s="223"/>
      <c r="R154" s="224"/>
      <c r="S154" s="223"/>
      <c r="T154" s="223"/>
      <c r="U154" s="225"/>
      <c r="V154" s="225"/>
      <c r="W154" s="225"/>
      <c r="X154" s="225"/>
      <c r="Y154" s="225"/>
      <c r="Z154" s="225"/>
      <c r="AA154" s="225"/>
      <c r="AB154" s="225"/>
      <c r="AC154" s="225"/>
      <c r="AD154" s="225"/>
      <c r="AE154" s="244"/>
      <c r="AF154" s="244"/>
      <c r="AG154" s="238"/>
      <c r="AH154" s="238"/>
      <c r="AI154" s="238"/>
      <c r="AJ154" s="238"/>
      <c r="AK154" s="238"/>
      <c r="AL154" s="238"/>
      <c r="AM154" s="238"/>
      <c r="AN154" s="225"/>
      <c r="AO154" s="225"/>
      <c r="AP154" s="225"/>
      <c r="AQ154" s="225"/>
      <c r="AR154" s="225"/>
      <c r="AS154" s="225"/>
      <c r="AT154" s="225"/>
      <c r="AU154" s="225"/>
      <c r="AV154" s="225"/>
      <c r="AW154" s="232"/>
      <c r="AX154" s="232"/>
      <c r="AY154" s="233"/>
      <c r="AZ154" s="232"/>
      <c r="BA154" s="232"/>
      <c r="BB154" s="232"/>
      <c r="BC154" s="232"/>
      <c r="BD154" s="232"/>
      <c r="BE154" s="232"/>
      <c r="BF154" s="232"/>
    </row>
    <row r="155" spans="1:58" x14ac:dyDescent="0.25">
      <c r="A155" s="196"/>
      <c r="B155" s="211"/>
      <c r="C155" s="211"/>
      <c r="D155" s="197"/>
      <c r="E155" s="197"/>
      <c r="F155" s="222"/>
      <c r="G155" s="222"/>
      <c r="H155" s="222"/>
      <c r="I155" s="222"/>
      <c r="J155" s="222"/>
      <c r="K155" s="222"/>
      <c r="L155" s="223"/>
      <c r="M155" s="223"/>
      <c r="N155" s="224"/>
      <c r="O155" s="224"/>
      <c r="P155" s="224"/>
      <c r="Q155" s="223"/>
      <c r="R155" s="224"/>
      <c r="S155" s="223"/>
      <c r="T155" s="223"/>
      <c r="U155" s="225"/>
      <c r="V155" s="225"/>
      <c r="W155" s="225"/>
      <c r="X155" s="225"/>
      <c r="Y155" s="225"/>
      <c r="Z155" s="225"/>
      <c r="AA155" s="225"/>
      <c r="AB155" s="225"/>
      <c r="AC155" s="225"/>
      <c r="AD155" s="225"/>
      <c r="AE155" s="244"/>
      <c r="AF155" s="244"/>
      <c r="AG155" s="238"/>
      <c r="AH155" s="238"/>
      <c r="AI155" s="238"/>
      <c r="AJ155" s="238"/>
      <c r="AK155" s="238"/>
      <c r="AL155" s="238"/>
      <c r="AM155" s="238"/>
      <c r="AN155" s="225"/>
      <c r="AO155" s="225"/>
      <c r="AP155" s="225"/>
      <c r="AQ155" s="225"/>
      <c r="AR155" s="225"/>
      <c r="AS155" s="225"/>
      <c r="AT155" s="225"/>
      <c r="AU155" s="225"/>
      <c r="AV155" s="225"/>
      <c r="AW155" s="232"/>
      <c r="AX155" s="232"/>
      <c r="AY155" s="233"/>
      <c r="AZ155" s="232"/>
      <c r="BA155" s="232"/>
      <c r="BB155" s="232"/>
      <c r="BC155" s="232"/>
      <c r="BD155" s="232"/>
      <c r="BE155" s="232"/>
      <c r="BF155" s="232"/>
    </row>
    <row r="156" spans="1:58" x14ac:dyDescent="0.25">
      <c r="A156" s="196"/>
      <c r="B156" s="211"/>
      <c r="C156" s="211"/>
      <c r="D156" s="197"/>
      <c r="E156" s="197"/>
      <c r="F156" s="222"/>
      <c r="G156" s="222"/>
      <c r="H156" s="222"/>
      <c r="I156" s="222"/>
      <c r="J156" s="222"/>
      <c r="K156" s="222"/>
      <c r="L156" s="223"/>
      <c r="M156" s="223"/>
      <c r="N156" s="224"/>
      <c r="O156" s="224"/>
      <c r="P156" s="224"/>
      <c r="Q156" s="223"/>
      <c r="R156" s="224"/>
      <c r="S156" s="223"/>
      <c r="T156" s="223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225"/>
      <c r="AE156" s="244"/>
      <c r="AF156" s="244"/>
      <c r="AG156" s="238"/>
      <c r="AH156" s="238"/>
      <c r="AI156" s="238"/>
      <c r="AJ156" s="238"/>
      <c r="AK156" s="238"/>
      <c r="AL156" s="238"/>
      <c r="AM156" s="238"/>
      <c r="AN156" s="225"/>
      <c r="AO156" s="225"/>
      <c r="AP156" s="225"/>
      <c r="AQ156" s="225"/>
      <c r="AR156" s="225"/>
      <c r="AS156" s="225"/>
      <c r="AT156" s="225"/>
      <c r="AU156" s="225"/>
      <c r="AV156" s="225"/>
      <c r="AW156" s="232"/>
      <c r="AX156" s="232"/>
      <c r="AY156" s="233"/>
      <c r="AZ156" s="232"/>
      <c r="BA156" s="232"/>
      <c r="BB156" s="232"/>
      <c r="BC156" s="232"/>
      <c r="BD156" s="232"/>
      <c r="BE156" s="232"/>
      <c r="BF156" s="232"/>
    </row>
    <row r="157" spans="1:58" x14ac:dyDescent="0.25">
      <c r="A157" s="196"/>
      <c r="B157" s="211"/>
      <c r="C157" s="211"/>
      <c r="D157" s="197"/>
      <c r="E157" s="197"/>
      <c r="F157" s="222"/>
      <c r="G157" s="222"/>
      <c r="H157" s="222"/>
      <c r="I157" s="222"/>
      <c r="J157" s="222"/>
      <c r="K157" s="222"/>
      <c r="L157" s="223"/>
      <c r="M157" s="223"/>
      <c r="N157" s="224"/>
      <c r="O157" s="224"/>
      <c r="P157" s="224"/>
      <c r="Q157" s="223"/>
      <c r="R157" s="224"/>
      <c r="S157" s="223"/>
      <c r="T157" s="223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44"/>
      <c r="AF157" s="244"/>
      <c r="AG157" s="238"/>
      <c r="AH157" s="238"/>
      <c r="AI157" s="238"/>
      <c r="AJ157" s="238"/>
      <c r="AK157" s="238"/>
      <c r="AL157" s="238"/>
      <c r="AM157" s="238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32"/>
      <c r="AX157" s="232"/>
      <c r="AY157" s="233"/>
      <c r="AZ157" s="232"/>
      <c r="BA157" s="232"/>
      <c r="BB157" s="232"/>
      <c r="BC157" s="232"/>
      <c r="BD157" s="232"/>
      <c r="BE157" s="232"/>
      <c r="BF157" s="232"/>
    </row>
    <row r="158" spans="1:58" x14ac:dyDescent="0.25">
      <c r="A158" s="196"/>
      <c r="B158" s="211"/>
      <c r="C158" s="211"/>
      <c r="D158" s="197"/>
      <c r="E158" s="197"/>
      <c r="F158" s="222"/>
      <c r="G158" s="222"/>
      <c r="H158" s="222"/>
      <c r="I158" s="222"/>
      <c r="J158" s="222"/>
      <c r="K158" s="222"/>
      <c r="L158" s="223"/>
      <c r="M158" s="223"/>
      <c r="N158" s="224"/>
      <c r="O158" s="224"/>
      <c r="P158" s="224"/>
      <c r="Q158" s="223"/>
      <c r="R158" s="224"/>
      <c r="S158" s="223"/>
      <c r="T158" s="223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225"/>
      <c r="AE158" s="244"/>
      <c r="AF158" s="244"/>
      <c r="AG158" s="238"/>
      <c r="AH158" s="238"/>
      <c r="AI158" s="238"/>
      <c r="AJ158" s="238"/>
      <c r="AK158" s="238"/>
      <c r="AL158" s="238"/>
      <c r="AM158" s="238"/>
      <c r="AN158" s="225"/>
      <c r="AO158" s="225"/>
      <c r="AP158" s="225"/>
      <c r="AQ158" s="225"/>
      <c r="AR158" s="225"/>
      <c r="AS158" s="225"/>
      <c r="AT158" s="225"/>
      <c r="AU158" s="225"/>
      <c r="AV158" s="225"/>
      <c r="AW158" s="232"/>
      <c r="AX158" s="232"/>
      <c r="AY158" s="233"/>
      <c r="AZ158" s="232"/>
      <c r="BA158" s="232"/>
      <c r="BB158" s="232"/>
      <c r="BC158" s="232"/>
      <c r="BD158" s="232"/>
      <c r="BE158" s="232"/>
      <c r="BF158" s="232"/>
    </row>
    <row r="159" spans="1:58" x14ac:dyDescent="0.25">
      <c r="A159" s="196"/>
      <c r="B159" s="211"/>
      <c r="C159" s="211"/>
      <c r="D159" s="197"/>
      <c r="E159" s="197"/>
      <c r="F159" s="222"/>
      <c r="G159" s="222"/>
      <c r="H159" s="222"/>
      <c r="I159" s="222"/>
      <c r="J159" s="222"/>
      <c r="K159" s="222"/>
      <c r="L159" s="223"/>
      <c r="M159" s="223"/>
      <c r="N159" s="224"/>
      <c r="O159" s="224"/>
      <c r="P159" s="224"/>
      <c r="Q159" s="223"/>
      <c r="R159" s="224"/>
      <c r="S159" s="223"/>
      <c r="T159" s="223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44"/>
      <c r="AF159" s="244"/>
      <c r="AG159" s="238"/>
      <c r="AH159" s="238"/>
      <c r="AI159" s="238"/>
      <c r="AJ159" s="238"/>
      <c r="AK159" s="238"/>
      <c r="AL159" s="238"/>
      <c r="AM159" s="238"/>
      <c r="AN159" s="225"/>
      <c r="AO159" s="225"/>
      <c r="AP159" s="225"/>
      <c r="AQ159" s="225"/>
      <c r="AR159" s="225"/>
      <c r="AS159" s="225"/>
      <c r="AT159" s="225"/>
      <c r="AU159" s="225"/>
      <c r="AV159" s="225"/>
      <c r="AW159" s="232"/>
      <c r="AX159" s="232"/>
      <c r="AY159" s="233"/>
      <c r="AZ159" s="232"/>
      <c r="BA159" s="232"/>
      <c r="BB159" s="232"/>
      <c r="BC159" s="232"/>
      <c r="BD159" s="232"/>
      <c r="BE159" s="232"/>
      <c r="BF159" s="232"/>
    </row>
    <row r="160" spans="1:58" x14ac:dyDescent="0.25">
      <c r="A160" s="196"/>
      <c r="B160" s="211"/>
      <c r="C160" s="211"/>
      <c r="D160" s="197"/>
      <c r="E160" s="197"/>
      <c r="F160" s="222"/>
      <c r="G160" s="222"/>
      <c r="H160" s="222"/>
      <c r="I160" s="222"/>
      <c r="J160" s="222"/>
      <c r="K160" s="222"/>
      <c r="L160" s="223"/>
      <c r="M160" s="223"/>
      <c r="N160" s="224"/>
      <c r="O160" s="224"/>
      <c r="P160" s="224"/>
      <c r="Q160" s="223"/>
      <c r="R160" s="224"/>
      <c r="S160" s="223"/>
      <c r="T160" s="223"/>
      <c r="U160" s="225"/>
      <c r="V160" s="225"/>
      <c r="W160" s="225"/>
      <c r="X160" s="225"/>
      <c r="Y160" s="225"/>
      <c r="Z160" s="225"/>
      <c r="AA160" s="225"/>
      <c r="AB160" s="225"/>
      <c r="AC160" s="222"/>
      <c r="AD160" s="225"/>
      <c r="AE160" s="244"/>
      <c r="AF160" s="244"/>
      <c r="AG160" s="238"/>
      <c r="AH160" s="238"/>
      <c r="AI160" s="238"/>
      <c r="AJ160" s="238"/>
      <c r="AK160" s="238"/>
      <c r="AL160" s="238"/>
      <c r="AM160" s="238"/>
      <c r="AN160" s="225"/>
      <c r="AO160" s="225"/>
      <c r="AP160" s="225"/>
      <c r="AQ160" s="225"/>
      <c r="AR160" s="225"/>
      <c r="AS160" s="225"/>
      <c r="AT160" s="225"/>
      <c r="AU160" s="225"/>
      <c r="AV160" s="225"/>
      <c r="AW160" s="232"/>
      <c r="AX160" s="232"/>
      <c r="AY160" s="233"/>
      <c r="AZ160" s="232"/>
      <c r="BA160" s="232"/>
      <c r="BB160" s="232"/>
      <c r="BC160" s="232"/>
      <c r="BD160" s="232"/>
      <c r="BE160" s="232"/>
      <c r="BF160" s="232"/>
    </row>
    <row r="161" spans="1:58" x14ac:dyDescent="0.25">
      <c r="A161" s="196"/>
      <c r="B161" s="211"/>
      <c r="C161" s="211"/>
      <c r="D161" s="197"/>
      <c r="E161" s="197"/>
      <c r="F161" s="222"/>
      <c r="G161" s="222"/>
      <c r="H161" s="222"/>
      <c r="I161" s="222"/>
      <c r="J161" s="222"/>
      <c r="K161" s="222"/>
      <c r="L161" s="223"/>
      <c r="M161" s="223"/>
      <c r="N161" s="224"/>
      <c r="O161" s="224"/>
      <c r="P161" s="224"/>
      <c r="Q161" s="223"/>
      <c r="R161" s="224"/>
      <c r="S161" s="223"/>
      <c r="T161" s="223"/>
      <c r="U161" s="225"/>
      <c r="V161" s="225"/>
      <c r="W161" s="225"/>
      <c r="X161" s="225"/>
      <c r="Y161" s="225"/>
      <c r="Z161" s="225"/>
      <c r="AA161" s="225"/>
      <c r="AB161" s="225"/>
      <c r="AC161" s="222"/>
      <c r="AD161" s="225"/>
      <c r="AE161" s="244"/>
      <c r="AF161" s="244"/>
      <c r="AG161" s="238"/>
      <c r="AH161" s="238"/>
      <c r="AI161" s="238"/>
      <c r="AJ161" s="238"/>
      <c r="AK161" s="238"/>
      <c r="AL161" s="238"/>
      <c r="AM161" s="238"/>
      <c r="AN161" s="225"/>
      <c r="AO161" s="225"/>
      <c r="AP161" s="225"/>
      <c r="AQ161" s="225"/>
      <c r="AR161" s="225"/>
      <c r="AS161" s="225"/>
      <c r="AT161" s="225"/>
      <c r="AU161" s="225"/>
      <c r="AV161" s="225"/>
      <c r="AW161" s="232"/>
      <c r="AX161" s="232"/>
      <c r="AY161" s="233"/>
      <c r="AZ161" s="232"/>
      <c r="BA161" s="232"/>
      <c r="BB161" s="232"/>
      <c r="BC161" s="232"/>
      <c r="BD161" s="232"/>
      <c r="BE161" s="232"/>
      <c r="BF161" s="232"/>
    </row>
    <row r="162" spans="1:58" x14ac:dyDescent="0.25">
      <c r="A162" s="196"/>
      <c r="B162" s="211"/>
      <c r="C162" s="211"/>
      <c r="D162" s="197"/>
      <c r="E162" s="197"/>
      <c r="F162" s="222"/>
      <c r="G162" s="222"/>
      <c r="H162" s="222"/>
      <c r="I162" s="222"/>
      <c r="J162" s="222"/>
      <c r="K162" s="222"/>
      <c r="L162" s="223"/>
      <c r="M162" s="223"/>
      <c r="N162" s="224"/>
      <c r="O162" s="224"/>
      <c r="P162" s="224"/>
      <c r="Q162" s="223"/>
      <c r="R162" s="224"/>
      <c r="S162" s="223"/>
      <c r="T162" s="223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44"/>
      <c r="AF162" s="244"/>
      <c r="AG162" s="238"/>
      <c r="AH162" s="238"/>
      <c r="AI162" s="238"/>
      <c r="AJ162" s="238"/>
      <c r="AK162" s="238"/>
      <c r="AL162" s="238"/>
      <c r="AM162" s="238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32"/>
      <c r="AX162" s="232"/>
      <c r="AY162" s="233"/>
      <c r="AZ162" s="232"/>
      <c r="BA162" s="232"/>
      <c r="BB162" s="232"/>
      <c r="BC162" s="232"/>
      <c r="BD162" s="232"/>
      <c r="BE162" s="232"/>
      <c r="BF162" s="232"/>
    </row>
    <row r="163" spans="1:58" x14ac:dyDescent="0.25">
      <c r="A163" s="196"/>
      <c r="B163" s="211"/>
      <c r="C163" s="211"/>
      <c r="D163" s="197"/>
      <c r="E163" s="197"/>
      <c r="F163" s="222"/>
      <c r="G163" s="222"/>
      <c r="H163" s="222"/>
      <c r="I163" s="222"/>
      <c r="J163" s="222"/>
      <c r="K163" s="222"/>
      <c r="L163" s="223"/>
      <c r="M163" s="223"/>
      <c r="N163" s="224"/>
      <c r="O163" s="224"/>
      <c r="P163" s="224"/>
      <c r="Q163" s="223"/>
      <c r="R163" s="224"/>
      <c r="S163" s="223"/>
      <c r="T163" s="223"/>
      <c r="U163" s="225"/>
      <c r="V163" s="225"/>
      <c r="W163" s="225"/>
      <c r="X163" s="225"/>
      <c r="Y163" s="225"/>
      <c r="Z163" s="225"/>
      <c r="AA163" s="225"/>
      <c r="AB163" s="225"/>
      <c r="AC163" s="225"/>
      <c r="AD163" s="225"/>
      <c r="AE163" s="244"/>
      <c r="AF163" s="244"/>
      <c r="AG163" s="238"/>
      <c r="AH163" s="238"/>
      <c r="AI163" s="238"/>
      <c r="AJ163" s="238"/>
      <c r="AK163" s="238"/>
      <c r="AL163" s="238"/>
      <c r="AM163" s="238"/>
      <c r="AN163" s="225"/>
      <c r="AO163" s="225"/>
      <c r="AP163" s="225"/>
      <c r="AQ163" s="225"/>
      <c r="AR163" s="225"/>
      <c r="AS163" s="225"/>
      <c r="AT163" s="225"/>
      <c r="AU163" s="225"/>
      <c r="AV163" s="225"/>
      <c r="AW163" s="232"/>
      <c r="AX163" s="232"/>
      <c r="AY163" s="233"/>
      <c r="AZ163" s="232"/>
      <c r="BA163" s="232"/>
      <c r="BB163" s="232"/>
      <c r="BC163" s="232"/>
      <c r="BD163" s="232"/>
      <c r="BE163" s="232"/>
      <c r="BF163" s="232"/>
    </row>
    <row r="164" spans="1:58" x14ac:dyDescent="0.25">
      <c r="A164" s="196"/>
      <c r="B164" s="211"/>
      <c r="C164" s="211"/>
      <c r="D164" s="197"/>
      <c r="E164" s="197"/>
      <c r="F164" s="222"/>
      <c r="G164" s="222"/>
      <c r="H164" s="222"/>
      <c r="I164" s="222"/>
      <c r="J164" s="222"/>
      <c r="K164" s="222"/>
      <c r="L164" s="223"/>
      <c r="M164" s="223"/>
      <c r="N164" s="224"/>
      <c r="O164" s="224"/>
      <c r="P164" s="224"/>
      <c r="Q164" s="223"/>
      <c r="R164" s="224"/>
      <c r="S164" s="223"/>
      <c r="T164" s="223"/>
      <c r="U164" s="225"/>
      <c r="V164" s="225"/>
      <c r="W164" s="225"/>
      <c r="X164" s="225"/>
      <c r="Y164" s="225"/>
      <c r="Z164" s="225"/>
      <c r="AA164" s="225"/>
      <c r="AB164" s="225"/>
      <c r="AC164" s="225"/>
      <c r="AD164" s="225"/>
      <c r="AE164" s="244"/>
      <c r="AF164" s="244"/>
      <c r="AG164" s="238"/>
      <c r="AH164" s="238"/>
      <c r="AI164" s="238"/>
      <c r="AJ164" s="238"/>
      <c r="AK164" s="238"/>
      <c r="AL164" s="238"/>
      <c r="AM164" s="238"/>
      <c r="AN164" s="225"/>
      <c r="AO164" s="225"/>
      <c r="AP164" s="225"/>
      <c r="AQ164" s="225"/>
      <c r="AR164" s="225"/>
      <c r="AS164" s="225"/>
      <c r="AT164" s="225"/>
      <c r="AU164" s="225"/>
      <c r="AV164" s="225"/>
      <c r="AW164" s="232"/>
      <c r="AX164" s="232"/>
      <c r="AY164" s="233"/>
      <c r="AZ164" s="232"/>
      <c r="BA164" s="232"/>
      <c r="BB164" s="232"/>
      <c r="BC164" s="232"/>
      <c r="BD164" s="232"/>
      <c r="BE164" s="232"/>
      <c r="BF164" s="232"/>
    </row>
    <row r="165" spans="1:58" x14ac:dyDescent="0.25">
      <c r="A165" s="196"/>
      <c r="B165" s="211"/>
      <c r="C165" s="211"/>
      <c r="D165" s="197"/>
      <c r="E165" s="197"/>
      <c r="F165" s="222"/>
      <c r="G165" s="222"/>
      <c r="H165" s="222"/>
      <c r="I165" s="222"/>
      <c r="J165" s="222"/>
      <c r="K165" s="222"/>
      <c r="L165" s="223"/>
      <c r="M165" s="223"/>
      <c r="N165" s="224"/>
      <c r="O165" s="224"/>
      <c r="P165" s="224"/>
      <c r="Q165" s="223"/>
      <c r="R165" s="224"/>
      <c r="S165" s="223"/>
      <c r="T165" s="223"/>
      <c r="U165" s="225"/>
      <c r="V165" s="225"/>
      <c r="W165" s="225"/>
      <c r="X165" s="225"/>
      <c r="Y165" s="225"/>
      <c r="Z165" s="225"/>
      <c r="AA165" s="225"/>
      <c r="AB165" s="225"/>
      <c r="AC165" s="225"/>
      <c r="AD165" s="225"/>
      <c r="AE165" s="244"/>
      <c r="AF165" s="244"/>
      <c r="AG165" s="238"/>
      <c r="AH165" s="238"/>
      <c r="AI165" s="238"/>
      <c r="AJ165" s="238"/>
      <c r="AK165" s="238"/>
      <c r="AL165" s="238"/>
      <c r="AM165" s="238"/>
      <c r="AN165" s="225"/>
      <c r="AO165" s="225"/>
      <c r="AP165" s="225"/>
      <c r="AQ165" s="225"/>
      <c r="AR165" s="225"/>
      <c r="AS165" s="225"/>
      <c r="AT165" s="225"/>
      <c r="AU165" s="225"/>
      <c r="AV165" s="225"/>
      <c r="AW165" s="232"/>
      <c r="AX165" s="232"/>
      <c r="AY165" s="233"/>
      <c r="AZ165" s="232"/>
      <c r="BA165" s="232"/>
      <c r="BB165" s="232"/>
      <c r="BC165" s="232"/>
      <c r="BD165" s="232"/>
      <c r="BE165" s="232"/>
      <c r="BF165" s="232"/>
    </row>
    <row r="166" spans="1:58" x14ac:dyDescent="0.25">
      <c r="A166" s="196"/>
      <c r="B166" s="211"/>
      <c r="C166" s="211"/>
      <c r="D166" s="197"/>
      <c r="E166" s="197"/>
      <c r="F166" s="222"/>
      <c r="G166" s="222"/>
      <c r="H166" s="222"/>
      <c r="I166" s="222"/>
      <c r="J166" s="222"/>
      <c r="K166" s="222"/>
      <c r="L166" s="223"/>
      <c r="M166" s="223"/>
      <c r="N166" s="224"/>
      <c r="O166" s="224"/>
      <c r="P166" s="224"/>
      <c r="Q166" s="223"/>
      <c r="R166" s="224"/>
      <c r="S166" s="223"/>
      <c r="T166" s="223"/>
      <c r="U166" s="225"/>
      <c r="V166" s="225"/>
      <c r="W166" s="225"/>
      <c r="X166" s="225"/>
      <c r="Y166" s="225"/>
      <c r="Z166" s="225"/>
      <c r="AA166" s="225"/>
      <c r="AB166" s="225"/>
      <c r="AC166" s="225"/>
      <c r="AD166" s="225"/>
      <c r="AE166" s="244"/>
      <c r="AF166" s="244"/>
      <c r="AG166" s="238"/>
      <c r="AH166" s="238"/>
      <c r="AI166" s="238"/>
      <c r="AJ166" s="238"/>
      <c r="AK166" s="238"/>
      <c r="AL166" s="238"/>
      <c r="AM166" s="238"/>
      <c r="AN166" s="225"/>
      <c r="AO166" s="225"/>
      <c r="AP166" s="225"/>
      <c r="AQ166" s="225"/>
      <c r="AR166" s="225"/>
      <c r="AS166" s="225"/>
      <c r="AT166" s="225"/>
      <c r="AU166" s="225"/>
      <c r="AV166" s="225"/>
      <c r="AW166" s="232"/>
      <c r="AX166" s="232"/>
      <c r="AY166" s="233"/>
      <c r="AZ166" s="232"/>
      <c r="BA166" s="232"/>
      <c r="BB166" s="232"/>
      <c r="BC166" s="232"/>
      <c r="BD166" s="232"/>
      <c r="BE166" s="232"/>
      <c r="BF166" s="232"/>
    </row>
    <row r="167" spans="1:58" x14ac:dyDescent="0.25">
      <c r="A167" s="196"/>
      <c r="B167" s="211"/>
      <c r="C167" s="211"/>
      <c r="D167" s="197"/>
      <c r="E167" s="197"/>
      <c r="F167" s="222"/>
      <c r="G167" s="222"/>
      <c r="H167" s="222"/>
      <c r="I167" s="222"/>
      <c r="J167" s="222"/>
      <c r="K167" s="222"/>
      <c r="L167" s="223"/>
      <c r="M167" s="223"/>
      <c r="N167" s="224"/>
      <c r="O167" s="224"/>
      <c r="P167" s="224"/>
      <c r="Q167" s="223"/>
      <c r="R167" s="224"/>
      <c r="S167" s="223"/>
      <c r="T167" s="223"/>
      <c r="U167" s="225"/>
      <c r="V167" s="225"/>
      <c r="W167" s="225"/>
      <c r="X167" s="225"/>
      <c r="Y167" s="225"/>
      <c r="Z167" s="225"/>
      <c r="AA167" s="225"/>
      <c r="AB167" s="225"/>
      <c r="AC167" s="225"/>
      <c r="AD167" s="225"/>
      <c r="AE167" s="244"/>
      <c r="AF167" s="244"/>
      <c r="AG167" s="238"/>
      <c r="AH167" s="238"/>
      <c r="AI167" s="238"/>
      <c r="AJ167" s="238"/>
      <c r="AK167" s="238"/>
      <c r="AL167" s="238"/>
      <c r="AM167" s="238"/>
      <c r="AN167" s="225"/>
      <c r="AO167" s="225"/>
      <c r="AP167" s="225"/>
      <c r="AQ167" s="225"/>
      <c r="AR167" s="225"/>
      <c r="AS167" s="225"/>
      <c r="AT167" s="225"/>
      <c r="AU167" s="225"/>
      <c r="AV167" s="225"/>
      <c r="AW167" s="232"/>
      <c r="AX167" s="232"/>
      <c r="AY167" s="233"/>
      <c r="AZ167" s="232"/>
      <c r="BA167" s="232"/>
      <c r="BB167" s="232"/>
      <c r="BC167" s="232"/>
      <c r="BD167" s="232"/>
      <c r="BE167" s="232"/>
      <c r="BF167" s="232"/>
    </row>
    <row r="168" spans="1:58" x14ac:dyDescent="0.25">
      <c r="A168" s="196"/>
      <c r="B168" s="211"/>
      <c r="C168" s="211"/>
      <c r="D168" s="197"/>
      <c r="E168" s="197"/>
      <c r="F168" s="222"/>
      <c r="G168" s="222"/>
      <c r="H168" s="222"/>
      <c r="I168" s="222"/>
      <c r="J168" s="222"/>
      <c r="K168" s="222"/>
      <c r="L168" s="223"/>
      <c r="M168" s="223"/>
      <c r="N168" s="224"/>
      <c r="O168" s="224"/>
      <c r="P168" s="224"/>
      <c r="Q168" s="223"/>
      <c r="R168" s="224"/>
      <c r="S168" s="223"/>
      <c r="T168" s="223"/>
      <c r="U168" s="225"/>
      <c r="V168" s="225"/>
      <c r="W168" s="225"/>
      <c r="X168" s="225"/>
      <c r="Y168" s="225"/>
      <c r="Z168" s="225"/>
      <c r="AA168" s="225"/>
      <c r="AB168" s="225"/>
      <c r="AC168" s="225"/>
      <c r="AD168" s="225"/>
      <c r="AE168" s="244"/>
      <c r="AF168" s="244"/>
      <c r="AG168" s="238"/>
      <c r="AH168" s="238"/>
      <c r="AI168" s="238"/>
      <c r="AJ168" s="238"/>
      <c r="AK168" s="238"/>
      <c r="AL168" s="238"/>
      <c r="AM168" s="238"/>
      <c r="AN168" s="225"/>
      <c r="AO168" s="225"/>
      <c r="AP168" s="225"/>
      <c r="AQ168" s="225"/>
      <c r="AR168" s="225"/>
      <c r="AS168" s="225"/>
      <c r="AT168" s="225"/>
      <c r="AU168" s="225"/>
      <c r="AV168" s="225"/>
      <c r="AW168" s="232"/>
      <c r="AX168" s="232"/>
      <c r="AY168" s="233"/>
      <c r="AZ168" s="232"/>
      <c r="BA168" s="232"/>
      <c r="BB168" s="232"/>
      <c r="BC168" s="232"/>
      <c r="BD168" s="232"/>
      <c r="BE168" s="232"/>
      <c r="BF168" s="232"/>
    </row>
    <row r="169" spans="1:58" x14ac:dyDescent="0.25">
      <c r="A169" s="196"/>
      <c r="B169" s="211"/>
      <c r="C169" s="211"/>
      <c r="D169" s="197"/>
      <c r="E169" s="197"/>
      <c r="F169" s="222"/>
      <c r="G169" s="222"/>
      <c r="H169" s="222"/>
      <c r="I169" s="222"/>
      <c r="J169" s="222"/>
      <c r="K169" s="222"/>
      <c r="L169" s="223"/>
      <c r="M169" s="223"/>
      <c r="N169" s="224"/>
      <c r="O169" s="224"/>
      <c r="P169" s="224"/>
      <c r="Q169" s="223"/>
      <c r="R169" s="224"/>
      <c r="S169" s="223"/>
      <c r="T169" s="223"/>
      <c r="U169" s="225"/>
      <c r="V169" s="225"/>
      <c r="W169" s="225"/>
      <c r="X169" s="225"/>
      <c r="Y169" s="225"/>
      <c r="Z169" s="225"/>
      <c r="AA169" s="225"/>
      <c r="AB169" s="225"/>
      <c r="AC169" s="225"/>
      <c r="AD169" s="225"/>
      <c r="AE169" s="244"/>
      <c r="AF169" s="244"/>
      <c r="AG169" s="238"/>
      <c r="AH169" s="238"/>
      <c r="AI169" s="238"/>
      <c r="AJ169" s="238"/>
      <c r="AK169" s="238"/>
      <c r="AL169" s="238"/>
      <c r="AM169" s="238"/>
      <c r="AN169" s="225"/>
      <c r="AO169" s="225"/>
      <c r="AP169" s="225"/>
      <c r="AQ169" s="225"/>
      <c r="AR169" s="225"/>
      <c r="AS169" s="225"/>
      <c r="AT169" s="225"/>
      <c r="AU169" s="225"/>
      <c r="AV169" s="225"/>
      <c r="AW169" s="232"/>
      <c r="AX169" s="232"/>
      <c r="AY169" s="233"/>
      <c r="AZ169" s="232"/>
      <c r="BA169" s="232"/>
      <c r="BB169" s="232"/>
      <c r="BC169" s="232"/>
      <c r="BD169" s="232"/>
      <c r="BE169" s="232"/>
      <c r="BF169" s="232"/>
    </row>
    <row r="170" spans="1:58" x14ac:dyDescent="0.25">
      <c r="A170" s="196"/>
      <c r="B170" s="211"/>
      <c r="C170" s="211"/>
      <c r="D170" s="197"/>
      <c r="E170" s="197"/>
      <c r="F170" s="222"/>
      <c r="G170" s="222"/>
      <c r="H170" s="222"/>
      <c r="I170" s="222"/>
      <c r="J170" s="222"/>
      <c r="K170" s="222"/>
      <c r="L170" s="223"/>
      <c r="M170" s="223"/>
      <c r="N170" s="224"/>
      <c r="O170" s="224"/>
      <c r="P170" s="224"/>
      <c r="Q170" s="223"/>
      <c r="R170" s="224"/>
      <c r="S170" s="223"/>
      <c r="T170" s="223"/>
      <c r="U170" s="225"/>
      <c r="V170" s="225"/>
      <c r="W170" s="225"/>
      <c r="X170" s="225"/>
      <c r="Y170" s="225"/>
      <c r="Z170" s="225"/>
      <c r="AA170" s="225"/>
      <c r="AB170" s="225"/>
      <c r="AC170" s="225"/>
      <c r="AD170" s="225"/>
      <c r="AE170" s="244"/>
      <c r="AF170" s="244"/>
      <c r="AG170" s="238"/>
      <c r="AH170" s="238"/>
      <c r="AI170" s="238"/>
      <c r="AJ170" s="238"/>
      <c r="AK170" s="238"/>
      <c r="AL170" s="238"/>
      <c r="AM170" s="238"/>
      <c r="AN170" s="225"/>
      <c r="AO170" s="225"/>
      <c r="AP170" s="225"/>
      <c r="AQ170" s="225"/>
      <c r="AR170" s="225"/>
      <c r="AS170" s="225"/>
      <c r="AT170" s="225"/>
      <c r="AU170" s="225"/>
      <c r="AV170" s="225"/>
      <c r="AW170" s="232"/>
      <c r="AX170" s="232"/>
      <c r="AY170" s="233"/>
      <c r="AZ170" s="232"/>
      <c r="BA170" s="232"/>
      <c r="BB170" s="232"/>
      <c r="BC170" s="232"/>
      <c r="BD170" s="232"/>
      <c r="BE170" s="232"/>
      <c r="BF170" s="232"/>
    </row>
    <row r="171" spans="1:58" x14ac:dyDescent="0.25">
      <c r="A171" s="196"/>
      <c r="B171" s="211"/>
      <c r="C171" s="211"/>
      <c r="D171" s="197"/>
      <c r="E171" s="197"/>
      <c r="F171" s="222"/>
      <c r="G171" s="222"/>
      <c r="H171" s="222"/>
      <c r="I171" s="222"/>
      <c r="J171" s="222"/>
      <c r="K171" s="222"/>
      <c r="L171" s="223"/>
      <c r="M171" s="223"/>
      <c r="N171" s="224"/>
      <c r="O171" s="224"/>
      <c r="P171" s="224"/>
      <c r="Q171" s="223"/>
      <c r="R171" s="224"/>
      <c r="S171" s="223"/>
      <c r="T171" s="223"/>
      <c r="U171" s="225"/>
      <c r="V171" s="225"/>
      <c r="W171" s="225"/>
      <c r="X171" s="225"/>
      <c r="Y171" s="225"/>
      <c r="Z171" s="225"/>
      <c r="AA171" s="225"/>
      <c r="AB171" s="225"/>
      <c r="AC171" s="225"/>
      <c r="AD171" s="225"/>
      <c r="AE171" s="244"/>
      <c r="AF171" s="244"/>
      <c r="AG171" s="238"/>
      <c r="AH171" s="238"/>
      <c r="AI171" s="238"/>
      <c r="AJ171" s="238"/>
      <c r="AK171" s="238"/>
      <c r="AL171" s="238"/>
      <c r="AM171" s="238"/>
      <c r="AN171" s="225"/>
      <c r="AO171" s="225"/>
      <c r="AP171" s="225"/>
      <c r="AQ171" s="225"/>
      <c r="AR171" s="225"/>
      <c r="AS171" s="225"/>
      <c r="AT171" s="225"/>
      <c r="AU171" s="225"/>
      <c r="AV171" s="225"/>
      <c r="AW171" s="232"/>
      <c r="AX171" s="232"/>
      <c r="AY171" s="233"/>
      <c r="AZ171" s="232"/>
      <c r="BA171" s="232"/>
      <c r="BB171" s="232"/>
      <c r="BC171" s="232"/>
      <c r="BD171" s="232"/>
      <c r="BE171" s="232"/>
      <c r="BF171" s="232"/>
    </row>
    <row r="172" spans="1:58" x14ac:dyDescent="0.25">
      <c r="A172" s="196"/>
      <c r="B172" s="211"/>
      <c r="C172" s="211"/>
      <c r="D172" s="197"/>
      <c r="E172" s="197"/>
      <c r="F172" s="222"/>
      <c r="G172" s="222"/>
      <c r="H172" s="222"/>
      <c r="I172" s="222"/>
      <c r="J172" s="222"/>
      <c r="K172" s="222"/>
      <c r="L172" s="223"/>
      <c r="M172" s="223"/>
      <c r="N172" s="224"/>
      <c r="O172" s="224"/>
      <c r="P172" s="224"/>
      <c r="Q172" s="223"/>
      <c r="R172" s="224"/>
      <c r="S172" s="223"/>
      <c r="T172" s="223"/>
      <c r="U172" s="225"/>
      <c r="V172" s="225"/>
      <c r="W172" s="225"/>
      <c r="X172" s="225"/>
      <c r="Y172" s="225"/>
      <c r="Z172" s="225"/>
      <c r="AA172" s="225"/>
      <c r="AB172" s="225"/>
      <c r="AC172" s="225"/>
      <c r="AD172" s="225"/>
      <c r="AE172" s="244"/>
      <c r="AF172" s="244"/>
      <c r="AG172" s="238"/>
      <c r="AH172" s="238"/>
      <c r="AI172" s="238"/>
      <c r="AJ172" s="238"/>
      <c r="AK172" s="238"/>
      <c r="AL172" s="238"/>
      <c r="AM172" s="238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32"/>
      <c r="AX172" s="232"/>
      <c r="AY172" s="233"/>
      <c r="AZ172" s="232"/>
      <c r="BA172" s="232"/>
      <c r="BB172" s="232"/>
      <c r="BC172" s="232"/>
      <c r="BD172" s="232"/>
      <c r="BE172" s="232"/>
      <c r="BF172" s="232"/>
    </row>
    <row r="173" spans="1:58" x14ac:dyDescent="0.25">
      <c r="A173" s="196"/>
      <c r="B173" s="211"/>
      <c r="C173" s="211"/>
      <c r="D173" s="197"/>
      <c r="E173" s="197"/>
      <c r="F173" s="222"/>
      <c r="G173" s="222"/>
      <c r="H173" s="222"/>
      <c r="I173" s="222"/>
      <c r="J173" s="222"/>
      <c r="K173" s="222"/>
      <c r="L173" s="223"/>
      <c r="M173" s="223"/>
      <c r="N173" s="224"/>
      <c r="O173" s="224"/>
      <c r="P173" s="224"/>
      <c r="Q173" s="223"/>
      <c r="R173" s="224"/>
      <c r="S173" s="223"/>
      <c r="T173" s="223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44"/>
      <c r="AF173" s="244"/>
      <c r="AG173" s="238"/>
      <c r="AH173" s="238"/>
      <c r="AI173" s="238"/>
      <c r="AJ173" s="238"/>
      <c r="AK173" s="238"/>
      <c r="AL173" s="238"/>
      <c r="AM173" s="238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32"/>
      <c r="AX173" s="232"/>
      <c r="AY173" s="233"/>
      <c r="AZ173" s="232"/>
      <c r="BA173" s="232"/>
      <c r="BB173" s="232"/>
      <c r="BC173" s="232"/>
      <c r="BD173" s="232"/>
      <c r="BE173" s="232"/>
      <c r="BF173" s="232"/>
    </row>
    <row r="174" spans="1:58" x14ac:dyDescent="0.25">
      <c r="A174" s="196"/>
      <c r="B174" s="211"/>
      <c r="C174" s="211"/>
      <c r="D174" s="197"/>
      <c r="E174" s="197"/>
      <c r="F174" s="222"/>
      <c r="G174" s="222"/>
      <c r="H174" s="222"/>
      <c r="I174" s="222"/>
      <c r="J174" s="222"/>
      <c r="K174" s="222"/>
      <c r="L174" s="223"/>
      <c r="M174" s="223"/>
      <c r="N174" s="224"/>
      <c r="O174" s="224"/>
      <c r="P174" s="224"/>
      <c r="Q174" s="223"/>
      <c r="R174" s="224"/>
      <c r="S174" s="223"/>
      <c r="T174" s="223"/>
      <c r="U174" s="225"/>
      <c r="V174" s="225"/>
      <c r="W174" s="225"/>
      <c r="X174" s="225"/>
      <c r="Y174" s="225"/>
      <c r="Z174" s="225"/>
      <c r="AA174" s="225"/>
      <c r="AB174" s="225"/>
      <c r="AC174" s="225"/>
      <c r="AD174" s="225"/>
      <c r="AE174" s="244"/>
      <c r="AF174" s="244"/>
      <c r="AG174" s="238"/>
      <c r="AH174" s="238"/>
      <c r="AI174" s="238"/>
      <c r="AJ174" s="238"/>
      <c r="AK174" s="238"/>
      <c r="AL174" s="238"/>
      <c r="AM174" s="238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32"/>
      <c r="AX174" s="232"/>
      <c r="AY174" s="233"/>
      <c r="AZ174" s="232"/>
      <c r="BA174" s="232"/>
      <c r="BB174" s="232"/>
      <c r="BC174" s="232"/>
      <c r="BD174" s="232"/>
      <c r="BE174" s="232"/>
      <c r="BF174" s="232"/>
    </row>
    <row r="175" spans="1:58" x14ac:dyDescent="0.25">
      <c r="A175" s="196"/>
      <c r="B175" s="211"/>
      <c r="C175" s="211"/>
      <c r="D175" s="197"/>
      <c r="E175" s="197"/>
      <c r="F175" s="222"/>
      <c r="G175" s="222"/>
      <c r="H175" s="222"/>
      <c r="I175" s="222"/>
      <c r="J175" s="222"/>
      <c r="K175" s="222"/>
      <c r="L175" s="223"/>
      <c r="M175" s="223"/>
      <c r="N175" s="224"/>
      <c r="O175" s="224"/>
      <c r="P175" s="224"/>
      <c r="Q175" s="223"/>
      <c r="R175" s="224"/>
      <c r="S175" s="223"/>
      <c r="T175" s="223"/>
      <c r="U175" s="225"/>
      <c r="V175" s="225"/>
      <c r="W175" s="225"/>
      <c r="X175" s="225"/>
      <c r="Y175" s="225"/>
      <c r="Z175" s="225"/>
      <c r="AA175" s="225"/>
      <c r="AB175" s="225"/>
      <c r="AC175" s="225"/>
      <c r="AD175" s="225"/>
      <c r="AE175" s="244"/>
      <c r="AF175" s="244"/>
      <c r="AG175" s="238"/>
      <c r="AH175" s="238"/>
      <c r="AI175" s="238"/>
      <c r="AJ175" s="238"/>
      <c r="AK175" s="238"/>
      <c r="AL175" s="238"/>
      <c r="AM175" s="238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32"/>
      <c r="AX175" s="232"/>
      <c r="AY175" s="233"/>
      <c r="AZ175" s="232"/>
      <c r="BA175" s="232"/>
      <c r="BB175" s="232"/>
      <c r="BC175" s="232"/>
      <c r="BD175" s="232"/>
      <c r="BE175" s="232"/>
      <c r="BF175" s="232"/>
    </row>
    <row r="176" spans="1:58" x14ac:dyDescent="0.25">
      <c r="A176" s="196"/>
      <c r="B176" s="211"/>
      <c r="C176" s="211"/>
      <c r="D176" s="197"/>
      <c r="E176" s="197"/>
      <c r="F176" s="222"/>
      <c r="G176" s="222"/>
      <c r="H176" s="222"/>
      <c r="I176" s="222"/>
      <c r="J176" s="222"/>
      <c r="K176" s="222"/>
      <c r="L176" s="223"/>
      <c r="M176" s="223"/>
      <c r="N176" s="224"/>
      <c r="O176" s="224"/>
      <c r="P176" s="224"/>
      <c r="Q176" s="223"/>
      <c r="R176" s="224"/>
      <c r="S176" s="223"/>
      <c r="T176" s="223"/>
      <c r="U176" s="225"/>
      <c r="V176" s="225"/>
      <c r="W176" s="225"/>
      <c r="X176" s="225"/>
      <c r="Y176" s="225"/>
      <c r="Z176" s="225"/>
      <c r="AA176" s="225"/>
      <c r="AB176" s="225"/>
      <c r="AC176" s="225"/>
      <c r="AD176" s="225"/>
      <c r="AE176" s="244"/>
      <c r="AF176" s="244"/>
      <c r="AG176" s="238"/>
      <c r="AH176" s="238"/>
      <c r="AI176" s="238"/>
      <c r="AJ176" s="238"/>
      <c r="AK176" s="238"/>
      <c r="AL176" s="238"/>
      <c r="AM176" s="238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32"/>
      <c r="AX176" s="232"/>
      <c r="AY176" s="233"/>
      <c r="AZ176" s="232"/>
      <c r="BA176" s="232"/>
      <c r="BB176" s="232"/>
      <c r="BC176" s="232"/>
      <c r="BD176" s="232"/>
      <c r="BE176" s="232"/>
      <c r="BF176" s="232"/>
    </row>
    <row r="177" spans="1:58" x14ac:dyDescent="0.25">
      <c r="A177" s="196"/>
      <c r="B177" s="211"/>
      <c r="C177" s="211"/>
      <c r="D177" s="197"/>
      <c r="E177" s="197"/>
      <c r="F177" s="222"/>
      <c r="G177" s="222"/>
      <c r="H177" s="222"/>
      <c r="I177" s="222"/>
      <c r="J177" s="222"/>
      <c r="K177" s="222"/>
      <c r="L177" s="223"/>
      <c r="M177" s="223"/>
      <c r="N177" s="224"/>
      <c r="O177" s="224"/>
      <c r="P177" s="224"/>
      <c r="Q177" s="223"/>
      <c r="R177" s="224"/>
      <c r="S177" s="223"/>
      <c r="T177" s="223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225"/>
      <c r="AE177" s="244"/>
      <c r="AF177" s="244"/>
      <c r="AG177" s="238"/>
      <c r="AH177" s="238"/>
      <c r="AI177" s="238"/>
      <c r="AJ177" s="238"/>
      <c r="AK177" s="238"/>
      <c r="AL177" s="238"/>
      <c r="AM177" s="238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32"/>
      <c r="AX177" s="232"/>
      <c r="AY177" s="233"/>
      <c r="AZ177" s="232"/>
      <c r="BA177" s="232"/>
      <c r="BB177" s="232"/>
      <c r="BC177" s="232"/>
      <c r="BD177" s="232"/>
      <c r="BE177" s="232"/>
      <c r="BF177" s="232"/>
    </row>
    <row r="178" spans="1:58" x14ac:dyDescent="0.25">
      <c r="A178" s="196"/>
      <c r="B178" s="211"/>
      <c r="C178" s="211"/>
      <c r="D178" s="197"/>
      <c r="E178" s="197"/>
      <c r="F178" s="222"/>
      <c r="G178" s="222"/>
      <c r="H178" s="222"/>
      <c r="I178" s="222"/>
      <c r="J178" s="222"/>
      <c r="K178" s="222"/>
      <c r="L178" s="223"/>
      <c r="M178" s="223"/>
      <c r="N178" s="224"/>
      <c r="O178" s="224"/>
      <c r="P178" s="224"/>
      <c r="Q178" s="223"/>
      <c r="R178" s="224"/>
      <c r="S178" s="223"/>
      <c r="T178" s="223"/>
      <c r="U178" s="225"/>
      <c r="V178" s="225"/>
      <c r="W178" s="225"/>
      <c r="X178" s="225"/>
      <c r="Y178" s="225"/>
      <c r="Z178" s="225"/>
      <c r="AA178" s="225"/>
      <c r="AB178" s="225"/>
      <c r="AC178" s="225"/>
      <c r="AD178" s="225"/>
      <c r="AE178" s="244"/>
      <c r="AF178" s="244"/>
      <c r="AG178" s="238"/>
      <c r="AH178" s="238"/>
      <c r="AI178" s="238"/>
      <c r="AJ178" s="238"/>
      <c r="AK178" s="238"/>
      <c r="AL178" s="238"/>
      <c r="AM178" s="238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32"/>
      <c r="AX178" s="232"/>
      <c r="AY178" s="233"/>
      <c r="AZ178" s="232"/>
      <c r="BA178" s="232"/>
      <c r="BB178" s="232"/>
      <c r="BC178" s="232"/>
      <c r="BD178" s="232"/>
      <c r="BE178" s="232"/>
      <c r="BF178" s="232"/>
    </row>
    <row r="179" spans="1:58" x14ac:dyDescent="0.25">
      <c r="A179" s="196"/>
      <c r="B179" s="211"/>
      <c r="C179" s="211"/>
      <c r="D179" s="197"/>
      <c r="E179" s="197"/>
      <c r="F179" s="222"/>
      <c r="G179" s="222"/>
      <c r="H179" s="222"/>
      <c r="I179" s="222"/>
      <c r="J179" s="222"/>
      <c r="K179" s="222"/>
      <c r="L179" s="223"/>
      <c r="M179" s="223"/>
      <c r="N179" s="224"/>
      <c r="O179" s="224"/>
      <c r="P179" s="224"/>
      <c r="Q179" s="223"/>
      <c r="R179" s="224"/>
      <c r="S179" s="223"/>
      <c r="T179" s="223"/>
      <c r="U179" s="225"/>
      <c r="V179" s="225"/>
      <c r="W179" s="225"/>
      <c r="X179" s="225"/>
      <c r="Y179" s="225"/>
      <c r="Z179" s="225"/>
      <c r="AA179" s="225"/>
      <c r="AB179" s="225"/>
      <c r="AC179" s="225"/>
      <c r="AD179" s="225"/>
      <c r="AE179" s="244"/>
      <c r="AF179" s="244"/>
      <c r="AG179" s="238"/>
      <c r="AH179" s="238"/>
      <c r="AI179" s="238"/>
      <c r="AJ179" s="238"/>
      <c r="AK179" s="238"/>
      <c r="AL179" s="238"/>
      <c r="AM179" s="238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32"/>
      <c r="AX179" s="232"/>
      <c r="AY179" s="233"/>
      <c r="AZ179" s="232"/>
      <c r="BA179" s="232"/>
      <c r="BB179" s="232"/>
      <c r="BC179" s="232"/>
      <c r="BD179" s="232"/>
      <c r="BE179" s="232"/>
      <c r="BF179" s="232"/>
    </row>
    <row r="180" spans="1:58" x14ac:dyDescent="0.25">
      <c r="A180" s="196"/>
      <c r="B180" s="211"/>
      <c r="C180" s="211"/>
      <c r="D180" s="197"/>
      <c r="E180" s="197"/>
      <c r="F180" s="222"/>
      <c r="G180" s="222"/>
      <c r="H180" s="222"/>
      <c r="I180" s="222"/>
      <c r="J180" s="222"/>
      <c r="K180" s="222"/>
      <c r="L180" s="223"/>
      <c r="M180" s="223"/>
      <c r="N180" s="224"/>
      <c r="O180" s="224"/>
      <c r="P180" s="224"/>
      <c r="Q180" s="223"/>
      <c r="R180" s="224"/>
      <c r="S180" s="223"/>
      <c r="T180" s="223"/>
      <c r="U180" s="225"/>
      <c r="V180" s="225"/>
      <c r="W180" s="225"/>
      <c r="X180" s="225"/>
      <c r="Y180" s="225"/>
      <c r="Z180" s="225"/>
      <c r="AA180" s="225"/>
      <c r="AB180" s="225"/>
      <c r="AC180" s="225"/>
      <c r="AD180" s="225"/>
      <c r="AE180" s="244"/>
      <c r="AF180" s="244"/>
      <c r="AG180" s="238"/>
      <c r="AH180" s="238"/>
      <c r="AI180" s="238"/>
      <c r="AJ180" s="238"/>
      <c r="AK180" s="238"/>
      <c r="AL180" s="238"/>
      <c r="AM180" s="238"/>
      <c r="AN180" s="225"/>
      <c r="AO180" s="225"/>
      <c r="AP180" s="225"/>
      <c r="AQ180" s="225"/>
      <c r="AR180" s="225"/>
      <c r="AS180" s="225"/>
      <c r="AT180" s="225"/>
      <c r="AU180" s="225"/>
      <c r="AV180" s="225"/>
      <c r="AW180" s="232"/>
      <c r="AX180" s="232"/>
      <c r="AY180" s="233"/>
      <c r="AZ180" s="232"/>
      <c r="BA180" s="232"/>
      <c r="BB180" s="232"/>
      <c r="BC180" s="232"/>
      <c r="BD180" s="232"/>
      <c r="BE180" s="232"/>
      <c r="BF180" s="232"/>
    </row>
    <row r="181" spans="1:58" x14ac:dyDescent="0.25">
      <c r="A181" s="196"/>
      <c r="B181" s="211"/>
      <c r="C181" s="211"/>
      <c r="D181" s="197"/>
      <c r="E181" s="197"/>
      <c r="F181" s="222"/>
      <c r="G181" s="222"/>
      <c r="H181" s="222"/>
      <c r="I181" s="222"/>
      <c r="J181" s="222"/>
      <c r="K181" s="222"/>
      <c r="L181" s="223"/>
      <c r="M181" s="223"/>
      <c r="N181" s="224"/>
      <c r="O181" s="224"/>
      <c r="P181" s="224"/>
      <c r="Q181" s="223"/>
      <c r="R181" s="224"/>
      <c r="S181" s="223"/>
      <c r="T181" s="223"/>
      <c r="U181" s="225"/>
      <c r="V181" s="225"/>
      <c r="W181" s="225"/>
      <c r="X181" s="225"/>
      <c r="Y181" s="225"/>
      <c r="Z181" s="225"/>
      <c r="AA181" s="225"/>
      <c r="AB181" s="225"/>
      <c r="AC181" s="225"/>
      <c r="AD181" s="225"/>
      <c r="AE181" s="244"/>
      <c r="AF181" s="244"/>
      <c r="AG181" s="238"/>
      <c r="AH181" s="238"/>
      <c r="AI181" s="238"/>
      <c r="AJ181" s="238"/>
      <c r="AK181" s="238"/>
      <c r="AL181" s="238"/>
      <c r="AM181" s="238"/>
      <c r="AN181" s="225"/>
      <c r="AO181" s="225"/>
      <c r="AP181" s="225"/>
      <c r="AQ181" s="225"/>
      <c r="AR181" s="225"/>
      <c r="AS181" s="225"/>
      <c r="AT181" s="225"/>
      <c r="AU181" s="225"/>
      <c r="AV181" s="225"/>
      <c r="AW181" s="232"/>
      <c r="AX181" s="232"/>
      <c r="AY181" s="233"/>
      <c r="AZ181" s="232"/>
      <c r="BA181" s="232"/>
      <c r="BB181" s="232"/>
      <c r="BC181" s="232"/>
      <c r="BD181" s="232"/>
      <c r="BE181" s="232"/>
      <c r="BF181" s="232"/>
    </row>
    <row r="182" spans="1:58" x14ac:dyDescent="0.25">
      <c r="A182" s="196"/>
      <c r="B182" s="211"/>
      <c r="C182" s="211"/>
      <c r="D182" s="197"/>
      <c r="E182" s="197"/>
      <c r="F182" s="222"/>
      <c r="G182" s="222"/>
      <c r="H182" s="222"/>
      <c r="I182" s="222"/>
      <c r="J182" s="222"/>
      <c r="K182" s="222"/>
      <c r="L182" s="223"/>
      <c r="M182" s="223"/>
      <c r="N182" s="224"/>
      <c r="O182" s="224"/>
      <c r="P182" s="224"/>
      <c r="Q182" s="223"/>
      <c r="R182" s="224"/>
      <c r="S182" s="223"/>
      <c r="T182" s="223"/>
      <c r="U182" s="225"/>
      <c r="V182" s="225"/>
      <c r="W182" s="225"/>
      <c r="X182" s="225"/>
      <c r="Y182" s="225"/>
      <c r="Z182" s="225"/>
      <c r="AA182" s="225"/>
      <c r="AB182" s="225"/>
      <c r="AC182" s="225"/>
      <c r="AD182" s="225"/>
      <c r="AE182" s="244"/>
      <c r="AF182" s="244"/>
      <c r="AG182" s="238"/>
      <c r="AH182" s="238"/>
      <c r="AI182" s="238"/>
      <c r="AJ182" s="238"/>
      <c r="AK182" s="238"/>
      <c r="AL182" s="238"/>
      <c r="AM182" s="238"/>
      <c r="AN182" s="225"/>
      <c r="AO182" s="225"/>
      <c r="AP182" s="225"/>
      <c r="AQ182" s="225"/>
      <c r="AR182" s="225"/>
      <c r="AS182" s="225"/>
      <c r="AT182" s="225"/>
      <c r="AU182" s="225"/>
      <c r="AV182" s="225"/>
      <c r="AW182" s="232"/>
      <c r="AX182" s="232"/>
      <c r="AY182" s="233"/>
      <c r="AZ182" s="232"/>
      <c r="BA182" s="232"/>
      <c r="BB182" s="232"/>
      <c r="BC182" s="232"/>
      <c r="BD182" s="232"/>
      <c r="BE182" s="232"/>
      <c r="BF182" s="232"/>
    </row>
    <row r="183" spans="1:58" x14ac:dyDescent="0.25">
      <c r="A183" s="196"/>
      <c r="B183" s="211"/>
      <c r="C183" s="211"/>
      <c r="D183" s="197"/>
      <c r="E183" s="197"/>
      <c r="F183" s="222"/>
      <c r="G183" s="222"/>
      <c r="H183" s="222"/>
      <c r="I183" s="222"/>
      <c r="J183" s="222"/>
      <c r="K183" s="222"/>
      <c r="L183" s="223"/>
      <c r="M183" s="223"/>
      <c r="N183" s="224"/>
      <c r="O183" s="224"/>
      <c r="P183" s="224"/>
      <c r="Q183" s="223"/>
      <c r="R183" s="224"/>
      <c r="S183" s="223"/>
      <c r="T183" s="223"/>
      <c r="U183" s="225"/>
      <c r="V183" s="225"/>
      <c r="W183" s="225"/>
      <c r="X183" s="225"/>
      <c r="Y183" s="225"/>
      <c r="Z183" s="225"/>
      <c r="AA183" s="225"/>
      <c r="AB183" s="225"/>
      <c r="AC183" s="225"/>
      <c r="AD183" s="225"/>
      <c r="AE183" s="244"/>
      <c r="AF183" s="244"/>
      <c r="AG183" s="238"/>
      <c r="AH183" s="238"/>
      <c r="AI183" s="238"/>
      <c r="AJ183" s="238"/>
      <c r="AK183" s="238"/>
      <c r="AL183" s="238"/>
      <c r="AM183" s="238"/>
      <c r="AN183" s="225"/>
      <c r="AO183" s="225"/>
      <c r="AP183" s="225"/>
      <c r="AQ183" s="225"/>
      <c r="AR183" s="225"/>
      <c r="AS183" s="225"/>
      <c r="AT183" s="225"/>
      <c r="AU183" s="225"/>
      <c r="AV183" s="225"/>
      <c r="AW183" s="232"/>
      <c r="AX183" s="232"/>
      <c r="AY183" s="233"/>
      <c r="AZ183" s="232"/>
      <c r="BA183" s="232"/>
      <c r="BB183" s="232"/>
      <c r="BC183" s="232"/>
      <c r="BD183" s="232"/>
      <c r="BE183" s="232"/>
      <c r="BF183" s="232"/>
    </row>
    <row r="184" spans="1:58" x14ac:dyDescent="0.25">
      <c r="A184" s="196"/>
      <c r="B184" s="211"/>
      <c r="C184" s="211"/>
      <c r="D184" s="197"/>
      <c r="E184" s="197"/>
      <c r="F184" s="222"/>
      <c r="G184" s="222"/>
      <c r="H184" s="222"/>
      <c r="I184" s="222"/>
      <c r="J184" s="222"/>
      <c r="K184" s="222"/>
      <c r="L184" s="223"/>
      <c r="M184" s="223"/>
      <c r="N184" s="224"/>
      <c r="O184" s="224"/>
      <c r="P184" s="224"/>
      <c r="Q184" s="223"/>
      <c r="R184" s="224"/>
      <c r="S184" s="223"/>
      <c r="T184" s="223"/>
      <c r="U184" s="225"/>
      <c r="V184" s="225"/>
      <c r="W184" s="225"/>
      <c r="X184" s="225"/>
      <c r="Y184" s="225"/>
      <c r="Z184" s="225"/>
      <c r="AA184" s="225"/>
      <c r="AB184" s="225"/>
      <c r="AC184" s="225"/>
      <c r="AD184" s="225"/>
      <c r="AE184" s="244"/>
      <c r="AF184" s="244"/>
      <c r="AG184" s="238"/>
      <c r="AH184" s="238"/>
      <c r="AI184" s="238"/>
      <c r="AJ184" s="238"/>
      <c r="AK184" s="238"/>
      <c r="AL184" s="238"/>
      <c r="AM184" s="238"/>
      <c r="AN184" s="225"/>
      <c r="AO184" s="225"/>
      <c r="AP184" s="225"/>
      <c r="AQ184" s="225"/>
      <c r="AR184" s="225"/>
      <c r="AS184" s="225"/>
      <c r="AT184" s="225"/>
      <c r="AU184" s="225"/>
      <c r="AV184" s="225"/>
      <c r="AW184" s="232"/>
      <c r="AX184" s="232"/>
      <c r="AY184" s="233"/>
      <c r="AZ184" s="232"/>
      <c r="BA184" s="232"/>
      <c r="BB184" s="232"/>
      <c r="BC184" s="232"/>
      <c r="BD184" s="232"/>
      <c r="BE184" s="232"/>
      <c r="BF184" s="232"/>
    </row>
    <row r="185" spans="1:58" x14ac:dyDescent="0.25">
      <c r="A185" s="196"/>
      <c r="B185" s="211"/>
      <c r="C185" s="211"/>
      <c r="D185" s="197"/>
      <c r="E185" s="197"/>
      <c r="F185" s="222"/>
      <c r="G185" s="222"/>
      <c r="H185" s="222"/>
      <c r="I185" s="222"/>
      <c r="J185" s="222"/>
      <c r="K185" s="222"/>
      <c r="L185" s="223"/>
      <c r="M185" s="223"/>
      <c r="N185" s="224"/>
      <c r="O185" s="224"/>
      <c r="P185" s="224"/>
      <c r="Q185" s="223"/>
      <c r="R185" s="224"/>
      <c r="S185" s="223"/>
      <c r="T185" s="223"/>
      <c r="U185" s="225"/>
      <c r="V185" s="225"/>
      <c r="W185" s="225"/>
      <c r="X185" s="225"/>
      <c r="Y185" s="225"/>
      <c r="Z185" s="225"/>
      <c r="AA185" s="225"/>
      <c r="AB185" s="225"/>
      <c r="AC185" s="225"/>
      <c r="AD185" s="225"/>
      <c r="AE185" s="244"/>
      <c r="AF185" s="244"/>
      <c r="AG185" s="238"/>
      <c r="AH185" s="238"/>
      <c r="AI185" s="238"/>
      <c r="AJ185" s="238"/>
      <c r="AK185" s="238"/>
      <c r="AL185" s="238"/>
      <c r="AM185" s="238"/>
      <c r="AN185" s="225"/>
      <c r="AO185" s="225"/>
      <c r="AP185" s="225"/>
      <c r="AQ185" s="225"/>
      <c r="AR185" s="225"/>
      <c r="AS185" s="225"/>
      <c r="AT185" s="225"/>
      <c r="AU185" s="225"/>
      <c r="AV185" s="225"/>
      <c r="AW185" s="232"/>
      <c r="AX185" s="232"/>
      <c r="AY185" s="233"/>
      <c r="AZ185" s="232"/>
      <c r="BA185" s="232"/>
      <c r="BB185" s="232"/>
      <c r="BC185" s="232"/>
      <c r="BD185" s="232"/>
      <c r="BE185" s="232"/>
      <c r="BF185" s="232"/>
    </row>
    <row r="186" spans="1:58" x14ac:dyDescent="0.25">
      <c r="A186" s="196"/>
      <c r="B186" s="211"/>
      <c r="C186" s="211"/>
      <c r="D186" s="197"/>
      <c r="E186" s="197"/>
      <c r="F186" s="222"/>
      <c r="G186" s="222"/>
      <c r="H186" s="222"/>
      <c r="I186" s="222"/>
      <c r="J186" s="222"/>
      <c r="K186" s="222"/>
      <c r="L186" s="223"/>
      <c r="M186" s="223"/>
      <c r="N186" s="224"/>
      <c r="O186" s="224"/>
      <c r="P186" s="224"/>
      <c r="Q186" s="223"/>
      <c r="R186" s="224"/>
      <c r="S186" s="223"/>
      <c r="T186" s="223"/>
      <c r="U186" s="225"/>
      <c r="V186" s="225"/>
      <c r="W186" s="225"/>
      <c r="X186" s="225"/>
      <c r="Y186" s="225"/>
      <c r="Z186" s="225"/>
      <c r="AA186" s="225"/>
      <c r="AB186" s="225"/>
      <c r="AC186" s="225"/>
      <c r="AD186" s="225"/>
      <c r="AE186" s="244"/>
      <c r="AF186" s="244"/>
      <c r="AG186" s="238"/>
      <c r="AH186" s="238"/>
      <c r="AI186" s="238"/>
      <c r="AJ186" s="238"/>
      <c r="AK186" s="238"/>
      <c r="AL186" s="238"/>
      <c r="AM186" s="238"/>
      <c r="AN186" s="225"/>
      <c r="AO186" s="225"/>
      <c r="AP186" s="225"/>
      <c r="AQ186" s="225"/>
      <c r="AR186" s="225"/>
      <c r="AS186" s="225"/>
      <c r="AT186" s="225"/>
      <c r="AU186" s="225"/>
      <c r="AV186" s="225"/>
      <c r="AW186" s="232"/>
      <c r="AX186" s="232"/>
      <c r="AY186" s="233"/>
      <c r="AZ186" s="232"/>
      <c r="BA186" s="232"/>
      <c r="BB186" s="232"/>
      <c r="BC186" s="232"/>
      <c r="BD186" s="232"/>
      <c r="BE186" s="232"/>
      <c r="BF186" s="232"/>
    </row>
    <row r="187" spans="1:58" x14ac:dyDescent="0.25">
      <c r="A187" s="196"/>
      <c r="B187" s="211"/>
      <c r="C187" s="211"/>
      <c r="D187" s="197"/>
      <c r="E187" s="197"/>
      <c r="F187" s="222"/>
      <c r="G187" s="222"/>
      <c r="H187" s="222"/>
      <c r="I187" s="222"/>
      <c r="J187" s="222"/>
      <c r="K187" s="222"/>
      <c r="L187" s="223"/>
      <c r="M187" s="223"/>
      <c r="N187" s="224"/>
      <c r="O187" s="224"/>
      <c r="P187" s="224"/>
      <c r="Q187" s="223"/>
      <c r="R187" s="224"/>
      <c r="S187" s="223"/>
      <c r="T187" s="223"/>
      <c r="U187" s="225"/>
      <c r="V187" s="225"/>
      <c r="W187" s="225"/>
      <c r="X187" s="225"/>
      <c r="Y187" s="225"/>
      <c r="Z187" s="225"/>
      <c r="AA187" s="225"/>
      <c r="AB187" s="225"/>
      <c r="AC187" s="225"/>
      <c r="AD187" s="225"/>
      <c r="AE187" s="244"/>
      <c r="AF187" s="244"/>
      <c r="AG187" s="238"/>
      <c r="AH187" s="238"/>
      <c r="AI187" s="238"/>
      <c r="AJ187" s="238"/>
      <c r="AK187" s="238"/>
      <c r="AL187" s="238"/>
      <c r="AM187" s="238"/>
      <c r="AN187" s="225"/>
      <c r="AO187" s="225"/>
      <c r="AP187" s="225"/>
      <c r="AQ187" s="225"/>
      <c r="AR187" s="225"/>
      <c r="AS187" s="225"/>
      <c r="AT187" s="225"/>
      <c r="AU187" s="225"/>
      <c r="AV187" s="225"/>
      <c r="AW187" s="232"/>
      <c r="AX187" s="232"/>
      <c r="AY187" s="233"/>
      <c r="AZ187" s="232"/>
      <c r="BA187" s="232"/>
      <c r="BB187" s="232"/>
      <c r="BC187" s="232"/>
      <c r="BD187" s="232"/>
      <c r="BE187" s="232"/>
      <c r="BF187" s="232"/>
    </row>
    <row r="188" spans="1:58" x14ac:dyDescent="0.25">
      <c r="A188" s="196"/>
      <c r="B188" s="211"/>
      <c r="C188" s="211"/>
      <c r="D188" s="197"/>
      <c r="E188" s="197"/>
      <c r="F188" s="222"/>
      <c r="G188" s="222"/>
      <c r="H188" s="222"/>
      <c r="I188" s="222"/>
      <c r="J188" s="222"/>
      <c r="K188" s="222"/>
      <c r="L188" s="223"/>
      <c r="M188" s="223"/>
      <c r="N188" s="224"/>
      <c r="O188" s="224"/>
      <c r="P188" s="224"/>
      <c r="Q188" s="223"/>
      <c r="R188" s="224"/>
      <c r="S188" s="223"/>
      <c r="T188" s="223"/>
      <c r="U188" s="225"/>
      <c r="V188" s="225"/>
      <c r="W188" s="225"/>
      <c r="X188" s="225"/>
      <c r="Y188" s="225"/>
      <c r="Z188" s="225"/>
      <c r="AA188" s="225"/>
      <c r="AB188" s="225"/>
      <c r="AC188" s="225"/>
      <c r="AD188" s="225"/>
      <c r="AE188" s="244"/>
      <c r="AF188" s="244"/>
      <c r="AG188" s="238"/>
      <c r="AH188" s="238"/>
      <c r="AI188" s="238"/>
      <c r="AJ188" s="238"/>
      <c r="AK188" s="238"/>
      <c r="AL188" s="238"/>
      <c r="AM188" s="238"/>
      <c r="AN188" s="225"/>
      <c r="AO188" s="225"/>
      <c r="AP188" s="225"/>
      <c r="AQ188" s="225"/>
      <c r="AR188" s="225"/>
      <c r="AS188" s="225"/>
      <c r="AT188" s="225"/>
      <c r="AU188" s="225"/>
      <c r="AV188" s="225"/>
      <c r="AW188" s="232"/>
      <c r="AX188" s="232"/>
      <c r="AY188" s="233"/>
      <c r="AZ188" s="232"/>
      <c r="BA188" s="232"/>
      <c r="BB188" s="232"/>
      <c r="BC188" s="232"/>
      <c r="BD188" s="232"/>
      <c r="BE188" s="232"/>
      <c r="BF188" s="232"/>
    </row>
    <row r="189" spans="1:58" x14ac:dyDescent="0.25">
      <c r="A189" s="196"/>
      <c r="B189" s="211"/>
      <c r="C189" s="211"/>
      <c r="D189" s="197"/>
      <c r="E189" s="197"/>
      <c r="F189" s="222"/>
      <c r="G189" s="222"/>
      <c r="H189" s="222"/>
      <c r="I189" s="222"/>
      <c r="J189" s="222"/>
      <c r="K189" s="222"/>
      <c r="L189" s="223"/>
      <c r="M189" s="223"/>
      <c r="N189" s="224"/>
      <c r="O189" s="224"/>
      <c r="P189" s="224"/>
      <c r="Q189" s="223"/>
      <c r="R189" s="224"/>
      <c r="S189" s="223"/>
      <c r="T189" s="223"/>
      <c r="U189" s="225"/>
      <c r="V189" s="225"/>
      <c r="W189" s="225"/>
      <c r="X189" s="225"/>
      <c r="Y189" s="225"/>
      <c r="Z189" s="225"/>
      <c r="AA189" s="225"/>
      <c r="AB189" s="225"/>
      <c r="AC189" s="222"/>
      <c r="AD189" s="225"/>
      <c r="AE189" s="244"/>
      <c r="AF189" s="244"/>
      <c r="AG189" s="238"/>
      <c r="AH189" s="238"/>
      <c r="AI189" s="238"/>
      <c r="AJ189" s="238"/>
      <c r="AK189" s="238"/>
      <c r="AL189" s="238"/>
      <c r="AM189" s="238"/>
      <c r="AN189" s="225"/>
      <c r="AO189" s="225"/>
      <c r="AP189" s="225"/>
      <c r="AQ189" s="225"/>
      <c r="AR189" s="225"/>
      <c r="AS189" s="225"/>
      <c r="AT189" s="225"/>
      <c r="AU189" s="225"/>
      <c r="AV189" s="225"/>
      <c r="AW189" s="232"/>
      <c r="AX189" s="232"/>
      <c r="AY189" s="233"/>
      <c r="AZ189" s="232"/>
      <c r="BA189" s="232"/>
      <c r="BB189" s="232"/>
      <c r="BC189" s="232"/>
      <c r="BD189" s="232"/>
      <c r="BE189" s="232"/>
      <c r="BF189" s="232"/>
    </row>
    <row r="190" spans="1:58" x14ac:dyDescent="0.25">
      <c r="A190" s="196"/>
      <c r="B190" s="211"/>
      <c r="C190" s="211"/>
      <c r="D190" s="197"/>
      <c r="E190" s="197"/>
      <c r="F190" s="222"/>
      <c r="G190" s="222"/>
      <c r="H190" s="222"/>
      <c r="I190" s="222"/>
      <c r="J190" s="222"/>
      <c r="K190" s="222"/>
      <c r="L190" s="223"/>
      <c r="M190" s="223"/>
      <c r="N190" s="224"/>
      <c r="O190" s="224"/>
      <c r="P190" s="224"/>
      <c r="Q190" s="223"/>
      <c r="R190" s="224"/>
      <c r="S190" s="223"/>
      <c r="T190" s="223"/>
      <c r="U190" s="225"/>
      <c r="V190" s="225"/>
      <c r="W190" s="225"/>
      <c r="X190" s="225"/>
      <c r="Y190" s="225"/>
      <c r="Z190" s="225"/>
      <c r="AA190" s="225"/>
      <c r="AB190" s="225"/>
      <c r="AC190" s="222"/>
      <c r="AD190" s="225"/>
      <c r="AE190" s="244"/>
      <c r="AF190" s="244"/>
      <c r="AG190" s="238"/>
      <c r="AH190" s="238"/>
      <c r="AI190" s="238"/>
      <c r="AJ190" s="238"/>
      <c r="AK190" s="238"/>
      <c r="AL190" s="238"/>
      <c r="AM190" s="238"/>
      <c r="AN190" s="225"/>
      <c r="AO190" s="225"/>
      <c r="AP190" s="225"/>
      <c r="AQ190" s="225"/>
      <c r="AR190" s="225"/>
      <c r="AS190" s="225"/>
      <c r="AT190" s="225"/>
      <c r="AU190" s="225"/>
      <c r="AV190" s="225"/>
      <c r="AW190" s="232"/>
      <c r="AX190" s="232"/>
      <c r="AY190" s="233"/>
      <c r="AZ190" s="232"/>
      <c r="BA190" s="232"/>
      <c r="BB190" s="232"/>
      <c r="BC190" s="232"/>
      <c r="BD190" s="232"/>
      <c r="BE190" s="232"/>
      <c r="BF190" s="232"/>
    </row>
    <row r="191" spans="1:58" x14ac:dyDescent="0.25">
      <c r="A191" s="196"/>
      <c r="B191" s="211"/>
      <c r="C191" s="211"/>
      <c r="D191" s="197"/>
      <c r="E191" s="197"/>
      <c r="F191" s="222"/>
      <c r="G191" s="222"/>
      <c r="H191" s="222"/>
      <c r="I191" s="222"/>
      <c r="J191" s="222"/>
      <c r="K191" s="222"/>
      <c r="L191" s="223"/>
      <c r="M191" s="223"/>
      <c r="N191" s="224"/>
      <c r="O191" s="224"/>
      <c r="P191" s="224"/>
      <c r="Q191" s="223"/>
      <c r="R191" s="224"/>
      <c r="S191" s="223"/>
      <c r="T191" s="223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44"/>
      <c r="AF191" s="244"/>
      <c r="AG191" s="238"/>
      <c r="AH191" s="238"/>
      <c r="AI191" s="238"/>
      <c r="AJ191" s="238"/>
      <c r="AK191" s="238"/>
      <c r="AL191" s="238"/>
      <c r="AM191" s="238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32"/>
      <c r="AX191" s="232"/>
      <c r="AY191" s="233"/>
      <c r="AZ191" s="232"/>
      <c r="BA191" s="232"/>
      <c r="BB191" s="232"/>
      <c r="BC191" s="232"/>
      <c r="BD191" s="232"/>
      <c r="BE191" s="232"/>
      <c r="BF191" s="232"/>
    </row>
    <row r="192" spans="1:58" x14ac:dyDescent="0.25">
      <c r="A192" s="196"/>
      <c r="B192" s="211"/>
      <c r="C192" s="211"/>
      <c r="D192" s="197"/>
      <c r="E192" s="197"/>
      <c r="F192" s="222"/>
      <c r="G192" s="222"/>
      <c r="H192" s="222"/>
      <c r="I192" s="222"/>
      <c r="J192" s="222"/>
      <c r="K192" s="222"/>
      <c r="L192" s="223"/>
      <c r="M192" s="223"/>
      <c r="N192" s="224"/>
      <c r="O192" s="224"/>
      <c r="P192" s="224"/>
      <c r="Q192" s="223"/>
      <c r="R192" s="224"/>
      <c r="S192" s="223"/>
      <c r="T192" s="223"/>
      <c r="U192" s="225"/>
      <c r="V192" s="225"/>
      <c r="W192" s="225"/>
      <c r="X192" s="225"/>
      <c r="Y192" s="225"/>
      <c r="Z192" s="225"/>
      <c r="AA192" s="225"/>
      <c r="AB192" s="225"/>
      <c r="AC192" s="225"/>
      <c r="AD192" s="225"/>
      <c r="AE192" s="244"/>
      <c r="AF192" s="244"/>
      <c r="AG192" s="238"/>
      <c r="AH192" s="238"/>
      <c r="AI192" s="238"/>
      <c r="AJ192" s="238"/>
      <c r="AK192" s="238"/>
      <c r="AL192" s="238"/>
      <c r="AM192" s="238"/>
      <c r="AN192" s="225"/>
      <c r="AO192" s="225"/>
      <c r="AP192" s="225"/>
      <c r="AQ192" s="225"/>
      <c r="AR192" s="225"/>
      <c r="AS192" s="225"/>
      <c r="AT192" s="225"/>
      <c r="AU192" s="225"/>
      <c r="AV192" s="225"/>
      <c r="AW192" s="232"/>
      <c r="AX192" s="232"/>
      <c r="AY192" s="233"/>
      <c r="AZ192" s="232"/>
      <c r="BA192" s="232"/>
      <c r="BB192" s="232"/>
      <c r="BC192" s="232"/>
      <c r="BD192" s="232"/>
      <c r="BE192" s="232"/>
      <c r="BF192" s="232"/>
    </row>
    <row r="193" spans="1:58" x14ac:dyDescent="0.25">
      <c r="A193" s="196"/>
      <c r="B193" s="211"/>
      <c r="C193" s="211"/>
      <c r="D193" s="197"/>
      <c r="E193" s="197"/>
      <c r="F193" s="222"/>
      <c r="G193" s="222"/>
      <c r="H193" s="222"/>
      <c r="I193" s="222"/>
      <c r="J193" s="222"/>
      <c r="K193" s="222"/>
      <c r="L193" s="223"/>
      <c r="M193" s="223"/>
      <c r="N193" s="224"/>
      <c r="O193" s="224"/>
      <c r="P193" s="224"/>
      <c r="Q193" s="223"/>
      <c r="R193" s="224"/>
      <c r="S193" s="223"/>
      <c r="T193" s="223"/>
      <c r="U193" s="225"/>
      <c r="V193" s="225"/>
      <c r="W193" s="225"/>
      <c r="X193" s="225"/>
      <c r="Y193" s="225"/>
      <c r="Z193" s="225"/>
      <c r="AA193" s="225"/>
      <c r="AB193" s="225"/>
      <c r="AC193" s="225"/>
      <c r="AD193" s="225"/>
      <c r="AE193" s="244"/>
      <c r="AF193" s="244"/>
      <c r="AG193" s="238"/>
      <c r="AH193" s="238"/>
      <c r="AI193" s="238"/>
      <c r="AJ193" s="238"/>
      <c r="AK193" s="238"/>
      <c r="AL193" s="238"/>
      <c r="AM193" s="238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32"/>
      <c r="AX193" s="232"/>
      <c r="AY193" s="233"/>
      <c r="AZ193" s="232"/>
      <c r="BA193" s="232"/>
      <c r="BB193" s="232"/>
      <c r="BC193" s="232"/>
      <c r="BD193" s="232"/>
      <c r="BE193" s="232"/>
      <c r="BF193" s="232"/>
    </row>
    <row r="194" spans="1:58" x14ac:dyDescent="0.25">
      <c r="A194" s="196"/>
      <c r="B194" s="211"/>
      <c r="C194" s="211"/>
      <c r="D194" s="197"/>
      <c r="E194" s="197"/>
      <c r="F194" s="222"/>
      <c r="G194" s="222"/>
      <c r="H194" s="222"/>
      <c r="I194" s="222"/>
      <c r="J194" s="222"/>
      <c r="K194" s="222"/>
      <c r="L194" s="223"/>
      <c r="M194" s="223"/>
      <c r="N194" s="224"/>
      <c r="O194" s="224"/>
      <c r="P194" s="224"/>
      <c r="Q194" s="223"/>
      <c r="R194" s="224"/>
      <c r="S194" s="223"/>
      <c r="T194" s="223"/>
      <c r="U194" s="225"/>
      <c r="V194" s="225"/>
      <c r="W194" s="225"/>
      <c r="X194" s="225"/>
      <c r="Y194" s="225"/>
      <c r="Z194" s="225"/>
      <c r="AA194" s="225"/>
      <c r="AB194" s="225"/>
      <c r="AC194" s="225"/>
      <c r="AD194" s="225"/>
      <c r="AE194" s="244"/>
      <c r="AF194" s="244"/>
      <c r="AG194" s="238"/>
      <c r="AH194" s="238"/>
      <c r="AI194" s="238"/>
      <c r="AJ194" s="238"/>
      <c r="AK194" s="238"/>
      <c r="AL194" s="238"/>
      <c r="AM194" s="238"/>
      <c r="AN194" s="225"/>
      <c r="AO194" s="225"/>
      <c r="AP194" s="225"/>
      <c r="AQ194" s="225"/>
      <c r="AR194" s="225"/>
      <c r="AS194" s="225"/>
      <c r="AT194" s="225"/>
      <c r="AU194" s="225"/>
      <c r="AV194" s="225"/>
      <c r="AW194" s="232"/>
      <c r="AX194" s="232"/>
      <c r="AY194" s="233"/>
      <c r="AZ194" s="232"/>
      <c r="BA194" s="232"/>
      <c r="BB194" s="232"/>
      <c r="BC194" s="232"/>
      <c r="BD194" s="232"/>
      <c r="BE194" s="232"/>
      <c r="BF194" s="232"/>
    </row>
    <row r="195" spans="1:58" x14ac:dyDescent="0.25">
      <c r="A195" s="196"/>
      <c r="B195" s="211"/>
      <c r="C195" s="211"/>
      <c r="D195" s="197"/>
      <c r="E195" s="197"/>
      <c r="F195" s="222"/>
      <c r="G195" s="222"/>
      <c r="H195" s="222"/>
      <c r="I195" s="222"/>
      <c r="J195" s="222"/>
      <c r="K195" s="222"/>
      <c r="L195" s="223"/>
      <c r="M195" s="223"/>
      <c r="N195" s="224"/>
      <c r="O195" s="224"/>
      <c r="P195" s="224"/>
      <c r="Q195" s="223"/>
      <c r="R195" s="224"/>
      <c r="S195" s="223"/>
      <c r="T195" s="223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44"/>
      <c r="AF195" s="244"/>
      <c r="AG195" s="238"/>
      <c r="AH195" s="238"/>
      <c r="AI195" s="238"/>
      <c r="AJ195" s="238"/>
      <c r="AK195" s="238"/>
      <c r="AL195" s="238"/>
      <c r="AM195" s="238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32"/>
      <c r="AX195" s="232"/>
      <c r="AY195" s="233"/>
      <c r="AZ195" s="232"/>
      <c r="BA195" s="232"/>
      <c r="BB195" s="232"/>
      <c r="BC195" s="232"/>
      <c r="BD195" s="232"/>
      <c r="BE195" s="232"/>
      <c r="BF195" s="232"/>
    </row>
    <row r="196" spans="1:58" x14ac:dyDescent="0.25">
      <c r="A196" s="196"/>
      <c r="B196" s="211"/>
      <c r="C196" s="211"/>
      <c r="D196" s="197"/>
      <c r="E196" s="197"/>
      <c r="F196" s="222"/>
      <c r="G196" s="222"/>
      <c r="H196" s="222"/>
      <c r="I196" s="222"/>
      <c r="J196" s="222"/>
      <c r="K196" s="222"/>
      <c r="L196" s="223"/>
      <c r="M196" s="223"/>
      <c r="N196" s="224"/>
      <c r="O196" s="224"/>
      <c r="P196" s="224"/>
      <c r="Q196" s="223"/>
      <c r="R196" s="224"/>
      <c r="S196" s="223"/>
      <c r="T196" s="223"/>
      <c r="U196" s="225"/>
      <c r="V196" s="225"/>
      <c r="W196" s="225"/>
      <c r="X196" s="225"/>
      <c r="Y196" s="225"/>
      <c r="Z196" s="225"/>
      <c r="AA196" s="225"/>
      <c r="AB196" s="225"/>
      <c r="AC196" s="225"/>
      <c r="AD196" s="225"/>
      <c r="AE196" s="244"/>
      <c r="AF196" s="244"/>
      <c r="AG196" s="238"/>
      <c r="AH196" s="238"/>
      <c r="AI196" s="238"/>
      <c r="AJ196" s="238"/>
      <c r="AK196" s="238"/>
      <c r="AL196" s="238"/>
      <c r="AM196" s="238"/>
      <c r="AN196" s="225"/>
      <c r="AO196" s="225"/>
      <c r="AP196" s="225"/>
      <c r="AQ196" s="225"/>
      <c r="AR196" s="225"/>
      <c r="AS196" s="225"/>
      <c r="AT196" s="225"/>
      <c r="AU196" s="225"/>
      <c r="AV196" s="225"/>
      <c r="AW196" s="232"/>
      <c r="AX196" s="232"/>
      <c r="AY196" s="233"/>
      <c r="AZ196" s="232"/>
      <c r="BA196" s="232"/>
      <c r="BB196" s="232"/>
      <c r="BC196" s="232"/>
      <c r="BD196" s="232"/>
      <c r="BE196" s="232"/>
      <c r="BF196" s="232"/>
    </row>
    <row r="197" spans="1:58" x14ac:dyDescent="0.25">
      <c r="A197" s="196"/>
      <c r="B197" s="211"/>
      <c r="C197" s="211"/>
      <c r="D197" s="197"/>
      <c r="E197" s="197"/>
      <c r="F197" s="222"/>
      <c r="G197" s="222"/>
      <c r="H197" s="222"/>
      <c r="I197" s="222"/>
      <c r="J197" s="222"/>
      <c r="K197" s="222"/>
      <c r="L197" s="223"/>
      <c r="M197" s="223"/>
      <c r="N197" s="224"/>
      <c r="O197" s="224"/>
      <c r="P197" s="224"/>
      <c r="Q197" s="223"/>
      <c r="R197" s="224"/>
      <c r="S197" s="223"/>
      <c r="T197" s="223"/>
      <c r="U197" s="225"/>
      <c r="V197" s="225"/>
      <c r="W197" s="225"/>
      <c r="X197" s="225"/>
      <c r="Y197" s="225"/>
      <c r="Z197" s="225"/>
      <c r="AA197" s="225"/>
      <c r="AB197" s="225"/>
      <c r="AC197" s="225"/>
      <c r="AD197" s="225"/>
      <c r="AE197" s="244"/>
      <c r="AF197" s="244"/>
      <c r="AG197" s="238"/>
      <c r="AH197" s="238"/>
      <c r="AI197" s="238"/>
      <c r="AJ197" s="238"/>
      <c r="AK197" s="238"/>
      <c r="AL197" s="238"/>
      <c r="AM197" s="238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32"/>
      <c r="AX197" s="232"/>
      <c r="AY197" s="233"/>
      <c r="AZ197" s="232"/>
      <c r="BA197" s="232"/>
      <c r="BB197" s="232"/>
      <c r="BC197" s="232"/>
      <c r="BD197" s="232"/>
      <c r="BE197" s="232"/>
      <c r="BF197" s="232"/>
    </row>
    <row r="198" spans="1:58" x14ac:dyDescent="0.25">
      <c r="A198" s="196"/>
      <c r="B198" s="211"/>
      <c r="C198" s="211"/>
      <c r="D198" s="197"/>
      <c r="E198" s="197"/>
      <c r="F198" s="222"/>
      <c r="G198" s="222"/>
      <c r="H198" s="222"/>
      <c r="I198" s="222"/>
      <c r="J198" s="222"/>
      <c r="K198" s="222"/>
      <c r="L198" s="223"/>
      <c r="M198" s="223"/>
      <c r="N198" s="224"/>
      <c r="O198" s="224"/>
      <c r="P198" s="224"/>
      <c r="Q198" s="223"/>
      <c r="R198" s="224"/>
      <c r="S198" s="223"/>
      <c r="T198" s="223"/>
      <c r="U198" s="225"/>
      <c r="V198" s="225"/>
      <c r="W198" s="225"/>
      <c r="X198" s="225"/>
      <c r="Y198" s="225"/>
      <c r="Z198" s="225"/>
      <c r="AA198" s="225"/>
      <c r="AB198" s="225"/>
      <c r="AC198" s="225"/>
      <c r="AD198" s="225"/>
      <c r="AE198" s="244"/>
      <c r="AF198" s="244"/>
      <c r="AG198" s="238"/>
      <c r="AH198" s="238"/>
      <c r="AI198" s="238"/>
      <c r="AJ198" s="238"/>
      <c r="AK198" s="238"/>
      <c r="AL198" s="238"/>
      <c r="AM198" s="238"/>
      <c r="AN198" s="225"/>
      <c r="AO198" s="225"/>
      <c r="AP198" s="225"/>
      <c r="AQ198" s="225"/>
      <c r="AR198" s="225"/>
      <c r="AS198" s="225"/>
      <c r="AT198" s="225"/>
      <c r="AU198" s="225"/>
      <c r="AV198" s="225"/>
      <c r="AW198" s="232"/>
      <c r="AX198" s="232"/>
      <c r="AY198" s="233"/>
      <c r="AZ198" s="232"/>
      <c r="BA198" s="232"/>
      <c r="BB198" s="232"/>
      <c r="BC198" s="232"/>
      <c r="BD198" s="232"/>
      <c r="BE198" s="232"/>
      <c r="BF198" s="232"/>
    </row>
    <row r="199" spans="1:58" x14ac:dyDescent="0.25">
      <c r="A199" s="196"/>
      <c r="B199" s="211"/>
      <c r="C199" s="211"/>
      <c r="D199" s="197"/>
      <c r="E199" s="197"/>
      <c r="F199" s="222"/>
      <c r="G199" s="222"/>
      <c r="H199" s="222"/>
      <c r="I199" s="222"/>
      <c r="J199" s="222"/>
      <c r="K199" s="222"/>
      <c r="L199" s="223"/>
      <c r="M199" s="223"/>
      <c r="N199" s="224"/>
      <c r="O199" s="224"/>
      <c r="P199" s="224"/>
      <c r="Q199" s="223"/>
      <c r="R199" s="224"/>
      <c r="S199" s="223"/>
      <c r="T199" s="223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44"/>
      <c r="AF199" s="244"/>
      <c r="AG199" s="238"/>
      <c r="AH199" s="238"/>
      <c r="AI199" s="238"/>
      <c r="AJ199" s="238"/>
      <c r="AK199" s="238"/>
      <c r="AL199" s="238"/>
      <c r="AM199" s="238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32"/>
      <c r="AX199" s="232"/>
      <c r="AY199" s="233"/>
      <c r="AZ199" s="232"/>
      <c r="BA199" s="232"/>
      <c r="BB199" s="232"/>
      <c r="BC199" s="232"/>
      <c r="BD199" s="232"/>
      <c r="BE199" s="232"/>
      <c r="BF199" s="232"/>
    </row>
    <row r="200" spans="1:58" x14ac:dyDescent="0.25">
      <c r="A200" s="196"/>
      <c r="B200" s="211"/>
      <c r="C200" s="211"/>
      <c r="D200" s="197"/>
      <c r="E200" s="197"/>
      <c r="F200" s="222"/>
      <c r="G200" s="222"/>
      <c r="H200" s="222"/>
      <c r="I200" s="222"/>
      <c r="J200" s="222"/>
      <c r="K200" s="222"/>
      <c r="L200" s="223"/>
      <c r="M200" s="223"/>
      <c r="N200" s="224"/>
      <c r="O200" s="224"/>
      <c r="P200" s="224"/>
      <c r="Q200" s="223"/>
      <c r="R200" s="224"/>
      <c r="S200" s="223"/>
      <c r="T200" s="223"/>
      <c r="U200" s="225"/>
      <c r="V200" s="225"/>
      <c r="W200" s="225"/>
      <c r="X200" s="225"/>
      <c r="Y200" s="225"/>
      <c r="Z200" s="225"/>
      <c r="AA200" s="225"/>
      <c r="AB200" s="225"/>
      <c r="AC200" s="225"/>
      <c r="AD200" s="225"/>
      <c r="AE200" s="244"/>
      <c r="AF200" s="244"/>
      <c r="AG200" s="238"/>
      <c r="AH200" s="238"/>
      <c r="AI200" s="238"/>
      <c r="AJ200" s="238"/>
      <c r="AK200" s="238"/>
      <c r="AL200" s="238"/>
      <c r="AM200" s="238"/>
      <c r="AN200" s="225"/>
      <c r="AO200" s="225"/>
      <c r="AP200" s="225"/>
      <c r="AQ200" s="225"/>
      <c r="AR200" s="225"/>
      <c r="AS200" s="225"/>
      <c r="AT200" s="225"/>
      <c r="AU200" s="225"/>
      <c r="AV200" s="225"/>
      <c r="AW200" s="232"/>
      <c r="AX200" s="232"/>
      <c r="AY200" s="233"/>
      <c r="AZ200" s="232"/>
      <c r="BA200" s="232"/>
      <c r="BB200" s="232"/>
      <c r="BC200" s="232"/>
      <c r="BD200" s="232"/>
      <c r="BE200" s="232"/>
      <c r="BF200" s="232"/>
    </row>
    <row r="201" spans="1:58" x14ac:dyDescent="0.25">
      <c r="A201" s="196"/>
      <c r="B201" s="211"/>
      <c r="C201" s="211"/>
      <c r="D201" s="197"/>
      <c r="E201" s="197"/>
      <c r="F201" s="222"/>
      <c r="G201" s="222"/>
      <c r="H201" s="222"/>
      <c r="I201" s="222"/>
      <c r="J201" s="222"/>
      <c r="K201" s="222"/>
      <c r="L201" s="223"/>
      <c r="M201" s="223"/>
      <c r="N201" s="224"/>
      <c r="O201" s="224"/>
      <c r="P201" s="224"/>
      <c r="Q201" s="223"/>
      <c r="R201" s="224"/>
      <c r="S201" s="223"/>
      <c r="T201" s="223"/>
      <c r="U201" s="225"/>
      <c r="V201" s="225"/>
      <c r="W201" s="225"/>
      <c r="X201" s="225"/>
      <c r="Y201" s="225"/>
      <c r="Z201" s="225"/>
      <c r="AA201" s="225"/>
      <c r="AB201" s="225"/>
      <c r="AC201" s="225"/>
      <c r="AD201" s="225"/>
      <c r="AE201" s="244"/>
      <c r="AF201" s="244"/>
      <c r="AG201" s="238"/>
      <c r="AH201" s="238"/>
      <c r="AI201" s="238"/>
      <c r="AJ201" s="238"/>
      <c r="AK201" s="238"/>
      <c r="AL201" s="238"/>
      <c r="AM201" s="238"/>
      <c r="AN201" s="225"/>
      <c r="AO201" s="225"/>
      <c r="AP201" s="225"/>
      <c r="AQ201" s="225"/>
      <c r="AR201" s="225"/>
      <c r="AS201" s="225"/>
      <c r="AT201" s="225"/>
      <c r="AU201" s="225"/>
      <c r="AV201" s="225"/>
      <c r="AW201" s="232"/>
      <c r="AX201" s="232"/>
      <c r="AY201" s="233"/>
      <c r="AZ201" s="232"/>
      <c r="BA201" s="232"/>
      <c r="BB201" s="232"/>
      <c r="BC201" s="232"/>
      <c r="BD201" s="232"/>
      <c r="BE201" s="232"/>
      <c r="BF201" s="232"/>
    </row>
    <row r="202" spans="1:58" x14ac:dyDescent="0.25">
      <c r="A202" s="196"/>
      <c r="B202" s="211"/>
      <c r="C202" s="211"/>
      <c r="D202" s="197"/>
      <c r="E202" s="197"/>
      <c r="F202" s="222"/>
      <c r="G202" s="222"/>
      <c r="H202" s="222"/>
      <c r="I202" s="222"/>
      <c r="J202" s="222"/>
      <c r="K202" s="222"/>
      <c r="L202" s="223"/>
      <c r="M202" s="223"/>
      <c r="N202" s="224"/>
      <c r="O202" s="224"/>
      <c r="P202" s="224"/>
      <c r="Q202" s="223"/>
      <c r="R202" s="224"/>
      <c r="S202" s="223"/>
      <c r="T202" s="223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44"/>
      <c r="AF202" s="244"/>
      <c r="AG202" s="238"/>
      <c r="AH202" s="238"/>
      <c r="AI202" s="238"/>
      <c r="AJ202" s="238"/>
      <c r="AK202" s="238"/>
      <c r="AL202" s="238"/>
      <c r="AM202" s="238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32"/>
      <c r="AX202" s="232"/>
      <c r="AY202" s="233"/>
      <c r="AZ202" s="232"/>
      <c r="BA202" s="232"/>
      <c r="BB202" s="232"/>
      <c r="BC202" s="232"/>
      <c r="BD202" s="232"/>
      <c r="BE202" s="232"/>
      <c r="BF202" s="232"/>
    </row>
    <row r="203" spans="1:58" x14ac:dyDescent="0.25">
      <c r="A203" s="196"/>
      <c r="B203" s="211"/>
      <c r="C203" s="211"/>
      <c r="D203" s="197"/>
      <c r="E203" s="197"/>
      <c r="F203" s="222"/>
      <c r="G203" s="222"/>
      <c r="H203" s="222"/>
      <c r="I203" s="222"/>
      <c r="J203" s="222"/>
      <c r="K203" s="222"/>
      <c r="L203" s="223"/>
      <c r="M203" s="223"/>
      <c r="N203" s="224"/>
      <c r="O203" s="224"/>
      <c r="P203" s="224"/>
      <c r="Q203" s="223"/>
      <c r="R203" s="224"/>
      <c r="S203" s="223"/>
      <c r="T203" s="223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44"/>
      <c r="AF203" s="244"/>
      <c r="AG203" s="238"/>
      <c r="AH203" s="238"/>
      <c r="AI203" s="238"/>
      <c r="AJ203" s="238"/>
      <c r="AK203" s="238"/>
      <c r="AL203" s="238"/>
      <c r="AM203" s="238"/>
      <c r="AN203" s="225"/>
      <c r="AO203" s="225"/>
      <c r="AP203" s="225"/>
      <c r="AQ203" s="225"/>
      <c r="AR203" s="225"/>
      <c r="AS203" s="225"/>
      <c r="AT203" s="225"/>
      <c r="AU203" s="225"/>
      <c r="AV203" s="225"/>
      <c r="AW203" s="232"/>
      <c r="AX203" s="232"/>
      <c r="AY203" s="233"/>
      <c r="AZ203" s="232"/>
      <c r="BA203" s="232"/>
      <c r="BB203" s="232"/>
      <c r="BC203" s="232"/>
      <c r="BD203" s="232"/>
      <c r="BE203" s="232"/>
      <c r="BF203" s="232"/>
    </row>
    <row r="204" spans="1:58" x14ac:dyDescent="0.25">
      <c r="A204" s="196"/>
      <c r="B204" s="211"/>
      <c r="C204" s="211"/>
      <c r="D204" s="197"/>
      <c r="E204" s="197"/>
      <c r="F204" s="222"/>
      <c r="G204" s="222"/>
      <c r="H204" s="222"/>
      <c r="I204" s="222"/>
      <c r="J204" s="222"/>
      <c r="K204" s="222"/>
      <c r="L204" s="223"/>
      <c r="M204" s="223"/>
      <c r="N204" s="224"/>
      <c r="O204" s="224"/>
      <c r="P204" s="224"/>
      <c r="Q204" s="223"/>
      <c r="R204" s="224"/>
      <c r="S204" s="223"/>
      <c r="T204" s="223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44"/>
      <c r="AF204" s="244"/>
      <c r="AG204" s="238"/>
      <c r="AH204" s="238"/>
      <c r="AI204" s="238"/>
      <c r="AJ204" s="238"/>
      <c r="AK204" s="238"/>
      <c r="AL204" s="238"/>
      <c r="AM204" s="238"/>
      <c r="AN204" s="225"/>
      <c r="AO204" s="225"/>
      <c r="AP204" s="225"/>
      <c r="AQ204" s="225"/>
      <c r="AR204" s="225"/>
      <c r="AS204" s="225"/>
      <c r="AT204" s="225"/>
      <c r="AU204" s="225"/>
      <c r="AV204" s="225"/>
      <c r="AW204" s="232"/>
      <c r="AX204" s="232"/>
      <c r="AY204" s="233"/>
      <c r="AZ204" s="232"/>
      <c r="BA204" s="232"/>
      <c r="BB204" s="232"/>
      <c r="BC204" s="232"/>
      <c r="BD204" s="232"/>
      <c r="BE204" s="232"/>
      <c r="BF204" s="232"/>
    </row>
    <row r="205" spans="1:58" x14ac:dyDescent="0.25">
      <c r="A205" s="196"/>
      <c r="B205" s="211"/>
      <c r="C205" s="211"/>
      <c r="D205" s="197"/>
      <c r="E205" s="197"/>
      <c r="F205" s="222"/>
      <c r="G205" s="222"/>
      <c r="H205" s="222"/>
      <c r="I205" s="222"/>
      <c r="J205" s="222"/>
      <c r="K205" s="222"/>
      <c r="L205" s="223"/>
      <c r="M205" s="223"/>
      <c r="N205" s="224"/>
      <c r="O205" s="224"/>
      <c r="P205" s="224"/>
      <c r="Q205" s="223"/>
      <c r="R205" s="224"/>
      <c r="S205" s="223"/>
      <c r="T205" s="223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44"/>
      <c r="AF205" s="244"/>
      <c r="AG205" s="238"/>
      <c r="AH205" s="238"/>
      <c r="AI205" s="238"/>
      <c r="AJ205" s="238"/>
      <c r="AK205" s="238"/>
      <c r="AL205" s="238"/>
      <c r="AM205" s="238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32"/>
      <c r="AX205" s="232"/>
      <c r="AY205" s="233"/>
      <c r="AZ205" s="232"/>
      <c r="BA205" s="232"/>
      <c r="BB205" s="232"/>
      <c r="BC205" s="232"/>
      <c r="BD205" s="232"/>
      <c r="BE205" s="232"/>
      <c r="BF205" s="232"/>
    </row>
    <row r="206" spans="1:58" x14ac:dyDescent="0.25">
      <c r="A206" s="196"/>
      <c r="B206" s="211"/>
      <c r="C206" s="211"/>
      <c r="D206" s="197"/>
      <c r="E206" s="197"/>
      <c r="F206" s="222"/>
      <c r="G206" s="222"/>
      <c r="H206" s="222"/>
      <c r="I206" s="222"/>
      <c r="J206" s="222"/>
      <c r="K206" s="222"/>
      <c r="L206" s="223"/>
      <c r="M206" s="223"/>
      <c r="N206" s="224"/>
      <c r="O206" s="224"/>
      <c r="P206" s="224"/>
      <c r="Q206" s="223"/>
      <c r="R206" s="224"/>
      <c r="S206" s="223"/>
      <c r="T206" s="223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44"/>
      <c r="AF206" s="244"/>
      <c r="AG206" s="238"/>
      <c r="AH206" s="238"/>
      <c r="AI206" s="238"/>
      <c r="AJ206" s="238"/>
      <c r="AK206" s="238"/>
      <c r="AL206" s="238"/>
      <c r="AM206" s="238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32"/>
      <c r="AX206" s="232"/>
      <c r="AY206" s="233"/>
      <c r="AZ206" s="232"/>
      <c r="BA206" s="232"/>
      <c r="BB206" s="232"/>
      <c r="BC206" s="232"/>
      <c r="BD206" s="232"/>
      <c r="BE206" s="232"/>
      <c r="BF206" s="232"/>
    </row>
    <row r="207" spans="1:58" x14ac:dyDescent="0.25">
      <c r="A207" s="196"/>
      <c r="B207" s="211"/>
      <c r="C207" s="211"/>
      <c r="D207" s="197"/>
      <c r="E207" s="197"/>
      <c r="F207" s="222"/>
      <c r="G207" s="222"/>
      <c r="H207" s="222"/>
      <c r="I207" s="222"/>
      <c r="J207" s="222"/>
      <c r="K207" s="222"/>
      <c r="L207" s="223"/>
      <c r="M207" s="223"/>
      <c r="N207" s="224"/>
      <c r="O207" s="224"/>
      <c r="P207" s="224"/>
      <c r="Q207" s="223"/>
      <c r="R207" s="224"/>
      <c r="S207" s="223"/>
      <c r="T207" s="223"/>
      <c r="U207" s="225"/>
      <c r="V207" s="225"/>
      <c r="W207" s="225"/>
      <c r="X207" s="225"/>
      <c r="Y207" s="225"/>
      <c r="Z207" s="225"/>
      <c r="AA207" s="225"/>
      <c r="AB207" s="225"/>
      <c r="AC207" s="225"/>
      <c r="AD207" s="225"/>
      <c r="AE207" s="244"/>
      <c r="AF207" s="244"/>
      <c r="AG207" s="238"/>
      <c r="AH207" s="238"/>
      <c r="AI207" s="238"/>
      <c r="AJ207" s="238"/>
      <c r="AK207" s="238"/>
      <c r="AL207" s="238"/>
      <c r="AM207" s="238"/>
      <c r="AN207" s="225"/>
      <c r="AO207" s="225"/>
      <c r="AP207" s="225"/>
      <c r="AQ207" s="225"/>
      <c r="AR207" s="225"/>
      <c r="AS207" s="225"/>
      <c r="AT207" s="225"/>
      <c r="AU207" s="225"/>
      <c r="AV207" s="225"/>
      <c r="AW207" s="232"/>
      <c r="AX207" s="232"/>
      <c r="AY207" s="233"/>
      <c r="AZ207" s="232"/>
      <c r="BA207" s="232"/>
      <c r="BB207" s="232"/>
      <c r="BC207" s="232"/>
      <c r="BD207" s="232"/>
      <c r="BE207" s="232"/>
      <c r="BF207" s="232"/>
    </row>
    <row r="208" spans="1:58" x14ac:dyDescent="0.25">
      <c r="A208" s="196"/>
      <c r="B208" s="211"/>
      <c r="C208" s="211"/>
      <c r="D208" s="197"/>
      <c r="E208" s="197"/>
      <c r="F208" s="222"/>
      <c r="G208" s="222"/>
      <c r="H208" s="222"/>
      <c r="I208" s="222"/>
      <c r="J208" s="222"/>
      <c r="K208" s="222"/>
      <c r="L208" s="223"/>
      <c r="M208" s="223"/>
      <c r="N208" s="224"/>
      <c r="O208" s="224"/>
      <c r="P208" s="224"/>
      <c r="Q208" s="223"/>
      <c r="R208" s="224"/>
      <c r="S208" s="223"/>
      <c r="T208" s="223"/>
      <c r="U208" s="225"/>
      <c r="V208" s="225"/>
      <c r="W208" s="225"/>
      <c r="X208" s="225"/>
      <c r="Y208" s="225"/>
      <c r="Z208" s="225"/>
      <c r="AA208" s="225"/>
      <c r="AB208" s="225"/>
      <c r="AC208" s="225"/>
      <c r="AD208" s="225"/>
      <c r="AE208" s="244"/>
      <c r="AF208" s="244"/>
      <c r="AG208" s="238"/>
      <c r="AH208" s="238"/>
      <c r="AI208" s="238"/>
      <c r="AJ208" s="238"/>
      <c r="AK208" s="238"/>
      <c r="AL208" s="238"/>
      <c r="AM208" s="238"/>
      <c r="AN208" s="225"/>
      <c r="AO208" s="225"/>
      <c r="AP208" s="225"/>
      <c r="AQ208" s="225"/>
      <c r="AR208" s="225"/>
      <c r="AS208" s="225"/>
      <c r="AT208" s="225"/>
      <c r="AU208" s="225"/>
      <c r="AV208" s="225"/>
      <c r="AW208" s="232"/>
      <c r="AX208" s="232"/>
      <c r="AY208" s="233"/>
      <c r="AZ208" s="232"/>
      <c r="BA208" s="232"/>
      <c r="BB208" s="232"/>
      <c r="BC208" s="232"/>
      <c r="BD208" s="232"/>
      <c r="BE208" s="232"/>
      <c r="BF208" s="232"/>
    </row>
    <row r="209" spans="1:58" x14ac:dyDescent="0.25">
      <c r="A209" s="196"/>
      <c r="B209" s="211"/>
      <c r="C209" s="211"/>
      <c r="D209" s="197"/>
      <c r="E209" s="197"/>
      <c r="F209" s="222"/>
      <c r="G209" s="222"/>
      <c r="H209" s="222"/>
      <c r="I209" s="222"/>
      <c r="J209" s="222"/>
      <c r="K209" s="222"/>
      <c r="L209" s="223"/>
      <c r="M209" s="223"/>
      <c r="N209" s="224"/>
      <c r="O209" s="224"/>
      <c r="P209" s="224"/>
      <c r="Q209" s="223"/>
      <c r="R209" s="224"/>
      <c r="S209" s="223"/>
      <c r="T209" s="223"/>
      <c r="U209" s="225"/>
      <c r="V209" s="225"/>
      <c r="W209" s="225"/>
      <c r="X209" s="225"/>
      <c r="Y209" s="225"/>
      <c r="Z209" s="225"/>
      <c r="AA209" s="225"/>
      <c r="AB209" s="225"/>
      <c r="AC209" s="225"/>
      <c r="AD209" s="225"/>
      <c r="AE209" s="244"/>
      <c r="AF209" s="244"/>
      <c r="AG209" s="238"/>
      <c r="AH209" s="238"/>
      <c r="AI209" s="238"/>
      <c r="AJ209" s="238"/>
      <c r="AK209" s="238"/>
      <c r="AL209" s="238"/>
      <c r="AM209" s="238"/>
      <c r="AN209" s="225"/>
      <c r="AO209" s="225"/>
      <c r="AP209" s="225"/>
      <c r="AQ209" s="225"/>
      <c r="AR209" s="225"/>
      <c r="AS209" s="225"/>
      <c r="AT209" s="225"/>
      <c r="AU209" s="225"/>
      <c r="AV209" s="225"/>
      <c r="AW209" s="232"/>
      <c r="AX209" s="232"/>
      <c r="AY209" s="233"/>
      <c r="AZ209" s="232"/>
      <c r="BA209" s="232"/>
      <c r="BB209" s="232"/>
      <c r="BC209" s="232"/>
      <c r="BD209" s="232"/>
      <c r="BE209" s="232"/>
      <c r="BF209" s="232"/>
    </row>
    <row r="210" spans="1:58" x14ac:dyDescent="0.25">
      <c r="A210" s="196"/>
      <c r="B210" s="211"/>
      <c r="C210" s="211"/>
      <c r="D210" s="197"/>
      <c r="E210" s="197"/>
      <c r="F210" s="222"/>
      <c r="G210" s="222"/>
      <c r="H210" s="222"/>
      <c r="I210" s="222"/>
      <c r="J210" s="222"/>
      <c r="K210" s="222"/>
      <c r="L210" s="223"/>
      <c r="M210" s="223"/>
      <c r="N210" s="224"/>
      <c r="O210" s="224"/>
      <c r="P210" s="224"/>
      <c r="Q210" s="223"/>
      <c r="R210" s="224"/>
      <c r="S210" s="223"/>
      <c r="T210" s="223"/>
      <c r="U210" s="225"/>
      <c r="V210" s="225"/>
      <c r="W210" s="225"/>
      <c r="X210" s="225"/>
      <c r="Y210" s="225"/>
      <c r="Z210" s="225"/>
      <c r="AA210" s="225"/>
      <c r="AB210" s="225"/>
      <c r="AC210" s="225"/>
      <c r="AD210" s="225"/>
      <c r="AE210" s="244"/>
      <c r="AF210" s="244"/>
      <c r="AG210" s="238"/>
      <c r="AH210" s="238"/>
      <c r="AI210" s="238"/>
      <c r="AJ210" s="238"/>
      <c r="AK210" s="238"/>
      <c r="AL210" s="238"/>
      <c r="AM210" s="238"/>
      <c r="AN210" s="225"/>
      <c r="AO210" s="225"/>
      <c r="AP210" s="225"/>
      <c r="AQ210" s="225"/>
      <c r="AR210" s="225"/>
      <c r="AS210" s="225"/>
      <c r="AT210" s="225"/>
      <c r="AU210" s="225"/>
      <c r="AV210" s="225"/>
      <c r="AW210" s="232"/>
      <c r="AX210" s="232"/>
      <c r="AY210" s="233"/>
      <c r="AZ210" s="232"/>
      <c r="BA210" s="232"/>
      <c r="BB210" s="232"/>
      <c r="BC210" s="232"/>
      <c r="BD210" s="232"/>
      <c r="BE210" s="232"/>
      <c r="BF210" s="232"/>
    </row>
    <row r="211" spans="1:58" x14ac:dyDescent="0.25">
      <c r="A211" s="196"/>
      <c r="B211" s="211"/>
      <c r="C211" s="211"/>
      <c r="D211" s="197"/>
      <c r="E211" s="197"/>
      <c r="F211" s="222"/>
      <c r="G211" s="222"/>
      <c r="H211" s="222"/>
      <c r="I211" s="222"/>
      <c r="J211" s="222"/>
      <c r="K211" s="222"/>
      <c r="L211" s="223"/>
      <c r="M211" s="223"/>
      <c r="N211" s="224"/>
      <c r="O211" s="224"/>
      <c r="P211" s="224"/>
      <c r="Q211" s="223"/>
      <c r="R211" s="224"/>
      <c r="S211" s="223"/>
      <c r="T211" s="223"/>
      <c r="U211" s="225"/>
      <c r="V211" s="225"/>
      <c r="W211" s="225"/>
      <c r="X211" s="225"/>
      <c r="Y211" s="225"/>
      <c r="Z211" s="225"/>
      <c r="AA211" s="225"/>
      <c r="AB211" s="225"/>
      <c r="AC211" s="225"/>
      <c r="AD211" s="225"/>
      <c r="AE211" s="244"/>
      <c r="AF211" s="244"/>
      <c r="AG211" s="238"/>
      <c r="AH211" s="238"/>
      <c r="AI211" s="238"/>
      <c r="AJ211" s="238"/>
      <c r="AK211" s="238"/>
      <c r="AL211" s="238"/>
      <c r="AM211" s="238"/>
      <c r="AN211" s="225"/>
      <c r="AO211" s="225"/>
      <c r="AP211" s="225"/>
      <c r="AQ211" s="225"/>
      <c r="AR211" s="225"/>
      <c r="AS211" s="225"/>
      <c r="AT211" s="225"/>
      <c r="AU211" s="225"/>
      <c r="AV211" s="225"/>
      <c r="AW211" s="232"/>
      <c r="AX211" s="232"/>
      <c r="AY211" s="233"/>
      <c r="AZ211" s="232"/>
      <c r="BA211" s="232"/>
      <c r="BB211" s="232"/>
      <c r="BC211" s="232"/>
      <c r="BD211" s="232"/>
      <c r="BE211" s="232"/>
      <c r="BF211" s="232"/>
    </row>
    <row r="212" spans="1:58" x14ac:dyDescent="0.25">
      <c r="A212" s="196"/>
      <c r="B212" s="211"/>
      <c r="C212" s="211"/>
      <c r="D212" s="197"/>
      <c r="E212" s="197"/>
      <c r="F212" s="222"/>
      <c r="G212" s="222"/>
      <c r="H212" s="222"/>
      <c r="I212" s="222"/>
      <c r="J212" s="222"/>
      <c r="K212" s="222"/>
      <c r="L212" s="223"/>
      <c r="M212" s="223"/>
      <c r="N212" s="224"/>
      <c r="O212" s="224"/>
      <c r="P212" s="224"/>
      <c r="Q212" s="223"/>
      <c r="R212" s="224"/>
      <c r="S212" s="223"/>
      <c r="T212" s="223"/>
      <c r="U212" s="225"/>
      <c r="V212" s="225"/>
      <c r="W212" s="225"/>
      <c r="X212" s="225"/>
      <c r="Y212" s="225"/>
      <c r="Z212" s="225"/>
      <c r="AA212" s="225"/>
      <c r="AB212" s="225"/>
      <c r="AC212" s="225"/>
      <c r="AD212" s="225"/>
      <c r="AE212" s="244"/>
      <c r="AF212" s="244"/>
      <c r="AG212" s="238"/>
      <c r="AH212" s="238"/>
      <c r="AI212" s="238"/>
      <c r="AJ212" s="238"/>
      <c r="AK212" s="238"/>
      <c r="AL212" s="238"/>
      <c r="AM212" s="238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32"/>
      <c r="AX212" s="232"/>
      <c r="AY212" s="233"/>
      <c r="AZ212" s="232"/>
      <c r="BA212" s="232"/>
      <c r="BB212" s="232"/>
      <c r="BC212" s="232"/>
      <c r="BD212" s="232"/>
      <c r="BE212" s="232"/>
      <c r="BF212" s="232"/>
    </row>
    <row r="213" spans="1:58" x14ac:dyDescent="0.25">
      <c r="A213" s="196"/>
      <c r="B213" s="211"/>
      <c r="C213" s="211"/>
      <c r="D213" s="197"/>
      <c r="E213" s="197"/>
      <c r="F213" s="222"/>
      <c r="G213" s="222"/>
      <c r="H213" s="222"/>
      <c r="I213" s="222"/>
      <c r="J213" s="222"/>
      <c r="K213" s="222"/>
      <c r="L213" s="223"/>
      <c r="M213" s="223"/>
      <c r="N213" s="224"/>
      <c r="O213" s="224"/>
      <c r="P213" s="224"/>
      <c r="Q213" s="223"/>
      <c r="R213" s="224"/>
      <c r="S213" s="223"/>
      <c r="T213" s="223"/>
      <c r="U213" s="225"/>
      <c r="V213" s="225"/>
      <c r="W213" s="225"/>
      <c r="X213" s="225"/>
      <c r="Y213" s="225"/>
      <c r="Z213" s="225"/>
      <c r="AA213" s="225"/>
      <c r="AB213" s="225"/>
      <c r="AC213" s="225"/>
      <c r="AD213" s="225"/>
      <c r="AE213" s="244"/>
      <c r="AF213" s="244"/>
      <c r="AG213" s="238"/>
      <c r="AH213" s="238"/>
      <c r="AI213" s="238"/>
      <c r="AJ213" s="238"/>
      <c r="AK213" s="238"/>
      <c r="AL213" s="238"/>
      <c r="AM213" s="238"/>
      <c r="AN213" s="225"/>
      <c r="AO213" s="225"/>
      <c r="AP213" s="225"/>
      <c r="AQ213" s="225"/>
      <c r="AR213" s="225"/>
      <c r="AS213" s="225"/>
      <c r="AT213" s="225"/>
      <c r="AU213" s="225"/>
      <c r="AV213" s="225"/>
      <c r="AW213" s="232"/>
      <c r="AX213" s="232"/>
      <c r="AY213" s="233"/>
      <c r="AZ213" s="232"/>
      <c r="BA213" s="232"/>
      <c r="BB213" s="232"/>
      <c r="BC213" s="232"/>
      <c r="BD213" s="232"/>
      <c r="BE213" s="232"/>
      <c r="BF213" s="232"/>
    </row>
    <row r="214" spans="1:58" x14ac:dyDescent="0.25">
      <c r="A214" s="196"/>
      <c r="B214" s="211"/>
      <c r="C214" s="211"/>
      <c r="D214" s="197"/>
      <c r="E214" s="197"/>
      <c r="F214" s="222"/>
      <c r="G214" s="222"/>
      <c r="H214" s="222"/>
      <c r="I214" s="222"/>
      <c r="J214" s="222"/>
      <c r="K214" s="222"/>
      <c r="L214" s="223"/>
      <c r="M214" s="223"/>
      <c r="N214" s="224"/>
      <c r="O214" s="224"/>
      <c r="P214" s="224"/>
      <c r="Q214" s="223"/>
      <c r="R214" s="224"/>
      <c r="S214" s="223"/>
      <c r="T214" s="223"/>
      <c r="U214" s="225"/>
      <c r="V214" s="225"/>
      <c r="W214" s="225"/>
      <c r="X214" s="225"/>
      <c r="Y214" s="225"/>
      <c r="Z214" s="225"/>
      <c r="AA214" s="225"/>
      <c r="AB214" s="225"/>
      <c r="AC214" s="225"/>
      <c r="AD214" s="225"/>
      <c r="AE214" s="244"/>
      <c r="AF214" s="244"/>
      <c r="AG214" s="238"/>
      <c r="AH214" s="238"/>
      <c r="AI214" s="238"/>
      <c r="AJ214" s="238"/>
      <c r="AK214" s="238"/>
      <c r="AL214" s="238"/>
      <c r="AM214" s="238"/>
      <c r="AN214" s="225"/>
      <c r="AO214" s="225"/>
      <c r="AP214" s="225"/>
      <c r="AQ214" s="225"/>
      <c r="AR214" s="225"/>
      <c r="AS214" s="225"/>
      <c r="AT214" s="225"/>
      <c r="AU214" s="225"/>
      <c r="AV214" s="225"/>
      <c r="AW214" s="232"/>
      <c r="AX214" s="232"/>
      <c r="AY214" s="233"/>
      <c r="AZ214" s="232"/>
      <c r="BA214" s="232"/>
      <c r="BB214" s="232"/>
      <c r="BC214" s="232"/>
      <c r="BD214" s="232"/>
      <c r="BE214" s="232"/>
      <c r="BF214" s="232"/>
    </row>
    <row r="215" spans="1:58" x14ac:dyDescent="0.25">
      <c r="A215" s="196"/>
      <c r="B215" s="211"/>
      <c r="C215" s="211"/>
      <c r="D215" s="197"/>
      <c r="E215" s="197"/>
      <c r="F215" s="222"/>
      <c r="G215" s="222"/>
      <c r="H215" s="222"/>
      <c r="I215" s="222"/>
      <c r="J215" s="222"/>
      <c r="K215" s="222"/>
      <c r="L215" s="223"/>
      <c r="M215" s="223"/>
      <c r="N215" s="224"/>
      <c r="O215" s="224"/>
      <c r="P215" s="224"/>
      <c r="Q215" s="223"/>
      <c r="R215" s="224"/>
      <c r="S215" s="223"/>
      <c r="T215" s="223"/>
      <c r="U215" s="225"/>
      <c r="V215" s="225"/>
      <c r="W215" s="225"/>
      <c r="X215" s="225"/>
      <c r="Y215" s="225"/>
      <c r="Z215" s="225"/>
      <c r="AA215" s="225"/>
      <c r="AB215" s="225"/>
      <c r="AC215" s="225"/>
      <c r="AD215" s="225"/>
      <c r="AE215" s="244"/>
      <c r="AF215" s="244"/>
      <c r="AG215" s="238"/>
      <c r="AH215" s="238"/>
      <c r="AI215" s="238"/>
      <c r="AJ215" s="238"/>
      <c r="AK215" s="238"/>
      <c r="AL215" s="238"/>
      <c r="AM215" s="238"/>
      <c r="AN215" s="225"/>
      <c r="AO215" s="225"/>
      <c r="AP215" s="225"/>
      <c r="AQ215" s="225"/>
      <c r="AR215" s="225"/>
      <c r="AS215" s="225"/>
      <c r="AT215" s="225"/>
      <c r="AU215" s="225"/>
      <c r="AV215" s="225"/>
      <c r="AW215" s="232"/>
      <c r="AX215" s="232"/>
      <c r="AY215" s="233"/>
      <c r="AZ215" s="232"/>
      <c r="BA215" s="232"/>
      <c r="BB215" s="232"/>
      <c r="BC215" s="232"/>
      <c r="BD215" s="232"/>
      <c r="BE215" s="232"/>
      <c r="BF215" s="232"/>
    </row>
    <row r="216" spans="1:58" x14ac:dyDescent="0.25">
      <c r="A216" s="196"/>
      <c r="B216" s="211"/>
      <c r="C216" s="211"/>
      <c r="D216" s="197"/>
      <c r="E216" s="197"/>
      <c r="F216" s="222"/>
      <c r="G216" s="222"/>
      <c r="H216" s="222"/>
      <c r="I216" s="222"/>
      <c r="J216" s="222"/>
      <c r="K216" s="222"/>
      <c r="L216" s="223"/>
      <c r="M216" s="223"/>
      <c r="N216" s="224"/>
      <c r="O216" s="224"/>
      <c r="P216" s="224"/>
      <c r="Q216" s="223"/>
      <c r="R216" s="224"/>
      <c r="S216" s="223"/>
      <c r="T216" s="223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44"/>
      <c r="AF216" s="244"/>
      <c r="AG216" s="238"/>
      <c r="AH216" s="238"/>
      <c r="AI216" s="238"/>
      <c r="AJ216" s="238"/>
      <c r="AK216" s="238"/>
      <c r="AL216" s="238"/>
      <c r="AM216" s="238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32"/>
      <c r="AX216" s="232"/>
      <c r="AY216" s="233"/>
      <c r="AZ216" s="232"/>
      <c r="BA216" s="232"/>
      <c r="BB216" s="232"/>
      <c r="BC216" s="232"/>
      <c r="BD216" s="232"/>
      <c r="BE216" s="232"/>
      <c r="BF216" s="232"/>
    </row>
    <row r="217" spans="1:58" x14ac:dyDescent="0.25">
      <c r="A217" s="196"/>
      <c r="B217" s="211"/>
      <c r="C217" s="211"/>
      <c r="D217" s="197"/>
      <c r="E217" s="197"/>
      <c r="F217" s="222"/>
      <c r="G217" s="222"/>
      <c r="H217" s="222"/>
      <c r="I217" s="222"/>
      <c r="J217" s="222"/>
      <c r="K217" s="222"/>
      <c r="L217" s="223"/>
      <c r="M217" s="223"/>
      <c r="N217" s="224"/>
      <c r="O217" s="224"/>
      <c r="P217" s="224"/>
      <c r="Q217" s="223"/>
      <c r="R217" s="224"/>
      <c r="S217" s="223"/>
      <c r="T217" s="223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44"/>
      <c r="AF217" s="244"/>
      <c r="AG217" s="238"/>
      <c r="AH217" s="238"/>
      <c r="AI217" s="238"/>
      <c r="AJ217" s="238"/>
      <c r="AK217" s="238"/>
      <c r="AL217" s="238"/>
      <c r="AM217" s="238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32"/>
      <c r="AX217" s="232"/>
      <c r="AY217" s="233"/>
      <c r="AZ217" s="232"/>
      <c r="BA217" s="232"/>
      <c r="BB217" s="232"/>
      <c r="BC217" s="232"/>
      <c r="BD217" s="232"/>
      <c r="BE217" s="232"/>
      <c r="BF217" s="232"/>
    </row>
    <row r="218" spans="1:58" x14ac:dyDescent="0.25">
      <c r="A218" s="196"/>
      <c r="B218" s="211"/>
      <c r="C218" s="211"/>
      <c r="D218" s="197"/>
      <c r="E218" s="197"/>
      <c r="F218" s="222"/>
      <c r="G218" s="222"/>
      <c r="H218" s="222"/>
      <c r="I218" s="222"/>
      <c r="J218" s="222"/>
      <c r="K218" s="222"/>
      <c r="L218" s="223"/>
      <c r="M218" s="223"/>
      <c r="N218" s="224"/>
      <c r="O218" s="224"/>
      <c r="P218" s="224"/>
      <c r="Q218" s="223"/>
      <c r="R218" s="224"/>
      <c r="S218" s="223"/>
      <c r="T218" s="223"/>
      <c r="U218" s="225"/>
      <c r="V218" s="225"/>
      <c r="W218" s="225"/>
      <c r="X218" s="225"/>
      <c r="Y218" s="225"/>
      <c r="Z218" s="225"/>
      <c r="AA218" s="225"/>
      <c r="AB218" s="225"/>
      <c r="AC218" s="222"/>
      <c r="AD218" s="225"/>
      <c r="AE218" s="244"/>
      <c r="AF218" s="244"/>
      <c r="AG218" s="238"/>
      <c r="AH218" s="238"/>
      <c r="AI218" s="238"/>
      <c r="AJ218" s="238"/>
      <c r="AK218" s="238"/>
      <c r="AL218" s="238"/>
      <c r="AM218" s="238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32"/>
      <c r="AX218" s="232"/>
      <c r="AY218" s="233"/>
      <c r="AZ218" s="232"/>
      <c r="BA218" s="232"/>
      <c r="BB218" s="232"/>
      <c r="BC218" s="232"/>
      <c r="BD218" s="232"/>
      <c r="BE218" s="232"/>
      <c r="BF218" s="232"/>
    </row>
    <row r="219" spans="1:58" x14ac:dyDescent="0.25">
      <c r="A219" s="196"/>
      <c r="B219" s="211"/>
      <c r="C219" s="211"/>
      <c r="D219" s="197"/>
      <c r="E219" s="197"/>
      <c r="F219" s="222"/>
      <c r="G219" s="222"/>
      <c r="H219" s="222"/>
      <c r="I219" s="222"/>
      <c r="J219" s="222"/>
      <c r="K219" s="222"/>
      <c r="L219" s="223"/>
      <c r="M219" s="223"/>
      <c r="N219" s="224"/>
      <c r="O219" s="224"/>
      <c r="P219" s="224"/>
      <c r="Q219" s="223"/>
      <c r="R219" s="224"/>
      <c r="S219" s="223"/>
      <c r="T219" s="223"/>
      <c r="U219" s="225"/>
      <c r="V219" s="225"/>
      <c r="W219" s="225"/>
      <c r="X219" s="225"/>
      <c r="Y219" s="225"/>
      <c r="Z219" s="225"/>
      <c r="AA219" s="225"/>
      <c r="AB219" s="225"/>
      <c r="AC219" s="222"/>
      <c r="AD219" s="225"/>
      <c r="AE219" s="244"/>
      <c r="AF219" s="244"/>
      <c r="AG219" s="238"/>
      <c r="AH219" s="238"/>
      <c r="AI219" s="238"/>
      <c r="AJ219" s="238"/>
      <c r="AK219" s="238"/>
      <c r="AL219" s="238"/>
      <c r="AM219" s="238"/>
      <c r="AN219" s="225"/>
      <c r="AO219" s="225"/>
      <c r="AP219" s="225"/>
      <c r="AQ219" s="225"/>
      <c r="AR219" s="225"/>
      <c r="AS219" s="225"/>
      <c r="AT219" s="225"/>
      <c r="AU219" s="225"/>
      <c r="AV219" s="225"/>
      <c r="AW219" s="232"/>
      <c r="AX219" s="232"/>
      <c r="AY219" s="233"/>
      <c r="AZ219" s="232"/>
      <c r="BA219" s="232"/>
      <c r="BB219" s="232"/>
      <c r="BC219" s="232"/>
      <c r="BD219" s="232"/>
      <c r="BE219" s="232"/>
      <c r="BF219" s="232"/>
    </row>
    <row r="220" spans="1:58" x14ac:dyDescent="0.25">
      <c r="A220" s="196"/>
      <c r="B220" s="211"/>
      <c r="C220" s="211"/>
      <c r="D220" s="197"/>
      <c r="E220" s="197"/>
      <c r="F220" s="222"/>
      <c r="G220" s="222"/>
      <c r="H220" s="222"/>
      <c r="I220" s="222"/>
      <c r="J220" s="222"/>
      <c r="K220" s="222"/>
      <c r="L220" s="223"/>
      <c r="M220" s="223"/>
      <c r="N220" s="224"/>
      <c r="O220" s="224"/>
      <c r="P220" s="224"/>
      <c r="Q220" s="223"/>
      <c r="R220" s="224"/>
      <c r="S220" s="223"/>
      <c r="T220" s="223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44"/>
      <c r="AF220" s="244"/>
      <c r="AG220" s="238"/>
      <c r="AH220" s="238"/>
      <c r="AI220" s="238"/>
      <c r="AJ220" s="238"/>
      <c r="AK220" s="238"/>
      <c r="AL220" s="238"/>
      <c r="AM220" s="238"/>
      <c r="AN220" s="225"/>
      <c r="AO220" s="225"/>
      <c r="AP220" s="225"/>
      <c r="AQ220" s="225"/>
      <c r="AR220" s="225"/>
      <c r="AS220" s="225"/>
      <c r="AT220" s="225"/>
      <c r="AU220" s="225"/>
      <c r="AV220" s="225"/>
      <c r="AW220" s="232"/>
      <c r="AX220" s="232"/>
      <c r="AY220" s="233"/>
    </row>
    <row r="221" spans="1:58" x14ac:dyDescent="0.25">
      <c r="A221" s="196"/>
      <c r="B221" s="211"/>
      <c r="C221" s="211"/>
      <c r="D221" s="197"/>
      <c r="E221" s="197"/>
      <c r="F221" s="222"/>
      <c r="G221" s="222"/>
      <c r="H221" s="222"/>
      <c r="I221" s="222"/>
      <c r="J221" s="222"/>
      <c r="K221" s="222"/>
      <c r="L221" s="223"/>
      <c r="M221" s="223"/>
      <c r="N221" s="224"/>
      <c r="O221" s="224"/>
      <c r="P221" s="224"/>
      <c r="Q221" s="223"/>
      <c r="R221" s="224"/>
      <c r="S221" s="223"/>
      <c r="T221" s="223"/>
      <c r="U221" s="225"/>
      <c r="V221" s="225"/>
      <c r="W221" s="225"/>
      <c r="X221" s="225"/>
      <c r="Y221" s="225"/>
      <c r="Z221" s="225"/>
      <c r="AA221" s="225"/>
      <c r="AB221" s="225"/>
      <c r="AC221" s="225"/>
      <c r="AD221" s="225"/>
      <c r="AE221" s="244"/>
      <c r="AF221" s="244"/>
      <c r="AG221" s="238"/>
      <c r="AH221" s="238"/>
      <c r="AI221" s="238"/>
      <c r="AJ221" s="238"/>
      <c r="AK221" s="238"/>
      <c r="AL221" s="238"/>
      <c r="AM221" s="238"/>
      <c r="AN221" s="225"/>
      <c r="AO221" s="225"/>
      <c r="AP221" s="225"/>
      <c r="AQ221" s="225"/>
      <c r="AR221" s="225"/>
      <c r="AS221" s="225"/>
      <c r="AT221" s="225"/>
      <c r="AU221" s="225"/>
      <c r="AV221" s="225"/>
      <c r="AW221" s="232"/>
      <c r="AX221" s="232"/>
      <c r="AY221" s="233"/>
    </row>
    <row r="222" spans="1:58" x14ac:dyDescent="0.25">
      <c r="A222" s="196"/>
      <c r="B222" s="211"/>
      <c r="C222" s="211"/>
      <c r="D222" s="197"/>
      <c r="E222" s="197"/>
      <c r="F222" s="222"/>
      <c r="G222" s="222"/>
      <c r="H222" s="222"/>
      <c r="I222" s="222"/>
      <c r="J222" s="222"/>
      <c r="K222" s="222"/>
      <c r="L222" s="223"/>
      <c r="M222" s="223"/>
      <c r="N222" s="224"/>
      <c r="O222" s="224"/>
      <c r="P222" s="224"/>
      <c r="Q222" s="223"/>
      <c r="R222" s="224"/>
      <c r="S222" s="223"/>
      <c r="T222" s="223"/>
      <c r="U222" s="225"/>
      <c r="V222" s="225"/>
      <c r="W222" s="225"/>
      <c r="X222" s="225"/>
      <c r="Y222" s="225"/>
      <c r="Z222" s="225"/>
      <c r="AA222" s="225"/>
      <c r="AB222" s="225"/>
      <c r="AC222" s="225"/>
      <c r="AD222" s="225"/>
      <c r="AE222" s="244"/>
      <c r="AF222" s="244"/>
      <c r="AG222" s="238"/>
      <c r="AH222" s="238"/>
      <c r="AI222" s="238"/>
      <c r="AJ222" s="238"/>
      <c r="AK222" s="238"/>
      <c r="AL222" s="238"/>
      <c r="AM222" s="238"/>
      <c r="AN222" s="225"/>
      <c r="AO222" s="225"/>
      <c r="AP222" s="225"/>
      <c r="AQ222" s="225"/>
      <c r="AR222" s="225"/>
      <c r="AS222" s="225"/>
      <c r="AT222" s="225"/>
      <c r="AU222" s="225"/>
      <c r="AV222" s="225"/>
      <c r="AW222" s="232"/>
      <c r="AX222" s="232"/>
      <c r="AY222" s="233"/>
    </row>
    <row r="223" spans="1:58" x14ac:dyDescent="0.25">
      <c r="A223" s="196"/>
      <c r="B223" s="211"/>
      <c r="C223" s="211"/>
      <c r="D223" s="197"/>
      <c r="E223" s="197"/>
      <c r="F223" s="222"/>
      <c r="G223" s="222"/>
      <c r="H223" s="222"/>
      <c r="I223" s="222"/>
      <c r="J223" s="222"/>
      <c r="K223" s="222"/>
      <c r="L223" s="223"/>
      <c r="M223" s="223"/>
      <c r="N223" s="224"/>
      <c r="O223" s="224"/>
      <c r="P223" s="224"/>
      <c r="Q223" s="223"/>
      <c r="R223" s="224"/>
      <c r="S223" s="223"/>
      <c r="T223" s="223"/>
      <c r="U223" s="225"/>
      <c r="V223" s="225"/>
      <c r="W223" s="225"/>
      <c r="X223" s="225"/>
      <c r="Y223" s="225"/>
      <c r="Z223" s="225"/>
      <c r="AA223" s="225"/>
      <c r="AB223" s="225"/>
      <c r="AC223" s="225"/>
      <c r="AD223" s="225"/>
      <c r="AE223" s="244"/>
      <c r="AF223" s="244"/>
      <c r="AG223" s="238"/>
      <c r="AH223" s="238"/>
      <c r="AI223" s="238"/>
      <c r="AJ223" s="238"/>
      <c r="AK223" s="238"/>
      <c r="AL223" s="238"/>
      <c r="AM223" s="238"/>
      <c r="AN223" s="225"/>
      <c r="AO223" s="225"/>
      <c r="AP223" s="225"/>
      <c r="AQ223" s="225"/>
      <c r="AR223" s="225"/>
      <c r="AS223" s="225"/>
      <c r="AT223" s="225"/>
      <c r="AU223" s="225"/>
      <c r="AV223" s="225"/>
      <c r="AW223" s="232"/>
      <c r="AX223" s="232"/>
      <c r="AY223" s="233"/>
    </row>
    <row r="224" spans="1:58" x14ac:dyDescent="0.25">
      <c r="A224" s="196"/>
      <c r="B224" s="211"/>
      <c r="C224" s="211"/>
      <c r="D224" s="197"/>
      <c r="E224" s="197"/>
      <c r="F224" s="222"/>
      <c r="G224" s="222"/>
      <c r="H224" s="222"/>
      <c r="I224" s="222"/>
      <c r="J224" s="222"/>
      <c r="K224" s="222"/>
      <c r="L224" s="223"/>
      <c r="M224" s="223"/>
      <c r="N224" s="224"/>
      <c r="O224" s="224"/>
      <c r="P224" s="224"/>
      <c r="Q224" s="223"/>
      <c r="R224" s="224"/>
      <c r="S224" s="223"/>
      <c r="T224" s="223"/>
      <c r="U224" s="225"/>
      <c r="V224" s="225"/>
      <c r="W224" s="225"/>
      <c r="X224" s="225"/>
      <c r="Y224" s="225"/>
      <c r="Z224" s="225"/>
      <c r="AA224" s="225"/>
      <c r="AB224" s="225"/>
      <c r="AC224" s="225"/>
      <c r="AD224" s="225"/>
      <c r="AE224" s="244"/>
      <c r="AF224" s="244"/>
      <c r="AG224" s="238"/>
      <c r="AH224" s="238"/>
      <c r="AI224" s="238"/>
      <c r="AJ224" s="238"/>
      <c r="AK224" s="238"/>
      <c r="AL224" s="238"/>
      <c r="AM224" s="238"/>
      <c r="AN224" s="225"/>
      <c r="AO224" s="225"/>
      <c r="AP224" s="225"/>
      <c r="AQ224" s="225"/>
      <c r="AR224" s="225"/>
      <c r="AS224" s="225"/>
      <c r="AT224" s="225"/>
      <c r="AU224" s="225"/>
      <c r="AV224" s="225"/>
      <c r="AW224" s="232"/>
      <c r="AX224" s="232"/>
      <c r="AY224" s="233"/>
    </row>
    <row r="225" spans="1:51" x14ac:dyDescent="0.25">
      <c r="A225" s="196"/>
      <c r="B225" s="211"/>
      <c r="C225" s="211"/>
      <c r="D225" s="197"/>
      <c r="E225" s="197"/>
      <c r="F225" s="222"/>
      <c r="G225" s="222"/>
      <c r="H225" s="222"/>
      <c r="I225" s="222"/>
      <c r="J225" s="222"/>
      <c r="K225" s="222"/>
      <c r="L225" s="223"/>
      <c r="M225" s="223"/>
      <c r="N225" s="224"/>
      <c r="O225" s="224"/>
      <c r="P225" s="224"/>
      <c r="Q225" s="223"/>
      <c r="R225" s="224"/>
      <c r="S225" s="223"/>
      <c r="T225" s="223"/>
      <c r="U225" s="225"/>
      <c r="V225" s="225"/>
      <c r="W225" s="225"/>
      <c r="X225" s="225"/>
      <c r="Y225" s="225"/>
      <c r="Z225" s="225"/>
      <c r="AA225" s="225"/>
      <c r="AB225" s="225"/>
      <c r="AC225" s="225"/>
      <c r="AD225" s="225"/>
      <c r="AE225" s="244"/>
      <c r="AF225" s="244"/>
      <c r="AG225" s="238"/>
      <c r="AH225" s="238"/>
      <c r="AI225" s="238"/>
      <c r="AJ225" s="238"/>
      <c r="AK225" s="238"/>
      <c r="AL225" s="238"/>
      <c r="AM225" s="238"/>
      <c r="AN225" s="225"/>
      <c r="AO225" s="225"/>
      <c r="AP225" s="225"/>
      <c r="AQ225" s="225"/>
      <c r="AR225" s="225"/>
      <c r="AS225" s="225"/>
      <c r="AT225" s="225"/>
      <c r="AU225" s="225"/>
      <c r="AV225" s="225"/>
      <c r="AW225" s="232"/>
      <c r="AX225" s="232"/>
      <c r="AY225" s="233"/>
    </row>
    <row r="226" spans="1:51" x14ac:dyDescent="0.25">
      <c r="A226" s="196"/>
      <c r="B226" s="211"/>
      <c r="C226" s="211"/>
      <c r="D226" s="197"/>
      <c r="E226" s="197"/>
      <c r="F226" s="222"/>
      <c r="G226" s="222"/>
      <c r="H226" s="222"/>
      <c r="I226" s="222"/>
      <c r="J226" s="222"/>
      <c r="K226" s="222"/>
      <c r="L226" s="223"/>
      <c r="M226" s="223"/>
      <c r="N226" s="224"/>
      <c r="O226" s="224"/>
      <c r="P226" s="224"/>
      <c r="Q226" s="223"/>
      <c r="R226" s="224"/>
      <c r="S226" s="223"/>
      <c r="T226" s="223"/>
      <c r="U226" s="225"/>
      <c r="V226" s="225"/>
      <c r="W226" s="225"/>
      <c r="X226" s="225"/>
      <c r="Y226" s="225"/>
      <c r="Z226" s="225"/>
      <c r="AA226" s="225"/>
      <c r="AB226" s="225"/>
      <c r="AC226" s="225"/>
      <c r="AD226" s="225"/>
      <c r="AE226" s="244"/>
      <c r="AF226" s="244"/>
      <c r="AG226" s="238"/>
      <c r="AH226" s="238"/>
      <c r="AI226" s="238"/>
      <c r="AJ226" s="238"/>
      <c r="AK226" s="238"/>
      <c r="AL226" s="238"/>
      <c r="AM226" s="238"/>
      <c r="AN226" s="225"/>
      <c r="AO226" s="225"/>
      <c r="AP226" s="225"/>
      <c r="AQ226" s="225"/>
      <c r="AR226" s="225"/>
      <c r="AS226" s="225"/>
      <c r="AT226" s="225"/>
      <c r="AU226" s="225"/>
      <c r="AV226" s="225"/>
      <c r="AW226" s="232"/>
    </row>
    <row r="227" spans="1:51" x14ac:dyDescent="0.25">
      <c r="A227" s="196"/>
      <c r="B227" s="211"/>
      <c r="C227" s="211"/>
      <c r="D227" s="197"/>
      <c r="E227" s="197"/>
      <c r="F227" s="222"/>
      <c r="G227" s="222"/>
      <c r="H227" s="222"/>
      <c r="I227" s="222"/>
      <c r="J227" s="222"/>
      <c r="K227" s="222"/>
      <c r="L227" s="223"/>
      <c r="M227" s="223"/>
      <c r="N227" s="224"/>
      <c r="O227" s="224"/>
      <c r="P227" s="224"/>
      <c r="Q227" s="223"/>
      <c r="R227" s="224"/>
      <c r="S227" s="223"/>
      <c r="T227" s="223"/>
      <c r="U227" s="225"/>
      <c r="V227" s="225"/>
      <c r="W227" s="225"/>
      <c r="X227" s="225"/>
      <c r="Y227" s="225"/>
      <c r="Z227" s="225"/>
      <c r="AA227" s="225"/>
      <c r="AB227" s="225"/>
      <c r="AC227" s="225"/>
      <c r="AD227" s="225"/>
      <c r="AE227" s="244"/>
      <c r="AF227" s="244"/>
      <c r="AG227" s="238"/>
      <c r="AH227" s="238"/>
      <c r="AI227" s="238"/>
      <c r="AJ227" s="238"/>
      <c r="AK227" s="238"/>
      <c r="AL227" s="238"/>
      <c r="AM227" s="238"/>
      <c r="AN227" s="225"/>
      <c r="AO227" s="225"/>
      <c r="AP227" s="225"/>
      <c r="AQ227" s="225"/>
      <c r="AR227" s="225"/>
      <c r="AS227" s="225"/>
      <c r="AT227" s="225"/>
      <c r="AU227" s="225"/>
      <c r="AV227" s="225"/>
      <c r="AW227" s="232"/>
    </row>
    <row r="228" spans="1:51" x14ac:dyDescent="0.25">
      <c r="A228" s="196"/>
      <c r="B228" s="211"/>
      <c r="C228" s="211"/>
      <c r="D228" s="197"/>
      <c r="E228" s="197"/>
      <c r="F228" s="222"/>
      <c r="G228" s="222"/>
      <c r="H228" s="222"/>
      <c r="I228" s="222"/>
      <c r="J228" s="222"/>
      <c r="K228" s="222"/>
      <c r="L228" s="223"/>
      <c r="M228" s="223"/>
      <c r="N228" s="224"/>
      <c r="O228" s="224"/>
      <c r="P228" s="224"/>
      <c r="Q228" s="223"/>
      <c r="R228" s="224"/>
      <c r="S228" s="223"/>
      <c r="T228" s="223"/>
      <c r="U228" s="225"/>
      <c r="V228" s="225"/>
      <c r="W228" s="225"/>
      <c r="X228" s="225"/>
      <c r="Y228" s="225"/>
      <c r="Z228" s="225"/>
      <c r="AA228" s="225"/>
      <c r="AB228" s="225"/>
      <c r="AC228" s="225"/>
      <c r="AD228" s="225"/>
      <c r="AE228" s="244"/>
      <c r="AF228" s="244"/>
      <c r="AG228" s="238"/>
      <c r="AH228" s="238"/>
      <c r="AI228" s="238"/>
      <c r="AJ228" s="238"/>
      <c r="AK228" s="238"/>
      <c r="AL228" s="238"/>
      <c r="AM228" s="238"/>
      <c r="AN228" s="225"/>
      <c r="AO228" s="225"/>
      <c r="AP228" s="225"/>
      <c r="AQ228" s="225"/>
      <c r="AR228" s="225"/>
      <c r="AS228" s="225"/>
      <c r="AT228" s="225"/>
      <c r="AU228" s="225"/>
      <c r="AV228" s="225"/>
      <c r="AW228" s="232"/>
    </row>
    <row r="229" spans="1:51" x14ac:dyDescent="0.25">
      <c r="A229" s="196"/>
      <c r="B229" s="211"/>
      <c r="C229" s="211"/>
      <c r="D229" s="197"/>
      <c r="E229" s="197"/>
      <c r="F229" s="222"/>
      <c r="G229" s="222"/>
      <c r="H229" s="222"/>
      <c r="I229" s="222"/>
      <c r="J229" s="222"/>
      <c r="K229" s="222"/>
      <c r="L229" s="223"/>
      <c r="M229" s="223"/>
      <c r="N229" s="224"/>
      <c r="O229" s="224"/>
      <c r="P229" s="224"/>
      <c r="Q229" s="223"/>
      <c r="R229" s="224"/>
      <c r="S229" s="223"/>
      <c r="T229" s="223"/>
      <c r="U229" s="225"/>
      <c r="V229" s="225"/>
      <c r="W229" s="225"/>
      <c r="X229" s="225"/>
      <c r="Y229" s="225"/>
      <c r="Z229" s="225"/>
      <c r="AA229" s="225"/>
      <c r="AB229" s="225"/>
      <c r="AC229" s="225"/>
      <c r="AD229" s="225"/>
      <c r="AE229" s="244"/>
      <c r="AF229" s="244"/>
      <c r="AG229" s="238"/>
      <c r="AH229" s="238"/>
      <c r="AI229" s="238"/>
      <c r="AJ229" s="238"/>
      <c r="AK229" s="238"/>
      <c r="AL229" s="238"/>
      <c r="AM229" s="238"/>
      <c r="AN229" s="225"/>
      <c r="AO229" s="225"/>
      <c r="AP229" s="225"/>
      <c r="AQ229" s="225"/>
      <c r="AR229" s="225"/>
      <c r="AS229" s="225"/>
      <c r="AT229" s="225"/>
      <c r="AU229" s="225"/>
      <c r="AV229" s="225"/>
      <c r="AW229" s="232"/>
    </row>
    <row r="230" spans="1:51" x14ac:dyDescent="0.25">
      <c r="A230" s="196"/>
      <c r="B230" s="211"/>
      <c r="C230" s="211"/>
      <c r="D230" s="197"/>
      <c r="E230" s="197"/>
      <c r="F230" s="222"/>
      <c r="G230" s="222"/>
      <c r="H230" s="222"/>
      <c r="I230" s="222"/>
      <c r="J230" s="222"/>
      <c r="K230" s="222"/>
      <c r="L230" s="223"/>
      <c r="M230" s="223"/>
      <c r="N230" s="224"/>
      <c r="O230" s="224"/>
      <c r="P230" s="224"/>
      <c r="Q230" s="223"/>
      <c r="R230" s="224"/>
      <c r="S230" s="223"/>
      <c r="T230" s="223"/>
      <c r="U230" s="225"/>
      <c r="V230" s="225"/>
      <c r="W230" s="225"/>
      <c r="X230" s="225"/>
      <c r="Y230" s="225"/>
      <c r="Z230" s="225"/>
      <c r="AA230" s="225"/>
      <c r="AB230" s="225"/>
      <c r="AC230" s="225"/>
      <c r="AD230" s="225"/>
      <c r="AE230" s="244"/>
      <c r="AF230" s="244"/>
      <c r="AG230" s="238"/>
      <c r="AH230" s="238"/>
      <c r="AI230" s="238"/>
      <c r="AJ230" s="238"/>
      <c r="AK230" s="238"/>
      <c r="AL230" s="238"/>
      <c r="AM230" s="238"/>
      <c r="AN230" s="225"/>
      <c r="AO230" s="225"/>
      <c r="AP230" s="225"/>
      <c r="AQ230" s="225"/>
      <c r="AR230" s="225"/>
      <c r="AS230" s="225"/>
      <c r="AT230" s="225"/>
      <c r="AU230" s="225"/>
      <c r="AV230" s="225"/>
      <c r="AW230" s="232"/>
    </row>
    <row r="231" spans="1:51" x14ac:dyDescent="0.25">
      <c r="A231" s="196"/>
      <c r="B231" s="211"/>
      <c r="C231" s="211"/>
      <c r="D231" s="197"/>
      <c r="E231" s="197"/>
      <c r="F231" s="222"/>
      <c r="G231" s="222"/>
      <c r="H231" s="222"/>
      <c r="I231" s="222"/>
      <c r="J231" s="222"/>
      <c r="K231" s="222"/>
      <c r="L231" s="223"/>
      <c r="M231" s="223"/>
      <c r="N231" s="224"/>
      <c r="O231" s="224"/>
      <c r="P231" s="224"/>
      <c r="Q231" s="223"/>
      <c r="R231" s="224"/>
      <c r="S231" s="223"/>
      <c r="T231" s="223"/>
      <c r="U231" s="225"/>
      <c r="V231" s="225"/>
      <c r="W231" s="225"/>
      <c r="X231" s="225"/>
      <c r="Y231" s="225"/>
      <c r="Z231" s="225"/>
      <c r="AA231" s="225"/>
      <c r="AB231" s="225"/>
      <c r="AC231" s="225"/>
      <c r="AD231" s="225"/>
      <c r="AE231" s="244"/>
      <c r="AF231" s="244"/>
      <c r="AG231" s="238"/>
      <c r="AH231" s="238"/>
      <c r="AI231" s="238"/>
      <c r="AJ231" s="238"/>
      <c r="AK231" s="238"/>
      <c r="AL231" s="238"/>
      <c r="AM231" s="238"/>
      <c r="AN231" s="225"/>
      <c r="AO231" s="225"/>
      <c r="AP231" s="225"/>
      <c r="AQ231" s="225"/>
      <c r="AR231" s="225"/>
      <c r="AS231" s="225"/>
      <c r="AT231" s="225"/>
      <c r="AU231" s="225"/>
      <c r="AV231" s="225"/>
      <c r="AW231" s="232"/>
    </row>
    <row r="232" spans="1:51" x14ac:dyDescent="0.25">
      <c r="A232" s="196"/>
      <c r="B232" s="211"/>
      <c r="C232" s="211"/>
      <c r="D232" s="197"/>
      <c r="E232" s="197"/>
      <c r="F232" s="222"/>
      <c r="G232" s="222"/>
      <c r="H232" s="222"/>
      <c r="I232" s="222"/>
      <c r="J232" s="222"/>
      <c r="K232" s="222"/>
      <c r="L232" s="223"/>
      <c r="M232" s="223"/>
      <c r="N232" s="224"/>
      <c r="O232" s="224"/>
      <c r="P232" s="224"/>
      <c r="Q232" s="223"/>
      <c r="R232" s="224"/>
      <c r="S232" s="223"/>
      <c r="T232" s="223"/>
      <c r="U232" s="225"/>
      <c r="V232" s="225"/>
      <c r="W232" s="225"/>
      <c r="X232" s="225"/>
      <c r="Y232" s="225"/>
      <c r="Z232" s="225"/>
      <c r="AA232" s="225"/>
      <c r="AB232" s="225"/>
      <c r="AC232" s="225"/>
      <c r="AD232" s="225"/>
      <c r="AE232" s="244"/>
      <c r="AF232" s="244"/>
      <c r="AG232" s="238"/>
      <c r="AH232" s="238"/>
      <c r="AI232" s="238"/>
      <c r="AJ232" s="238"/>
      <c r="AK232" s="238"/>
      <c r="AL232" s="238"/>
      <c r="AM232" s="238"/>
      <c r="AN232" s="225"/>
      <c r="AO232" s="225"/>
      <c r="AP232" s="225"/>
      <c r="AQ232" s="225"/>
      <c r="AR232" s="225"/>
      <c r="AS232" s="225"/>
      <c r="AT232" s="225"/>
      <c r="AU232" s="225"/>
      <c r="AV232" s="225"/>
      <c r="AW232" s="232"/>
    </row>
    <row r="233" spans="1:51" x14ac:dyDescent="0.25">
      <c r="A233" s="196"/>
      <c r="B233" s="211"/>
      <c r="C233" s="211"/>
      <c r="D233" s="197"/>
      <c r="E233" s="197"/>
      <c r="F233" s="222"/>
      <c r="G233" s="222"/>
      <c r="H233" s="222"/>
      <c r="I233" s="222"/>
      <c r="J233" s="222"/>
      <c r="K233" s="222"/>
      <c r="L233" s="223"/>
      <c r="M233" s="223"/>
      <c r="N233" s="224"/>
      <c r="O233" s="224"/>
      <c r="P233" s="224"/>
      <c r="Q233" s="223"/>
      <c r="R233" s="224"/>
      <c r="S233" s="223"/>
      <c r="T233" s="223"/>
      <c r="U233" s="225"/>
      <c r="V233" s="225"/>
      <c r="W233" s="225"/>
      <c r="X233" s="225"/>
      <c r="Y233" s="225"/>
      <c r="Z233" s="225"/>
      <c r="AA233" s="225"/>
      <c r="AB233" s="225"/>
      <c r="AC233" s="225"/>
      <c r="AD233" s="225"/>
      <c r="AE233" s="244"/>
      <c r="AF233" s="244"/>
      <c r="AG233" s="238"/>
      <c r="AH233" s="238"/>
      <c r="AI233" s="238"/>
      <c r="AJ233" s="238"/>
      <c r="AK233" s="238"/>
      <c r="AL233" s="238"/>
      <c r="AM233" s="238"/>
      <c r="AN233" s="225"/>
      <c r="AO233" s="225"/>
      <c r="AP233" s="225"/>
      <c r="AQ233" s="225"/>
      <c r="AR233" s="225"/>
      <c r="AS233" s="225"/>
      <c r="AT233" s="225"/>
      <c r="AU233" s="225"/>
      <c r="AV233" s="225"/>
      <c r="AW233" s="232"/>
    </row>
    <row r="234" spans="1:51" x14ac:dyDescent="0.25">
      <c r="A234" s="196"/>
      <c r="B234" s="211"/>
      <c r="C234" s="211"/>
      <c r="D234" s="197"/>
      <c r="E234" s="197"/>
      <c r="F234" s="222"/>
      <c r="G234" s="222"/>
      <c r="H234" s="222"/>
      <c r="I234" s="222"/>
      <c r="J234" s="222"/>
      <c r="K234" s="222"/>
      <c r="L234" s="223"/>
      <c r="M234" s="223"/>
      <c r="N234" s="224"/>
      <c r="O234" s="224"/>
      <c r="P234" s="224"/>
      <c r="Q234" s="223"/>
      <c r="R234" s="224"/>
      <c r="S234" s="223"/>
      <c r="T234" s="223"/>
      <c r="U234" s="225"/>
      <c r="V234" s="225"/>
      <c r="W234" s="225"/>
      <c r="X234" s="225"/>
      <c r="Y234" s="225"/>
      <c r="Z234" s="225"/>
      <c r="AA234" s="225"/>
      <c r="AB234" s="225"/>
      <c r="AC234" s="225"/>
      <c r="AD234" s="225"/>
      <c r="AE234" s="244"/>
      <c r="AF234" s="244"/>
      <c r="AG234" s="238"/>
      <c r="AH234" s="238"/>
      <c r="AI234" s="238"/>
      <c r="AJ234" s="238"/>
      <c r="AK234" s="238"/>
      <c r="AL234" s="238"/>
      <c r="AM234" s="238"/>
      <c r="AN234" s="225"/>
      <c r="AO234" s="225"/>
      <c r="AP234" s="225"/>
      <c r="AQ234" s="225"/>
      <c r="AR234" s="225"/>
      <c r="AS234" s="225"/>
      <c r="AT234" s="225"/>
      <c r="AU234" s="225"/>
      <c r="AV234" s="225"/>
      <c r="AW234" s="232"/>
    </row>
    <row r="235" spans="1:51" x14ac:dyDescent="0.25">
      <c r="A235" s="196"/>
      <c r="B235" s="211"/>
      <c r="C235" s="211"/>
      <c r="D235" s="197"/>
      <c r="E235" s="197"/>
      <c r="F235" s="222"/>
      <c r="G235" s="222"/>
      <c r="H235" s="222"/>
      <c r="I235" s="222"/>
      <c r="J235" s="222"/>
      <c r="K235" s="222"/>
      <c r="L235" s="223"/>
      <c r="M235" s="223"/>
      <c r="N235" s="224"/>
      <c r="O235" s="224"/>
      <c r="P235" s="224"/>
      <c r="Q235" s="223"/>
      <c r="R235" s="224"/>
      <c r="S235" s="223"/>
      <c r="T235" s="223"/>
      <c r="U235" s="225"/>
      <c r="V235" s="225"/>
      <c r="W235" s="225"/>
      <c r="X235" s="225"/>
      <c r="Y235" s="225"/>
      <c r="Z235" s="225"/>
      <c r="AA235" s="225"/>
      <c r="AB235" s="225"/>
      <c r="AC235" s="225"/>
      <c r="AD235" s="225"/>
      <c r="AE235" s="244"/>
      <c r="AF235" s="244"/>
      <c r="AG235" s="238"/>
      <c r="AH235" s="238"/>
      <c r="AI235" s="238"/>
      <c r="AJ235" s="238"/>
      <c r="AK235" s="238"/>
      <c r="AL235" s="238"/>
      <c r="AM235" s="238"/>
      <c r="AN235" s="225"/>
      <c r="AO235" s="225"/>
      <c r="AP235" s="225"/>
      <c r="AQ235" s="225"/>
      <c r="AR235" s="225"/>
      <c r="AS235" s="225"/>
      <c r="AT235" s="225"/>
      <c r="AU235" s="225"/>
      <c r="AV235" s="225"/>
      <c r="AW235" s="232"/>
    </row>
    <row r="236" spans="1:51" x14ac:dyDescent="0.25">
      <c r="A236" s="196"/>
      <c r="B236" s="211"/>
      <c r="C236" s="211"/>
      <c r="D236" s="197"/>
      <c r="E236" s="197"/>
      <c r="F236" s="222"/>
      <c r="G236" s="222"/>
      <c r="H236" s="222"/>
      <c r="I236" s="222"/>
      <c r="J236" s="222"/>
      <c r="K236" s="222"/>
      <c r="L236" s="223"/>
      <c r="M236" s="223"/>
      <c r="N236" s="224"/>
      <c r="O236" s="224"/>
      <c r="P236" s="224"/>
      <c r="Q236" s="223"/>
      <c r="R236" s="224"/>
      <c r="S236" s="223"/>
      <c r="T236" s="223"/>
      <c r="U236" s="225"/>
      <c r="V236" s="225"/>
      <c r="W236" s="225"/>
      <c r="X236" s="225"/>
      <c r="Y236" s="225"/>
      <c r="Z236" s="225"/>
      <c r="AA236" s="225"/>
      <c r="AB236" s="225"/>
      <c r="AC236" s="225"/>
      <c r="AD236" s="225"/>
      <c r="AE236" s="244"/>
      <c r="AF236" s="244"/>
      <c r="AG236" s="238"/>
      <c r="AH236" s="238"/>
      <c r="AI236" s="238"/>
      <c r="AJ236" s="238"/>
      <c r="AK236" s="238"/>
      <c r="AL236" s="238"/>
      <c r="AM236" s="238"/>
      <c r="AN236" s="225"/>
      <c r="AO236" s="225"/>
      <c r="AP236" s="225"/>
      <c r="AQ236" s="225"/>
      <c r="AR236" s="225"/>
      <c r="AS236" s="225"/>
      <c r="AT236" s="225"/>
      <c r="AU236" s="225"/>
      <c r="AV236" s="225"/>
      <c r="AW236" s="232"/>
    </row>
    <row r="237" spans="1:51" x14ac:dyDescent="0.25">
      <c r="A237" s="196"/>
      <c r="B237" s="211"/>
      <c r="C237" s="211"/>
      <c r="D237" s="197"/>
      <c r="E237" s="197"/>
      <c r="F237" s="222"/>
      <c r="G237" s="222"/>
      <c r="H237" s="222"/>
      <c r="I237" s="222"/>
      <c r="J237" s="222"/>
      <c r="K237" s="222"/>
      <c r="L237" s="223"/>
      <c r="M237" s="223"/>
      <c r="N237" s="224"/>
      <c r="O237" s="224"/>
      <c r="P237" s="224"/>
      <c r="Q237" s="223"/>
      <c r="R237" s="224"/>
      <c r="S237" s="223"/>
      <c r="T237" s="223"/>
      <c r="U237" s="225"/>
      <c r="V237" s="225"/>
      <c r="W237" s="225"/>
      <c r="X237" s="225"/>
      <c r="Y237" s="225"/>
      <c r="Z237" s="225"/>
      <c r="AA237" s="225"/>
      <c r="AB237" s="225"/>
      <c r="AC237" s="225"/>
      <c r="AD237" s="225"/>
      <c r="AE237" s="244"/>
      <c r="AF237" s="244"/>
      <c r="AG237" s="238"/>
      <c r="AH237" s="238"/>
      <c r="AI237" s="238"/>
      <c r="AJ237" s="238"/>
      <c r="AK237" s="238"/>
      <c r="AL237" s="238"/>
      <c r="AM237" s="238"/>
      <c r="AN237" s="225"/>
      <c r="AO237" s="225"/>
      <c r="AP237" s="225"/>
      <c r="AQ237" s="225"/>
      <c r="AR237" s="225"/>
      <c r="AS237" s="225"/>
      <c r="AT237" s="225"/>
      <c r="AU237" s="225"/>
      <c r="AV237" s="225"/>
      <c r="AW237" s="232"/>
    </row>
    <row r="238" spans="1:51" x14ac:dyDescent="0.25">
      <c r="A238" s="196"/>
      <c r="B238" s="211"/>
      <c r="C238" s="211"/>
      <c r="D238" s="197"/>
      <c r="E238" s="197"/>
      <c r="F238" s="222"/>
      <c r="G238" s="222"/>
      <c r="H238" s="222"/>
      <c r="I238" s="222"/>
      <c r="J238" s="222"/>
      <c r="K238" s="222"/>
      <c r="L238" s="223"/>
      <c r="M238" s="223"/>
      <c r="N238" s="224"/>
      <c r="O238" s="224"/>
      <c r="P238" s="224"/>
      <c r="Q238" s="223"/>
      <c r="R238" s="224"/>
      <c r="S238" s="223"/>
      <c r="T238" s="223"/>
      <c r="U238" s="225"/>
      <c r="V238" s="225"/>
      <c r="W238" s="225"/>
      <c r="X238" s="225"/>
      <c r="Y238" s="225"/>
      <c r="Z238" s="225"/>
      <c r="AA238" s="225"/>
      <c r="AB238" s="225"/>
      <c r="AC238" s="225"/>
      <c r="AD238" s="225"/>
      <c r="AE238" s="244"/>
      <c r="AF238" s="244"/>
      <c r="AG238" s="238"/>
      <c r="AH238" s="238"/>
      <c r="AI238" s="238"/>
      <c r="AJ238" s="238"/>
      <c r="AK238" s="238"/>
      <c r="AL238" s="238"/>
      <c r="AM238" s="238"/>
      <c r="AN238" s="225"/>
      <c r="AO238" s="225"/>
      <c r="AP238" s="225"/>
      <c r="AQ238" s="225"/>
      <c r="AR238" s="225"/>
      <c r="AS238" s="225"/>
      <c r="AT238" s="225"/>
      <c r="AU238" s="225"/>
      <c r="AV238" s="225"/>
      <c r="AW238" s="232"/>
    </row>
    <row r="239" spans="1:51" x14ac:dyDescent="0.25">
      <c r="A239" s="196"/>
      <c r="B239" s="211"/>
      <c r="C239" s="211"/>
      <c r="D239" s="197"/>
      <c r="E239" s="197"/>
      <c r="F239" s="222"/>
      <c r="G239" s="222"/>
      <c r="H239" s="222"/>
      <c r="I239" s="222"/>
      <c r="J239" s="222"/>
      <c r="K239" s="222"/>
      <c r="L239" s="223"/>
      <c r="M239" s="223"/>
      <c r="N239" s="224"/>
      <c r="O239" s="224"/>
      <c r="P239" s="224"/>
      <c r="Q239" s="223"/>
      <c r="R239" s="224"/>
      <c r="S239" s="223"/>
      <c r="T239" s="223"/>
      <c r="U239" s="225"/>
      <c r="V239" s="225"/>
      <c r="W239" s="225"/>
      <c r="X239" s="225"/>
      <c r="Y239" s="225"/>
      <c r="Z239" s="225"/>
      <c r="AA239" s="225"/>
      <c r="AB239" s="225"/>
      <c r="AC239" s="225"/>
      <c r="AD239" s="225"/>
      <c r="AE239" s="244"/>
      <c r="AF239" s="244"/>
      <c r="AG239" s="238"/>
      <c r="AH239" s="238"/>
      <c r="AI239" s="238"/>
      <c r="AJ239" s="238"/>
      <c r="AK239" s="238"/>
      <c r="AL239" s="238"/>
      <c r="AM239" s="238"/>
      <c r="AN239" s="225"/>
      <c r="AO239" s="225"/>
      <c r="AP239" s="225"/>
      <c r="AQ239" s="225"/>
      <c r="AR239" s="225"/>
      <c r="AS239" s="225"/>
      <c r="AT239" s="225"/>
      <c r="AU239" s="225"/>
      <c r="AV239" s="225"/>
      <c r="AW239" s="232"/>
    </row>
    <row r="240" spans="1:51" x14ac:dyDescent="0.25">
      <c r="A240" s="196"/>
      <c r="B240" s="211"/>
      <c r="C240" s="211"/>
      <c r="D240" s="197"/>
      <c r="E240" s="197"/>
      <c r="F240" s="222"/>
      <c r="G240" s="222"/>
      <c r="H240" s="222"/>
      <c r="I240" s="222"/>
      <c r="J240" s="222"/>
      <c r="K240" s="222"/>
      <c r="L240" s="223"/>
      <c r="M240" s="223"/>
      <c r="N240" s="224"/>
      <c r="O240" s="224"/>
      <c r="P240" s="224"/>
      <c r="Q240" s="223"/>
      <c r="R240" s="224"/>
      <c r="S240" s="223"/>
      <c r="T240" s="223"/>
      <c r="U240" s="225"/>
      <c r="V240" s="225"/>
      <c r="W240" s="225"/>
      <c r="X240" s="225"/>
      <c r="Y240" s="225"/>
      <c r="Z240" s="225"/>
      <c r="AA240" s="225"/>
      <c r="AB240" s="225"/>
      <c r="AC240" s="225"/>
      <c r="AD240" s="225"/>
      <c r="AE240" s="244"/>
      <c r="AF240" s="244"/>
      <c r="AG240" s="238"/>
      <c r="AH240" s="238"/>
      <c r="AI240" s="238"/>
      <c r="AJ240" s="238"/>
      <c r="AK240" s="238"/>
      <c r="AL240" s="238"/>
      <c r="AM240" s="238"/>
      <c r="AN240" s="225"/>
      <c r="AO240" s="225"/>
      <c r="AP240" s="225"/>
      <c r="AQ240" s="225"/>
      <c r="AR240" s="225"/>
      <c r="AS240" s="225"/>
      <c r="AT240" s="225"/>
      <c r="AU240" s="225"/>
      <c r="AV240" s="225"/>
      <c r="AW240" s="232"/>
    </row>
    <row r="241" spans="1:58" x14ac:dyDescent="0.25">
      <c r="A241" s="196"/>
      <c r="B241" s="211"/>
      <c r="C241" s="211"/>
      <c r="D241" s="197"/>
      <c r="E241" s="197"/>
      <c r="F241" s="222"/>
      <c r="G241" s="222"/>
      <c r="H241" s="222"/>
      <c r="I241" s="222"/>
      <c r="J241" s="222"/>
      <c r="K241" s="222"/>
      <c r="L241" s="223"/>
      <c r="M241" s="223"/>
      <c r="N241" s="224"/>
      <c r="O241" s="224"/>
      <c r="P241" s="224"/>
      <c r="Q241" s="223"/>
      <c r="R241" s="224"/>
      <c r="S241" s="223"/>
      <c r="T241" s="223"/>
      <c r="U241" s="225"/>
      <c r="V241" s="225"/>
      <c r="W241" s="225"/>
      <c r="X241" s="225"/>
      <c r="Y241" s="225"/>
      <c r="Z241" s="225"/>
      <c r="AA241" s="225"/>
      <c r="AB241" s="225"/>
      <c r="AC241" s="225"/>
      <c r="AD241" s="225"/>
      <c r="AE241" s="244"/>
      <c r="AF241" s="244"/>
      <c r="AG241" s="238"/>
      <c r="AH241" s="238"/>
      <c r="AI241" s="238"/>
      <c r="AJ241" s="238"/>
      <c r="AK241" s="238"/>
      <c r="AL241" s="238"/>
      <c r="AM241" s="238"/>
      <c r="AN241" s="225"/>
      <c r="AO241" s="225"/>
      <c r="AP241" s="225"/>
      <c r="AQ241" s="225"/>
      <c r="AR241" s="225"/>
      <c r="AS241" s="225"/>
      <c r="AT241" s="225"/>
      <c r="AU241" s="225"/>
      <c r="AV241" s="225"/>
      <c r="AW241" s="232"/>
    </row>
    <row r="242" spans="1:58" x14ac:dyDescent="0.25">
      <c r="A242" s="196"/>
      <c r="B242" s="211"/>
      <c r="C242" s="211"/>
      <c r="D242" s="197"/>
      <c r="E242" s="197"/>
      <c r="F242" s="222"/>
      <c r="G242" s="222"/>
      <c r="H242" s="222"/>
      <c r="I242" s="222"/>
      <c r="J242" s="222"/>
      <c r="K242" s="222"/>
      <c r="L242" s="223"/>
      <c r="M242" s="223"/>
      <c r="N242" s="224"/>
      <c r="O242" s="224"/>
      <c r="P242" s="224"/>
      <c r="Q242" s="223"/>
      <c r="R242" s="224"/>
      <c r="S242" s="223"/>
      <c r="T242" s="223"/>
      <c r="U242" s="225"/>
      <c r="V242" s="225"/>
      <c r="W242" s="225"/>
      <c r="X242" s="225"/>
      <c r="Y242" s="225"/>
      <c r="Z242" s="225"/>
      <c r="AA242" s="225"/>
      <c r="AB242" s="225"/>
      <c r="AC242" s="225"/>
      <c r="AD242" s="225"/>
      <c r="AE242" s="244"/>
      <c r="AF242" s="244"/>
      <c r="AG242" s="238"/>
      <c r="AH242" s="238"/>
      <c r="AI242" s="238"/>
      <c r="AJ242" s="238"/>
      <c r="AK242" s="238"/>
      <c r="AL242" s="238"/>
      <c r="AM242" s="238"/>
      <c r="AN242" s="225"/>
      <c r="AO242" s="225"/>
      <c r="AP242" s="225"/>
      <c r="AQ242" s="225"/>
      <c r="AR242" s="225"/>
      <c r="AS242" s="225"/>
      <c r="AT242" s="225"/>
      <c r="AU242" s="225"/>
      <c r="AV242" s="225"/>
      <c r="AW242" s="232"/>
    </row>
    <row r="243" spans="1:58" x14ac:dyDescent="0.25">
      <c r="A243" s="196"/>
      <c r="B243" s="211"/>
      <c r="C243" s="211"/>
      <c r="D243" s="197"/>
      <c r="E243" s="197"/>
      <c r="F243" s="222"/>
      <c r="G243" s="222"/>
      <c r="H243" s="222"/>
      <c r="I243" s="222"/>
      <c r="J243" s="222"/>
      <c r="K243" s="222"/>
      <c r="L243" s="223"/>
      <c r="M243" s="223"/>
      <c r="N243" s="224"/>
      <c r="O243" s="224"/>
      <c r="P243" s="224"/>
      <c r="Q243" s="223"/>
      <c r="R243" s="224"/>
      <c r="S243" s="223"/>
      <c r="T243" s="223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44"/>
      <c r="AF243" s="244"/>
      <c r="AG243" s="238"/>
      <c r="AH243" s="238"/>
      <c r="AI243" s="238"/>
      <c r="AJ243" s="238"/>
      <c r="AK243" s="238"/>
      <c r="AL243" s="238"/>
      <c r="AM243" s="238"/>
      <c r="AN243" s="225"/>
      <c r="AO243" s="225"/>
      <c r="AP243" s="225"/>
      <c r="AQ243" s="225"/>
      <c r="AR243" s="225"/>
      <c r="AS243" s="225"/>
      <c r="AT243" s="225"/>
      <c r="AU243" s="225"/>
      <c r="AV243" s="225"/>
      <c r="AW243" s="232"/>
    </row>
    <row r="244" spans="1:58" x14ac:dyDescent="0.25">
      <c r="A244" s="196"/>
      <c r="B244" s="211"/>
      <c r="C244" s="211"/>
      <c r="D244" s="197"/>
      <c r="E244" s="197"/>
      <c r="F244" s="222"/>
      <c r="G244" s="222"/>
      <c r="H244" s="222"/>
      <c r="I244" s="222"/>
      <c r="J244" s="222"/>
      <c r="K244" s="222"/>
      <c r="L244" s="223"/>
      <c r="M244" s="223"/>
      <c r="N244" s="224"/>
      <c r="O244" s="224"/>
      <c r="P244" s="224"/>
      <c r="Q244" s="223"/>
      <c r="R244" s="224"/>
      <c r="S244" s="223"/>
      <c r="T244" s="223"/>
      <c r="U244" s="225"/>
      <c r="V244" s="225"/>
      <c r="W244" s="225"/>
      <c r="X244" s="225"/>
      <c r="Y244" s="225"/>
      <c r="Z244" s="225"/>
      <c r="AA244" s="225"/>
      <c r="AB244" s="225"/>
      <c r="AC244" s="225"/>
      <c r="AD244" s="225"/>
      <c r="AE244" s="244"/>
      <c r="AF244" s="244"/>
      <c r="AG244" s="238"/>
      <c r="AH244" s="238"/>
      <c r="AI244" s="238"/>
      <c r="AJ244" s="238"/>
      <c r="AK244" s="238"/>
      <c r="AL244" s="238"/>
      <c r="AM244" s="238"/>
      <c r="AN244" s="225"/>
      <c r="AO244" s="225"/>
      <c r="AP244" s="225"/>
      <c r="AQ244" s="225"/>
      <c r="AR244" s="225"/>
      <c r="AS244" s="225"/>
      <c r="AT244" s="225"/>
      <c r="AU244" s="225"/>
      <c r="AV244" s="225"/>
      <c r="AW244" s="232"/>
    </row>
    <row r="245" spans="1:58" x14ac:dyDescent="0.25">
      <c r="A245" s="196"/>
      <c r="B245" s="211"/>
      <c r="C245" s="211"/>
      <c r="D245" s="197"/>
      <c r="E245" s="197"/>
      <c r="F245" s="222"/>
      <c r="G245" s="222"/>
      <c r="H245" s="222"/>
      <c r="I245" s="222"/>
      <c r="J245" s="222"/>
      <c r="K245" s="222"/>
      <c r="L245" s="223"/>
      <c r="M245" s="223"/>
      <c r="N245" s="224"/>
      <c r="O245" s="224"/>
      <c r="P245" s="224"/>
      <c r="Q245" s="223"/>
      <c r="R245" s="224"/>
      <c r="S245" s="223"/>
      <c r="T245" s="223"/>
      <c r="U245" s="225"/>
      <c r="V245" s="225"/>
      <c r="W245" s="225"/>
      <c r="X245" s="225"/>
      <c r="Y245" s="225"/>
      <c r="Z245" s="225"/>
      <c r="AA245" s="225"/>
      <c r="AB245" s="225"/>
      <c r="AC245" s="225"/>
      <c r="AD245" s="225"/>
      <c r="AE245" s="244"/>
      <c r="AF245" s="244"/>
      <c r="AG245" s="238"/>
      <c r="AH245" s="238"/>
      <c r="AI245" s="238"/>
      <c r="AJ245" s="238"/>
      <c r="AK245" s="238"/>
      <c r="AL245" s="238"/>
      <c r="AM245" s="238"/>
      <c r="AN245" s="225"/>
      <c r="AO245" s="225"/>
      <c r="AP245" s="225"/>
      <c r="AQ245" s="225"/>
      <c r="AR245" s="225"/>
      <c r="AS245" s="225"/>
      <c r="AT245" s="225"/>
      <c r="AU245" s="225"/>
      <c r="AV245" s="225"/>
      <c r="AW245" s="232"/>
    </row>
    <row r="246" spans="1:58" x14ac:dyDescent="0.25">
      <c r="A246" s="196"/>
      <c r="B246" s="211"/>
      <c r="C246" s="211"/>
      <c r="D246" s="197"/>
      <c r="E246" s="197"/>
      <c r="F246" s="222"/>
      <c r="G246" s="222"/>
      <c r="H246" s="222"/>
      <c r="I246" s="222"/>
      <c r="J246" s="222"/>
      <c r="K246" s="222"/>
      <c r="L246" s="223"/>
      <c r="M246" s="223"/>
      <c r="N246" s="224"/>
      <c r="O246" s="224"/>
      <c r="P246" s="224"/>
      <c r="Q246" s="223"/>
      <c r="R246" s="224"/>
      <c r="S246" s="223"/>
      <c r="T246" s="223"/>
      <c r="U246" s="225"/>
      <c r="V246" s="225"/>
      <c r="W246" s="225"/>
      <c r="X246" s="225"/>
      <c r="Y246" s="225"/>
      <c r="Z246" s="225"/>
      <c r="AA246" s="225"/>
      <c r="AB246" s="225"/>
      <c r="AC246" s="225"/>
      <c r="AD246" s="225"/>
      <c r="AE246" s="244"/>
      <c r="AF246" s="244"/>
      <c r="AG246" s="238"/>
      <c r="AH246" s="238"/>
      <c r="AI246" s="238"/>
      <c r="AJ246" s="238"/>
      <c r="AK246" s="238"/>
      <c r="AL246" s="238"/>
      <c r="AM246" s="238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32"/>
    </row>
    <row r="247" spans="1:58" x14ac:dyDescent="0.25">
      <c r="A247" s="196"/>
      <c r="B247" s="211"/>
      <c r="C247" s="211"/>
      <c r="D247" s="197"/>
      <c r="E247" s="197"/>
      <c r="F247" s="222"/>
      <c r="G247" s="222"/>
      <c r="H247" s="222"/>
      <c r="I247" s="222"/>
      <c r="J247" s="222"/>
      <c r="K247" s="222"/>
      <c r="L247" s="223"/>
      <c r="M247" s="223"/>
      <c r="N247" s="224"/>
      <c r="O247" s="224"/>
      <c r="P247" s="224"/>
      <c r="Q247" s="223"/>
      <c r="R247" s="224"/>
      <c r="S247" s="223"/>
      <c r="T247" s="223"/>
      <c r="U247" s="225"/>
      <c r="V247" s="225"/>
      <c r="W247" s="225"/>
      <c r="X247" s="225"/>
      <c r="Y247" s="225"/>
      <c r="Z247" s="225"/>
      <c r="AA247" s="225"/>
      <c r="AB247" s="225"/>
      <c r="AC247" s="222"/>
      <c r="AD247" s="225"/>
      <c r="AE247" s="244"/>
      <c r="AF247" s="244"/>
      <c r="AG247" s="238"/>
      <c r="AH247" s="238"/>
      <c r="AI247" s="238"/>
      <c r="AJ247" s="238"/>
      <c r="AK247" s="238"/>
      <c r="AL247" s="238"/>
      <c r="AM247" s="238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32"/>
      <c r="AX247" s="232"/>
    </row>
    <row r="248" spans="1:58" x14ac:dyDescent="0.25">
      <c r="A248" s="196"/>
      <c r="B248" s="211"/>
      <c r="C248" s="211"/>
      <c r="D248" s="197"/>
      <c r="E248" s="197"/>
      <c r="F248" s="222"/>
      <c r="G248" s="222"/>
      <c r="H248" s="222"/>
      <c r="I248" s="222"/>
      <c r="J248" s="222"/>
      <c r="K248" s="222"/>
      <c r="L248" s="223"/>
      <c r="M248" s="223"/>
      <c r="N248" s="224"/>
      <c r="O248" s="224"/>
      <c r="P248" s="224"/>
      <c r="Q248" s="223"/>
      <c r="R248" s="224"/>
      <c r="S248" s="223"/>
      <c r="T248" s="223"/>
      <c r="U248" s="225"/>
      <c r="V248" s="225"/>
      <c r="W248" s="225"/>
      <c r="X248" s="225"/>
      <c r="Y248" s="225"/>
      <c r="Z248" s="225"/>
      <c r="AA248" s="225"/>
      <c r="AB248" s="225"/>
      <c r="AC248" s="222"/>
      <c r="AD248" s="225"/>
      <c r="AE248" s="244"/>
      <c r="AF248" s="244"/>
      <c r="AG248" s="238"/>
      <c r="AH248" s="238"/>
      <c r="AI248" s="238"/>
      <c r="AJ248" s="238"/>
      <c r="AK248" s="238"/>
      <c r="AL248" s="238"/>
      <c r="AM248" s="238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32"/>
    </row>
    <row r="249" spans="1:58" x14ac:dyDescent="0.25">
      <c r="A249" s="196"/>
      <c r="B249" s="211"/>
      <c r="C249" s="211"/>
      <c r="D249" s="197"/>
      <c r="E249" s="197"/>
      <c r="F249" s="222"/>
      <c r="G249" s="222"/>
      <c r="H249" s="222"/>
      <c r="I249" s="222"/>
      <c r="J249" s="222"/>
      <c r="K249" s="222"/>
      <c r="L249" s="223"/>
      <c r="M249" s="223"/>
      <c r="N249" s="224"/>
      <c r="O249" s="224"/>
      <c r="P249" s="224"/>
      <c r="Q249" s="223"/>
      <c r="R249" s="224"/>
      <c r="S249" s="223"/>
      <c r="T249" s="223"/>
      <c r="U249" s="225"/>
      <c r="V249" s="225"/>
      <c r="W249" s="225"/>
      <c r="X249" s="225"/>
      <c r="Y249" s="225"/>
      <c r="Z249" s="225"/>
      <c r="AA249" s="225"/>
      <c r="AB249" s="225"/>
      <c r="AC249" s="225"/>
      <c r="AD249" s="225"/>
      <c r="AE249" s="244"/>
      <c r="AF249" s="244"/>
      <c r="AG249" s="238"/>
      <c r="AH249" s="238"/>
      <c r="AI249" s="238"/>
      <c r="AJ249" s="238"/>
      <c r="AK249" s="238"/>
      <c r="AL249" s="238"/>
      <c r="AM249" s="238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32"/>
      <c r="AX249" s="232"/>
      <c r="AY249" s="233"/>
      <c r="AZ249" s="232"/>
      <c r="BA249" s="232"/>
      <c r="BB249" s="232"/>
      <c r="BC249" s="232"/>
      <c r="BD249" s="232"/>
      <c r="BE249" s="232"/>
      <c r="BF249" s="232"/>
    </row>
    <row r="250" spans="1:58" x14ac:dyDescent="0.25">
      <c r="A250" s="196"/>
      <c r="B250" s="211"/>
      <c r="C250" s="211"/>
      <c r="D250" s="197"/>
      <c r="E250" s="197"/>
      <c r="F250" s="222"/>
      <c r="G250" s="222"/>
      <c r="H250" s="222"/>
      <c r="I250" s="222"/>
      <c r="J250" s="222"/>
      <c r="K250" s="222"/>
      <c r="L250" s="223"/>
      <c r="M250" s="223"/>
      <c r="N250" s="224"/>
      <c r="O250" s="224"/>
      <c r="P250" s="224"/>
      <c r="Q250" s="223"/>
      <c r="R250" s="224"/>
      <c r="S250" s="223"/>
      <c r="T250" s="223"/>
      <c r="U250" s="225"/>
      <c r="V250" s="225"/>
      <c r="W250" s="225"/>
      <c r="X250" s="225"/>
      <c r="Y250" s="225"/>
      <c r="Z250" s="225"/>
      <c r="AA250" s="225"/>
      <c r="AB250" s="225"/>
      <c r="AC250" s="225"/>
      <c r="AD250" s="225"/>
      <c r="AE250" s="244"/>
      <c r="AF250" s="244"/>
      <c r="AG250" s="238"/>
      <c r="AH250" s="238"/>
      <c r="AI250" s="238"/>
      <c r="AJ250" s="238"/>
      <c r="AK250" s="238"/>
      <c r="AL250" s="238"/>
      <c r="AM250" s="238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32"/>
      <c r="AX250" s="232"/>
      <c r="AY250" s="233"/>
      <c r="AZ250" s="232"/>
      <c r="BA250" s="232"/>
      <c r="BB250" s="232"/>
      <c r="BC250" s="232"/>
      <c r="BD250" s="232"/>
      <c r="BE250" s="232"/>
    </row>
    <row r="251" spans="1:58" x14ac:dyDescent="0.25">
      <c r="A251" s="196"/>
      <c r="B251" s="211"/>
      <c r="C251" s="211"/>
      <c r="D251" s="197"/>
      <c r="E251" s="197"/>
      <c r="F251" s="222"/>
      <c r="G251" s="222"/>
      <c r="H251" s="222"/>
      <c r="I251" s="222"/>
      <c r="J251" s="222"/>
      <c r="K251" s="222"/>
      <c r="L251" s="223"/>
      <c r="M251" s="223"/>
      <c r="N251" s="224"/>
      <c r="O251" s="224"/>
      <c r="P251" s="224"/>
      <c r="Q251" s="223"/>
      <c r="R251" s="224"/>
      <c r="S251" s="223"/>
      <c r="T251" s="223"/>
      <c r="U251" s="225"/>
      <c r="V251" s="225"/>
      <c r="W251" s="225"/>
      <c r="X251" s="225"/>
      <c r="Y251" s="225"/>
      <c r="Z251" s="225"/>
      <c r="AA251" s="225"/>
      <c r="AB251" s="225"/>
      <c r="AC251" s="225"/>
      <c r="AD251" s="225"/>
      <c r="AE251" s="244"/>
      <c r="AF251" s="244"/>
      <c r="AG251" s="238"/>
      <c r="AH251" s="238"/>
      <c r="AI251" s="238"/>
      <c r="AJ251" s="238"/>
      <c r="AK251" s="238"/>
      <c r="AL251" s="238"/>
      <c r="AM251" s="238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32"/>
      <c r="AX251" s="232"/>
      <c r="AY251" s="233"/>
      <c r="AZ251" s="232"/>
      <c r="BA251" s="232"/>
      <c r="BB251" s="232"/>
      <c r="BC251" s="232"/>
      <c r="BD251" s="232"/>
      <c r="BE251" s="232"/>
    </row>
    <row r="252" spans="1:58" x14ac:dyDescent="0.25">
      <c r="A252" s="196"/>
      <c r="B252" s="211"/>
      <c r="C252" s="211"/>
      <c r="D252" s="197"/>
      <c r="E252" s="197"/>
      <c r="F252" s="222"/>
      <c r="G252" s="222"/>
      <c r="H252" s="222"/>
      <c r="I252" s="222"/>
      <c r="J252" s="222"/>
      <c r="K252" s="222"/>
      <c r="L252" s="223"/>
      <c r="M252" s="223"/>
      <c r="N252" s="224"/>
      <c r="O252" s="224"/>
      <c r="P252" s="224"/>
      <c r="Q252" s="223"/>
      <c r="R252" s="224"/>
      <c r="S252" s="223"/>
      <c r="T252" s="223"/>
      <c r="U252" s="225"/>
      <c r="V252" s="225"/>
      <c r="W252" s="225"/>
      <c r="X252" s="225"/>
      <c r="Y252" s="225"/>
      <c r="Z252" s="225"/>
      <c r="AA252" s="225"/>
      <c r="AB252" s="225"/>
      <c r="AC252" s="225"/>
      <c r="AD252" s="225"/>
      <c r="AE252" s="244"/>
      <c r="AF252" s="244"/>
      <c r="AG252" s="238"/>
      <c r="AH252" s="238"/>
      <c r="AI252" s="238"/>
      <c r="AJ252" s="238"/>
      <c r="AK252" s="238"/>
      <c r="AL252" s="238"/>
      <c r="AM252" s="238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32"/>
      <c r="AX252" s="232"/>
      <c r="AY252" s="233"/>
      <c r="AZ252" s="232"/>
      <c r="BA252" s="232"/>
      <c r="BB252" s="232"/>
      <c r="BC252" s="232"/>
      <c r="BD252" s="232"/>
      <c r="BE252" s="232"/>
    </row>
    <row r="253" spans="1:58" x14ac:dyDescent="0.25">
      <c r="A253" s="196"/>
      <c r="B253" s="211"/>
      <c r="C253" s="211"/>
      <c r="D253" s="197"/>
      <c r="E253" s="197"/>
      <c r="F253" s="222"/>
      <c r="G253" s="222"/>
      <c r="H253" s="222"/>
      <c r="I253" s="222"/>
      <c r="J253" s="222"/>
      <c r="K253" s="222"/>
      <c r="L253" s="223"/>
      <c r="M253" s="223"/>
      <c r="N253" s="224"/>
      <c r="O253" s="224"/>
      <c r="P253" s="224"/>
      <c r="Q253" s="223"/>
      <c r="R253" s="224"/>
      <c r="S253" s="223"/>
      <c r="T253" s="223"/>
      <c r="U253" s="225"/>
      <c r="V253" s="225"/>
      <c r="W253" s="225"/>
      <c r="X253" s="225"/>
      <c r="Y253" s="225"/>
      <c r="Z253" s="225"/>
      <c r="AA253" s="225"/>
      <c r="AB253" s="225"/>
      <c r="AC253" s="225"/>
      <c r="AD253" s="225"/>
      <c r="AE253" s="244"/>
      <c r="AF253" s="244"/>
      <c r="AG253" s="238"/>
      <c r="AH253" s="238"/>
      <c r="AI253" s="238"/>
      <c r="AJ253" s="238"/>
      <c r="AK253" s="238"/>
      <c r="AL253" s="238"/>
      <c r="AM253" s="238"/>
      <c r="AN253" s="225"/>
      <c r="AO253" s="225"/>
      <c r="AP253" s="225"/>
      <c r="AQ253" s="225"/>
      <c r="AR253" s="225"/>
      <c r="AS253" s="225"/>
      <c r="AT253" s="225"/>
      <c r="AU253" s="225"/>
      <c r="AV253" s="225"/>
      <c r="AW253" s="232"/>
      <c r="AX253" s="232"/>
      <c r="AY253" s="233"/>
      <c r="AZ253" s="232"/>
      <c r="BA253" s="232"/>
      <c r="BB253" s="232"/>
      <c r="BC253" s="232"/>
      <c r="BD253" s="232"/>
      <c r="BE253" s="232"/>
    </row>
    <row r="254" spans="1:58" x14ac:dyDescent="0.25">
      <c r="A254" s="196"/>
      <c r="B254" s="211"/>
      <c r="C254" s="211"/>
      <c r="D254" s="197"/>
      <c r="E254" s="197"/>
      <c r="F254" s="222"/>
      <c r="G254" s="222"/>
      <c r="H254" s="222"/>
      <c r="I254" s="222"/>
      <c r="J254" s="222"/>
      <c r="K254" s="222"/>
      <c r="L254" s="223"/>
      <c r="M254" s="223"/>
      <c r="N254" s="224"/>
      <c r="O254" s="224"/>
      <c r="P254" s="224"/>
      <c r="Q254" s="223"/>
      <c r="R254" s="224"/>
      <c r="S254" s="223"/>
      <c r="T254" s="223"/>
      <c r="U254" s="225"/>
      <c r="V254" s="225"/>
      <c r="W254" s="225"/>
      <c r="X254" s="225"/>
      <c r="Y254" s="225"/>
      <c r="Z254" s="225"/>
      <c r="AA254" s="225"/>
      <c r="AB254" s="225"/>
      <c r="AC254" s="225"/>
      <c r="AD254" s="225"/>
      <c r="AE254" s="244"/>
      <c r="AF254" s="244"/>
      <c r="AG254" s="238"/>
      <c r="AH254" s="238"/>
      <c r="AI254" s="238"/>
      <c r="AJ254" s="238"/>
      <c r="AK254" s="238"/>
      <c r="AL254" s="238"/>
      <c r="AM254" s="238"/>
      <c r="AN254" s="225"/>
      <c r="AO254" s="225"/>
      <c r="AP254" s="225"/>
      <c r="AQ254" s="225"/>
      <c r="AR254" s="225"/>
      <c r="AS254" s="225"/>
      <c r="AT254" s="225"/>
      <c r="AU254" s="225"/>
      <c r="AV254" s="225"/>
      <c r="AW254" s="232"/>
      <c r="AX254" s="232"/>
      <c r="AY254" s="233"/>
      <c r="AZ254" s="232"/>
      <c r="BA254" s="232"/>
      <c r="BB254" s="232"/>
      <c r="BC254" s="232"/>
      <c r="BD254" s="232"/>
      <c r="BE254" s="232"/>
    </row>
    <row r="255" spans="1:58" x14ac:dyDescent="0.25">
      <c r="A255" s="196"/>
      <c r="B255" s="211"/>
      <c r="C255" s="211"/>
      <c r="D255" s="197"/>
      <c r="E255" s="197"/>
      <c r="F255" s="222"/>
      <c r="G255" s="222"/>
      <c r="H255" s="222"/>
      <c r="I255" s="222"/>
      <c r="J255" s="222"/>
      <c r="K255" s="222"/>
      <c r="L255" s="223"/>
      <c r="M255" s="223"/>
      <c r="N255" s="224"/>
      <c r="O255" s="224"/>
      <c r="P255" s="224"/>
      <c r="Q255" s="223"/>
      <c r="R255" s="224"/>
      <c r="S255" s="223"/>
      <c r="T255" s="223"/>
      <c r="U255" s="225"/>
      <c r="V255" s="225"/>
      <c r="W255" s="225"/>
      <c r="X255" s="225"/>
      <c r="Y255" s="225"/>
      <c r="Z255" s="225"/>
      <c r="AA255" s="225"/>
      <c r="AB255" s="225"/>
      <c r="AC255" s="225"/>
      <c r="AD255" s="225"/>
      <c r="AE255" s="244"/>
      <c r="AF255" s="244"/>
      <c r="AG255" s="238"/>
      <c r="AH255" s="238"/>
      <c r="AI255" s="238"/>
      <c r="AJ255" s="238"/>
      <c r="AK255" s="238"/>
      <c r="AL255" s="238"/>
      <c r="AM255" s="238"/>
      <c r="AN255" s="225"/>
      <c r="AO255" s="225"/>
      <c r="AP255" s="225"/>
      <c r="AQ255" s="225"/>
      <c r="AR255" s="225"/>
      <c r="AS255" s="225"/>
      <c r="AT255" s="225"/>
      <c r="AU255" s="225"/>
      <c r="AV255" s="225"/>
      <c r="AW255" s="232"/>
      <c r="AX255" s="232"/>
      <c r="AY255" s="233"/>
      <c r="AZ255" s="232"/>
      <c r="BA255" s="232"/>
      <c r="BB255" s="232"/>
      <c r="BC255" s="232"/>
      <c r="BD255" s="232"/>
      <c r="BE255" s="232"/>
    </row>
    <row r="256" spans="1:58" x14ac:dyDescent="0.25">
      <c r="A256" s="196"/>
      <c r="B256" s="211"/>
      <c r="C256" s="211"/>
      <c r="D256" s="197"/>
      <c r="E256" s="197"/>
      <c r="F256" s="222"/>
      <c r="G256" s="222"/>
      <c r="H256" s="222"/>
      <c r="I256" s="222"/>
      <c r="J256" s="222"/>
      <c r="K256" s="222"/>
      <c r="L256" s="223"/>
      <c r="M256" s="223"/>
      <c r="N256" s="224"/>
      <c r="O256" s="224"/>
      <c r="P256" s="224"/>
      <c r="Q256" s="223"/>
      <c r="R256" s="224"/>
      <c r="S256" s="223"/>
      <c r="T256" s="223"/>
      <c r="U256" s="225"/>
      <c r="V256" s="225"/>
      <c r="W256" s="225"/>
      <c r="X256" s="225"/>
      <c r="Y256" s="225"/>
      <c r="Z256" s="225"/>
      <c r="AA256" s="225"/>
      <c r="AB256" s="225"/>
      <c r="AC256" s="225"/>
      <c r="AD256" s="225"/>
      <c r="AE256" s="244"/>
      <c r="AF256" s="244"/>
      <c r="AG256" s="238"/>
      <c r="AH256" s="238"/>
      <c r="AI256" s="238"/>
      <c r="AJ256" s="238"/>
      <c r="AK256" s="238"/>
      <c r="AL256" s="238"/>
      <c r="AM256" s="238"/>
      <c r="AN256" s="225"/>
      <c r="AO256" s="225"/>
      <c r="AP256" s="225"/>
      <c r="AQ256" s="225"/>
      <c r="AR256" s="225"/>
      <c r="AS256" s="225"/>
      <c r="AT256" s="225"/>
      <c r="AU256" s="225"/>
      <c r="AV256" s="225"/>
      <c r="AW256" s="232"/>
      <c r="AX256" s="232"/>
      <c r="AY256" s="233"/>
      <c r="AZ256" s="232"/>
      <c r="BA256" s="232"/>
      <c r="BB256" s="232"/>
      <c r="BC256" s="232"/>
      <c r="BD256" s="232"/>
      <c r="BE256" s="232"/>
    </row>
    <row r="257" spans="1:57" x14ac:dyDescent="0.25">
      <c r="A257" s="196"/>
      <c r="B257" s="211"/>
      <c r="C257" s="211"/>
      <c r="D257" s="197"/>
      <c r="E257" s="197"/>
      <c r="F257" s="222"/>
      <c r="G257" s="222"/>
      <c r="H257" s="222"/>
      <c r="I257" s="222"/>
      <c r="J257" s="222"/>
      <c r="K257" s="222"/>
      <c r="L257" s="223"/>
      <c r="M257" s="223"/>
      <c r="N257" s="224"/>
      <c r="O257" s="224"/>
      <c r="P257" s="224"/>
      <c r="Q257" s="223"/>
      <c r="R257" s="224"/>
      <c r="S257" s="223"/>
      <c r="T257" s="223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44"/>
      <c r="AF257" s="244"/>
      <c r="AG257" s="238"/>
      <c r="AH257" s="238"/>
      <c r="AI257" s="238"/>
      <c r="AJ257" s="238"/>
      <c r="AK257" s="238"/>
      <c r="AL257" s="238"/>
      <c r="AM257" s="238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32"/>
      <c r="AX257" s="232"/>
      <c r="AY257" s="233"/>
      <c r="AZ257" s="232"/>
      <c r="BA257" s="232"/>
      <c r="BB257" s="232"/>
      <c r="BC257" s="232"/>
      <c r="BD257" s="232"/>
      <c r="BE257" s="232"/>
    </row>
    <row r="258" spans="1:57" x14ac:dyDescent="0.25">
      <c r="A258" s="196"/>
      <c r="B258" s="211"/>
      <c r="C258" s="211"/>
      <c r="D258" s="197"/>
      <c r="E258" s="197"/>
      <c r="F258" s="222"/>
      <c r="G258" s="222"/>
      <c r="H258" s="222"/>
      <c r="I258" s="222"/>
      <c r="J258" s="222"/>
      <c r="K258" s="222"/>
      <c r="L258" s="223"/>
      <c r="M258" s="223"/>
      <c r="N258" s="224"/>
      <c r="O258" s="224"/>
      <c r="P258" s="224"/>
      <c r="Q258" s="223"/>
      <c r="R258" s="224"/>
      <c r="S258" s="223"/>
      <c r="T258" s="223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44"/>
      <c r="AF258" s="244"/>
      <c r="AG258" s="238"/>
      <c r="AH258" s="238"/>
      <c r="AI258" s="238"/>
      <c r="AJ258" s="238"/>
      <c r="AK258" s="238"/>
      <c r="AL258" s="238"/>
      <c r="AM258" s="238"/>
      <c r="AN258" s="225"/>
      <c r="AO258" s="225"/>
      <c r="AP258" s="225"/>
      <c r="AQ258" s="225"/>
      <c r="AR258" s="225"/>
      <c r="AS258" s="225"/>
      <c r="AT258" s="225"/>
      <c r="AU258" s="225"/>
      <c r="AV258" s="225"/>
      <c r="AW258" s="232"/>
      <c r="AX258" s="232"/>
      <c r="AY258" s="233"/>
      <c r="AZ258" s="232"/>
      <c r="BA258" s="232"/>
      <c r="BB258" s="232"/>
      <c r="BC258" s="232"/>
      <c r="BD258" s="232"/>
      <c r="BE258" s="232"/>
    </row>
    <row r="259" spans="1:57" x14ac:dyDescent="0.25">
      <c r="A259" s="196"/>
      <c r="B259" s="211"/>
      <c r="C259" s="211"/>
      <c r="D259" s="197"/>
      <c r="E259" s="197"/>
      <c r="F259" s="222"/>
      <c r="G259" s="222"/>
      <c r="H259" s="222"/>
      <c r="I259" s="222"/>
      <c r="J259" s="222"/>
      <c r="K259" s="222"/>
      <c r="L259" s="223"/>
      <c r="M259" s="223"/>
      <c r="N259" s="224"/>
      <c r="O259" s="224"/>
      <c r="P259" s="224"/>
      <c r="Q259" s="223"/>
      <c r="R259" s="224"/>
      <c r="S259" s="223"/>
      <c r="T259" s="223"/>
      <c r="U259" s="225"/>
      <c r="V259" s="225"/>
      <c r="W259" s="225"/>
      <c r="X259" s="225"/>
      <c r="Y259" s="225"/>
      <c r="Z259" s="225"/>
      <c r="AA259" s="225"/>
      <c r="AB259" s="225"/>
      <c r="AC259" s="225"/>
      <c r="AD259" s="225"/>
      <c r="AE259" s="244"/>
      <c r="AF259" s="244"/>
      <c r="AG259" s="238"/>
      <c r="AH259" s="238"/>
      <c r="AI259" s="238"/>
      <c r="AJ259" s="238"/>
      <c r="AK259" s="238"/>
      <c r="AL259" s="238"/>
      <c r="AM259" s="238"/>
      <c r="AN259" s="225"/>
      <c r="AO259" s="225"/>
      <c r="AP259" s="225"/>
      <c r="AQ259" s="225"/>
      <c r="AR259" s="225"/>
      <c r="AS259" s="225"/>
      <c r="AT259" s="225"/>
      <c r="AU259" s="225"/>
      <c r="AV259" s="225"/>
      <c r="AW259" s="232"/>
      <c r="AX259" s="232"/>
      <c r="AY259" s="233"/>
      <c r="AZ259" s="232"/>
      <c r="BA259" s="232"/>
      <c r="BB259" s="232"/>
      <c r="BC259" s="232"/>
      <c r="BD259" s="232"/>
      <c r="BE259" s="232"/>
    </row>
    <row r="260" spans="1:57" x14ac:dyDescent="0.25">
      <c r="A260" s="196"/>
      <c r="B260" s="211"/>
      <c r="C260" s="211"/>
      <c r="D260" s="197"/>
      <c r="E260" s="197"/>
      <c r="F260" s="222"/>
      <c r="G260" s="222"/>
      <c r="H260" s="222"/>
      <c r="I260" s="222"/>
      <c r="J260" s="222"/>
      <c r="K260" s="222"/>
      <c r="L260" s="223"/>
      <c r="M260" s="223"/>
      <c r="N260" s="224"/>
      <c r="O260" s="224"/>
      <c r="P260" s="224"/>
      <c r="Q260" s="223"/>
      <c r="R260" s="224"/>
      <c r="S260" s="223"/>
      <c r="T260" s="223"/>
      <c r="U260" s="225"/>
      <c r="V260" s="225"/>
      <c r="W260" s="225"/>
      <c r="X260" s="225"/>
      <c r="Y260" s="225"/>
      <c r="Z260" s="225"/>
      <c r="AA260" s="225"/>
      <c r="AB260" s="225"/>
      <c r="AC260" s="225"/>
      <c r="AD260" s="225"/>
      <c r="AE260" s="244"/>
      <c r="AF260" s="244"/>
      <c r="AG260" s="238"/>
      <c r="AH260" s="238"/>
      <c r="AI260" s="238"/>
      <c r="AJ260" s="238"/>
      <c r="AK260" s="238"/>
      <c r="AL260" s="238"/>
      <c r="AM260" s="238"/>
      <c r="AN260" s="225"/>
      <c r="AO260" s="225"/>
      <c r="AP260" s="225"/>
      <c r="AQ260" s="225"/>
      <c r="AR260" s="225"/>
      <c r="AS260" s="225"/>
      <c r="AT260" s="225"/>
      <c r="AU260" s="225"/>
      <c r="AV260" s="225"/>
      <c r="AW260" s="232"/>
      <c r="AX260" s="232"/>
      <c r="AY260" s="233"/>
      <c r="AZ260" s="232"/>
      <c r="BA260" s="232"/>
      <c r="BB260" s="232"/>
      <c r="BC260" s="232"/>
      <c r="BD260" s="232"/>
      <c r="BE260" s="232"/>
    </row>
    <row r="261" spans="1:57" x14ac:dyDescent="0.25">
      <c r="A261" s="196"/>
      <c r="B261" s="211"/>
      <c r="C261" s="211"/>
      <c r="D261" s="197"/>
      <c r="E261" s="197"/>
      <c r="F261" s="222"/>
      <c r="G261" s="222"/>
      <c r="H261" s="222"/>
      <c r="I261" s="222"/>
      <c r="J261" s="222"/>
      <c r="K261" s="222"/>
      <c r="L261" s="223"/>
      <c r="M261" s="223"/>
      <c r="N261" s="224"/>
      <c r="O261" s="224"/>
      <c r="P261" s="224"/>
      <c r="Q261" s="223"/>
      <c r="R261" s="224"/>
      <c r="S261" s="223"/>
      <c r="T261" s="223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44"/>
      <c r="AF261" s="244"/>
      <c r="AG261" s="238"/>
      <c r="AH261" s="238"/>
      <c r="AI261" s="238"/>
      <c r="AJ261" s="238"/>
      <c r="AK261" s="238"/>
      <c r="AL261" s="238"/>
      <c r="AM261" s="238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32"/>
      <c r="AX261" s="232"/>
      <c r="AY261" s="233"/>
      <c r="AZ261" s="232"/>
      <c r="BA261" s="232"/>
      <c r="BB261" s="232"/>
      <c r="BC261" s="232"/>
      <c r="BD261" s="232"/>
      <c r="BE261" s="232"/>
    </row>
    <row r="262" spans="1:57" x14ac:dyDescent="0.25">
      <c r="A262" s="196"/>
      <c r="B262" s="211"/>
      <c r="C262" s="211"/>
      <c r="D262" s="197"/>
      <c r="E262" s="197"/>
      <c r="F262" s="222"/>
      <c r="G262" s="222"/>
      <c r="H262" s="222"/>
      <c r="I262" s="222"/>
      <c r="J262" s="222"/>
      <c r="K262" s="222"/>
      <c r="L262" s="223"/>
      <c r="M262" s="223"/>
      <c r="N262" s="224"/>
      <c r="O262" s="224"/>
      <c r="P262" s="224"/>
      <c r="Q262" s="223"/>
      <c r="R262" s="224"/>
      <c r="S262" s="223"/>
      <c r="T262" s="223"/>
      <c r="U262" s="225"/>
      <c r="V262" s="225"/>
      <c r="W262" s="225"/>
      <c r="X262" s="225"/>
      <c r="Y262" s="225"/>
      <c r="Z262" s="225"/>
      <c r="AA262" s="225"/>
      <c r="AB262" s="225"/>
      <c r="AC262" s="225"/>
      <c r="AD262" s="225"/>
      <c r="AE262" s="244"/>
      <c r="AF262" s="244"/>
      <c r="AG262" s="238"/>
      <c r="AH262" s="238"/>
      <c r="AI262" s="238"/>
      <c r="AJ262" s="238"/>
      <c r="AK262" s="238"/>
      <c r="AL262" s="238"/>
      <c r="AM262" s="238"/>
      <c r="AN262" s="225"/>
      <c r="AO262" s="225"/>
      <c r="AP262" s="225"/>
      <c r="AQ262" s="225"/>
      <c r="AR262" s="225"/>
      <c r="AS262" s="225"/>
      <c r="AT262" s="225"/>
      <c r="AU262" s="225"/>
      <c r="AV262" s="225"/>
      <c r="AW262" s="232"/>
      <c r="AX262" s="232"/>
      <c r="AY262" s="233"/>
      <c r="AZ262" s="232"/>
      <c r="BA262" s="232"/>
      <c r="BB262" s="232"/>
      <c r="BC262" s="232"/>
      <c r="BD262" s="232"/>
      <c r="BE262" s="232"/>
    </row>
    <row r="263" spans="1:57" x14ac:dyDescent="0.25">
      <c r="A263" s="196"/>
      <c r="B263" s="211"/>
      <c r="C263" s="211"/>
      <c r="D263" s="197"/>
      <c r="E263" s="197"/>
      <c r="F263" s="222"/>
      <c r="G263" s="222"/>
      <c r="H263" s="222"/>
      <c r="I263" s="222"/>
      <c r="J263" s="222"/>
      <c r="K263" s="222"/>
      <c r="L263" s="223"/>
      <c r="M263" s="223"/>
      <c r="N263" s="224"/>
      <c r="O263" s="224"/>
      <c r="P263" s="224"/>
      <c r="Q263" s="223"/>
      <c r="R263" s="224"/>
      <c r="S263" s="223"/>
      <c r="T263" s="223"/>
      <c r="U263" s="225"/>
      <c r="V263" s="225"/>
      <c r="W263" s="225"/>
      <c r="X263" s="225"/>
      <c r="Y263" s="225"/>
      <c r="Z263" s="225"/>
      <c r="AA263" s="225"/>
      <c r="AB263" s="225"/>
      <c r="AC263" s="225"/>
      <c r="AD263" s="225"/>
      <c r="AE263" s="244"/>
      <c r="AF263" s="244"/>
      <c r="AG263" s="238"/>
      <c r="AH263" s="238"/>
      <c r="AI263" s="238"/>
      <c r="AJ263" s="238"/>
      <c r="AK263" s="238"/>
      <c r="AL263" s="238"/>
      <c r="AM263" s="238"/>
      <c r="AN263" s="225"/>
      <c r="AO263" s="225"/>
      <c r="AP263" s="225"/>
      <c r="AQ263" s="225"/>
      <c r="AR263" s="225"/>
      <c r="AS263" s="225"/>
      <c r="AT263" s="225"/>
      <c r="AU263" s="225"/>
      <c r="AV263" s="225"/>
      <c r="AW263" s="232"/>
      <c r="AX263" s="232"/>
      <c r="AY263" s="233"/>
      <c r="AZ263" s="232"/>
      <c r="BA263" s="232"/>
      <c r="BB263" s="232"/>
      <c r="BC263" s="232"/>
      <c r="BD263" s="232"/>
      <c r="BE263" s="232"/>
    </row>
    <row r="264" spans="1:57" x14ac:dyDescent="0.25">
      <c r="A264" s="196"/>
      <c r="B264" s="211"/>
      <c r="C264" s="211"/>
      <c r="D264" s="197"/>
      <c r="E264" s="197"/>
      <c r="F264" s="222"/>
      <c r="G264" s="222"/>
      <c r="H264" s="222"/>
      <c r="I264" s="222"/>
      <c r="J264" s="222"/>
      <c r="K264" s="222"/>
      <c r="L264" s="223"/>
      <c r="M264" s="223"/>
      <c r="N264" s="224"/>
      <c r="O264" s="224"/>
      <c r="P264" s="224"/>
      <c r="Q264" s="223"/>
      <c r="R264" s="224"/>
      <c r="S264" s="223"/>
      <c r="T264" s="223"/>
      <c r="U264" s="225"/>
      <c r="V264" s="225"/>
      <c r="W264" s="225"/>
      <c r="X264" s="225"/>
      <c r="Y264" s="225"/>
      <c r="Z264" s="225"/>
      <c r="AA264" s="225"/>
      <c r="AB264" s="225"/>
      <c r="AC264" s="225"/>
      <c r="AD264" s="225"/>
      <c r="AE264" s="244"/>
      <c r="AF264" s="244"/>
      <c r="AG264" s="238"/>
      <c r="AH264" s="238"/>
      <c r="AI264" s="238"/>
      <c r="AJ264" s="238"/>
      <c r="AK264" s="238"/>
      <c r="AL264" s="238"/>
      <c r="AM264" s="238"/>
      <c r="AN264" s="225"/>
      <c r="AO264" s="225"/>
      <c r="AP264" s="225"/>
      <c r="AQ264" s="225"/>
      <c r="AR264" s="225"/>
      <c r="AS264" s="225"/>
      <c r="AT264" s="225"/>
      <c r="AU264" s="225"/>
      <c r="AV264" s="225"/>
      <c r="AW264" s="232"/>
      <c r="AX264" s="232"/>
      <c r="AY264" s="233"/>
      <c r="AZ264" s="232"/>
      <c r="BA264" s="232"/>
      <c r="BB264" s="232"/>
      <c r="BC264" s="232"/>
      <c r="BD264" s="232"/>
      <c r="BE264" s="232"/>
    </row>
    <row r="265" spans="1:57" x14ac:dyDescent="0.25">
      <c r="A265" s="196"/>
      <c r="B265" s="211"/>
      <c r="C265" s="211"/>
      <c r="D265" s="197"/>
      <c r="E265" s="197"/>
      <c r="F265" s="222"/>
      <c r="G265" s="222"/>
      <c r="H265" s="222"/>
      <c r="I265" s="222"/>
      <c r="J265" s="222"/>
      <c r="K265" s="222"/>
      <c r="L265" s="223"/>
      <c r="M265" s="223"/>
      <c r="N265" s="224"/>
      <c r="O265" s="224"/>
      <c r="P265" s="224"/>
      <c r="Q265" s="223"/>
      <c r="R265" s="224"/>
      <c r="S265" s="223"/>
      <c r="T265" s="223"/>
      <c r="U265" s="225"/>
      <c r="V265" s="225"/>
      <c r="W265" s="225"/>
      <c r="X265" s="225"/>
      <c r="Y265" s="225"/>
      <c r="Z265" s="225"/>
      <c r="AA265" s="225"/>
      <c r="AB265" s="225"/>
      <c r="AC265" s="225"/>
      <c r="AD265" s="225"/>
      <c r="AE265" s="244"/>
      <c r="AF265" s="244"/>
      <c r="AG265" s="238"/>
      <c r="AH265" s="238"/>
      <c r="AI265" s="238"/>
      <c r="AJ265" s="238"/>
      <c r="AK265" s="238"/>
      <c r="AL265" s="238"/>
      <c r="AM265" s="238"/>
      <c r="AN265" s="225"/>
      <c r="AO265" s="225"/>
      <c r="AP265" s="225"/>
      <c r="AQ265" s="225"/>
      <c r="AR265" s="225"/>
      <c r="AS265" s="225"/>
      <c r="AT265" s="225"/>
      <c r="AU265" s="225"/>
      <c r="AV265" s="225"/>
      <c r="AW265" s="232"/>
      <c r="AX265" s="232"/>
      <c r="AY265" s="233"/>
      <c r="AZ265" s="232"/>
      <c r="BA265" s="232"/>
      <c r="BB265" s="232"/>
      <c r="BC265" s="232"/>
      <c r="BD265" s="232"/>
      <c r="BE265" s="232"/>
    </row>
    <row r="266" spans="1:57" x14ac:dyDescent="0.25">
      <c r="A266" s="196"/>
      <c r="B266" s="211"/>
      <c r="C266" s="211"/>
      <c r="D266" s="197"/>
      <c r="E266" s="197"/>
      <c r="F266" s="222"/>
      <c r="G266" s="222"/>
      <c r="H266" s="222"/>
      <c r="I266" s="222"/>
      <c r="J266" s="222"/>
      <c r="K266" s="222"/>
      <c r="L266" s="223"/>
      <c r="M266" s="223"/>
      <c r="N266" s="224"/>
      <c r="O266" s="224"/>
      <c r="P266" s="224"/>
      <c r="Q266" s="223"/>
      <c r="R266" s="224"/>
      <c r="S266" s="223"/>
      <c r="T266" s="223"/>
      <c r="U266" s="225"/>
      <c r="V266" s="225"/>
      <c r="W266" s="225"/>
      <c r="X266" s="225"/>
      <c r="Y266" s="225"/>
      <c r="Z266" s="225"/>
      <c r="AA266" s="225"/>
      <c r="AB266" s="225"/>
      <c r="AC266" s="225"/>
      <c r="AD266" s="225"/>
      <c r="AE266" s="244"/>
      <c r="AF266" s="244"/>
      <c r="AG266" s="238"/>
      <c r="AH266" s="238"/>
      <c r="AI266" s="238"/>
      <c r="AJ266" s="238"/>
      <c r="AK266" s="238"/>
      <c r="AL266" s="238"/>
      <c r="AM266" s="238"/>
      <c r="AN266" s="225"/>
      <c r="AO266" s="225"/>
      <c r="AP266" s="225"/>
      <c r="AQ266" s="225"/>
      <c r="AR266" s="225"/>
      <c r="AS266" s="225"/>
      <c r="AT266" s="225"/>
      <c r="AU266" s="225"/>
      <c r="AV266" s="225"/>
      <c r="AW266" s="232"/>
      <c r="AX266" s="232"/>
      <c r="AY266" s="233"/>
      <c r="AZ266" s="232"/>
      <c r="BA266" s="232"/>
      <c r="BB266" s="232"/>
      <c r="BC266" s="232"/>
      <c r="BD266" s="232"/>
      <c r="BE266" s="232"/>
    </row>
    <row r="267" spans="1:57" x14ac:dyDescent="0.25">
      <c r="A267" s="196"/>
      <c r="B267" s="211"/>
      <c r="C267" s="211"/>
      <c r="D267" s="197"/>
      <c r="E267" s="197"/>
      <c r="F267" s="222"/>
      <c r="G267" s="222"/>
      <c r="H267" s="222"/>
      <c r="I267" s="222"/>
      <c r="J267" s="222"/>
      <c r="K267" s="222"/>
      <c r="L267" s="223"/>
      <c r="M267" s="223"/>
      <c r="N267" s="224"/>
      <c r="O267" s="224"/>
      <c r="P267" s="224"/>
      <c r="Q267" s="223"/>
      <c r="R267" s="224"/>
      <c r="S267" s="223"/>
      <c r="T267" s="223"/>
      <c r="U267" s="225"/>
      <c r="V267" s="225"/>
      <c r="W267" s="225"/>
      <c r="X267" s="225"/>
      <c r="Y267" s="225"/>
      <c r="Z267" s="225"/>
      <c r="AA267" s="225"/>
      <c r="AB267" s="225"/>
      <c r="AC267" s="225"/>
      <c r="AD267" s="225"/>
      <c r="AE267" s="244"/>
      <c r="AF267" s="244"/>
      <c r="AG267" s="238"/>
      <c r="AH267" s="238"/>
      <c r="AI267" s="238"/>
      <c r="AJ267" s="238"/>
      <c r="AK267" s="238"/>
      <c r="AL267" s="238"/>
      <c r="AM267" s="238"/>
      <c r="AN267" s="225"/>
      <c r="AO267" s="225"/>
      <c r="AP267" s="225"/>
      <c r="AQ267" s="225"/>
      <c r="AR267" s="225"/>
      <c r="AS267" s="225"/>
      <c r="AT267" s="225"/>
      <c r="AU267" s="225"/>
      <c r="AV267" s="225"/>
      <c r="AW267" s="232"/>
      <c r="AX267" s="232"/>
      <c r="AY267" s="233"/>
      <c r="AZ267" s="232"/>
      <c r="BA267" s="232"/>
      <c r="BB267" s="232"/>
      <c r="BC267" s="232"/>
      <c r="BD267" s="232"/>
      <c r="BE267" s="232"/>
    </row>
    <row r="268" spans="1:57" x14ac:dyDescent="0.25">
      <c r="A268" s="196"/>
      <c r="B268" s="211"/>
      <c r="C268" s="211"/>
      <c r="D268" s="197"/>
      <c r="E268" s="197"/>
      <c r="F268" s="222"/>
      <c r="G268" s="222"/>
      <c r="H268" s="222"/>
      <c r="I268" s="222"/>
      <c r="J268" s="222"/>
      <c r="K268" s="222"/>
      <c r="L268" s="223"/>
      <c r="M268" s="223"/>
      <c r="N268" s="224"/>
      <c r="O268" s="224"/>
      <c r="P268" s="224"/>
      <c r="Q268" s="223"/>
      <c r="R268" s="224"/>
      <c r="S268" s="223"/>
      <c r="T268" s="223"/>
      <c r="U268" s="225"/>
      <c r="V268" s="225"/>
      <c r="W268" s="225"/>
      <c r="X268" s="225"/>
      <c r="Y268" s="225"/>
      <c r="Z268" s="225"/>
      <c r="AA268" s="225"/>
      <c r="AB268" s="225"/>
      <c r="AC268" s="225"/>
      <c r="AD268" s="225"/>
      <c r="AE268" s="244"/>
      <c r="AF268" s="244"/>
      <c r="AG268" s="238"/>
      <c r="AH268" s="238"/>
      <c r="AI268" s="238"/>
      <c r="AJ268" s="238"/>
      <c r="AK268" s="238"/>
      <c r="AL268" s="238"/>
      <c r="AM268" s="238"/>
      <c r="AN268" s="225"/>
      <c r="AO268" s="225"/>
      <c r="AP268" s="225"/>
      <c r="AQ268" s="225"/>
      <c r="AR268" s="225"/>
      <c r="AS268" s="225"/>
      <c r="AT268" s="225"/>
      <c r="AU268" s="225"/>
      <c r="AV268" s="225"/>
      <c r="AW268" s="232"/>
      <c r="AX268" s="232"/>
      <c r="AY268" s="233"/>
      <c r="AZ268" s="232"/>
      <c r="BA268" s="232"/>
      <c r="BB268" s="232"/>
      <c r="BC268" s="232"/>
      <c r="BD268" s="232"/>
      <c r="BE268" s="232"/>
    </row>
    <row r="269" spans="1:57" x14ac:dyDescent="0.25">
      <c r="A269" s="196"/>
      <c r="B269" s="211"/>
      <c r="C269" s="211"/>
      <c r="D269" s="197"/>
      <c r="E269" s="197"/>
      <c r="F269" s="222"/>
      <c r="G269" s="222"/>
      <c r="H269" s="222"/>
      <c r="I269" s="222"/>
      <c r="J269" s="222"/>
      <c r="K269" s="222"/>
      <c r="L269" s="223"/>
      <c r="M269" s="223"/>
      <c r="N269" s="224"/>
      <c r="O269" s="224"/>
      <c r="P269" s="224"/>
      <c r="Q269" s="223"/>
      <c r="R269" s="224"/>
      <c r="S269" s="223"/>
      <c r="T269" s="223"/>
      <c r="U269" s="225"/>
      <c r="V269" s="225"/>
      <c r="W269" s="225"/>
      <c r="X269" s="225"/>
      <c r="Y269" s="225"/>
      <c r="Z269" s="225"/>
      <c r="AA269" s="225"/>
      <c r="AB269" s="225"/>
      <c r="AC269" s="225"/>
      <c r="AD269" s="225"/>
      <c r="AE269" s="244"/>
      <c r="AF269" s="244"/>
      <c r="AG269" s="238"/>
      <c r="AH269" s="238"/>
      <c r="AI269" s="238"/>
      <c r="AJ269" s="238"/>
      <c r="AK269" s="238"/>
      <c r="AL269" s="238"/>
      <c r="AM269" s="238"/>
      <c r="AN269" s="225"/>
      <c r="AO269" s="225"/>
      <c r="AP269" s="225"/>
      <c r="AQ269" s="225"/>
      <c r="AR269" s="225"/>
      <c r="AS269" s="225"/>
      <c r="AT269" s="225"/>
      <c r="AU269" s="225"/>
      <c r="AV269" s="225"/>
      <c r="AW269" s="232"/>
      <c r="AX269" s="232"/>
      <c r="AY269" s="233"/>
      <c r="AZ269" s="232"/>
      <c r="BA269" s="232"/>
      <c r="BB269" s="232"/>
      <c r="BC269" s="232"/>
      <c r="BD269" s="232"/>
      <c r="BE269" s="232"/>
    </row>
    <row r="270" spans="1:57" x14ac:dyDescent="0.25">
      <c r="A270" s="196"/>
      <c r="B270" s="211"/>
      <c r="C270" s="211"/>
      <c r="D270" s="197"/>
      <c r="E270" s="197"/>
      <c r="F270" s="222"/>
      <c r="G270" s="222"/>
      <c r="H270" s="222"/>
      <c r="I270" s="222"/>
      <c r="J270" s="222"/>
      <c r="K270" s="222"/>
      <c r="L270" s="223"/>
      <c r="M270" s="223"/>
      <c r="N270" s="224"/>
      <c r="O270" s="224"/>
      <c r="P270" s="224"/>
      <c r="Q270" s="223"/>
      <c r="R270" s="224"/>
      <c r="S270" s="223"/>
      <c r="T270" s="223"/>
      <c r="U270" s="225"/>
      <c r="V270" s="225"/>
      <c r="W270" s="225"/>
      <c r="X270" s="225"/>
      <c r="Y270" s="225"/>
      <c r="Z270" s="225"/>
      <c r="AA270" s="225"/>
      <c r="AB270" s="225"/>
      <c r="AC270" s="225"/>
      <c r="AD270" s="225"/>
      <c r="AE270" s="244"/>
      <c r="AF270" s="244"/>
      <c r="AG270" s="238"/>
      <c r="AH270" s="238"/>
      <c r="AI270" s="238"/>
      <c r="AJ270" s="238"/>
      <c r="AK270" s="238"/>
      <c r="AL270" s="238"/>
      <c r="AM270" s="238"/>
      <c r="AN270" s="225"/>
      <c r="AO270" s="225"/>
      <c r="AP270" s="225"/>
      <c r="AQ270" s="225"/>
      <c r="AR270" s="225"/>
      <c r="AS270" s="225"/>
      <c r="AT270" s="225"/>
      <c r="AU270" s="225"/>
      <c r="AV270" s="225"/>
      <c r="AW270" s="232"/>
      <c r="AX270" s="232"/>
      <c r="AY270" s="233"/>
      <c r="AZ270" s="232"/>
      <c r="BA270" s="232"/>
      <c r="BB270" s="232"/>
      <c r="BC270" s="232"/>
      <c r="BD270" s="232"/>
      <c r="BE270" s="232"/>
    </row>
    <row r="271" spans="1:57" x14ac:dyDescent="0.25">
      <c r="A271" s="196"/>
      <c r="B271" s="211"/>
      <c r="C271" s="211"/>
      <c r="D271" s="197"/>
      <c r="E271" s="197"/>
      <c r="F271" s="222"/>
      <c r="G271" s="222"/>
      <c r="H271" s="222"/>
      <c r="I271" s="222"/>
      <c r="J271" s="222"/>
      <c r="K271" s="222"/>
      <c r="L271" s="223"/>
      <c r="M271" s="223"/>
      <c r="N271" s="224"/>
      <c r="O271" s="224"/>
      <c r="P271" s="224"/>
      <c r="Q271" s="223"/>
      <c r="R271" s="224"/>
      <c r="S271" s="223"/>
      <c r="T271" s="223"/>
      <c r="U271" s="225"/>
      <c r="V271" s="225"/>
      <c r="W271" s="225"/>
      <c r="X271" s="225"/>
      <c r="Y271" s="225"/>
      <c r="Z271" s="225"/>
      <c r="AA271" s="225"/>
      <c r="AB271" s="225"/>
      <c r="AC271" s="225"/>
      <c r="AD271" s="225"/>
      <c r="AE271" s="244"/>
      <c r="AF271" s="244"/>
      <c r="AG271" s="238"/>
      <c r="AH271" s="238"/>
      <c r="AI271" s="238"/>
      <c r="AJ271" s="238"/>
      <c r="AK271" s="238"/>
      <c r="AL271" s="238"/>
      <c r="AM271" s="238"/>
      <c r="AN271" s="225"/>
      <c r="AO271" s="225"/>
      <c r="AP271" s="225"/>
      <c r="AQ271" s="225"/>
      <c r="AR271" s="225"/>
      <c r="AS271" s="225"/>
      <c r="AT271" s="225"/>
      <c r="AU271" s="225"/>
      <c r="AV271" s="225"/>
      <c r="AW271" s="232"/>
      <c r="AX271" s="232"/>
      <c r="AY271" s="233"/>
      <c r="AZ271" s="232"/>
      <c r="BA271" s="232"/>
      <c r="BB271" s="232"/>
      <c r="BC271" s="232"/>
      <c r="BD271" s="232"/>
      <c r="BE271" s="232"/>
    </row>
    <row r="272" spans="1:57" x14ac:dyDescent="0.25">
      <c r="A272" s="196"/>
      <c r="B272" s="211"/>
      <c r="C272" s="211"/>
      <c r="D272" s="197"/>
      <c r="E272" s="197"/>
      <c r="F272" s="222"/>
      <c r="G272" s="222"/>
      <c r="H272" s="222"/>
      <c r="I272" s="222"/>
      <c r="J272" s="222"/>
      <c r="K272" s="222"/>
      <c r="L272" s="223"/>
      <c r="M272" s="223"/>
      <c r="N272" s="224"/>
      <c r="O272" s="224"/>
      <c r="P272" s="224"/>
      <c r="Q272" s="223"/>
      <c r="R272" s="224"/>
      <c r="S272" s="223"/>
      <c r="T272" s="223"/>
      <c r="U272" s="225"/>
      <c r="V272" s="225"/>
      <c r="W272" s="225"/>
      <c r="X272" s="225"/>
      <c r="Y272" s="225"/>
      <c r="Z272" s="225"/>
      <c r="AA272" s="225"/>
      <c r="AB272" s="225"/>
      <c r="AC272" s="225"/>
      <c r="AD272" s="225"/>
      <c r="AE272" s="244"/>
      <c r="AF272" s="244"/>
      <c r="AG272" s="238"/>
      <c r="AH272" s="238"/>
      <c r="AI272" s="238"/>
      <c r="AJ272" s="238"/>
      <c r="AK272" s="238"/>
      <c r="AL272" s="238"/>
      <c r="AM272" s="238"/>
      <c r="AN272" s="225"/>
      <c r="AO272" s="225"/>
      <c r="AP272" s="225"/>
      <c r="AQ272" s="225"/>
      <c r="AR272" s="225"/>
      <c r="AS272" s="225"/>
      <c r="AT272" s="225"/>
      <c r="AU272" s="225"/>
      <c r="AV272" s="225"/>
      <c r="AW272" s="232"/>
      <c r="AX272" s="232"/>
      <c r="AY272" s="233"/>
      <c r="AZ272" s="232"/>
      <c r="BA272" s="232"/>
      <c r="BB272" s="232"/>
      <c r="BC272" s="232"/>
      <c r="BD272" s="232"/>
      <c r="BE272" s="232"/>
    </row>
    <row r="273" spans="1:58" x14ac:dyDescent="0.25">
      <c r="A273" s="196"/>
      <c r="B273" s="211"/>
      <c r="C273" s="211"/>
      <c r="D273" s="197"/>
      <c r="E273" s="197"/>
      <c r="F273" s="222"/>
      <c r="G273" s="222"/>
      <c r="H273" s="222"/>
      <c r="I273" s="222"/>
      <c r="J273" s="222"/>
      <c r="K273" s="222"/>
      <c r="L273" s="223"/>
      <c r="M273" s="223"/>
      <c r="N273" s="224"/>
      <c r="O273" s="224"/>
      <c r="P273" s="224"/>
      <c r="Q273" s="223"/>
      <c r="R273" s="224"/>
      <c r="S273" s="223"/>
      <c r="T273" s="223"/>
      <c r="U273" s="225"/>
      <c r="V273" s="225"/>
      <c r="W273" s="225"/>
      <c r="X273" s="225"/>
      <c r="Y273" s="225"/>
      <c r="Z273" s="225"/>
      <c r="AA273" s="225"/>
      <c r="AB273" s="225"/>
      <c r="AC273" s="225"/>
      <c r="AD273" s="225"/>
      <c r="AE273" s="244"/>
      <c r="AF273" s="244"/>
      <c r="AG273" s="238"/>
      <c r="AH273" s="238"/>
      <c r="AI273" s="238"/>
      <c r="AJ273" s="238"/>
      <c r="AK273" s="238"/>
      <c r="AL273" s="238"/>
      <c r="AM273" s="238"/>
      <c r="AN273" s="225"/>
      <c r="AO273" s="225"/>
      <c r="AP273" s="225"/>
      <c r="AQ273" s="225"/>
      <c r="AR273" s="225"/>
      <c r="AS273" s="225"/>
      <c r="AT273" s="225"/>
      <c r="AU273" s="225"/>
      <c r="AV273" s="225"/>
      <c r="AW273" s="232"/>
      <c r="AX273" s="232"/>
      <c r="AY273" s="233"/>
      <c r="AZ273" s="232"/>
      <c r="BA273" s="232"/>
      <c r="BB273" s="232"/>
      <c r="BC273" s="232"/>
      <c r="BD273" s="232"/>
      <c r="BE273" s="232"/>
    </row>
    <row r="274" spans="1:58" x14ac:dyDescent="0.25">
      <c r="A274" s="196"/>
      <c r="B274" s="211"/>
      <c r="C274" s="211"/>
      <c r="D274" s="197"/>
      <c r="E274" s="197"/>
      <c r="F274" s="222"/>
      <c r="G274" s="222"/>
      <c r="H274" s="222"/>
      <c r="I274" s="222"/>
      <c r="J274" s="222"/>
      <c r="K274" s="222"/>
      <c r="L274" s="223"/>
      <c r="M274" s="223"/>
      <c r="N274" s="224"/>
      <c r="O274" s="224"/>
      <c r="P274" s="224"/>
      <c r="Q274" s="223"/>
      <c r="R274" s="224"/>
      <c r="S274" s="223"/>
      <c r="T274" s="223"/>
      <c r="U274" s="225"/>
      <c r="V274" s="225"/>
      <c r="W274" s="225"/>
      <c r="X274" s="225"/>
      <c r="Y274" s="225"/>
      <c r="Z274" s="225"/>
      <c r="AA274" s="225"/>
      <c r="AB274" s="225"/>
      <c r="AC274" s="225"/>
      <c r="AD274" s="225"/>
      <c r="AE274" s="244"/>
      <c r="AF274" s="244"/>
      <c r="AG274" s="238"/>
      <c r="AH274" s="238"/>
      <c r="AI274" s="238"/>
      <c r="AJ274" s="238"/>
      <c r="AK274" s="238"/>
      <c r="AL274" s="238"/>
      <c r="AM274" s="238"/>
      <c r="AN274" s="225"/>
      <c r="AO274" s="225"/>
      <c r="AP274" s="225"/>
      <c r="AQ274" s="225"/>
      <c r="AR274" s="225"/>
      <c r="AS274" s="225"/>
      <c r="AT274" s="225"/>
      <c r="AU274" s="225"/>
      <c r="AV274" s="225"/>
      <c r="AW274" s="232"/>
      <c r="AX274" s="232"/>
      <c r="AY274" s="233"/>
      <c r="AZ274" s="232"/>
      <c r="BA274" s="232"/>
      <c r="BB274" s="232"/>
      <c r="BC274" s="232"/>
      <c r="BD274" s="232"/>
      <c r="BE274" s="232"/>
    </row>
    <row r="275" spans="1:58" x14ac:dyDescent="0.25">
      <c r="A275" s="196"/>
      <c r="B275" s="211"/>
      <c r="C275" s="211"/>
      <c r="D275" s="197"/>
      <c r="E275" s="197"/>
      <c r="F275" s="222"/>
      <c r="G275" s="222"/>
      <c r="H275" s="222"/>
      <c r="I275" s="222"/>
      <c r="J275" s="222"/>
      <c r="K275" s="222"/>
      <c r="L275" s="223"/>
      <c r="M275" s="223"/>
      <c r="N275" s="224"/>
      <c r="O275" s="224"/>
      <c r="P275" s="224"/>
      <c r="Q275" s="223"/>
      <c r="R275" s="224"/>
      <c r="S275" s="223"/>
      <c r="T275" s="223"/>
      <c r="U275" s="225"/>
      <c r="V275" s="225"/>
      <c r="W275" s="225"/>
      <c r="X275" s="225"/>
      <c r="Y275" s="225"/>
      <c r="Z275" s="225"/>
      <c r="AA275" s="225"/>
      <c r="AB275" s="225"/>
      <c r="AC275" s="225"/>
      <c r="AD275" s="225"/>
      <c r="AE275" s="244"/>
      <c r="AF275" s="244"/>
      <c r="AG275" s="238"/>
      <c r="AH275" s="238"/>
      <c r="AI275" s="238"/>
      <c r="AJ275" s="238"/>
      <c r="AK275" s="238"/>
      <c r="AL275" s="238"/>
      <c r="AM275" s="238"/>
      <c r="AN275" s="225"/>
      <c r="AO275" s="225"/>
      <c r="AP275" s="225"/>
      <c r="AQ275" s="225"/>
      <c r="AR275" s="225"/>
      <c r="AS275" s="225"/>
      <c r="AT275" s="225"/>
      <c r="AU275" s="225"/>
      <c r="AV275" s="225"/>
      <c r="AW275" s="232"/>
      <c r="AX275" s="232"/>
      <c r="AY275" s="233"/>
      <c r="AZ275" s="232"/>
      <c r="BA275" s="232"/>
      <c r="BB275" s="232"/>
      <c r="BC275" s="232"/>
      <c r="BD275" s="232"/>
      <c r="BE275" s="232"/>
    </row>
    <row r="276" spans="1:58" x14ac:dyDescent="0.25">
      <c r="A276" s="196"/>
      <c r="B276" s="211"/>
      <c r="C276" s="211"/>
      <c r="D276" s="197"/>
      <c r="E276" s="197"/>
      <c r="F276" s="222"/>
      <c r="G276" s="222"/>
      <c r="H276" s="222"/>
      <c r="I276" s="222"/>
      <c r="J276" s="222"/>
      <c r="K276" s="222"/>
      <c r="L276" s="223"/>
      <c r="M276" s="223"/>
      <c r="N276" s="224"/>
      <c r="O276" s="224"/>
      <c r="P276" s="224"/>
      <c r="Q276" s="223"/>
      <c r="R276" s="224"/>
      <c r="S276" s="223"/>
      <c r="T276" s="223"/>
      <c r="U276" s="225"/>
      <c r="V276" s="225"/>
      <c r="W276" s="225"/>
      <c r="X276" s="225"/>
      <c r="Y276" s="225"/>
      <c r="Z276" s="225"/>
      <c r="AA276" s="225"/>
      <c r="AB276" s="225"/>
      <c r="AC276" s="222"/>
      <c r="AD276" s="225"/>
      <c r="AE276" s="244"/>
      <c r="AF276" s="244"/>
      <c r="AG276" s="238"/>
      <c r="AH276" s="238"/>
      <c r="AI276" s="238"/>
      <c r="AJ276" s="238"/>
      <c r="AK276" s="238"/>
      <c r="AL276" s="238"/>
      <c r="AM276" s="238"/>
      <c r="AN276" s="225"/>
      <c r="AO276" s="225"/>
      <c r="AP276" s="225"/>
      <c r="AQ276" s="225"/>
      <c r="AR276" s="225"/>
      <c r="AS276" s="225"/>
      <c r="AT276" s="225"/>
      <c r="AU276" s="225"/>
      <c r="AV276" s="225"/>
      <c r="AW276" s="232"/>
      <c r="AX276" s="232"/>
      <c r="AY276" s="233"/>
      <c r="AZ276" s="232"/>
      <c r="BA276" s="232"/>
      <c r="BB276" s="232"/>
      <c r="BC276" s="232"/>
      <c r="BD276" s="232"/>
      <c r="BE276" s="232"/>
      <c r="BF276" s="232"/>
    </row>
    <row r="277" spans="1:58" x14ac:dyDescent="0.25">
      <c r="A277" s="196"/>
      <c r="B277" s="211"/>
      <c r="C277" s="211"/>
      <c r="D277" s="197"/>
      <c r="E277" s="197"/>
      <c r="F277" s="222"/>
      <c r="G277" s="222"/>
      <c r="H277" s="222"/>
      <c r="I277" s="222"/>
      <c r="J277" s="222"/>
      <c r="K277" s="222"/>
      <c r="L277" s="223"/>
      <c r="M277" s="223"/>
      <c r="N277" s="224"/>
      <c r="O277" s="224"/>
      <c r="P277" s="224"/>
      <c r="Q277" s="223"/>
      <c r="R277" s="224"/>
      <c r="S277" s="223"/>
      <c r="T277" s="223"/>
      <c r="U277" s="225"/>
      <c r="V277" s="225"/>
      <c r="W277" s="225"/>
      <c r="X277" s="225"/>
      <c r="Y277" s="225"/>
      <c r="Z277" s="225"/>
      <c r="AA277" s="225"/>
      <c r="AB277" s="225"/>
      <c r="AC277" s="222"/>
      <c r="AD277" s="225"/>
      <c r="AE277" s="244"/>
      <c r="AF277" s="244"/>
      <c r="AG277" s="238"/>
      <c r="AH277" s="238"/>
      <c r="AI277" s="238"/>
      <c r="AJ277" s="238"/>
      <c r="AK277" s="238"/>
      <c r="AL277" s="238"/>
      <c r="AM277" s="238"/>
      <c r="AN277" s="225"/>
      <c r="AO277" s="225"/>
      <c r="AP277" s="225"/>
      <c r="AQ277" s="225"/>
      <c r="AR277" s="225"/>
      <c r="AS277" s="225"/>
      <c r="AT277" s="225"/>
      <c r="AU277" s="225"/>
      <c r="AV277" s="225"/>
      <c r="AW277" s="232"/>
      <c r="AX277" s="232"/>
      <c r="AY277" s="233"/>
      <c r="AZ277" s="232"/>
      <c r="BA277" s="232"/>
      <c r="BB277" s="232"/>
      <c r="BC277" s="232"/>
      <c r="BD277" s="232"/>
      <c r="BE277" s="232"/>
    </row>
    <row r="278" spans="1:58" x14ac:dyDescent="0.25">
      <c r="A278" s="196"/>
      <c r="B278" s="211"/>
      <c r="C278" s="211"/>
      <c r="D278" s="197"/>
      <c r="E278" s="197"/>
      <c r="F278" s="222"/>
      <c r="G278" s="222"/>
      <c r="H278" s="222"/>
      <c r="I278" s="222"/>
      <c r="J278" s="222"/>
      <c r="K278" s="222"/>
      <c r="L278" s="223"/>
      <c r="M278" s="223"/>
      <c r="N278" s="224"/>
      <c r="O278" s="224"/>
      <c r="P278" s="224"/>
      <c r="Q278" s="223"/>
      <c r="R278" s="224"/>
      <c r="S278" s="223"/>
      <c r="T278" s="223"/>
      <c r="U278" s="225"/>
      <c r="V278" s="225"/>
      <c r="W278" s="225"/>
      <c r="X278" s="225"/>
      <c r="Y278" s="225"/>
      <c r="Z278" s="225"/>
      <c r="AA278" s="225"/>
      <c r="AB278" s="225"/>
      <c r="AC278" s="225"/>
      <c r="AD278" s="225"/>
      <c r="AE278" s="244"/>
      <c r="AF278" s="244"/>
      <c r="AG278" s="238"/>
      <c r="AH278" s="238"/>
      <c r="AI278" s="238"/>
      <c r="AJ278" s="238"/>
      <c r="AK278" s="238"/>
      <c r="AL278" s="238"/>
      <c r="AM278" s="238"/>
      <c r="AN278" s="225"/>
      <c r="AO278" s="225"/>
      <c r="AP278" s="225"/>
      <c r="AQ278" s="225"/>
      <c r="AR278" s="225"/>
      <c r="AS278" s="225"/>
      <c r="AT278" s="225"/>
      <c r="AU278" s="225"/>
      <c r="AV278" s="225"/>
      <c r="AW278" s="232"/>
      <c r="AX278" s="232"/>
      <c r="AY278" s="233"/>
      <c r="AZ278" s="232"/>
      <c r="BA278" s="232"/>
      <c r="BB278" s="232"/>
      <c r="BC278" s="232"/>
      <c r="BD278" s="232"/>
      <c r="BE278" s="232"/>
    </row>
    <row r="279" spans="1:58" x14ac:dyDescent="0.25">
      <c r="A279" s="196"/>
      <c r="B279" s="211"/>
      <c r="C279" s="211"/>
      <c r="D279" s="197"/>
      <c r="E279" s="197"/>
      <c r="F279" s="222"/>
      <c r="G279" s="222"/>
      <c r="H279" s="222"/>
      <c r="I279" s="222"/>
      <c r="J279" s="222"/>
      <c r="K279" s="222"/>
      <c r="L279" s="223"/>
      <c r="M279" s="223"/>
      <c r="N279" s="224"/>
      <c r="O279" s="224"/>
      <c r="P279" s="224"/>
      <c r="Q279" s="223"/>
      <c r="R279" s="224"/>
      <c r="S279" s="223"/>
      <c r="T279" s="223"/>
      <c r="U279" s="225"/>
      <c r="V279" s="225"/>
      <c r="W279" s="225"/>
      <c r="X279" s="225"/>
      <c r="Y279" s="225"/>
      <c r="Z279" s="225"/>
      <c r="AA279" s="225"/>
      <c r="AB279" s="225"/>
      <c r="AC279" s="225"/>
      <c r="AD279" s="225"/>
      <c r="AE279" s="244"/>
      <c r="AF279" s="244"/>
      <c r="AG279" s="238"/>
      <c r="AH279" s="238"/>
      <c r="AI279" s="238"/>
      <c r="AJ279" s="238"/>
      <c r="AK279" s="238"/>
      <c r="AL279" s="238"/>
      <c r="AM279" s="238"/>
      <c r="AN279" s="225"/>
      <c r="AO279" s="225"/>
      <c r="AP279" s="225"/>
      <c r="AQ279" s="225"/>
      <c r="AR279" s="225"/>
      <c r="AS279" s="225"/>
      <c r="AT279" s="225"/>
      <c r="AU279" s="225"/>
      <c r="AV279" s="225"/>
      <c r="AW279" s="232"/>
      <c r="AX279" s="232"/>
      <c r="AY279" s="233"/>
      <c r="AZ279" s="232"/>
      <c r="BA279" s="232"/>
      <c r="BB279" s="232"/>
      <c r="BC279" s="232"/>
      <c r="BD279" s="232"/>
      <c r="BE279" s="232"/>
    </row>
    <row r="280" spans="1:58" x14ac:dyDescent="0.25">
      <c r="A280" s="196"/>
      <c r="B280" s="211"/>
      <c r="C280" s="211"/>
      <c r="D280" s="197"/>
      <c r="E280" s="197"/>
      <c r="F280" s="222"/>
      <c r="G280" s="222"/>
      <c r="H280" s="222"/>
      <c r="I280" s="222"/>
      <c r="J280" s="222"/>
      <c r="K280" s="222"/>
      <c r="L280" s="223"/>
      <c r="M280" s="223"/>
      <c r="N280" s="224"/>
      <c r="O280" s="224"/>
      <c r="P280" s="224"/>
      <c r="Q280" s="223"/>
      <c r="R280" s="224"/>
      <c r="S280" s="223"/>
      <c r="T280" s="223"/>
      <c r="U280" s="225"/>
      <c r="V280" s="225"/>
      <c r="W280" s="225"/>
      <c r="X280" s="225"/>
      <c r="Y280" s="225"/>
      <c r="Z280" s="225"/>
      <c r="AA280" s="225"/>
      <c r="AB280" s="225"/>
      <c r="AC280" s="225"/>
      <c r="AD280" s="225"/>
      <c r="AE280" s="244"/>
      <c r="AF280" s="244"/>
      <c r="AG280" s="238"/>
      <c r="AH280" s="238"/>
      <c r="AI280" s="238"/>
      <c r="AJ280" s="238"/>
      <c r="AK280" s="238"/>
      <c r="AL280" s="238"/>
      <c r="AM280" s="238"/>
      <c r="AN280" s="225"/>
      <c r="AO280" s="225"/>
      <c r="AP280" s="225"/>
      <c r="AQ280" s="225"/>
      <c r="AR280" s="225"/>
      <c r="AS280" s="225"/>
      <c r="AT280" s="225"/>
      <c r="AU280" s="225"/>
      <c r="AV280" s="225"/>
      <c r="AW280" s="232"/>
      <c r="AX280" s="232"/>
      <c r="AY280" s="233"/>
      <c r="AZ280" s="232"/>
      <c r="BA280" s="232"/>
      <c r="BB280" s="232"/>
      <c r="BC280" s="232"/>
      <c r="BD280" s="232"/>
      <c r="BE280" s="232"/>
    </row>
    <row r="281" spans="1:58" x14ac:dyDescent="0.25">
      <c r="A281" s="196"/>
      <c r="B281" s="211"/>
      <c r="C281" s="211"/>
      <c r="D281" s="197"/>
      <c r="E281" s="197"/>
      <c r="F281" s="222"/>
      <c r="G281" s="222"/>
      <c r="H281" s="222"/>
      <c r="I281" s="222"/>
      <c r="J281" s="222"/>
      <c r="K281" s="222"/>
      <c r="L281" s="223"/>
      <c r="M281" s="223"/>
      <c r="N281" s="224"/>
      <c r="O281" s="224"/>
      <c r="P281" s="224"/>
      <c r="Q281" s="223"/>
      <c r="R281" s="224"/>
      <c r="S281" s="223"/>
      <c r="T281" s="223"/>
      <c r="U281" s="225"/>
      <c r="V281" s="225"/>
      <c r="W281" s="225"/>
      <c r="X281" s="225"/>
      <c r="Y281" s="225"/>
      <c r="Z281" s="225"/>
      <c r="AA281" s="225"/>
      <c r="AB281" s="225"/>
      <c r="AC281" s="225"/>
      <c r="AD281" s="225"/>
      <c r="AE281" s="244"/>
      <c r="AF281" s="244"/>
      <c r="AG281" s="238"/>
      <c r="AH281" s="238"/>
      <c r="AI281" s="238"/>
      <c r="AJ281" s="238"/>
      <c r="AK281" s="238"/>
      <c r="AL281" s="238"/>
      <c r="AM281" s="238"/>
      <c r="AN281" s="225"/>
      <c r="AO281" s="225"/>
      <c r="AP281" s="225"/>
      <c r="AQ281" s="225"/>
      <c r="AR281" s="225"/>
      <c r="AS281" s="225"/>
      <c r="AT281" s="225"/>
      <c r="AU281" s="225"/>
      <c r="AV281" s="225"/>
      <c r="AW281" s="232"/>
      <c r="AX281" s="232"/>
      <c r="AY281" s="233"/>
      <c r="AZ281" s="232"/>
      <c r="BA281" s="232"/>
      <c r="BB281" s="232"/>
      <c r="BC281" s="232"/>
      <c r="BD281" s="232"/>
      <c r="BE281" s="232"/>
    </row>
    <row r="282" spans="1:58" x14ac:dyDescent="0.25">
      <c r="A282" s="196"/>
      <c r="B282" s="211"/>
      <c r="C282" s="211"/>
      <c r="D282" s="197"/>
      <c r="E282" s="197"/>
      <c r="F282" s="222"/>
      <c r="G282" s="222"/>
      <c r="H282" s="222"/>
      <c r="I282" s="222"/>
      <c r="J282" s="222"/>
      <c r="K282" s="222"/>
      <c r="L282" s="223"/>
      <c r="M282" s="223"/>
      <c r="N282" s="224"/>
      <c r="O282" s="224"/>
      <c r="P282" s="224"/>
      <c r="Q282" s="223"/>
      <c r="R282" s="224"/>
      <c r="S282" s="223"/>
      <c r="T282" s="223"/>
      <c r="U282" s="225"/>
      <c r="V282" s="225"/>
      <c r="W282" s="225"/>
      <c r="X282" s="225"/>
      <c r="Y282" s="225"/>
      <c r="Z282" s="225"/>
      <c r="AA282" s="225"/>
      <c r="AB282" s="225"/>
      <c r="AC282" s="225"/>
      <c r="AD282" s="225"/>
      <c r="AE282" s="244"/>
      <c r="AF282" s="244"/>
      <c r="AG282" s="238"/>
      <c r="AH282" s="238"/>
      <c r="AI282" s="238"/>
      <c r="AJ282" s="238"/>
      <c r="AK282" s="238"/>
      <c r="AL282" s="238"/>
      <c r="AM282" s="238"/>
      <c r="AN282" s="225"/>
      <c r="AO282" s="225"/>
      <c r="AP282" s="225"/>
      <c r="AQ282" s="225"/>
      <c r="AR282" s="225"/>
      <c r="AS282" s="225"/>
      <c r="AT282" s="225"/>
      <c r="AU282" s="225"/>
      <c r="AV282" s="225"/>
      <c r="AW282" s="232"/>
      <c r="AX282" s="232"/>
      <c r="AY282" s="233"/>
      <c r="AZ282" s="232"/>
      <c r="BA282" s="232"/>
      <c r="BB282" s="232"/>
      <c r="BC282" s="232"/>
      <c r="BD282" s="232"/>
      <c r="BE282" s="232"/>
    </row>
    <row r="283" spans="1:58" x14ac:dyDescent="0.25">
      <c r="A283" s="196"/>
      <c r="B283" s="211"/>
      <c r="C283" s="211"/>
      <c r="D283" s="197"/>
      <c r="E283" s="197"/>
      <c r="F283" s="222"/>
      <c r="G283" s="222"/>
      <c r="H283" s="222"/>
      <c r="I283" s="222"/>
      <c r="J283" s="222"/>
      <c r="K283" s="222"/>
      <c r="L283" s="223"/>
      <c r="M283" s="223"/>
      <c r="N283" s="224"/>
      <c r="O283" s="224"/>
      <c r="P283" s="224"/>
      <c r="Q283" s="223"/>
      <c r="R283" s="224"/>
      <c r="S283" s="223"/>
      <c r="T283" s="223"/>
      <c r="U283" s="225"/>
      <c r="V283" s="225"/>
      <c r="W283" s="225"/>
      <c r="X283" s="225"/>
      <c r="Y283" s="225"/>
      <c r="Z283" s="225"/>
      <c r="AA283" s="225"/>
      <c r="AB283" s="225"/>
      <c r="AC283" s="225"/>
      <c r="AD283" s="225"/>
      <c r="AE283" s="244"/>
      <c r="AF283" s="244"/>
      <c r="AG283" s="238"/>
      <c r="AH283" s="238"/>
      <c r="AI283" s="238"/>
      <c r="AJ283" s="238"/>
      <c r="AK283" s="238"/>
      <c r="AL283" s="238"/>
      <c r="AM283" s="238"/>
      <c r="AN283" s="225"/>
      <c r="AO283" s="225"/>
      <c r="AP283" s="225"/>
      <c r="AQ283" s="225"/>
      <c r="AR283" s="225"/>
      <c r="AS283" s="225"/>
      <c r="AT283" s="225"/>
      <c r="AU283" s="225"/>
      <c r="AV283" s="225"/>
      <c r="AW283" s="232"/>
      <c r="AX283" s="232"/>
      <c r="AY283" s="233"/>
      <c r="AZ283" s="232"/>
      <c r="BA283" s="232"/>
      <c r="BB283" s="232"/>
      <c r="BC283" s="232"/>
      <c r="BD283" s="232"/>
      <c r="BE283" s="232"/>
    </row>
    <row r="284" spans="1:58" x14ac:dyDescent="0.25">
      <c r="A284" s="196"/>
      <c r="B284" s="211"/>
      <c r="C284" s="211"/>
      <c r="D284" s="197"/>
      <c r="E284" s="197"/>
      <c r="F284" s="222"/>
      <c r="G284" s="222"/>
      <c r="H284" s="222"/>
      <c r="I284" s="222"/>
      <c r="J284" s="222"/>
      <c r="K284" s="222"/>
      <c r="L284" s="223"/>
      <c r="M284" s="223"/>
      <c r="N284" s="224"/>
      <c r="O284" s="224"/>
      <c r="P284" s="224"/>
      <c r="Q284" s="223"/>
      <c r="R284" s="224"/>
      <c r="S284" s="223"/>
      <c r="T284" s="223"/>
      <c r="U284" s="225"/>
      <c r="V284" s="225"/>
      <c r="W284" s="225"/>
      <c r="X284" s="225"/>
      <c r="Y284" s="225"/>
      <c r="Z284" s="225"/>
      <c r="AA284" s="225"/>
      <c r="AB284" s="225"/>
      <c r="AC284" s="225"/>
      <c r="AD284" s="225"/>
      <c r="AE284" s="244"/>
      <c r="AF284" s="244"/>
      <c r="AG284" s="238"/>
      <c r="AH284" s="238"/>
      <c r="AI284" s="238"/>
      <c r="AJ284" s="238"/>
      <c r="AK284" s="238"/>
      <c r="AL284" s="238"/>
      <c r="AM284" s="238"/>
      <c r="AN284" s="225"/>
      <c r="AO284" s="225"/>
      <c r="AP284" s="225"/>
      <c r="AQ284" s="225"/>
      <c r="AR284" s="225"/>
      <c r="AS284" s="225"/>
      <c r="AT284" s="225"/>
      <c r="AU284" s="225"/>
      <c r="AV284" s="225"/>
      <c r="AW284" s="232"/>
      <c r="AX284" s="232"/>
      <c r="AY284" s="233"/>
      <c r="AZ284" s="232"/>
      <c r="BA284" s="232"/>
      <c r="BB284" s="232"/>
      <c r="BC284" s="232"/>
      <c r="BD284" s="232"/>
      <c r="BE284" s="232"/>
    </row>
    <row r="285" spans="1:58" x14ac:dyDescent="0.25">
      <c r="A285" s="196"/>
      <c r="B285" s="211"/>
      <c r="C285" s="211"/>
      <c r="D285" s="197"/>
      <c r="E285" s="197"/>
      <c r="F285" s="222"/>
      <c r="G285" s="222"/>
      <c r="H285" s="222"/>
      <c r="I285" s="222"/>
      <c r="J285" s="222"/>
      <c r="K285" s="222"/>
      <c r="L285" s="223"/>
      <c r="M285" s="223"/>
      <c r="N285" s="224"/>
      <c r="O285" s="224"/>
      <c r="P285" s="224"/>
      <c r="Q285" s="223"/>
      <c r="R285" s="224"/>
      <c r="S285" s="223"/>
      <c r="T285" s="223"/>
      <c r="U285" s="225"/>
      <c r="V285" s="225"/>
      <c r="W285" s="225"/>
      <c r="X285" s="225"/>
      <c r="Y285" s="225"/>
      <c r="Z285" s="225"/>
      <c r="AA285" s="225"/>
      <c r="AB285" s="225"/>
      <c r="AC285" s="225"/>
      <c r="AD285" s="225"/>
      <c r="AE285" s="244"/>
      <c r="AF285" s="244"/>
      <c r="AG285" s="238"/>
      <c r="AH285" s="238"/>
      <c r="AI285" s="238"/>
      <c r="AJ285" s="238"/>
      <c r="AK285" s="238"/>
      <c r="AL285" s="238"/>
      <c r="AM285" s="238"/>
      <c r="AN285" s="225"/>
      <c r="AO285" s="225"/>
      <c r="AP285" s="225"/>
      <c r="AQ285" s="225"/>
      <c r="AR285" s="225"/>
      <c r="AS285" s="225"/>
      <c r="AT285" s="225"/>
      <c r="AU285" s="225"/>
      <c r="AV285" s="225"/>
      <c r="AW285" s="232"/>
      <c r="AX285" s="232"/>
      <c r="AY285" s="233"/>
      <c r="AZ285" s="232"/>
      <c r="BA285" s="232"/>
      <c r="BB285" s="232"/>
      <c r="BC285" s="232"/>
      <c r="BD285" s="232"/>
      <c r="BE285" s="232"/>
    </row>
    <row r="286" spans="1:58" x14ac:dyDescent="0.25">
      <c r="A286" s="196"/>
      <c r="B286" s="211"/>
      <c r="C286" s="211"/>
      <c r="D286" s="197"/>
      <c r="E286" s="197"/>
      <c r="F286" s="222"/>
      <c r="G286" s="222"/>
      <c r="H286" s="222"/>
      <c r="I286" s="222"/>
      <c r="J286" s="222"/>
      <c r="K286" s="222"/>
      <c r="L286" s="223"/>
      <c r="M286" s="223"/>
      <c r="N286" s="224"/>
      <c r="O286" s="224"/>
      <c r="P286" s="224"/>
      <c r="Q286" s="223"/>
      <c r="R286" s="224"/>
      <c r="S286" s="223"/>
      <c r="T286" s="223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44"/>
      <c r="AF286" s="244"/>
      <c r="AG286" s="238"/>
      <c r="AH286" s="238"/>
      <c r="AI286" s="238"/>
      <c r="AJ286" s="238"/>
      <c r="AK286" s="238"/>
      <c r="AL286" s="238"/>
      <c r="AM286" s="238"/>
      <c r="AN286" s="225"/>
      <c r="AO286" s="225"/>
      <c r="AP286" s="225"/>
      <c r="AQ286" s="225"/>
      <c r="AR286" s="225"/>
      <c r="AS286" s="225"/>
      <c r="AT286" s="225"/>
      <c r="AU286" s="225"/>
      <c r="AV286" s="225"/>
      <c r="AW286" s="232"/>
      <c r="AX286" s="232"/>
      <c r="AY286" s="233"/>
      <c r="AZ286" s="232"/>
      <c r="BA286" s="232"/>
      <c r="BB286" s="232"/>
      <c r="BC286" s="232"/>
      <c r="BD286" s="232"/>
      <c r="BE286" s="232"/>
    </row>
    <row r="287" spans="1:58" x14ac:dyDescent="0.25">
      <c r="A287" s="196"/>
      <c r="B287" s="211"/>
      <c r="C287" s="211"/>
      <c r="D287" s="197"/>
      <c r="E287" s="197"/>
      <c r="F287" s="222"/>
      <c r="G287" s="222"/>
      <c r="H287" s="222"/>
      <c r="I287" s="222"/>
      <c r="J287" s="222"/>
      <c r="K287" s="222"/>
      <c r="L287" s="223"/>
      <c r="M287" s="223"/>
      <c r="N287" s="224"/>
      <c r="O287" s="224"/>
      <c r="P287" s="224"/>
      <c r="Q287" s="223"/>
      <c r="R287" s="224"/>
      <c r="S287" s="223"/>
      <c r="T287" s="223"/>
      <c r="U287" s="225"/>
      <c r="V287" s="225"/>
      <c r="W287" s="225"/>
      <c r="X287" s="225"/>
      <c r="Y287" s="225"/>
      <c r="Z287" s="225"/>
      <c r="AA287" s="225"/>
      <c r="AB287" s="225"/>
      <c r="AC287" s="225"/>
      <c r="AD287" s="225"/>
      <c r="AE287" s="244"/>
      <c r="AF287" s="244"/>
      <c r="AG287" s="238"/>
      <c r="AH287" s="238"/>
      <c r="AI287" s="238"/>
      <c r="AJ287" s="238"/>
      <c r="AK287" s="238"/>
      <c r="AL287" s="238"/>
      <c r="AM287" s="238"/>
      <c r="AN287" s="225"/>
      <c r="AO287" s="225"/>
      <c r="AP287" s="225"/>
      <c r="AQ287" s="225"/>
      <c r="AR287" s="225"/>
      <c r="AS287" s="225"/>
      <c r="AT287" s="225"/>
      <c r="AU287" s="225"/>
      <c r="AV287" s="225"/>
      <c r="AW287" s="232"/>
      <c r="AX287" s="232"/>
      <c r="AY287" s="233"/>
      <c r="AZ287" s="232"/>
      <c r="BA287" s="232"/>
      <c r="BB287" s="232"/>
      <c r="BC287" s="232"/>
      <c r="BD287" s="232"/>
      <c r="BE287" s="232"/>
    </row>
    <row r="288" spans="1:58" x14ac:dyDescent="0.25">
      <c r="A288" s="196"/>
      <c r="B288" s="211"/>
      <c r="C288" s="211"/>
      <c r="D288" s="197"/>
      <c r="E288" s="197"/>
      <c r="F288" s="222"/>
      <c r="G288" s="222"/>
      <c r="H288" s="222"/>
      <c r="I288" s="222"/>
      <c r="J288" s="222"/>
      <c r="K288" s="222"/>
      <c r="L288" s="223"/>
      <c r="M288" s="223"/>
      <c r="N288" s="224"/>
      <c r="O288" s="224"/>
      <c r="P288" s="224"/>
      <c r="Q288" s="223"/>
      <c r="R288" s="224"/>
      <c r="S288" s="223"/>
      <c r="T288" s="223"/>
      <c r="U288" s="225"/>
      <c r="V288" s="225"/>
      <c r="W288" s="225"/>
      <c r="X288" s="225"/>
      <c r="Y288" s="225"/>
      <c r="Z288" s="225"/>
      <c r="AA288" s="225"/>
      <c r="AB288" s="225"/>
      <c r="AC288" s="225"/>
      <c r="AD288" s="225"/>
      <c r="AE288" s="244"/>
      <c r="AF288" s="244"/>
      <c r="AG288" s="238"/>
      <c r="AH288" s="238"/>
      <c r="AI288" s="238"/>
      <c r="AJ288" s="238"/>
      <c r="AK288" s="238"/>
      <c r="AL288" s="238"/>
      <c r="AM288" s="238"/>
      <c r="AN288" s="225"/>
      <c r="AO288" s="225"/>
      <c r="AP288" s="225"/>
      <c r="AQ288" s="225"/>
      <c r="AR288" s="225"/>
      <c r="AS288" s="225"/>
      <c r="AT288" s="225"/>
      <c r="AU288" s="225"/>
      <c r="AV288" s="225"/>
      <c r="AW288" s="232"/>
      <c r="AX288" s="232"/>
      <c r="AY288" s="233"/>
      <c r="AZ288" s="232"/>
      <c r="BA288" s="232"/>
      <c r="BB288" s="232"/>
      <c r="BC288" s="232"/>
      <c r="BD288" s="232"/>
      <c r="BE288" s="232"/>
    </row>
    <row r="289" spans="1:57" x14ac:dyDescent="0.25">
      <c r="A289" s="196"/>
      <c r="B289" s="211"/>
      <c r="C289" s="211"/>
      <c r="D289" s="197"/>
      <c r="E289" s="197"/>
      <c r="F289" s="222"/>
      <c r="G289" s="222"/>
      <c r="H289" s="222"/>
      <c r="I289" s="222"/>
      <c r="J289" s="222"/>
      <c r="K289" s="222"/>
      <c r="L289" s="223"/>
      <c r="M289" s="223"/>
      <c r="N289" s="224"/>
      <c r="O289" s="224"/>
      <c r="P289" s="224"/>
      <c r="Q289" s="223"/>
      <c r="R289" s="224"/>
      <c r="S289" s="223"/>
      <c r="T289" s="223"/>
      <c r="U289" s="225"/>
      <c r="V289" s="225"/>
      <c r="W289" s="225"/>
      <c r="X289" s="225"/>
      <c r="Y289" s="225"/>
      <c r="Z289" s="225"/>
      <c r="AA289" s="225"/>
      <c r="AB289" s="225"/>
      <c r="AC289" s="225"/>
      <c r="AD289" s="225"/>
      <c r="AE289" s="244"/>
      <c r="AF289" s="244"/>
      <c r="AG289" s="238"/>
      <c r="AH289" s="238"/>
      <c r="AI289" s="238"/>
      <c r="AJ289" s="238"/>
      <c r="AK289" s="238"/>
      <c r="AL289" s="238"/>
      <c r="AM289" s="238"/>
      <c r="AN289" s="225"/>
      <c r="AO289" s="225"/>
      <c r="AP289" s="225"/>
      <c r="AQ289" s="225"/>
      <c r="AR289" s="225"/>
      <c r="AS289" s="225"/>
      <c r="AT289" s="225"/>
      <c r="AU289" s="225"/>
      <c r="AV289" s="225"/>
      <c r="AW289" s="232"/>
      <c r="AX289" s="232"/>
      <c r="AY289" s="233"/>
      <c r="AZ289" s="232"/>
      <c r="BA289" s="232"/>
      <c r="BB289" s="232"/>
      <c r="BC289" s="232"/>
      <c r="BD289" s="232"/>
      <c r="BE289" s="232"/>
    </row>
    <row r="290" spans="1:57" x14ac:dyDescent="0.25">
      <c r="A290" s="196"/>
      <c r="B290" s="211"/>
      <c r="C290" s="211"/>
      <c r="D290" s="197"/>
      <c r="E290" s="197"/>
      <c r="F290" s="222"/>
      <c r="G290" s="222"/>
      <c r="H290" s="222"/>
      <c r="I290" s="222"/>
      <c r="J290" s="222"/>
      <c r="K290" s="222"/>
      <c r="L290" s="223"/>
      <c r="M290" s="223"/>
      <c r="N290" s="224"/>
      <c r="O290" s="224"/>
      <c r="P290" s="224"/>
      <c r="Q290" s="223"/>
      <c r="R290" s="224"/>
      <c r="S290" s="223"/>
      <c r="T290" s="223"/>
      <c r="U290" s="225"/>
      <c r="V290" s="225"/>
      <c r="W290" s="225"/>
      <c r="X290" s="225"/>
      <c r="Y290" s="225"/>
      <c r="Z290" s="225"/>
      <c r="AA290" s="225"/>
      <c r="AB290" s="225"/>
      <c r="AC290" s="225"/>
      <c r="AD290" s="225"/>
      <c r="AE290" s="244"/>
      <c r="AF290" s="244"/>
      <c r="AG290" s="238"/>
      <c r="AH290" s="238"/>
      <c r="AI290" s="238"/>
      <c r="AJ290" s="238"/>
      <c r="AK290" s="238"/>
      <c r="AL290" s="238"/>
      <c r="AM290" s="238"/>
      <c r="AN290" s="225"/>
      <c r="AO290" s="225"/>
      <c r="AP290" s="225"/>
      <c r="AQ290" s="225"/>
      <c r="AR290" s="225"/>
      <c r="AS290" s="225"/>
      <c r="AT290" s="225"/>
      <c r="AU290" s="225"/>
      <c r="AV290" s="225"/>
      <c r="AW290" s="232"/>
      <c r="AX290" s="232"/>
      <c r="AY290" s="233"/>
      <c r="AZ290" s="232"/>
      <c r="BA290" s="232"/>
      <c r="BB290" s="232"/>
      <c r="BC290" s="232"/>
      <c r="BD290" s="232"/>
      <c r="BE290" s="232"/>
    </row>
    <row r="291" spans="1:57" x14ac:dyDescent="0.25">
      <c r="A291" s="196"/>
      <c r="B291" s="211"/>
      <c r="C291" s="211"/>
      <c r="D291" s="197"/>
      <c r="E291" s="197"/>
      <c r="F291" s="222"/>
      <c r="G291" s="222"/>
      <c r="H291" s="222"/>
      <c r="I291" s="222"/>
      <c r="J291" s="222"/>
      <c r="K291" s="222"/>
      <c r="L291" s="223"/>
      <c r="M291" s="223"/>
      <c r="N291" s="224"/>
      <c r="O291" s="224"/>
      <c r="P291" s="224"/>
      <c r="Q291" s="223"/>
      <c r="R291" s="224"/>
      <c r="S291" s="223"/>
      <c r="T291" s="223"/>
      <c r="U291" s="225"/>
      <c r="V291" s="225"/>
      <c r="W291" s="225"/>
      <c r="X291" s="225"/>
      <c r="Y291" s="225"/>
      <c r="Z291" s="225"/>
      <c r="AA291" s="225"/>
      <c r="AB291" s="225"/>
      <c r="AC291" s="225"/>
      <c r="AD291" s="225"/>
      <c r="AE291" s="244"/>
      <c r="AF291" s="244"/>
      <c r="AG291" s="238"/>
      <c r="AH291" s="238"/>
      <c r="AI291" s="238"/>
      <c r="AJ291" s="238"/>
      <c r="AK291" s="238"/>
      <c r="AL291" s="238"/>
      <c r="AM291" s="238"/>
      <c r="AN291" s="225"/>
      <c r="AO291" s="225"/>
      <c r="AP291" s="225"/>
      <c r="AQ291" s="225"/>
      <c r="AR291" s="225"/>
      <c r="AS291" s="225"/>
      <c r="AT291" s="225"/>
      <c r="AU291" s="225"/>
      <c r="AV291" s="225"/>
      <c r="AW291" s="232"/>
      <c r="AX291" s="232"/>
      <c r="AY291" s="233"/>
      <c r="AZ291" s="232"/>
      <c r="BA291" s="232"/>
      <c r="BB291" s="232"/>
      <c r="BC291" s="232"/>
      <c r="BD291" s="232"/>
      <c r="BE291" s="232"/>
    </row>
    <row r="292" spans="1:57" x14ac:dyDescent="0.25">
      <c r="A292" s="196"/>
      <c r="B292" s="211"/>
      <c r="C292" s="211"/>
      <c r="D292" s="197"/>
      <c r="E292" s="197"/>
      <c r="F292" s="222"/>
      <c r="G292" s="222"/>
      <c r="H292" s="222"/>
      <c r="I292" s="222"/>
      <c r="J292" s="222"/>
      <c r="K292" s="222"/>
      <c r="L292" s="223"/>
      <c r="M292" s="223"/>
      <c r="N292" s="224"/>
      <c r="O292" s="224"/>
      <c r="P292" s="224"/>
      <c r="Q292" s="223"/>
      <c r="R292" s="224"/>
      <c r="S292" s="223"/>
      <c r="T292" s="223"/>
      <c r="U292" s="225"/>
      <c r="V292" s="225"/>
      <c r="W292" s="225"/>
      <c r="X292" s="225"/>
      <c r="Y292" s="225"/>
      <c r="Z292" s="225"/>
      <c r="AA292" s="225"/>
      <c r="AB292" s="225"/>
      <c r="AC292" s="225"/>
      <c r="AD292" s="225"/>
      <c r="AE292" s="244"/>
      <c r="AF292" s="244"/>
      <c r="AG292" s="238"/>
      <c r="AH292" s="238"/>
      <c r="AI292" s="238"/>
      <c r="AJ292" s="238"/>
      <c r="AK292" s="238"/>
      <c r="AL292" s="238"/>
      <c r="AM292" s="238"/>
      <c r="AN292" s="225"/>
      <c r="AO292" s="225"/>
      <c r="AP292" s="225"/>
      <c r="AQ292" s="225"/>
      <c r="AR292" s="225"/>
      <c r="AS292" s="225"/>
      <c r="AT292" s="225"/>
      <c r="AU292" s="225"/>
      <c r="AV292" s="225"/>
      <c r="AW292" s="232"/>
      <c r="AX292" s="232"/>
      <c r="AY292" s="233"/>
      <c r="AZ292" s="232"/>
      <c r="BA292" s="232"/>
      <c r="BB292" s="232"/>
      <c r="BC292" s="232"/>
      <c r="BD292" s="232"/>
      <c r="BE292" s="232"/>
    </row>
    <row r="293" spans="1:57" x14ac:dyDescent="0.25">
      <c r="A293" s="196"/>
      <c r="B293" s="211"/>
      <c r="C293" s="211"/>
      <c r="D293" s="197"/>
      <c r="E293" s="197"/>
      <c r="F293" s="222"/>
      <c r="G293" s="222"/>
      <c r="H293" s="222"/>
      <c r="I293" s="222"/>
      <c r="J293" s="222"/>
      <c r="K293" s="222"/>
      <c r="L293" s="223"/>
      <c r="M293" s="223"/>
      <c r="N293" s="224"/>
      <c r="O293" s="224"/>
      <c r="P293" s="224"/>
      <c r="Q293" s="223"/>
      <c r="R293" s="224"/>
      <c r="S293" s="223"/>
      <c r="T293" s="223"/>
      <c r="U293" s="225"/>
      <c r="V293" s="225"/>
      <c r="W293" s="225"/>
      <c r="X293" s="225"/>
      <c r="Y293" s="225"/>
      <c r="Z293" s="225"/>
      <c r="AA293" s="225"/>
      <c r="AB293" s="225"/>
      <c r="AC293" s="225"/>
      <c r="AD293" s="225"/>
      <c r="AE293" s="244"/>
      <c r="AF293" s="244"/>
      <c r="AG293" s="238"/>
      <c r="AH293" s="238"/>
      <c r="AI293" s="238"/>
      <c r="AJ293" s="238"/>
      <c r="AK293" s="238"/>
      <c r="AL293" s="238"/>
      <c r="AM293" s="238"/>
      <c r="AN293" s="225"/>
      <c r="AO293" s="225"/>
      <c r="AP293" s="225"/>
      <c r="AQ293" s="225"/>
      <c r="AR293" s="225"/>
      <c r="AS293" s="225"/>
      <c r="AT293" s="225"/>
      <c r="AU293" s="225"/>
      <c r="AV293" s="225"/>
      <c r="AW293" s="232"/>
      <c r="AX293" s="232"/>
      <c r="AY293" s="233"/>
      <c r="AZ293" s="232"/>
      <c r="BA293" s="232"/>
      <c r="BB293" s="232"/>
      <c r="BC293" s="232"/>
      <c r="BD293" s="232"/>
      <c r="BE293" s="232"/>
    </row>
    <row r="294" spans="1:57" x14ac:dyDescent="0.25">
      <c r="A294" s="196"/>
      <c r="B294" s="211"/>
      <c r="C294" s="211"/>
      <c r="D294" s="197"/>
      <c r="E294" s="197"/>
      <c r="F294" s="222"/>
      <c r="G294" s="222"/>
      <c r="H294" s="222"/>
      <c r="I294" s="222"/>
      <c r="J294" s="222"/>
      <c r="K294" s="222"/>
      <c r="L294" s="223"/>
      <c r="M294" s="223"/>
      <c r="N294" s="224"/>
      <c r="O294" s="224"/>
      <c r="P294" s="224"/>
      <c r="Q294" s="223"/>
      <c r="R294" s="224"/>
      <c r="S294" s="223"/>
      <c r="T294" s="223"/>
      <c r="U294" s="225"/>
      <c r="V294" s="225"/>
      <c r="W294" s="225"/>
      <c r="X294" s="225"/>
      <c r="Y294" s="225"/>
      <c r="Z294" s="225"/>
      <c r="AA294" s="225"/>
      <c r="AB294" s="225"/>
      <c r="AC294" s="225"/>
      <c r="AD294" s="225"/>
      <c r="AE294" s="244"/>
      <c r="AF294" s="244"/>
      <c r="AG294" s="238"/>
      <c r="AH294" s="238"/>
      <c r="AI294" s="238"/>
      <c r="AJ294" s="238"/>
      <c r="AK294" s="238"/>
      <c r="AL294" s="238"/>
      <c r="AM294" s="238"/>
      <c r="AN294" s="225"/>
      <c r="AO294" s="225"/>
      <c r="AP294" s="225"/>
      <c r="AQ294" s="225"/>
      <c r="AR294" s="225"/>
      <c r="AS294" s="225"/>
      <c r="AT294" s="225"/>
      <c r="AU294" s="225"/>
      <c r="AV294" s="225"/>
      <c r="AW294" s="232"/>
      <c r="AX294" s="232"/>
      <c r="AY294" s="233"/>
      <c r="AZ294" s="232"/>
      <c r="BA294" s="232"/>
      <c r="BB294" s="232"/>
      <c r="BC294" s="232"/>
      <c r="BD294" s="232"/>
      <c r="BE294" s="232"/>
    </row>
    <row r="295" spans="1:57" x14ac:dyDescent="0.25">
      <c r="A295" s="196"/>
      <c r="B295" s="211"/>
      <c r="C295" s="211"/>
      <c r="D295" s="197"/>
      <c r="E295" s="197"/>
      <c r="F295" s="222"/>
      <c r="G295" s="222"/>
      <c r="H295" s="222"/>
      <c r="I295" s="222"/>
      <c r="J295" s="222"/>
      <c r="K295" s="222"/>
      <c r="L295" s="223"/>
      <c r="M295" s="223"/>
      <c r="N295" s="224"/>
      <c r="O295" s="224"/>
      <c r="P295" s="224"/>
      <c r="Q295" s="223"/>
      <c r="R295" s="224"/>
      <c r="S295" s="223"/>
      <c r="T295" s="223"/>
      <c r="U295" s="225"/>
      <c r="V295" s="225"/>
      <c r="W295" s="225"/>
      <c r="X295" s="225"/>
      <c r="Y295" s="225"/>
      <c r="Z295" s="225"/>
      <c r="AA295" s="225"/>
      <c r="AB295" s="225"/>
      <c r="AC295" s="225"/>
      <c r="AD295" s="225"/>
      <c r="AE295" s="244"/>
      <c r="AF295" s="244"/>
      <c r="AG295" s="238"/>
      <c r="AH295" s="238"/>
      <c r="AI295" s="238"/>
      <c r="AJ295" s="238"/>
      <c r="AK295" s="238"/>
      <c r="AL295" s="238"/>
      <c r="AM295" s="238"/>
      <c r="AN295" s="225"/>
      <c r="AO295" s="225"/>
      <c r="AP295" s="225"/>
      <c r="AQ295" s="225"/>
      <c r="AR295" s="225"/>
      <c r="AS295" s="225"/>
      <c r="AT295" s="225"/>
      <c r="AU295" s="225"/>
      <c r="AV295" s="225"/>
      <c r="AW295" s="232"/>
      <c r="AX295" s="232"/>
      <c r="AY295" s="233"/>
      <c r="AZ295" s="232"/>
      <c r="BA295" s="232"/>
      <c r="BB295" s="232"/>
      <c r="BC295" s="232"/>
      <c r="BD295" s="232"/>
      <c r="BE295" s="232"/>
    </row>
    <row r="296" spans="1:57" x14ac:dyDescent="0.25">
      <c r="A296" s="196"/>
      <c r="B296" s="211"/>
      <c r="C296" s="211"/>
      <c r="D296" s="197"/>
      <c r="E296" s="197"/>
      <c r="F296" s="222"/>
      <c r="G296" s="222"/>
      <c r="H296" s="222"/>
      <c r="I296" s="222"/>
      <c r="J296" s="222"/>
      <c r="K296" s="222"/>
      <c r="L296" s="223"/>
      <c r="M296" s="223"/>
      <c r="N296" s="224"/>
      <c r="O296" s="224"/>
      <c r="P296" s="224"/>
      <c r="Q296" s="223"/>
      <c r="R296" s="224"/>
      <c r="S296" s="223"/>
      <c r="T296" s="223"/>
      <c r="U296" s="225"/>
      <c r="V296" s="225"/>
      <c r="W296" s="225"/>
      <c r="X296" s="225"/>
      <c r="Y296" s="225"/>
      <c r="Z296" s="225"/>
      <c r="AA296" s="225"/>
      <c r="AB296" s="225"/>
      <c r="AC296" s="225"/>
      <c r="AD296" s="225"/>
      <c r="AE296" s="244"/>
      <c r="AF296" s="244"/>
      <c r="AG296" s="238"/>
      <c r="AH296" s="238"/>
      <c r="AI296" s="238"/>
      <c r="AJ296" s="238"/>
      <c r="AK296" s="238"/>
      <c r="AL296" s="238"/>
      <c r="AM296" s="238"/>
      <c r="AN296" s="225"/>
      <c r="AO296" s="225"/>
      <c r="AP296" s="225"/>
      <c r="AQ296" s="225"/>
      <c r="AR296" s="225"/>
      <c r="AS296" s="225"/>
      <c r="AT296" s="225"/>
      <c r="AU296" s="225"/>
      <c r="AV296" s="225"/>
      <c r="AW296" s="232"/>
      <c r="AX296" s="232"/>
      <c r="AY296" s="233"/>
      <c r="AZ296" s="232"/>
      <c r="BA296" s="232"/>
      <c r="BB296" s="232"/>
      <c r="BC296" s="232"/>
      <c r="BD296" s="232"/>
      <c r="BE296" s="232"/>
    </row>
    <row r="297" spans="1:57" x14ac:dyDescent="0.25">
      <c r="A297" s="196"/>
      <c r="B297" s="211"/>
      <c r="C297" s="211"/>
      <c r="D297" s="197"/>
      <c r="E297" s="197"/>
      <c r="F297" s="222"/>
      <c r="G297" s="222"/>
      <c r="H297" s="222"/>
      <c r="I297" s="222"/>
      <c r="J297" s="222"/>
      <c r="K297" s="222"/>
      <c r="L297" s="223"/>
      <c r="M297" s="223"/>
      <c r="N297" s="224"/>
      <c r="O297" s="224"/>
      <c r="P297" s="224"/>
      <c r="Q297" s="223"/>
      <c r="R297" s="224"/>
      <c r="S297" s="223"/>
      <c r="T297" s="223"/>
      <c r="U297" s="225"/>
      <c r="V297" s="225"/>
      <c r="W297" s="225"/>
      <c r="X297" s="225"/>
      <c r="Y297" s="225"/>
      <c r="Z297" s="225"/>
      <c r="AA297" s="225"/>
      <c r="AB297" s="225"/>
      <c r="AC297" s="225"/>
      <c r="AD297" s="225"/>
      <c r="AE297" s="244"/>
      <c r="AF297" s="244"/>
      <c r="AG297" s="238"/>
      <c r="AH297" s="238"/>
      <c r="AI297" s="238"/>
      <c r="AJ297" s="238"/>
      <c r="AK297" s="238"/>
      <c r="AL297" s="238"/>
      <c r="AM297" s="238"/>
      <c r="AN297" s="225"/>
      <c r="AO297" s="225"/>
      <c r="AP297" s="225"/>
      <c r="AQ297" s="225"/>
      <c r="AR297" s="225"/>
      <c r="AS297" s="225"/>
      <c r="AT297" s="225"/>
      <c r="AU297" s="225"/>
      <c r="AV297" s="225"/>
      <c r="AW297" s="232"/>
      <c r="AX297" s="232"/>
      <c r="AY297" s="233"/>
      <c r="AZ297" s="232"/>
      <c r="BA297" s="232"/>
      <c r="BB297" s="232"/>
      <c r="BC297" s="232"/>
      <c r="BD297" s="232"/>
      <c r="BE297" s="232"/>
    </row>
    <row r="298" spans="1:57" x14ac:dyDescent="0.25">
      <c r="A298" s="196"/>
      <c r="B298" s="211"/>
      <c r="C298" s="211"/>
      <c r="D298" s="197"/>
      <c r="E298" s="197"/>
      <c r="F298" s="222"/>
      <c r="G298" s="222"/>
      <c r="H298" s="222"/>
      <c r="I298" s="222"/>
      <c r="J298" s="222"/>
      <c r="K298" s="222"/>
      <c r="L298" s="223"/>
      <c r="M298" s="223"/>
      <c r="N298" s="224"/>
      <c r="O298" s="224"/>
      <c r="P298" s="224"/>
      <c r="Q298" s="223"/>
      <c r="R298" s="224"/>
      <c r="S298" s="223"/>
      <c r="T298" s="223"/>
      <c r="U298" s="225"/>
      <c r="V298" s="225"/>
      <c r="W298" s="225"/>
      <c r="X298" s="225"/>
      <c r="Y298" s="225"/>
      <c r="Z298" s="225"/>
      <c r="AA298" s="225"/>
      <c r="AB298" s="225"/>
      <c r="AC298" s="225"/>
      <c r="AD298" s="225"/>
      <c r="AE298" s="244"/>
      <c r="AF298" s="244"/>
      <c r="AG298" s="238"/>
      <c r="AH298" s="238"/>
      <c r="AI298" s="238"/>
      <c r="AJ298" s="238"/>
      <c r="AK298" s="238"/>
      <c r="AL298" s="238"/>
      <c r="AM298" s="238"/>
      <c r="AN298" s="225"/>
      <c r="AO298" s="225"/>
      <c r="AP298" s="225"/>
      <c r="AQ298" s="225"/>
      <c r="AR298" s="225"/>
      <c r="AS298" s="225"/>
      <c r="AT298" s="225"/>
      <c r="AU298" s="225"/>
      <c r="AV298" s="225"/>
      <c r="AW298" s="232"/>
      <c r="AX298" s="232"/>
      <c r="AY298" s="233"/>
      <c r="AZ298" s="232"/>
      <c r="BA298" s="232"/>
      <c r="BB298" s="232"/>
      <c r="BC298" s="232"/>
      <c r="BD298" s="232"/>
      <c r="BE298" s="232"/>
    </row>
    <row r="299" spans="1:57" x14ac:dyDescent="0.25">
      <c r="A299" s="196"/>
      <c r="B299" s="211"/>
      <c r="C299" s="211"/>
      <c r="D299" s="197"/>
      <c r="E299" s="197"/>
      <c r="F299" s="222"/>
      <c r="G299" s="222"/>
      <c r="H299" s="222"/>
      <c r="I299" s="222"/>
      <c r="J299" s="222"/>
      <c r="K299" s="222"/>
      <c r="L299" s="223"/>
      <c r="M299" s="223"/>
      <c r="N299" s="224"/>
      <c r="O299" s="224"/>
      <c r="P299" s="224"/>
      <c r="Q299" s="223"/>
      <c r="R299" s="224"/>
      <c r="S299" s="223"/>
      <c r="T299" s="223"/>
      <c r="U299" s="225"/>
      <c r="V299" s="225"/>
      <c r="W299" s="225"/>
      <c r="X299" s="225"/>
      <c r="Y299" s="225"/>
      <c r="Z299" s="225"/>
      <c r="AA299" s="225"/>
      <c r="AB299" s="225"/>
      <c r="AC299" s="225"/>
      <c r="AD299" s="225"/>
      <c r="AE299" s="244"/>
      <c r="AF299" s="244"/>
      <c r="AG299" s="238"/>
      <c r="AH299" s="238"/>
      <c r="AI299" s="238"/>
      <c r="AJ299" s="238"/>
      <c r="AK299" s="238"/>
      <c r="AL299" s="238"/>
      <c r="AM299" s="238"/>
      <c r="AN299" s="225"/>
      <c r="AO299" s="225"/>
      <c r="AP299" s="225"/>
      <c r="AQ299" s="225"/>
      <c r="AR299" s="225"/>
      <c r="AS299" s="225"/>
      <c r="AT299" s="225"/>
      <c r="AU299" s="225"/>
      <c r="AV299" s="225"/>
      <c r="AW299" s="232"/>
      <c r="AX299" s="232"/>
      <c r="AY299" s="233"/>
      <c r="AZ299" s="232"/>
      <c r="BA299" s="232"/>
      <c r="BB299" s="232"/>
      <c r="BC299" s="232"/>
      <c r="BD299" s="232"/>
      <c r="BE299" s="232"/>
    </row>
    <row r="300" spans="1:57" x14ac:dyDescent="0.25">
      <c r="A300" s="196"/>
      <c r="B300" s="211"/>
      <c r="C300" s="211"/>
      <c r="D300" s="197"/>
      <c r="E300" s="197"/>
      <c r="F300" s="222"/>
      <c r="G300" s="222"/>
      <c r="H300" s="222"/>
      <c r="I300" s="222"/>
      <c r="J300" s="222"/>
      <c r="K300" s="222"/>
      <c r="L300" s="223"/>
      <c r="M300" s="223"/>
      <c r="N300" s="224"/>
      <c r="O300" s="224"/>
      <c r="P300" s="224"/>
      <c r="Q300" s="223"/>
      <c r="R300" s="224"/>
      <c r="S300" s="223"/>
      <c r="T300" s="223"/>
      <c r="U300" s="225"/>
      <c r="V300" s="225"/>
      <c r="W300" s="225"/>
      <c r="X300" s="225"/>
      <c r="Y300" s="225"/>
      <c r="Z300" s="225"/>
      <c r="AA300" s="225"/>
      <c r="AB300" s="225"/>
      <c r="AC300" s="225"/>
      <c r="AD300" s="225"/>
      <c r="AE300" s="244"/>
      <c r="AF300" s="244"/>
      <c r="AG300" s="238"/>
      <c r="AH300" s="238"/>
      <c r="AI300" s="238"/>
      <c r="AJ300" s="238"/>
      <c r="AK300" s="238"/>
      <c r="AL300" s="238"/>
      <c r="AM300" s="238"/>
      <c r="AN300" s="225"/>
      <c r="AO300" s="225"/>
      <c r="AP300" s="225"/>
      <c r="AQ300" s="225"/>
      <c r="AR300" s="225"/>
      <c r="AS300" s="225"/>
      <c r="AT300" s="225"/>
      <c r="AU300" s="225"/>
      <c r="AV300" s="225"/>
      <c r="AW300" s="232"/>
      <c r="AX300" s="232"/>
      <c r="AY300" s="233"/>
      <c r="AZ300" s="232"/>
      <c r="BA300" s="232"/>
      <c r="BB300" s="232"/>
      <c r="BC300" s="232"/>
      <c r="BD300" s="232"/>
      <c r="BE300" s="232"/>
    </row>
    <row r="301" spans="1:57" x14ac:dyDescent="0.25">
      <c r="A301" s="196"/>
      <c r="B301" s="211"/>
      <c r="C301" s="211"/>
      <c r="D301" s="197"/>
      <c r="E301" s="197"/>
      <c r="F301" s="222"/>
      <c r="G301" s="222"/>
      <c r="H301" s="222"/>
      <c r="I301" s="222"/>
      <c r="J301" s="222"/>
      <c r="K301" s="222"/>
      <c r="L301" s="223"/>
      <c r="M301" s="223"/>
      <c r="N301" s="224"/>
      <c r="O301" s="224"/>
      <c r="P301" s="224"/>
      <c r="Q301" s="223"/>
      <c r="R301" s="224"/>
      <c r="S301" s="223"/>
      <c r="T301" s="223"/>
      <c r="U301" s="225"/>
      <c r="V301" s="225"/>
      <c r="W301" s="225"/>
      <c r="X301" s="225"/>
      <c r="Y301" s="225"/>
      <c r="Z301" s="225"/>
      <c r="AA301" s="225"/>
      <c r="AB301" s="225"/>
      <c r="AC301" s="225"/>
      <c r="AD301" s="225"/>
      <c r="AE301" s="244"/>
      <c r="AF301" s="244"/>
      <c r="AG301" s="238"/>
      <c r="AH301" s="238"/>
      <c r="AI301" s="238"/>
      <c r="AJ301" s="238"/>
      <c r="AK301" s="238"/>
      <c r="AL301" s="238"/>
      <c r="AM301" s="238"/>
      <c r="AN301" s="225"/>
      <c r="AO301" s="225"/>
      <c r="AP301" s="225"/>
      <c r="AQ301" s="225"/>
      <c r="AR301" s="225"/>
      <c r="AS301" s="225"/>
      <c r="AT301" s="225"/>
      <c r="AU301" s="225"/>
      <c r="AV301" s="225"/>
      <c r="AW301" s="232"/>
      <c r="AX301" s="232"/>
      <c r="AY301" s="233"/>
      <c r="AZ301" s="232"/>
      <c r="BA301" s="232"/>
      <c r="BB301" s="232"/>
      <c r="BC301" s="232"/>
      <c r="BD301" s="232"/>
      <c r="BE301" s="232"/>
    </row>
    <row r="302" spans="1:57" x14ac:dyDescent="0.25">
      <c r="A302" s="196"/>
      <c r="B302" s="211"/>
      <c r="C302" s="211"/>
      <c r="D302" s="197"/>
      <c r="E302" s="197"/>
      <c r="F302" s="222"/>
      <c r="G302" s="222"/>
      <c r="H302" s="222"/>
      <c r="I302" s="222"/>
      <c r="J302" s="222"/>
      <c r="K302" s="222"/>
      <c r="L302" s="223"/>
      <c r="M302" s="223"/>
      <c r="N302" s="224"/>
      <c r="O302" s="224"/>
      <c r="P302" s="224"/>
      <c r="Q302" s="223"/>
      <c r="R302" s="224"/>
      <c r="S302" s="223"/>
      <c r="T302" s="223"/>
      <c r="U302" s="225"/>
      <c r="V302" s="225"/>
      <c r="W302" s="225"/>
      <c r="X302" s="225"/>
      <c r="Y302" s="225"/>
      <c r="Z302" s="225"/>
      <c r="AA302" s="225"/>
      <c r="AB302" s="225"/>
      <c r="AC302" s="225"/>
      <c r="AD302" s="225"/>
      <c r="AE302" s="244"/>
      <c r="AF302" s="244"/>
      <c r="AG302" s="238"/>
      <c r="AH302" s="238"/>
      <c r="AI302" s="238"/>
      <c r="AJ302" s="238"/>
      <c r="AK302" s="238"/>
      <c r="AL302" s="238"/>
      <c r="AM302" s="238"/>
      <c r="AN302" s="225"/>
      <c r="AO302" s="225"/>
      <c r="AP302" s="225"/>
      <c r="AQ302" s="225"/>
      <c r="AR302" s="225"/>
      <c r="AS302" s="225"/>
      <c r="AT302" s="225"/>
      <c r="AU302" s="225"/>
      <c r="AV302" s="225"/>
      <c r="AW302" s="232"/>
      <c r="AX302" s="232"/>
      <c r="AY302" s="233"/>
      <c r="AZ302" s="232"/>
      <c r="BA302" s="232"/>
      <c r="BB302" s="232"/>
      <c r="BC302" s="232"/>
      <c r="BD302" s="232"/>
      <c r="BE302" s="232"/>
    </row>
    <row r="303" spans="1:57" x14ac:dyDescent="0.25">
      <c r="A303" s="196"/>
      <c r="B303" s="211"/>
      <c r="C303" s="211"/>
      <c r="D303" s="197"/>
      <c r="E303" s="197"/>
      <c r="F303" s="222"/>
      <c r="G303" s="222"/>
      <c r="H303" s="222"/>
      <c r="I303" s="222"/>
      <c r="J303" s="222"/>
      <c r="K303" s="222"/>
      <c r="L303" s="223"/>
      <c r="M303" s="223"/>
      <c r="N303" s="224"/>
      <c r="O303" s="224"/>
      <c r="P303" s="224"/>
      <c r="Q303" s="223"/>
      <c r="R303" s="224"/>
      <c r="S303" s="223"/>
      <c r="T303" s="223"/>
      <c r="U303" s="225"/>
      <c r="V303" s="225"/>
      <c r="W303" s="225"/>
      <c r="X303" s="225"/>
      <c r="Y303" s="225"/>
      <c r="Z303" s="225"/>
      <c r="AA303" s="225"/>
      <c r="AB303" s="225"/>
      <c r="AC303" s="225"/>
      <c r="AD303" s="225"/>
      <c r="AE303" s="244"/>
      <c r="AF303" s="244"/>
      <c r="AG303" s="238"/>
      <c r="AH303" s="238"/>
      <c r="AI303" s="238"/>
      <c r="AJ303" s="238"/>
      <c r="AK303" s="238"/>
      <c r="AL303" s="238"/>
      <c r="AM303" s="238"/>
      <c r="AN303" s="225"/>
      <c r="AO303" s="225"/>
      <c r="AP303" s="225"/>
      <c r="AQ303" s="225"/>
      <c r="AR303" s="225"/>
      <c r="AS303" s="225"/>
      <c r="AT303" s="225"/>
      <c r="AU303" s="225"/>
      <c r="AV303" s="225"/>
      <c r="AW303" s="232"/>
      <c r="AX303" s="232"/>
      <c r="AY303" s="233"/>
      <c r="AZ303" s="232"/>
      <c r="BA303" s="232"/>
      <c r="BB303" s="232"/>
      <c r="BC303" s="232"/>
      <c r="BD303" s="232"/>
      <c r="BE303" s="232"/>
    </row>
    <row r="304" spans="1:57" x14ac:dyDescent="0.25">
      <c r="A304" s="196"/>
      <c r="B304" s="211"/>
      <c r="C304" s="211"/>
      <c r="D304" s="197"/>
      <c r="E304" s="197"/>
      <c r="F304" s="222"/>
      <c r="G304" s="222"/>
      <c r="H304" s="222"/>
      <c r="I304" s="222"/>
      <c r="J304" s="222"/>
      <c r="K304" s="222"/>
      <c r="L304" s="223"/>
      <c r="M304" s="223"/>
      <c r="N304" s="224"/>
      <c r="O304" s="224"/>
      <c r="P304" s="224"/>
      <c r="Q304" s="223"/>
      <c r="R304" s="224"/>
      <c r="S304" s="223"/>
      <c r="T304" s="223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44"/>
      <c r="AF304" s="244"/>
      <c r="AG304" s="238"/>
      <c r="AH304" s="238"/>
      <c r="AI304" s="238"/>
      <c r="AJ304" s="238"/>
      <c r="AK304" s="238"/>
      <c r="AL304" s="238"/>
      <c r="AM304" s="238"/>
      <c r="AN304" s="225"/>
      <c r="AO304" s="225"/>
      <c r="AP304" s="225"/>
      <c r="AQ304" s="225"/>
      <c r="AR304" s="225"/>
      <c r="AS304" s="225"/>
      <c r="AT304" s="225"/>
      <c r="AU304" s="225"/>
      <c r="AV304" s="225"/>
      <c r="AW304" s="232"/>
      <c r="AX304" s="232"/>
      <c r="AY304" s="233"/>
      <c r="AZ304" s="232"/>
      <c r="BA304" s="232"/>
      <c r="BB304" s="232"/>
      <c r="BC304" s="232"/>
      <c r="BD304" s="232"/>
      <c r="BE304" s="232"/>
    </row>
    <row r="305" spans="1:58" x14ac:dyDescent="0.25">
      <c r="A305" s="196"/>
      <c r="B305" s="211"/>
      <c r="C305" s="211"/>
      <c r="D305" s="197"/>
      <c r="E305" s="197"/>
      <c r="F305" s="222"/>
      <c r="G305" s="222"/>
      <c r="H305" s="222"/>
      <c r="I305" s="222"/>
      <c r="J305" s="222"/>
      <c r="K305" s="222"/>
      <c r="L305" s="223"/>
      <c r="M305" s="223"/>
      <c r="N305" s="224"/>
      <c r="O305" s="224"/>
      <c r="P305" s="224"/>
      <c r="Q305" s="223"/>
      <c r="R305" s="224"/>
      <c r="S305" s="223"/>
      <c r="T305" s="223"/>
      <c r="U305" s="225"/>
      <c r="V305" s="225"/>
      <c r="W305" s="225"/>
      <c r="X305" s="225"/>
      <c r="Y305" s="225"/>
      <c r="Z305" s="225"/>
      <c r="AA305" s="225"/>
      <c r="AB305" s="225"/>
      <c r="AC305" s="222"/>
      <c r="AD305" s="225"/>
      <c r="AE305" s="244"/>
      <c r="AF305" s="244"/>
      <c r="AG305" s="238"/>
      <c r="AH305" s="238"/>
      <c r="AI305" s="238"/>
      <c r="AJ305" s="238"/>
      <c r="AK305" s="238"/>
      <c r="AL305" s="238"/>
      <c r="AM305" s="238"/>
      <c r="AN305" s="225"/>
      <c r="AO305" s="225"/>
      <c r="AP305" s="225"/>
      <c r="AQ305" s="225"/>
      <c r="AR305" s="225"/>
      <c r="AS305" s="225"/>
      <c r="AT305" s="225"/>
      <c r="AU305" s="225"/>
      <c r="AV305" s="225"/>
      <c r="AW305" s="232"/>
      <c r="AX305" s="232"/>
      <c r="AY305" s="233"/>
      <c r="AZ305" s="232"/>
      <c r="BA305" s="232"/>
      <c r="BB305" s="232"/>
      <c r="BC305" s="232"/>
      <c r="BD305" s="232"/>
      <c r="BE305" s="232"/>
      <c r="BF305" s="232"/>
    </row>
    <row r="306" spans="1:58" x14ac:dyDescent="0.25">
      <c r="A306" s="196"/>
      <c r="B306" s="211"/>
      <c r="C306" s="211"/>
      <c r="D306" s="197"/>
      <c r="E306" s="197"/>
      <c r="F306" s="222"/>
      <c r="G306" s="222"/>
      <c r="H306" s="222"/>
      <c r="I306" s="222"/>
      <c r="J306" s="222"/>
      <c r="K306" s="222"/>
      <c r="L306" s="223"/>
      <c r="M306" s="223"/>
      <c r="N306" s="224"/>
      <c r="O306" s="224"/>
      <c r="P306" s="224"/>
      <c r="Q306" s="223"/>
      <c r="R306" s="224"/>
      <c r="S306" s="223"/>
      <c r="T306" s="223"/>
      <c r="U306" s="225"/>
      <c r="V306" s="225"/>
      <c r="W306" s="225"/>
      <c r="X306" s="225"/>
      <c r="Y306" s="225"/>
      <c r="Z306" s="225"/>
      <c r="AA306" s="225"/>
      <c r="AB306" s="225"/>
      <c r="AC306" s="222"/>
      <c r="AD306" s="225"/>
      <c r="AE306" s="244"/>
      <c r="AF306" s="244"/>
      <c r="AG306" s="238"/>
      <c r="AH306" s="238"/>
      <c r="AI306" s="238"/>
      <c r="AJ306" s="238"/>
      <c r="AK306" s="238"/>
      <c r="AL306" s="238"/>
      <c r="AM306" s="238"/>
      <c r="AN306" s="225"/>
      <c r="AO306" s="225"/>
      <c r="AP306" s="225"/>
      <c r="AQ306" s="225"/>
      <c r="AR306" s="225"/>
      <c r="AS306" s="225"/>
      <c r="AT306" s="225"/>
      <c r="AU306" s="225"/>
      <c r="AV306" s="225"/>
      <c r="AW306" s="232"/>
      <c r="AX306" s="232"/>
      <c r="AY306" s="233"/>
      <c r="AZ306" s="232"/>
      <c r="BA306" s="232"/>
      <c r="BB306" s="232"/>
      <c r="BC306" s="232"/>
      <c r="BD306" s="232"/>
      <c r="BE306" s="232"/>
    </row>
    <row r="307" spans="1:58" x14ac:dyDescent="0.25">
      <c r="A307" s="196"/>
      <c r="B307" s="211"/>
      <c r="C307" s="211"/>
      <c r="D307" s="197"/>
      <c r="E307" s="197"/>
      <c r="F307" s="222"/>
      <c r="G307" s="222"/>
      <c r="H307" s="222"/>
      <c r="I307" s="222"/>
      <c r="J307" s="222"/>
      <c r="K307" s="222"/>
      <c r="L307" s="223"/>
      <c r="M307" s="223"/>
      <c r="N307" s="224"/>
      <c r="O307" s="224"/>
      <c r="P307" s="224"/>
      <c r="Q307" s="223"/>
      <c r="R307" s="224"/>
      <c r="S307" s="223"/>
      <c r="T307" s="223"/>
      <c r="U307" s="225"/>
      <c r="V307" s="225"/>
      <c r="W307" s="225"/>
      <c r="X307" s="225"/>
      <c r="Y307" s="225"/>
      <c r="Z307" s="225"/>
      <c r="AA307" s="225"/>
      <c r="AB307" s="225"/>
      <c r="AC307" s="225"/>
      <c r="AD307" s="225"/>
      <c r="AE307" s="244"/>
      <c r="AF307" s="244"/>
      <c r="AG307" s="238"/>
      <c r="AH307" s="238"/>
      <c r="AI307" s="238"/>
      <c r="AJ307" s="238"/>
      <c r="AK307" s="238"/>
      <c r="AL307" s="238"/>
      <c r="AM307" s="238"/>
      <c r="AN307" s="225"/>
      <c r="AO307" s="225"/>
      <c r="AP307" s="225"/>
      <c r="AQ307" s="225"/>
      <c r="AR307" s="225"/>
      <c r="AS307" s="225"/>
      <c r="AT307" s="225"/>
      <c r="AU307" s="225"/>
      <c r="AV307" s="225"/>
      <c r="AW307" s="232"/>
      <c r="AX307" s="232"/>
      <c r="AY307" s="233"/>
      <c r="AZ307" s="232"/>
      <c r="BA307" s="232"/>
      <c r="BB307" s="232"/>
      <c r="BC307" s="232"/>
      <c r="BD307" s="232"/>
      <c r="BE307" s="232"/>
    </row>
    <row r="308" spans="1:58" x14ac:dyDescent="0.25">
      <c r="A308" s="196"/>
      <c r="B308" s="211"/>
      <c r="C308" s="211"/>
      <c r="D308" s="197"/>
      <c r="E308" s="197"/>
      <c r="F308" s="222"/>
      <c r="G308" s="222"/>
      <c r="H308" s="222"/>
      <c r="I308" s="222"/>
      <c r="J308" s="222"/>
      <c r="K308" s="222"/>
      <c r="L308" s="223"/>
      <c r="M308" s="223"/>
      <c r="N308" s="224"/>
      <c r="O308" s="224"/>
      <c r="P308" s="224"/>
      <c r="Q308" s="223"/>
      <c r="R308" s="224"/>
      <c r="S308" s="223"/>
      <c r="T308" s="223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25"/>
      <c r="AE308" s="244"/>
      <c r="AF308" s="244"/>
      <c r="AG308" s="238"/>
      <c r="AH308" s="238"/>
      <c r="AI308" s="238"/>
      <c r="AJ308" s="238"/>
      <c r="AK308" s="238"/>
      <c r="AL308" s="238"/>
      <c r="AM308" s="238"/>
      <c r="AN308" s="225"/>
      <c r="AO308" s="225"/>
      <c r="AP308" s="225"/>
      <c r="AQ308" s="225"/>
      <c r="AR308" s="225"/>
      <c r="AS308" s="225"/>
      <c r="AT308" s="225"/>
      <c r="AU308" s="225"/>
      <c r="AV308" s="225"/>
      <c r="AW308" s="232"/>
      <c r="AX308" s="232"/>
      <c r="AY308" s="233"/>
      <c r="AZ308" s="232"/>
      <c r="BA308" s="232"/>
      <c r="BB308" s="232"/>
      <c r="BC308" s="232"/>
      <c r="BD308" s="232"/>
      <c r="BE308" s="232"/>
    </row>
    <row r="309" spans="1:58" x14ac:dyDescent="0.25">
      <c r="A309" s="196"/>
      <c r="B309" s="211"/>
      <c r="C309" s="211"/>
      <c r="D309" s="197"/>
      <c r="E309" s="197"/>
      <c r="F309" s="222"/>
      <c r="G309" s="222"/>
      <c r="H309" s="222"/>
      <c r="I309" s="222"/>
      <c r="J309" s="222"/>
      <c r="K309" s="222"/>
      <c r="L309" s="223"/>
      <c r="M309" s="223"/>
      <c r="N309" s="224"/>
      <c r="O309" s="224"/>
      <c r="P309" s="224"/>
      <c r="Q309" s="223"/>
      <c r="R309" s="224"/>
      <c r="S309" s="223"/>
      <c r="T309" s="223"/>
      <c r="U309" s="225"/>
      <c r="V309" s="225"/>
      <c r="W309" s="225"/>
      <c r="X309" s="225"/>
      <c r="Y309" s="225"/>
      <c r="Z309" s="225"/>
      <c r="AA309" s="225"/>
      <c r="AB309" s="225"/>
      <c r="AC309" s="225"/>
      <c r="AD309" s="225"/>
      <c r="AE309" s="244"/>
      <c r="AF309" s="244"/>
      <c r="AG309" s="238"/>
      <c r="AH309" s="238"/>
      <c r="AI309" s="238"/>
      <c r="AJ309" s="238"/>
      <c r="AK309" s="238"/>
      <c r="AL309" s="238"/>
      <c r="AM309" s="238"/>
      <c r="AN309" s="225"/>
      <c r="AO309" s="225"/>
      <c r="AP309" s="225"/>
      <c r="AQ309" s="225"/>
      <c r="AR309" s="225"/>
      <c r="AS309" s="225"/>
      <c r="AT309" s="225"/>
      <c r="AU309" s="225"/>
      <c r="AV309" s="225"/>
      <c r="AW309" s="232"/>
      <c r="AX309" s="232"/>
      <c r="AY309" s="233"/>
      <c r="AZ309" s="232"/>
      <c r="BA309" s="232"/>
      <c r="BB309" s="232"/>
      <c r="BC309" s="232"/>
      <c r="BD309" s="232"/>
      <c r="BE309" s="232"/>
    </row>
    <row r="310" spans="1:58" x14ac:dyDescent="0.25">
      <c r="A310" s="196"/>
      <c r="B310" s="211"/>
      <c r="C310" s="211"/>
      <c r="D310" s="197"/>
      <c r="E310" s="197"/>
      <c r="F310" s="222"/>
      <c r="G310" s="222"/>
      <c r="H310" s="222"/>
      <c r="I310" s="222"/>
      <c r="J310" s="222"/>
      <c r="K310" s="222"/>
      <c r="L310" s="223"/>
      <c r="M310" s="223"/>
      <c r="N310" s="224"/>
      <c r="O310" s="224"/>
      <c r="P310" s="224"/>
      <c r="Q310" s="223"/>
      <c r="R310" s="224"/>
      <c r="S310" s="223"/>
      <c r="T310" s="223"/>
      <c r="U310" s="225"/>
      <c r="V310" s="225"/>
      <c r="W310" s="225"/>
      <c r="X310" s="225"/>
      <c r="Y310" s="225"/>
      <c r="Z310" s="225"/>
      <c r="AA310" s="225"/>
      <c r="AB310" s="225"/>
      <c r="AC310" s="225"/>
      <c r="AD310" s="225"/>
      <c r="AE310" s="244"/>
      <c r="AF310" s="244"/>
      <c r="AG310" s="238"/>
      <c r="AH310" s="238"/>
      <c r="AI310" s="238"/>
      <c r="AJ310" s="238"/>
      <c r="AK310" s="238"/>
      <c r="AL310" s="238"/>
      <c r="AM310" s="238"/>
      <c r="AN310" s="225"/>
      <c r="AO310" s="225"/>
      <c r="AP310" s="225"/>
      <c r="AQ310" s="225"/>
      <c r="AR310" s="225"/>
      <c r="AS310" s="225"/>
      <c r="AT310" s="225"/>
      <c r="AU310" s="225"/>
      <c r="AV310" s="225"/>
      <c r="AW310" s="232"/>
      <c r="AX310" s="232"/>
      <c r="AY310" s="233"/>
      <c r="AZ310" s="232"/>
      <c r="BA310" s="232"/>
      <c r="BB310" s="232"/>
      <c r="BC310" s="232"/>
      <c r="BD310" s="232"/>
      <c r="BE310" s="232"/>
    </row>
    <row r="311" spans="1:58" x14ac:dyDescent="0.25">
      <c r="A311" s="196"/>
      <c r="B311" s="211"/>
      <c r="C311" s="211"/>
      <c r="D311" s="197"/>
      <c r="E311" s="197"/>
      <c r="F311" s="222"/>
      <c r="G311" s="222"/>
      <c r="H311" s="222"/>
      <c r="I311" s="222"/>
      <c r="J311" s="222"/>
      <c r="K311" s="222"/>
      <c r="L311" s="223"/>
      <c r="M311" s="223"/>
      <c r="N311" s="224"/>
      <c r="O311" s="224"/>
      <c r="P311" s="224"/>
      <c r="Q311" s="223"/>
      <c r="R311" s="224"/>
      <c r="S311" s="223"/>
      <c r="T311" s="223"/>
      <c r="U311" s="225"/>
      <c r="V311" s="225"/>
      <c r="W311" s="225"/>
      <c r="X311" s="225"/>
      <c r="Y311" s="225"/>
      <c r="Z311" s="225"/>
      <c r="AA311" s="225"/>
      <c r="AB311" s="225"/>
      <c r="AC311" s="225"/>
      <c r="AD311" s="225"/>
      <c r="AE311" s="244"/>
      <c r="AF311" s="244"/>
      <c r="AG311" s="238"/>
      <c r="AH311" s="238"/>
      <c r="AI311" s="238"/>
      <c r="AJ311" s="238"/>
      <c r="AK311" s="238"/>
      <c r="AL311" s="238"/>
      <c r="AM311" s="238"/>
      <c r="AN311" s="225"/>
      <c r="AO311" s="225"/>
      <c r="AP311" s="225"/>
      <c r="AQ311" s="225"/>
      <c r="AR311" s="225"/>
      <c r="AS311" s="225"/>
      <c r="AT311" s="225"/>
      <c r="AU311" s="225"/>
      <c r="AV311" s="225"/>
      <c r="AW311" s="232"/>
      <c r="AX311" s="232"/>
      <c r="AY311" s="233"/>
      <c r="AZ311" s="232"/>
      <c r="BA311" s="232"/>
      <c r="BB311" s="232"/>
      <c r="BC311" s="232"/>
      <c r="BD311" s="232"/>
      <c r="BE311" s="232"/>
    </row>
    <row r="312" spans="1:58" x14ac:dyDescent="0.25">
      <c r="A312" s="196"/>
      <c r="B312" s="211"/>
      <c r="C312" s="211"/>
      <c r="D312" s="197"/>
      <c r="E312" s="197"/>
      <c r="F312" s="222"/>
      <c r="G312" s="222"/>
      <c r="H312" s="222"/>
      <c r="I312" s="222"/>
      <c r="J312" s="222"/>
      <c r="K312" s="222"/>
      <c r="L312" s="223"/>
      <c r="M312" s="223"/>
      <c r="N312" s="224"/>
      <c r="O312" s="224"/>
      <c r="P312" s="224"/>
      <c r="Q312" s="223"/>
      <c r="R312" s="224"/>
      <c r="S312" s="223"/>
      <c r="T312" s="223"/>
      <c r="U312" s="225"/>
      <c r="V312" s="225"/>
      <c r="W312" s="225"/>
      <c r="X312" s="225"/>
      <c r="Y312" s="225"/>
      <c r="Z312" s="225"/>
      <c r="AA312" s="225"/>
      <c r="AB312" s="225"/>
      <c r="AC312" s="225"/>
      <c r="AD312" s="225"/>
      <c r="AE312" s="244"/>
      <c r="AF312" s="244"/>
      <c r="AG312" s="238"/>
      <c r="AH312" s="238"/>
      <c r="AI312" s="238"/>
      <c r="AJ312" s="238"/>
      <c r="AK312" s="238"/>
      <c r="AL312" s="238"/>
      <c r="AM312" s="238"/>
      <c r="AN312" s="225"/>
      <c r="AO312" s="225"/>
      <c r="AP312" s="225"/>
      <c r="AQ312" s="225"/>
      <c r="AR312" s="225"/>
      <c r="AS312" s="225"/>
      <c r="AT312" s="225"/>
      <c r="AU312" s="225"/>
      <c r="AV312" s="225"/>
      <c r="AW312" s="232"/>
      <c r="AX312" s="232"/>
      <c r="AY312" s="233"/>
      <c r="AZ312" s="232"/>
      <c r="BA312" s="232"/>
      <c r="BB312" s="232"/>
      <c r="BC312" s="232"/>
      <c r="BD312" s="232"/>
      <c r="BE312" s="232"/>
    </row>
    <row r="313" spans="1:58" x14ac:dyDescent="0.25">
      <c r="A313" s="196"/>
      <c r="B313" s="211"/>
      <c r="C313" s="211"/>
      <c r="D313" s="197"/>
      <c r="E313" s="197"/>
      <c r="F313" s="222"/>
      <c r="G313" s="222"/>
      <c r="H313" s="222"/>
      <c r="I313" s="222"/>
      <c r="J313" s="222"/>
      <c r="K313" s="222"/>
      <c r="L313" s="223"/>
      <c r="M313" s="223"/>
      <c r="N313" s="224"/>
      <c r="O313" s="224"/>
      <c r="P313" s="224"/>
      <c r="Q313" s="223"/>
      <c r="R313" s="224"/>
      <c r="S313" s="223"/>
      <c r="T313" s="223"/>
      <c r="U313" s="225"/>
      <c r="V313" s="225"/>
      <c r="W313" s="225"/>
      <c r="X313" s="225"/>
      <c r="Y313" s="225"/>
      <c r="Z313" s="225"/>
      <c r="AA313" s="225"/>
      <c r="AB313" s="225"/>
      <c r="AC313" s="225"/>
      <c r="AD313" s="225"/>
      <c r="AE313" s="244"/>
      <c r="AF313" s="244"/>
      <c r="AG313" s="238"/>
      <c r="AH313" s="238"/>
      <c r="AI313" s="238"/>
      <c r="AJ313" s="238"/>
      <c r="AK313" s="238"/>
      <c r="AL313" s="238"/>
      <c r="AM313" s="238"/>
      <c r="AN313" s="225"/>
      <c r="AO313" s="225"/>
      <c r="AP313" s="225"/>
      <c r="AQ313" s="225"/>
      <c r="AR313" s="225"/>
      <c r="AS313" s="225"/>
      <c r="AT313" s="225"/>
      <c r="AU313" s="225"/>
      <c r="AV313" s="225"/>
      <c r="AW313" s="232"/>
      <c r="AX313" s="232"/>
      <c r="AY313" s="233"/>
      <c r="AZ313" s="232"/>
      <c r="BA313" s="232"/>
      <c r="BB313" s="232"/>
      <c r="BC313" s="232"/>
      <c r="BD313" s="232"/>
      <c r="BE313" s="232"/>
    </row>
    <row r="314" spans="1:58" x14ac:dyDescent="0.25">
      <c r="A314" s="196"/>
      <c r="B314" s="211"/>
      <c r="C314" s="211"/>
      <c r="D314" s="197"/>
      <c r="E314" s="197"/>
      <c r="F314" s="222"/>
      <c r="G314" s="222"/>
      <c r="H314" s="222"/>
      <c r="I314" s="222"/>
      <c r="J314" s="222"/>
      <c r="K314" s="222"/>
      <c r="L314" s="223"/>
      <c r="M314" s="223"/>
      <c r="N314" s="224"/>
      <c r="O314" s="224"/>
      <c r="P314" s="224"/>
      <c r="Q314" s="223"/>
      <c r="R314" s="224"/>
      <c r="S314" s="223"/>
      <c r="T314" s="223"/>
      <c r="U314" s="225"/>
      <c r="V314" s="225"/>
      <c r="W314" s="225"/>
      <c r="X314" s="225"/>
      <c r="Y314" s="225"/>
      <c r="Z314" s="225"/>
      <c r="AA314" s="225"/>
      <c r="AB314" s="225"/>
      <c r="AC314" s="225"/>
      <c r="AD314" s="225"/>
      <c r="AE314" s="244"/>
      <c r="AF314" s="244"/>
      <c r="AG314" s="238"/>
      <c r="AH314" s="238"/>
      <c r="AI314" s="238"/>
      <c r="AJ314" s="238"/>
      <c r="AK314" s="238"/>
      <c r="AL314" s="238"/>
      <c r="AM314" s="238"/>
      <c r="AN314" s="225"/>
      <c r="AO314" s="225"/>
      <c r="AP314" s="225"/>
      <c r="AQ314" s="225"/>
      <c r="AR314" s="225"/>
      <c r="AS314" s="225"/>
      <c r="AT314" s="225"/>
      <c r="AU314" s="225"/>
      <c r="AV314" s="225"/>
      <c r="AW314" s="232"/>
      <c r="AX314" s="232"/>
      <c r="AY314" s="233"/>
      <c r="AZ314" s="232"/>
      <c r="BA314" s="232"/>
      <c r="BB314" s="232"/>
      <c r="BC314" s="232"/>
      <c r="BD314" s="232"/>
      <c r="BE314" s="232"/>
    </row>
    <row r="315" spans="1:58" x14ac:dyDescent="0.25">
      <c r="A315" s="196"/>
      <c r="B315" s="211"/>
      <c r="C315" s="211"/>
      <c r="D315" s="197"/>
      <c r="E315" s="197"/>
      <c r="F315" s="222"/>
      <c r="G315" s="222"/>
      <c r="H315" s="222"/>
      <c r="I315" s="222"/>
      <c r="J315" s="222"/>
      <c r="K315" s="222"/>
      <c r="L315" s="223"/>
      <c r="M315" s="223"/>
      <c r="N315" s="224"/>
      <c r="O315" s="224"/>
      <c r="P315" s="224"/>
      <c r="Q315" s="223"/>
      <c r="R315" s="224"/>
      <c r="S315" s="223"/>
      <c r="T315" s="223"/>
      <c r="U315" s="225"/>
      <c r="V315" s="225"/>
      <c r="W315" s="225"/>
      <c r="X315" s="225"/>
      <c r="Y315" s="225"/>
      <c r="Z315" s="225"/>
      <c r="AA315" s="225"/>
      <c r="AB315" s="225"/>
      <c r="AC315" s="225"/>
      <c r="AD315" s="225"/>
      <c r="AE315" s="244"/>
      <c r="AF315" s="244"/>
      <c r="AG315" s="238"/>
      <c r="AH315" s="238"/>
      <c r="AI315" s="238"/>
      <c r="AJ315" s="238"/>
      <c r="AK315" s="238"/>
      <c r="AL315" s="238"/>
      <c r="AM315" s="238"/>
      <c r="AN315" s="225"/>
      <c r="AO315" s="225"/>
      <c r="AP315" s="225"/>
      <c r="AQ315" s="225"/>
      <c r="AR315" s="225"/>
      <c r="AS315" s="225"/>
      <c r="AT315" s="225"/>
      <c r="AU315" s="225"/>
      <c r="AV315" s="225"/>
      <c r="AW315" s="232"/>
      <c r="AX315" s="232"/>
      <c r="AY315" s="233"/>
      <c r="AZ315" s="232"/>
      <c r="BA315" s="232"/>
      <c r="BB315" s="232"/>
      <c r="BC315" s="232"/>
      <c r="BD315" s="232"/>
      <c r="BE315" s="232"/>
    </row>
    <row r="316" spans="1:58" x14ac:dyDescent="0.25">
      <c r="A316" s="196"/>
      <c r="B316" s="211"/>
      <c r="C316" s="211"/>
      <c r="D316" s="197"/>
      <c r="E316" s="197"/>
      <c r="F316" s="222"/>
      <c r="G316" s="222"/>
      <c r="H316" s="222"/>
      <c r="I316" s="222"/>
      <c r="J316" s="222"/>
      <c r="K316" s="222"/>
      <c r="L316" s="223"/>
      <c r="M316" s="223"/>
      <c r="N316" s="224"/>
      <c r="O316" s="224"/>
      <c r="P316" s="224"/>
      <c r="Q316" s="223"/>
      <c r="R316" s="224"/>
      <c r="S316" s="223"/>
      <c r="T316" s="223"/>
      <c r="U316" s="225"/>
      <c r="V316" s="225"/>
      <c r="W316" s="225"/>
      <c r="X316" s="225"/>
      <c r="Y316" s="225"/>
      <c r="Z316" s="225"/>
      <c r="AA316" s="225"/>
      <c r="AB316" s="225"/>
      <c r="AC316" s="225"/>
      <c r="AD316" s="225"/>
      <c r="AE316" s="244"/>
      <c r="AF316" s="244"/>
      <c r="AG316" s="238"/>
      <c r="AH316" s="238"/>
      <c r="AI316" s="238"/>
      <c r="AJ316" s="238"/>
      <c r="AK316" s="238"/>
      <c r="AL316" s="238"/>
      <c r="AM316" s="238"/>
      <c r="AN316" s="225"/>
      <c r="AO316" s="225"/>
      <c r="AP316" s="225"/>
      <c r="AQ316" s="225"/>
      <c r="AR316" s="225"/>
      <c r="AS316" s="225"/>
      <c r="AT316" s="225"/>
      <c r="AU316" s="225"/>
      <c r="AV316" s="225"/>
      <c r="AW316" s="232"/>
      <c r="AX316" s="232"/>
      <c r="AY316" s="233"/>
      <c r="AZ316" s="232"/>
      <c r="BA316" s="232"/>
      <c r="BB316" s="232"/>
      <c r="BC316" s="232"/>
      <c r="BD316" s="232"/>
      <c r="BE316" s="232"/>
    </row>
    <row r="317" spans="1:58" x14ac:dyDescent="0.25">
      <c r="A317" s="196"/>
      <c r="B317" s="211"/>
      <c r="C317" s="211"/>
      <c r="D317" s="197"/>
      <c r="E317" s="197"/>
      <c r="F317" s="222"/>
      <c r="G317" s="222"/>
      <c r="H317" s="222"/>
      <c r="I317" s="222"/>
      <c r="J317" s="222"/>
      <c r="K317" s="222"/>
      <c r="L317" s="223"/>
      <c r="M317" s="223"/>
      <c r="N317" s="224"/>
      <c r="O317" s="224"/>
      <c r="P317" s="224"/>
      <c r="Q317" s="223"/>
      <c r="R317" s="224"/>
      <c r="S317" s="223"/>
      <c r="T317" s="223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44"/>
      <c r="AF317" s="244"/>
      <c r="AG317" s="238"/>
      <c r="AH317" s="238"/>
      <c r="AI317" s="238"/>
      <c r="AJ317" s="238"/>
      <c r="AK317" s="238"/>
      <c r="AL317" s="238"/>
      <c r="AM317" s="238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32"/>
      <c r="AX317" s="232"/>
      <c r="AY317" s="233"/>
      <c r="AZ317" s="232"/>
      <c r="BA317" s="232"/>
      <c r="BB317" s="232"/>
      <c r="BC317" s="232"/>
      <c r="BD317" s="232"/>
      <c r="BE317" s="232"/>
    </row>
    <row r="318" spans="1:58" x14ac:dyDescent="0.25">
      <c r="A318" s="196"/>
      <c r="B318" s="211"/>
      <c r="C318" s="211"/>
      <c r="D318" s="197"/>
      <c r="E318" s="197"/>
      <c r="F318" s="222"/>
      <c r="G318" s="222"/>
      <c r="H318" s="222"/>
      <c r="I318" s="222"/>
      <c r="J318" s="222"/>
      <c r="K318" s="222"/>
      <c r="L318" s="223"/>
      <c r="M318" s="223"/>
      <c r="N318" s="224"/>
      <c r="O318" s="224"/>
      <c r="P318" s="224"/>
      <c r="Q318" s="223"/>
      <c r="R318" s="224"/>
      <c r="S318" s="223"/>
      <c r="T318" s="223"/>
      <c r="U318" s="225"/>
      <c r="V318" s="225"/>
      <c r="W318" s="225"/>
      <c r="X318" s="225"/>
      <c r="Y318" s="225"/>
      <c r="Z318" s="225"/>
      <c r="AA318" s="225"/>
      <c r="AB318" s="225"/>
      <c r="AC318" s="225"/>
      <c r="AD318" s="225"/>
      <c r="AE318" s="244"/>
      <c r="AF318" s="244"/>
      <c r="AG318" s="238"/>
      <c r="AH318" s="238"/>
      <c r="AI318" s="238"/>
      <c r="AJ318" s="238"/>
      <c r="AK318" s="238"/>
      <c r="AL318" s="238"/>
      <c r="AM318" s="238"/>
      <c r="AN318" s="225"/>
      <c r="AO318" s="225"/>
      <c r="AP318" s="225"/>
      <c r="AQ318" s="225"/>
      <c r="AR318" s="225"/>
      <c r="AS318" s="225"/>
      <c r="AT318" s="225"/>
      <c r="AU318" s="225"/>
      <c r="AV318" s="225"/>
      <c r="AW318" s="232"/>
      <c r="AX318" s="232"/>
      <c r="AY318" s="233"/>
      <c r="AZ318" s="232"/>
      <c r="BA318" s="232"/>
      <c r="BB318" s="232"/>
      <c r="BC318" s="232"/>
      <c r="BD318" s="232"/>
      <c r="BE318" s="232"/>
    </row>
    <row r="319" spans="1:58" x14ac:dyDescent="0.25">
      <c r="A319" s="196"/>
      <c r="B319" s="211"/>
      <c r="C319" s="211"/>
      <c r="D319" s="197"/>
      <c r="E319" s="197"/>
      <c r="F319" s="222"/>
      <c r="G319" s="222"/>
      <c r="H319" s="222"/>
      <c r="I319" s="222"/>
      <c r="J319" s="222"/>
      <c r="K319" s="222"/>
      <c r="L319" s="223"/>
      <c r="M319" s="223"/>
      <c r="N319" s="224"/>
      <c r="O319" s="224"/>
      <c r="P319" s="224"/>
      <c r="Q319" s="223"/>
      <c r="R319" s="224"/>
      <c r="S319" s="223"/>
      <c r="T319" s="223"/>
      <c r="U319" s="225"/>
      <c r="V319" s="225"/>
      <c r="W319" s="225"/>
      <c r="X319" s="225"/>
      <c r="Y319" s="225"/>
      <c r="Z319" s="225"/>
      <c r="AA319" s="225"/>
      <c r="AB319" s="225"/>
      <c r="AC319" s="225"/>
      <c r="AD319" s="225"/>
      <c r="AE319" s="244"/>
      <c r="AF319" s="244"/>
      <c r="AG319" s="238"/>
      <c r="AH319" s="238"/>
      <c r="AI319" s="238"/>
      <c r="AJ319" s="238"/>
      <c r="AK319" s="238"/>
      <c r="AL319" s="238"/>
      <c r="AM319" s="238"/>
      <c r="AN319" s="225"/>
      <c r="AO319" s="225"/>
      <c r="AP319" s="225"/>
      <c r="AQ319" s="225"/>
      <c r="AR319" s="225"/>
      <c r="AS319" s="225"/>
      <c r="AT319" s="225"/>
      <c r="AU319" s="225"/>
      <c r="AV319" s="225"/>
      <c r="AW319" s="232"/>
      <c r="AX319" s="232"/>
      <c r="AY319" s="233"/>
      <c r="AZ319" s="232"/>
      <c r="BA319" s="232"/>
      <c r="BB319" s="232"/>
      <c r="BC319" s="232"/>
      <c r="BD319" s="232"/>
      <c r="BE319" s="232"/>
    </row>
    <row r="320" spans="1:58" x14ac:dyDescent="0.25">
      <c r="A320" s="196"/>
      <c r="B320" s="211"/>
      <c r="C320" s="211"/>
      <c r="D320" s="197"/>
      <c r="E320" s="197"/>
      <c r="F320" s="222"/>
      <c r="G320" s="222"/>
      <c r="H320" s="222"/>
      <c r="I320" s="222"/>
      <c r="J320" s="222"/>
      <c r="K320" s="222"/>
      <c r="L320" s="223"/>
      <c r="M320" s="223"/>
      <c r="N320" s="224"/>
      <c r="O320" s="224"/>
      <c r="P320" s="224"/>
      <c r="Q320" s="223"/>
      <c r="R320" s="224"/>
      <c r="S320" s="223"/>
      <c r="T320" s="223"/>
      <c r="U320" s="225"/>
      <c r="V320" s="225"/>
      <c r="W320" s="225"/>
      <c r="X320" s="225"/>
      <c r="Y320" s="225"/>
      <c r="Z320" s="225"/>
      <c r="AA320" s="225"/>
      <c r="AB320" s="225"/>
      <c r="AC320" s="225"/>
      <c r="AD320" s="225"/>
      <c r="AE320" s="244"/>
      <c r="AF320" s="244"/>
      <c r="AG320" s="238"/>
      <c r="AH320" s="238"/>
      <c r="AI320" s="238"/>
      <c r="AJ320" s="238"/>
      <c r="AK320" s="238"/>
      <c r="AL320" s="238"/>
      <c r="AM320" s="238"/>
      <c r="AN320" s="225"/>
      <c r="AO320" s="225"/>
      <c r="AP320" s="225"/>
      <c r="AQ320" s="225"/>
      <c r="AR320" s="225"/>
      <c r="AS320" s="225"/>
      <c r="AT320" s="225"/>
      <c r="AU320" s="225"/>
      <c r="AV320" s="225"/>
      <c r="AW320" s="232"/>
      <c r="AX320" s="232"/>
      <c r="AY320" s="233"/>
      <c r="AZ320" s="232"/>
      <c r="BA320" s="232"/>
      <c r="BB320" s="232"/>
      <c r="BC320" s="232"/>
      <c r="BD320" s="232"/>
      <c r="BE320" s="232"/>
    </row>
    <row r="321" spans="1:58" x14ac:dyDescent="0.25">
      <c r="A321" s="196"/>
      <c r="B321" s="211"/>
      <c r="C321" s="211"/>
      <c r="D321" s="197"/>
      <c r="E321" s="197"/>
      <c r="F321" s="222"/>
      <c r="G321" s="222"/>
      <c r="H321" s="222"/>
      <c r="I321" s="222"/>
      <c r="J321" s="222"/>
      <c r="K321" s="222"/>
      <c r="L321" s="223"/>
      <c r="M321" s="223"/>
      <c r="N321" s="224"/>
      <c r="O321" s="224"/>
      <c r="P321" s="224"/>
      <c r="Q321" s="223"/>
      <c r="R321" s="224"/>
      <c r="S321" s="223"/>
      <c r="T321" s="223"/>
      <c r="U321" s="225"/>
      <c r="V321" s="225"/>
      <c r="W321" s="225"/>
      <c r="X321" s="225"/>
      <c r="Y321" s="225"/>
      <c r="Z321" s="225"/>
      <c r="AA321" s="225"/>
      <c r="AB321" s="225"/>
      <c r="AC321" s="225"/>
      <c r="AD321" s="225"/>
      <c r="AE321" s="244"/>
      <c r="AF321" s="244"/>
      <c r="AG321" s="238"/>
      <c r="AH321" s="238"/>
      <c r="AI321" s="238"/>
      <c r="AJ321" s="238"/>
      <c r="AK321" s="238"/>
      <c r="AL321" s="238"/>
      <c r="AM321" s="238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32"/>
      <c r="AX321" s="232"/>
      <c r="AY321" s="233"/>
      <c r="AZ321" s="232"/>
      <c r="BA321" s="232"/>
      <c r="BB321" s="232"/>
      <c r="BC321" s="232"/>
      <c r="BD321" s="232"/>
      <c r="BE321" s="232"/>
    </row>
    <row r="322" spans="1:58" x14ac:dyDescent="0.25">
      <c r="A322" s="196"/>
      <c r="B322" s="211"/>
      <c r="C322" s="211"/>
      <c r="D322" s="197"/>
      <c r="E322" s="197"/>
      <c r="F322" s="222"/>
      <c r="G322" s="222"/>
      <c r="H322" s="222"/>
      <c r="I322" s="222"/>
      <c r="J322" s="222"/>
      <c r="K322" s="222"/>
      <c r="L322" s="223"/>
      <c r="M322" s="223"/>
      <c r="N322" s="224"/>
      <c r="O322" s="224"/>
      <c r="P322" s="224"/>
      <c r="Q322" s="223"/>
      <c r="R322" s="224"/>
      <c r="S322" s="223"/>
      <c r="T322" s="223"/>
      <c r="U322" s="225"/>
      <c r="V322" s="225"/>
      <c r="W322" s="225"/>
      <c r="X322" s="225"/>
      <c r="Y322" s="225"/>
      <c r="Z322" s="225"/>
      <c r="AA322" s="225"/>
      <c r="AB322" s="225"/>
      <c r="AC322" s="225"/>
      <c r="AD322" s="225"/>
      <c r="AE322" s="244"/>
      <c r="AF322" s="244"/>
      <c r="AG322" s="238"/>
      <c r="AH322" s="238"/>
      <c r="AI322" s="238"/>
      <c r="AJ322" s="238"/>
      <c r="AK322" s="238"/>
      <c r="AL322" s="238"/>
      <c r="AM322" s="238"/>
      <c r="AN322" s="225"/>
      <c r="AO322" s="225"/>
      <c r="AP322" s="225"/>
      <c r="AQ322" s="225"/>
      <c r="AR322" s="225"/>
      <c r="AS322" s="225"/>
      <c r="AT322" s="225"/>
      <c r="AU322" s="225"/>
      <c r="AV322" s="225"/>
      <c r="AW322" s="232"/>
      <c r="AX322" s="232"/>
      <c r="AY322" s="233"/>
      <c r="AZ322" s="232"/>
      <c r="BA322" s="232"/>
      <c r="BB322" s="232"/>
      <c r="BC322" s="232"/>
      <c r="BD322" s="232"/>
      <c r="BE322" s="232"/>
    </row>
    <row r="323" spans="1:58" x14ac:dyDescent="0.25">
      <c r="A323" s="196"/>
      <c r="B323" s="211"/>
      <c r="C323" s="211"/>
      <c r="D323" s="197"/>
      <c r="E323" s="197"/>
      <c r="F323" s="222"/>
      <c r="G323" s="222"/>
      <c r="H323" s="222"/>
      <c r="I323" s="222"/>
      <c r="J323" s="222"/>
      <c r="K323" s="222"/>
      <c r="L323" s="223"/>
      <c r="M323" s="223"/>
      <c r="N323" s="224"/>
      <c r="O323" s="224"/>
      <c r="P323" s="224"/>
      <c r="Q323" s="223"/>
      <c r="R323" s="224"/>
      <c r="S323" s="223"/>
      <c r="T323" s="223"/>
      <c r="U323" s="225"/>
      <c r="V323" s="225"/>
      <c r="W323" s="225"/>
      <c r="X323" s="225"/>
      <c r="Y323" s="225"/>
      <c r="Z323" s="225"/>
      <c r="AA323" s="225"/>
      <c r="AB323" s="225"/>
      <c r="AC323" s="225"/>
      <c r="AD323" s="225"/>
      <c r="AE323" s="244"/>
      <c r="AF323" s="244"/>
      <c r="AG323" s="238"/>
      <c r="AH323" s="238"/>
      <c r="AI323" s="238"/>
      <c r="AJ323" s="238"/>
      <c r="AK323" s="238"/>
      <c r="AL323" s="238"/>
      <c r="AM323" s="238"/>
      <c r="AN323" s="225"/>
      <c r="AO323" s="225"/>
      <c r="AP323" s="225"/>
      <c r="AQ323" s="225"/>
      <c r="AR323" s="225"/>
      <c r="AS323" s="225"/>
      <c r="AT323" s="225"/>
      <c r="AU323" s="225"/>
      <c r="AV323" s="225"/>
      <c r="AW323" s="232"/>
      <c r="AX323" s="232"/>
      <c r="AY323" s="233"/>
      <c r="AZ323" s="232"/>
      <c r="BA323" s="232"/>
      <c r="BB323" s="232"/>
      <c r="BC323" s="232"/>
      <c r="BD323" s="232"/>
      <c r="BE323" s="232"/>
    </row>
    <row r="324" spans="1:58" x14ac:dyDescent="0.25">
      <c r="A324" s="196"/>
      <c r="B324" s="211"/>
      <c r="C324" s="211"/>
      <c r="D324" s="197"/>
      <c r="E324" s="197"/>
      <c r="F324" s="222"/>
      <c r="G324" s="222"/>
      <c r="H324" s="222"/>
      <c r="I324" s="222"/>
      <c r="J324" s="222"/>
      <c r="K324" s="222"/>
      <c r="L324" s="223"/>
      <c r="M324" s="223"/>
      <c r="N324" s="224"/>
      <c r="O324" s="224"/>
      <c r="P324" s="224"/>
      <c r="Q324" s="223"/>
      <c r="R324" s="224"/>
      <c r="S324" s="223"/>
      <c r="T324" s="223"/>
      <c r="U324" s="225"/>
      <c r="V324" s="225"/>
      <c r="W324" s="225"/>
      <c r="X324" s="225"/>
      <c r="Y324" s="225"/>
      <c r="Z324" s="225"/>
      <c r="AA324" s="225"/>
      <c r="AB324" s="225"/>
      <c r="AC324" s="225"/>
      <c r="AD324" s="225"/>
      <c r="AE324" s="244"/>
      <c r="AF324" s="244"/>
      <c r="AG324" s="238"/>
      <c r="AH324" s="238"/>
      <c r="AI324" s="238"/>
      <c r="AJ324" s="238"/>
      <c r="AK324" s="238"/>
      <c r="AL324" s="238"/>
      <c r="AM324" s="238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32"/>
      <c r="AX324" s="232"/>
      <c r="AY324" s="233"/>
      <c r="AZ324" s="232"/>
      <c r="BA324" s="232"/>
      <c r="BB324" s="232"/>
      <c r="BC324" s="232"/>
      <c r="BD324" s="232"/>
      <c r="BE324" s="232"/>
    </row>
    <row r="325" spans="1:58" x14ac:dyDescent="0.25">
      <c r="A325" s="196"/>
      <c r="B325" s="211"/>
      <c r="C325" s="211"/>
      <c r="D325" s="197"/>
      <c r="E325" s="197"/>
      <c r="F325" s="222"/>
      <c r="G325" s="222"/>
      <c r="H325" s="222"/>
      <c r="I325" s="222"/>
      <c r="J325" s="222"/>
      <c r="K325" s="222"/>
      <c r="L325" s="223"/>
      <c r="M325" s="223"/>
      <c r="N325" s="224"/>
      <c r="O325" s="224"/>
      <c r="P325" s="224"/>
      <c r="Q325" s="223"/>
      <c r="R325" s="224"/>
      <c r="S325" s="223"/>
      <c r="T325" s="223"/>
      <c r="U325" s="225"/>
      <c r="V325" s="225"/>
      <c r="W325" s="225"/>
      <c r="X325" s="225"/>
      <c r="Y325" s="225"/>
      <c r="Z325" s="225"/>
      <c r="AA325" s="225"/>
      <c r="AB325" s="225"/>
      <c r="AC325" s="225"/>
      <c r="AD325" s="225"/>
      <c r="AE325" s="244"/>
      <c r="AF325" s="244"/>
      <c r="AG325" s="238"/>
      <c r="AH325" s="238"/>
      <c r="AI325" s="238"/>
      <c r="AJ325" s="238"/>
      <c r="AK325" s="238"/>
      <c r="AL325" s="238"/>
      <c r="AM325" s="238"/>
      <c r="AN325" s="225"/>
      <c r="AO325" s="225"/>
      <c r="AP325" s="225"/>
      <c r="AQ325" s="225"/>
      <c r="AR325" s="225"/>
      <c r="AS325" s="225"/>
      <c r="AT325" s="225"/>
      <c r="AU325" s="225"/>
      <c r="AV325" s="225"/>
      <c r="AW325" s="232"/>
      <c r="AX325" s="232"/>
      <c r="AY325" s="233"/>
      <c r="AZ325" s="232"/>
      <c r="BA325" s="232"/>
      <c r="BB325" s="232"/>
      <c r="BC325" s="232"/>
      <c r="BD325" s="232"/>
      <c r="BE325" s="232"/>
    </row>
    <row r="326" spans="1:58" x14ac:dyDescent="0.25">
      <c r="A326" s="196"/>
      <c r="B326" s="211"/>
      <c r="C326" s="211"/>
      <c r="D326" s="197"/>
      <c r="E326" s="197"/>
      <c r="F326" s="222"/>
      <c r="G326" s="222"/>
      <c r="H326" s="222"/>
      <c r="I326" s="222"/>
      <c r="J326" s="222"/>
      <c r="K326" s="222"/>
      <c r="L326" s="223"/>
      <c r="M326" s="223"/>
      <c r="N326" s="224"/>
      <c r="O326" s="224"/>
      <c r="P326" s="224"/>
      <c r="Q326" s="223"/>
      <c r="R326" s="224"/>
      <c r="S326" s="223"/>
      <c r="T326" s="223"/>
      <c r="U326" s="225"/>
      <c r="V326" s="225"/>
      <c r="W326" s="225"/>
      <c r="X326" s="225"/>
      <c r="Y326" s="225"/>
      <c r="Z326" s="225"/>
      <c r="AA326" s="225"/>
      <c r="AB326" s="225"/>
      <c r="AC326" s="225"/>
      <c r="AD326" s="225"/>
      <c r="AE326" s="244"/>
      <c r="AF326" s="244"/>
      <c r="AG326" s="238"/>
      <c r="AH326" s="238"/>
      <c r="AI326" s="238"/>
      <c r="AJ326" s="238"/>
      <c r="AK326" s="238"/>
      <c r="AL326" s="238"/>
      <c r="AM326" s="238"/>
      <c r="AN326" s="225"/>
      <c r="AO326" s="225"/>
      <c r="AP326" s="225"/>
      <c r="AQ326" s="225"/>
      <c r="AR326" s="225"/>
      <c r="AS326" s="225"/>
      <c r="AT326" s="225"/>
      <c r="AU326" s="225"/>
      <c r="AV326" s="225"/>
      <c r="AW326" s="232"/>
      <c r="AX326" s="232"/>
      <c r="AY326" s="233"/>
      <c r="AZ326" s="232"/>
      <c r="BA326" s="232"/>
      <c r="BB326" s="232"/>
      <c r="BC326" s="232"/>
      <c r="BD326" s="232"/>
      <c r="BE326" s="232"/>
    </row>
    <row r="327" spans="1:58" x14ac:dyDescent="0.25">
      <c r="A327" s="196"/>
      <c r="B327" s="211"/>
      <c r="C327" s="211"/>
      <c r="D327" s="197"/>
      <c r="E327" s="197"/>
      <c r="F327" s="222"/>
      <c r="G327" s="222"/>
      <c r="H327" s="222"/>
      <c r="I327" s="222"/>
      <c r="J327" s="222"/>
      <c r="K327" s="222"/>
      <c r="L327" s="223"/>
      <c r="M327" s="223"/>
      <c r="N327" s="224"/>
      <c r="O327" s="224"/>
      <c r="P327" s="224"/>
      <c r="Q327" s="223"/>
      <c r="R327" s="224"/>
      <c r="S327" s="223"/>
      <c r="T327" s="223"/>
      <c r="U327" s="225"/>
      <c r="V327" s="225"/>
      <c r="W327" s="225"/>
      <c r="X327" s="225"/>
      <c r="Y327" s="225"/>
      <c r="Z327" s="225"/>
      <c r="AA327" s="225"/>
      <c r="AB327" s="225"/>
      <c r="AC327" s="225"/>
      <c r="AD327" s="225"/>
      <c r="AE327" s="244"/>
      <c r="AF327" s="244"/>
      <c r="AG327" s="238"/>
      <c r="AH327" s="238"/>
      <c r="AI327" s="238"/>
      <c r="AJ327" s="238"/>
      <c r="AK327" s="238"/>
      <c r="AL327" s="238"/>
      <c r="AM327" s="238"/>
      <c r="AN327" s="225"/>
      <c r="AO327" s="225"/>
      <c r="AP327" s="225"/>
      <c r="AQ327" s="225"/>
      <c r="AR327" s="225"/>
      <c r="AS327" s="225"/>
      <c r="AT327" s="225"/>
      <c r="AU327" s="225"/>
      <c r="AV327" s="225"/>
      <c r="AW327" s="232"/>
      <c r="AX327" s="232"/>
      <c r="AY327" s="233"/>
      <c r="AZ327" s="232"/>
      <c r="BA327" s="232"/>
      <c r="BB327" s="232"/>
      <c r="BC327" s="232"/>
      <c r="BD327" s="232"/>
      <c r="BE327" s="232"/>
    </row>
    <row r="328" spans="1:58" x14ac:dyDescent="0.25">
      <c r="A328" s="196"/>
      <c r="B328" s="211"/>
      <c r="C328" s="211"/>
      <c r="D328" s="197"/>
      <c r="E328" s="197"/>
      <c r="F328" s="222"/>
      <c r="G328" s="222"/>
      <c r="H328" s="222"/>
      <c r="I328" s="222"/>
      <c r="J328" s="222"/>
      <c r="K328" s="222"/>
      <c r="L328" s="223"/>
      <c r="M328" s="223"/>
      <c r="N328" s="224"/>
      <c r="O328" s="224"/>
      <c r="P328" s="224"/>
      <c r="Q328" s="223"/>
      <c r="R328" s="224"/>
      <c r="S328" s="223"/>
      <c r="T328" s="223"/>
      <c r="U328" s="225"/>
      <c r="V328" s="225"/>
      <c r="W328" s="225"/>
      <c r="X328" s="225"/>
      <c r="Y328" s="225"/>
      <c r="Z328" s="225"/>
      <c r="AA328" s="225"/>
      <c r="AB328" s="225"/>
      <c r="AC328" s="225"/>
      <c r="AD328" s="225"/>
      <c r="AE328" s="244"/>
      <c r="AF328" s="244"/>
      <c r="AG328" s="238"/>
      <c r="AH328" s="238"/>
      <c r="AI328" s="238"/>
      <c r="AJ328" s="238"/>
      <c r="AK328" s="238"/>
      <c r="AL328" s="238"/>
      <c r="AM328" s="238"/>
      <c r="AN328" s="225"/>
      <c r="AO328" s="225"/>
      <c r="AP328" s="225"/>
      <c r="AQ328" s="225"/>
      <c r="AR328" s="225"/>
      <c r="AS328" s="225"/>
      <c r="AT328" s="225"/>
      <c r="AU328" s="225"/>
      <c r="AV328" s="225"/>
      <c r="AW328" s="232"/>
      <c r="AX328" s="232"/>
      <c r="AY328" s="233"/>
      <c r="AZ328" s="232"/>
      <c r="BA328" s="232"/>
      <c r="BB328" s="232"/>
      <c r="BC328" s="232"/>
      <c r="BD328" s="232"/>
      <c r="BE328" s="232"/>
    </row>
    <row r="329" spans="1:58" x14ac:dyDescent="0.25">
      <c r="A329" s="196"/>
      <c r="B329" s="211"/>
      <c r="C329" s="211"/>
      <c r="D329" s="197"/>
      <c r="E329" s="197"/>
      <c r="F329" s="222"/>
      <c r="G329" s="222"/>
      <c r="H329" s="222"/>
      <c r="I329" s="222"/>
      <c r="J329" s="222"/>
      <c r="K329" s="222"/>
      <c r="L329" s="223"/>
      <c r="M329" s="223"/>
      <c r="N329" s="224"/>
      <c r="O329" s="224"/>
      <c r="P329" s="224"/>
      <c r="Q329" s="223"/>
      <c r="R329" s="224"/>
      <c r="S329" s="223"/>
      <c r="T329" s="223"/>
      <c r="U329" s="225"/>
      <c r="V329" s="225"/>
      <c r="W329" s="225"/>
      <c r="X329" s="225"/>
      <c r="Y329" s="225"/>
      <c r="Z329" s="225"/>
      <c r="AA329" s="225"/>
      <c r="AB329" s="225"/>
      <c r="AC329" s="225"/>
      <c r="AD329" s="225"/>
      <c r="AE329" s="244"/>
      <c r="AF329" s="244"/>
      <c r="AG329" s="238"/>
      <c r="AH329" s="238"/>
      <c r="AI329" s="238"/>
      <c r="AJ329" s="238"/>
      <c r="AK329" s="238"/>
      <c r="AL329" s="238"/>
      <c r="AM329" s="238"/>
      <c r="AN329" s="225"/>
      <c r="AO329" s="225"/>
      <c r="AP329" s="225"/>
      <c r="AQ329" s="225"/>
      <c r="AR329" s="225"/>
      <c r="AS329" s="225"/>
      <c r="AT329" s="225"/>
      <c r="AU329" s="225"/>
      <c r="AV329" s="225"/>
      <c r="AW329" s="232"/>
      <c r="AX329" s="232"/>
      <c r="AY329" s="233"/>
      <c r="AZ329" s="232"/>
      <c r="BA329" s="232"/>
      <c r="BB329" s="232"/>
      <c r="BC329" s="232"/>
      <c r="BD329" s="232"/>
      <c r="BE329" s="232"/>
    </row>
    <row r="330" spans="1:58" x14ac:dyDescent="0.25">
      <c r="A330" s="196"/>
      <c r="B330" s="211"/>
      <c r="C330" s="211"/>
      <c r="D330" s="197"/>
      <c r="E330" s="197"/>
      <c r="F330" s="222"/>
      <c r="G330" s="222"/>
      <c r="H330" s="222"/>
      <c r="I330" s="222"/>
      <c r="J330" s="222"/>
      <c r="K330" s="222"/>
      <c r="L330" s="223"/>
      <c r="M330" s="223"/>
      <c r="N330" s="224"/>
      <c r="O330" s="224"/>
      <c r="P330" s="224"/>
      <c r="Q330" s="223"/>
      <c r="R330" s="224"/>
      <c r="S330" s="223"/>
      <c r="T330" s="223"/>
      <c r="U330" s="225"/>
      <c r="V330" s="225"/>
      <c r="W330" s="225"/>
      <c r="X330" s="225"/>
      <c r="Y330" s="225"/>
      <c r="Z330" s="225"/>
      <c r="AA330" s="225"/>
      <c r="AB330" s="225"/>
      <c r="AC330" s="225"/>
      <c r="AD330" s="225"/>
      <c r="AE330" s="244"/>
      <c r="AF330" s="244"/>
      <c r="AG330" s="238"/>
      <c r="AH330" s="238"/>
      <c r="AI330" s="238"/>
      <c r="AJ330" s="238"/>
      <c r="AK330" s="238"/>
      <c r="AL330" s="238"/>
      <c r="AM330" s="238"/>
      <c r="AN330" s="225"/>
      <c r="AO330" s="225"/>
      <c r="AP330" s="225"/>
      <c r="AQ330" s="225"/>
      <c r="AR330" s="225"/>
      <c r="AS330" s="225"/>
      <c r="AT330" s="225"/>
      <c r="AU330" s="225"/>
      <c r="AV330" s="225"/>
      <c r="AW330" s="232"/>
      <c r="AX330" s="232"/>
      <c r="AY330" s="233"/>
      <c r="AZ330" s="232"/>
      <c r="BA330" s="232"/>
      <c r="BB330" s="232"/>
      <c r="BC330" s="232"/>
      <c r="BD330" s="232"/>
      <c r="BE330" s="232"/>
    </row>
    <row r="331" spans="1:58" x14ac:dyDescent="0.25">
      <c r="A331" s="196"/>
      <c r="B331" s="211"/>
      <c r="C331" s="211"/>
      <c r="D331" s="197"/>
      <c r="E331" s="197"/>
      <c r="F331" s="222"/>
      <c r="G331" s="222"/>
      <c r="H331" s="222"/>
      <c r="I331" s="222"/>
      <c r="J331" s="222"/>
      <c r="K331" s="222"/>
      <c r="L331" s="223"/>
      <c r="M331" s="223"/>
      <c r="N331" s="224"/>
      <c r="O331" s="224"/>
      <c r="P331" s="224"/>
      <c r="Q331" s="223"/>
      <c r="R331" s="224"/>
      <c r="S331" s="223"/>
      <c r="T331" s="223"/>
      <c r="U331" s="225"/>
      <c r="V331" s="225"/>
      <c r="W331" s="225"/>
      <c r="X331" s="225"/>
      <c r="Y331" s="225"/>
      <c r="Z331" s="225"/>
      <c r="AA331" s="225"/>
      <c r="AB331" s="225"/>
      <c r="AC331" s="225"/>
      <c r="AD331" s="225"/>
      <c r="AE331" s="244"/>
      <c r="AF331" s="244"/>
      <c r="AG331" s="238"/>
      <c r="AH331" s="238"/>
      <c r="AI331" s="238"/>
      <c r="AJ331" s="238"/>
      <c r="AK331" s="238"/>
      <c r="AL331" s="238"/>
      <c r="AM331" s="238"/>
      <c r="AN331" s="225"/>
      <c r="AO331" s="225"/>
      <c r="AP331" s="225"/>
      <c r="AQ331" s="225"/>
      <c r="AR331" s="225"/>
      <c r="AS331" s="225"/>
      <c r="AT331" s="225"/>
      <c r="AU331" s="225"/>
      <c r="AV331" s="225"/>
      <c r="AW331" s="232"/>
      <c r="AX331" s="232"/>
      <c r="AY331" s="233"/>
      <c r="AZ331" s="232"/>
      <c r="BA331" s="232"/>
      <c r="BB331" s="232"/>
      <c r="BC331" s="232"/>
      <c r="BD331" s="232"/>
      <c r="BE331" s="232"/>
    </row>
    <row r="332" spans="1:58" x14ac:dyDescent="0.25">
      <c r="A332" s="196"/>
      <c r="B332" s="211"/>
      <c r="C332" s="211"/>
      <c r="D332" s="197"/>
      <c r="E332" s="197"/>
      <c r="F332" s="222"/>
      <c r="G332" s="222"/>
      <c r="H332" s="222"/>
      <c r="I332" s="222"/>
      <c r="J332" s="222"/>
      <c r="K332" s="222"/>
      <c r="L332" s="223"/>
      <c r="M332" s="223"/>
      <c r="N332" s="224"/>
      <c r="O332" s="224"/>
      <c r="P332" s="224"/>
      <c r="Q332" s="223"/>
      <c r="R332" s="224"/>
      <c r="S332" s="223"/>
      <c r="T332" s="223"/>
      <c r="U332" s="225"/>
      <c r="V332" s="225"/>
      <c r="W332" s="225"/>
      <c r="X332" s="225"/>
      <c r="Y332" s="225"/>
      <c r="Z332" s="225"/>
      <c r="AA332" s="225"/>
      <c r="AB332" s="225"/>
      <c r="AC332" s="225"/>
      <c r="AD332" s="225"/>
      <c r="AE332" s="244"/>
      <c r="AF332" s="244"/>
      <c r="AG332" s="238"/>
      <c r="AH332" s="238"/>
      <c r="AI332" s="238"/>
      <c r="AJ332" s="238"/>
      <c r="AK332" s="238"/>
      <c r="AL332" s="238"/>
      <c r="AM332" s="238"/>
      <c r="AN332" s="225"/>
      <c r="AO332" s="225"/>
      <c r="AP332" s="225"/>
      <c r="AQ332" s="225"/>
      <c r="AR332" s="225"/>
      <c r="AS332" s="225"/>
      <c r="AT332" s="225"/>
      <c r="AU332" s="225"/>
      <c r="AV332" s="225"/>
      <c r="AW332" s="232"/>
      <c r="AX332" s="232"/>
      <c r="AY332" s="233"/>
      <c r="AZ332" s="232"/>
      <c r="BA332" s="232"/>
      <c r="BB332" s="232"/>
      <c r="BC332" s="232"/>
      <c r="BD332" s="232"/>
      <c r="BE332" s="232"/>
    </row>
    <row r="333" spans="1:58" x14ac:dyDescent="0.25">
      <c r="A333" s="196"/>
      <c r="B333" s="211"/>
      <c r="C333" s="211"/>
      <c r="D333" s="197"/>
      <c r="E333" s="197"/>
      <c r="F333" s="222"/>
      <c r="G333" s="222"/>
      <c r="H333" s="222"/>
      <c r="I333" s="222"/>
      <c r="J333" s="222"/>
      <c r="K333" s="222"/>
      <c r="L333" s="223"/>
      <c r="M333" s="223"/>
      <c r="N333" s="224"/>
      <c r="O333" s="224"/>
      <c r="P333" s="224"/>
      <c r="Q333" s="223"/>
      <c r="R333" s="224"/>
      <c r="S333" s="223"/>
      <c r="T333" s="223"/>
      <c r="U333" s="225"/>
      <c r="V333" s="225"/>
      <c r="W333" s="225"/>
      <c r="X333" s="225"/>
      <c r="Y333" s="225"/>
      <c r="Z333" s="225"/>
      <c r="AA333" s="225"/>
      <c r="AB333" s="225"/>
      <c r="AC333" s="225"/>
      <c r="AD333" s="225"/>
      <c r="AE333" s="244"/>
      <c r="AF333" s="244"/>
      <c r="AG333" s="238"/>
      <c r="AH333" s="238"/>
      <c r="AI333" s="238"/>
      <c r="AJ333" s="238"/>
      <c r="AK333" s="238"/>
      <c r="AL333" s="238"/>
      <c r="AM333" s="238"/>
      <c r="AN333" s="225"/>
      <c r="AO333" s="225"/>
      <c r="AP333" s="225"/>
      <c r="AQ333" s="225"/>
      <c r="AR333" s="225"/>
      <c r="AS333" s="225"/>
      <c r="AT333" s="225"/>
      <c r="AU333" s="225"/>
      <c r="AV333" s="225"/>
      <c r="AW333" s="232"/>
      <c r="AX333" s="232"/>
      <c r="AY333" s="233"/>
      <c r="AZ333" s="232"/>
      <c r="BA333" s="232"/>
      <c r="BB333" s="232"/>
      <c r="BC333" s="232"/>
      <c r="BD333" s="232"/>
      <c r="BE333" s="232"/>
    </row>
    <row r="334" spans="1:58" x14ac:dyDescent="0.25">
      <c r="A334" s="196"/>
      <c r="B334" s="211"/>
      <c r="C334" s="211"/>
      <c r="D334" s="197"/>
      <c r="E334" s="197"/>
      <c r="F334" s="222"/>
      <c r="G334" s="222"/>
      <c r="H334" s="222"/>
      <c r="I334" s="222"/>
      <c r="J334" s="222"/>
      <c r="K334" s="222"/>
      <c r="L334" s="223"/>
      <c r="M334" s="223"/>
      <c r="N334" s="224"/>
      <c r="O334" s="224"/>
      <c r="P334" s="224"/>
      <c r="Q334" s="223"/>
      <c r="R334" s="224"/>
      <c r="S334" s="223"/>
      <c r="T334" s="223"/>
      <c r="U334" s="225"/>
      <c r="V334" s="225"/>
      <c r="W334" s="225"/>
      <c r="X334" s="225"/>
      <c r="Y334" s="225"/>
      <c r="Z334" s="225"/>
      <c r="AA334" s="225"/>
      <c r="AB334" s="225"/>
      <c r="AC334" s="222"/>
      <c r="AD334" s="225"/>
      <c r="AE334" s="244"/>
      <c r="AF334" s="244"/>
      <c r="AG334" s="238"/>
      <c r="AH334" s="238"/>
      <c r="AI334" s="238"/>
      <c r="AJ334" s="238"/>
      <c r="AK334" s="238"/>
      <c r="AL334" s="238"/>
      <c r="AM334" s="238"/>
      <c r="AN334" s="225"/>
      <c r="AO334" s="225"/>
      <c r="AP334" s="225"/>
      <c r="AQ334" s="225"/>
      <c r="AR334" s="225"/>
      <c r="AS334" s="225"/>
      <c r="AT334" s="225"/>
      <c r="AU334" s="225"/>
      <c r="AV334" s="225"/>
      <c r="AW334" s="232"/>
      <c r="AX334" s="232"/>
      <c r="AY334" s="233"/>
      <c r="AZ334" s="232"/>
      <c r="BA334" s="232"/>
      <c r="BB334" s="232"/>
      <c r="BC334" s="232"/>
      <c r="BD334" s="232"/>
      <c r="BE334" s="232"/>
      <c r="BF334" s="232"/>
    </row>
    <row r="335" spans="1:58" x14ac:dyDescent="0.25">
      <c r="A335" s="196"/>
      <c r="B335" s="211"/>
      <c r="C335" s="211"/>
      <c r="D335" s="197"/>
      <c r="E335" s="197"/>
      <c r="F335" s="222"/>
      <c r="G335" s="222"/>
      <c r="H335" s="222"/>
      <c r="I335" s="222"/>
      <c r="J335" s="222"/>
      <c r="K335" s="222"/>
      <c r="L335" s="223"/>
      <c r="M335" s="223"/>
      <c r="N335" s="224"/>
      <c r="O335" s="224"/>
      <c r="P335" s="224"/>
      <c r="Q335" s="223"/>
      <c r="R335" s="224"/>
      <c r="S335" s="223"/>
      <c r="T335" s="223"/>
      <c r="U335" s="225"/>
      <c r="V335" s="225"/>
      <c r="W335" s="225"/>
      <c r="X335" s="225"/>
      <c r="Y335" s="225"/>
      <c r="Z335" s="225"/>
      <c r="AA335" s="225"/>
      <c r="AB335" s="225"/>
      <c r="AC335" s="222"/>
      <c r="AD335" s="225"/>
      <c r="AE335" s="244"/>
      <c r="AF335" s="244"/>
      <c r="AG335" s="238"/>
      <c r="AH335" s="238"/>
      <c r="AI335" s="238"/>
      <c r="AJ335" s="238"/>
      <c r="AK335" s="238"/>
      <c r="AL335" s="238"/>
      <c r="AM335" s="238"/>
      <c r="AN335" s="225"/>
      <c r="AO335" s="225"/>
      <c r="AP335" s="225"/>
      <c r="AQ335" s="225"/>
      <c r="AR335" s="225"/>
      <c r="AS335" s="225"/>
      <c r="AT335" s="225"/>
      <c r="AU335" s="225"/>
      <c r="AV335" s="225"/>
      <c r="AW335" s="232"/>
      <c r="AX335" s="232"/>
      <c r="AY335" s="233"/>
      <c r="AZ335" s="232"/>
      <c r="BA335" s="232"/>
      <c r="BB335" s="232"/>
      <c r="BC335" s="232"/>
      <c r="BD335" s="232"/>
      <c r="BE335" s="232"/>
    </row>
    <row r="336" spans="1:58" x14ac:dyDescent="0.25">
      <c r="A336" s="196"/>
      <c r="B336" s="211"/>
      <c r="C336" s="211"/>
      <c r="D336" s="197"/>
      <c r="E336" s="197"/>
    </row>
    <row r="337" spans="1:57" x14ac:dyDescent="0.25">
      <c r="A337" s="196"/>
      <c r="B337" s="211"/>
      <c r="C337" s="211"/>
      <c r="D337" s="197"/>
      <c r="E337" s="197"/>
    </row>
    <row r="338" spans="1:57" x14ac:dyDescent="0.25">
      <c r="A338" s="196"/>
      <c r="B338" s="211"/>
      <c r="C338" s="211"/>
      <c r="D338" s="197"/>
      <c r="E338" s="197"/>
    </row>
    <row r="339" spans="1:57" x14ac:dyDescent="0.25">
      <c r="A339" s="196"/>
      <c r="B339" s="211"/>
      <c r="C339" s="211"/>
      <c r="D339" s="197"/>
      <c r="E339" s="197"/>
    </row>
    <row r="340" spans="1:57" x14ac:dyDescent="0.25">
      <c r="A340" s="196"/>
      <c r="B340" s="211"/>
      <c r="C340" s="211"/>
      <c r="D340" s="197"/>
      <c r="E340" s="197"/>
    </row>
    <row r="341" spans="1:57" x14ac:dyDescent="0.25">
      <c r="A341" s="196"/>
      <c r="B341" s="211"/>
      <c r="C341" s="211"/>
      <c r="D341" s="197"/>
      <c r="E341" s="197"/>
    </row>
    <row r="342" spans="1:57" x14ac:dyDescent="0.25">
      <c r="A342" s="196"/>
      <c r="B342" s="211"/>
      <c r="C342" s="211"/>
      <c r="D342" s="197"/>
      <c r="E342" s="197"/>
    </row>
    <row r="343" spans="1:57" x14ac:dyDescent="0.25">
      <c r="A343" s="196"/>
      <c r="B343" s="211"/>
      <c r="C343" s="211"/>
      <c r="D343" s="197"/>
      <c r="E343" s="197"/>
    </row>
    <row r="344" spans="1:57" x14ac:dyDescent="0.25">
      <c r="A344" s="196"/>
      <c r="B344" s="211"/>
      <c r="C344" s="211"/>
      <c r="D344" s="197"/>
      <c r="E344" s="197"/>
    </row>
    <row r="346" spans="1:57" x14ac:dyDescent="0.25">
      <c r="BE346" s="316"/>
    </row>
    <row r="348" spans="1:57" x14ac:dyDescent="0.25">
      <c r="I348" s="272"/>
      <c r="J348" s="272"/>
    </row>
    <row r="349" spans="1:57" x14ac:dyDescent="0.25">
      <c r="I349" s="272"/>
      <c r="AG349" s="245"/>
      <c r="AN349" s="245"/>
    </row>
    <row r="350" spans="1:57" x14ac:dyDescent="0.25">
      <c r="I350" s="272"/>
      <c r="J350" s="273"/>
      <c r="AN350" s="249"/>
    </row>
    <row r="351" spans="1:57" x14ac:dyDescent="0.25">
      <c r="AN351" s="245"/>
    </row>
  </sheetData>
  <conditionalFormatting sqref="AY249:AY335 AY6:AY225">
    <cfRule type="cellIs" dxfId="57" priority="12" operator="notBetween">
      <formula>0.998</formula>
      <formula>1.002</formula>
    </cfRule>
  </conditionalFormatting>
  <pageMargins left="0.7" right="0.7" top="0.75" bottom="0.75" header="0.3" footer="0.3"/>
  <pageSetup scale="57" fitToWidth="5" orientation="landscape" r:id="rId1"/>
  <colBreaks count="3" manualBreakCount="3">
    <brk id="20" max="34" man="1"/>
    <brk id="39" max="34" man="1"/>
    <brk id="48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5" tint="0.39997558519241921"/>
  </sheetPr>
  <dimension ref="A1:BM153"/>
  <sheetViews>
    <sheetView zoomScale="60" zoomScaleNormal="60" workbookViewId="0"/>
  </sheetViews>
  <sheetFormatPr defaultRowHeight="12.75" x14ac:dyDescent="0.2"/>
  <cols>
    <col min="1" max="2" width="9.140625" style="210"/>
    <col min="3" max="3" width="14" style="210" bestFit="1" customWidth="1"/>
    <col min="4" max="4" width="9.140625" style="210"/>
    <col min="5" max="5" width="17.28515625" style="210" customWidth="1"/>
    <col min="6" max="8" width="11.85546875" style="210" customWidth="1"/>
    <col min="9" max="9" width="13.28515625" style="210" bestFit="1" customWidth="1"/>
    <col min="10" max="10" width="11.7109375" style="210" customWidth="1"/>
    <col min="11" max="11" width="10.140625" style="210" bestFit="1" customWidth="1"/>
    <col min="12" max="12" width="10" style="210" customWidth="1"/>
    <col min="13" max="13" width="10.42578125" style="210" customWidth="1"/>
    <col min="14" max="14" width="11.5703125" style="210" bestFit="1" customWidth="1"/>
    <col min="15" max="15" width="11.140625" style="210" bestFit="1" customWidth="1"/>
    <col min="16" max="16" width="11" style="210" customWidth="1"/>
    <col min="17" max="17" width="11.7109375" style="210" bestFit="1" customWidth="1"/>
    <col min="18" max="18" width="11" style="210" bestFit="1" customWidth="1"/>
    <col min="19" max="20" width="9.140625" style="210"/>
    <col min="21" max="21" width="17.28515625" style="210" customWidth="1"/>
    <col min="22" max="22" width="14.42578125" style="210" customWidth="1"/>
    <col min="23" max="23" width="14" style="210" customWidth="1"/>
    <col min="24" max="24" width="17.28515625" style="210" bestFit="1" customWidth="1"/>
    <col min="25" max="25" width="17.7109375" style="210" bestFit="1" customWidth="1"/>
    <col min="26" max="26" width="15.42578125" style="210" bestFit="1" customWidth="1"/>
    <col min="27" max="27" width="10" style="210" bestFit="1" customWidth="1"/>
    <col min="28" max="28" width="9.140625" style="210"/>
    <col min="29" max="29" width="10" style="210" bestFit="1" customWidth="1"/>
    <col min="30" max="30" width="9.140625" style="210"/>
    <col min="31" max="32" width="10.42578125" style="210" customWidth="1"/>
    <col min="33" max="33" width="13.7109375" style="210" customWidth="1"/>
    <col min="34" max="34" width="11" style="210" bestFit="1" customWidth="1"/>
    <col min="35" max="35" width="11.5703125" style="210" bestFit="1" customWidth="1"/>
    <col min="36" max="36" width="11.5703125" style="210" customWidth="1"/>
    <col min="37" max="37" width="15.28515625" style="210" customWidth="1"/>
    <col min="38" max="38" width="9.140625" style="210"/>
    <col min="39" max="39" width="14.140625" style="210" bestFit="1" customWidth="1"/>
    <col min="40" max="40" width="16.28515625" style="210" bestFit="1" customWidth="1"/>
    <col min="41" max="41" width="14" style="210" customWidth="1"/>
    <col min="42" max="42" width="15.7109375" style="210" customWidth="1"/>
    <col min="43" max="43" width="14" style="210" customWidth="1"/>
    <col min="44" max="44" width="16.7109375" style="210" customWidth="1"/>
    <col min="45" max="45" width="15.140625" style="210" customWidth="1"/>
    <col min="46" max="46" width="15.28515625" style="210" customWidth="1"/>
    <col min="47" max="47" width="15.42578125" style="210" customWidth="1"/>
    <col min="48" max="48" width="12.85546875" style="210" bestFit="1" customWidth="1"/>
    <col min="49" max="49" width="17.28515625" style="210" customWidth="1"/>
    <col min="50" max="50" width="16.7109375" style="210" customWidth="1"/>
    <col min="51" max="51" width="15.85546875" style="210" customWidth="1"/>
    <col min="52" max="52" width="14.5703125" style="210" customWidth="1"/>
    <col min="53" max="53" width="17.85546875" style="210" customWidth="1"/>
    <col min="54" max="54" width="16.140625" style="210" customWidth="1"/>
    <col min="55" max="55" width="13.28515625" style="210" customWidth="1"/>
    <col min="56" max="56" width="16" style="210" customWidth="1"/>
    <col min="57" max="57" width="15.85546875" style="210" customWidth="1"/>
    <col min="58" max="58" width="12.85546875" style="210" bestFit="1" customWidth="1"/>
    <col min="59" max="65" width="12.140625" style="210" bestFit="1" customWidth="1"/>
    <col min="66" max="16384" width="9.140625" style="210"/>
  </cols>
  <sheetData>
    <row r="1" spans="1:65" x14ac:dyDescent="0.2">
      <c r="A1" s="196"/>
      <c r="B1" s="196"/>
      <c r="C1" s="196"/>
      <c r="D1" s="197"/>
      <c r="E1" s="197"/>
      <c r="F1" s="214"/>
      <c r="G1" s="214"/>
      <c r="H1" s="214"/>
      <c r="I1" s="214"/>
      <c r="J1" s="214"/>
      <c r="K1" s="214"/>
      <c r="L1" s="217"/>
      <c r="M1" s="217"/>
      <c r="N1" s="217"/>
      <c r="O1" s="217"/>
      <c r="P1" s="217"/>
      <c r="Q1" s="217"/>
      <c r="R1" s="217"/>
      <c r="S1" s="217"/>
      <c r="T1" s="217"/>
      <c r="U1" s="214"/>
      <c r="V1" s="214"/>
      <c r="W1" s="225"/>
      <c r="X1" s="225"/>
      <c r="Y1" s="214"/>
      <c r="Z1" s="214"/>
      <c r="AA1" s="214"/>
      <c r="AB1" s="214"/>
      <c r="AC1" s="214"/>
      <c r="AD1" s="214"/>
      <c r="AE1" s="235"/>
      <c r="AF1" s="235"/>
      <c r="AG1" s="235"/>
      <c r="AH1" s="235"/>
      <c r="AI1" s="235"/>
      <c r="AJ1" s="235"/>
      <c r="AK1" s="235"/>
      <c r="AL1" s="235"/>
      <c r="AM1" s="235"/>
      <c r="AN1" s="214"/>
      <c r="AO1" s="225"/>
      <c r="AP1" s="225"/>
      <c r="AQ1" s="214"/>
      <c r="AR1" s="214"/>
      <c r="AS1" s="214"/>
      <c r="AT1" s="214"/>
      <c r="AU1" s="214"/>
      <c r="AV1" s="214"/>
      <c r="AW1" s="217"/>
      <c r="AX1" s="217"/>
      <c r="AY1" s="217"/>
      <c r="AZ1" s="217"/>
      <c r="BA1" s="217"/>
      <c r="BB1" s="217"/>
      <c r="BC1" s="217"/>
      <c r="BD1" s="217"/>
      <c r="BE1" s="217"/>
      <c r="BF1" s="217"/>
    </row>
    <row r="2" spans="1:65" x14ac:dyDescent="0.2">
      <c r="A2" s="196"/>
      <c r="B2" s="196"/>
      <c r="C2" s="196"/>
      <c r="D2" s="197"/>
      <c r="E2" s="197"/>
      <c r="F2" s="214"/>
      <c r="G2" s="214"/>
      <c r="H2" s="214"/>
      <c r="I2" s="214"/>
      <c r="J2" s="214"/>
      <c r="K2" s="214"/>
      <c r="L2" s="217"/>
      <c r="M2" s="217"/>
      <c r="N2" s="217"/>
      <c r="O2" s="217"/>
      <c r="P2" s="217"/>
      <c r="Q2" s="217"/>
      <c r="R2" s="217"/>
      <c r="S2" s="217"/>
      <c r="T2" s="217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35"/>
      <c r="AF2" s="235"/>
      <c r="AG2" s="235"/>
      <c r="AH2" s="235"/>
      <c r="AI2" s="235"/>
      <c r="AJ2" s="235"/>
      <c r="AK2" s="235"/>
      <c r="AL2" s="235"/>
      <c r="AM2" s="235"/>
      <c r="AN2" s="214"/>
      <c r="AO2" s="214"/>
      <c r="AP2" s="214"/>
      <c r="AQ2" s="214"/>
      <c r="AR2" s="214"/>
      <c r="AS2" s="214"/>
      <c r="AT2" s="214"/>
      <c r="AU2" s="214"/>
      <c r="AV2" s="214"/>
      <c r="AW2" s="217"/>
      <c r="AX2" s="217"/>
      <c r="AY2" s="217"/>
      <c r="AZ2" s="217"/>
      <c r="BA2" s="217"/>
      <c r="BB2" s="217"/>
      <c r="BC2" s="217"/>
      <c r="BD2" s="217"/>
      <c r="BE2" s="217"/>
      <c r="BF2" s="217"/>
    </row>
    <row r="3" spans="1:65" x14ac:dyDescent="0.2">
      <c r="A3" s="196">
        <v>1</v>
      </c>
      <c r="B3" s="196">
        <f>1+A3</f>
        <v>2</v>
      </c>
      <c r="C3" s="196">
        <f>1+B3</f>
        <v>3</v>
      </c>
      <c r="D3" s="196">
        <f>1+C3</f>
        <v>4</v>
      </c>
      <c r="E3" s="196">
        <f>1+D3</f>
        <v>5</v>
      </c>
      <c r="F3" s="214">
        <f t="shared" ref="F3:X3" si="0">+E3+1</f>
        <v>6</v>
      </c>
      <c r="G3" s="214">
        <f t="shared" si="0"/>
        <v>7</v>
      </c>
      <c r="H3" s="214">
        <f t="shared" si="0"/>
        <v>8</v>
      </c>
      <c r="I3" s="214">
        <f t="shared" si="0"/>
        <v>9</v>
      </c>
      <c r="J3" s="214">
        <f t="shared" si="0"/>
        <v>10</v>
      </c>
      <c r="K3" s="214">
        <f t="shared" si="0"/>
        <v>11</v>
      </c>
      <c r="L3" s="217">
        <f t="shared" si="0"/>
        <v>12</v>
      </c>
      <c r="M3" s="217">
        <f t="shared" si="0"/>
        <v>13</v>
      </c>
      <c r="N3" s="217">
        <f t="shared" si="0"/>
        <v>14</v>
      </c>
      <c r="O3" s="217">
        <f t="shared" si="0"/>
        <v>15</v>
      </c>
      <c r="P3" s="217">
        <f t="shared" si="0"/>
        <v>16</v>
      </c>
      <c r="Q3" s="217">
        <f t="shared" si="0"/>
        <v>17</v>
      </c>
      <c r="R3" s="217">
        <f t="shared" si="0"/>
        <v>18</v>
      </c>
      <c r="S3" s="217">
        <f t="shared" si="0"/>
        <v>19</v>
      </c>
      <c r="T3" s="217">
        <f t="shared" si="0"/>
        <v>20</v>
      </c>
      <c r="U3" s="214">
        <f t="shared" si="0"/>
        <v>21</v>
      </c>
      <c r="V3" s="214">
        <f t="shared" si="0"/>
        <v>22</v>
      </c>
      <c r="W3" s="214">
        <f t="shared" si="0"/>
        <v>23</v>
      </c>
      <c r="X3" s="214">
        <f t="shared" si="0"/>
        <v>24</v>
      </c>
      <c r="Y3" s="214">
        <f t="shared" ref="Y3:AD3" si="1">+X3+1</f>
        <v>25</v>
      </c>
      <c r="Z3" s="214">
        <f t="shared" si="1"/>
        <v>26</v>
      </c>
      <c r="AA3" s="214">
        <f>+Z3+1</f>
        <v>27</v>
      </c>
      <c r="AB3" s="214">
        <f>+AA3+1</f>
        <v>28</v>
      </c>
      <c r="AC3" s="214">
        <f t="shared" si="1"/>
        <v>29</v>
      </c>
      <c r="AD3" s="214">
        <f t="shared" si="1"/>
        <v>30</v>
      </c>
      <c r="AE3" s="235">
        <f t="shared" ref="AE3:AV3" si="2">+AD3+1</f>
        <v>31</v>
      </c>
      <c r="AF3" s="235">
        <f t="shared" si="2"/>
        <v>32</v>
      </c>
      <c r="AG3" s="235">
        <f t="shared" si="2"/>
        <v>33</v>
      </c>
      <c r="AH3" s="235">
        <f t="shared" si="2"/>
        <v>34</v>
      </c>
      <c r="AI3" s="235">
        <f t="shared" si="2"/>
        <v>35</v>
      </c>
      <c r="AJ3" s="235">
        <f t="shared" si="2"/>
        <v>36</v>
      </c>
      <c r="AK3" s="235">
        <f t="shared" si="2"/>
        <v>37</v>
      </c>
      <c r="AL3" s="235">
        <f t="shared" si="2"/>
        <v>38</v>
      </c>
      <c r="AM3" s="235">
        <f t="shared" si="2"/>
        <v>39</v>
      </c>
      <c r="AN3" s="214">
        <f t="shared" si="2"/>
        <v>40</v>
      </c>
      <c r="AO3" s="214">
        <f t="shared" si="2"/>
        <v>41</v>
      </c>
      <c r="AP3" s="214">
        <f t="shared" si="2"/>
        <v>42</v>
      </c>
      <c r="AQ3" s="214">
        <f t="shared" si="2"/>
        <v>43</v>
      </c>
      <c r="AR3" s="214">
        <f t="shared" si="2"/>
        <v>44</v>
      </c>
      <c r="AS3" s="214">
        <f t="shared" si="2"/>
        <v>45</v>
      </c>
      <c r="AT3" s="214">
        <f t="shared" si="2"/>
        <v>46</v>
      </c>
      <c r="AU3" s="214">
        <f t="shared" si="2"/>
        <v>47</v>
      </c>
      <c r="AV3" s="214">
        <f t="shared" si="2"/>
        <v>48</v>
      </c>
      <c r="AW3" s="217">
        <f>1+AV3</f>
        <v>49</v>
      </c>
      <c r="AX3" s="217">
        <f t="shared" ref="AX3:BF3" si="3">1+AW3</f>
        <v>50</v>
      </c>
      <c r="AY3" s="217">
        <f t="shared" si="3"/>
        <v>51</v>
      </c>
      <c r="AZ3" s="217">
        <f t="shared" si="3"/>
        <v>52</v>
      </c>
      <c r="BA3" s="217">
        <f t="shared" si="3"/>
        <v>53</v>
      </c>
      <c r="BB3" s="217">
        <f t="shared" si="3"/>
        <v>54</v>
      </c>
      <c r="BC3" s="217">
        <f t="shared" si="3"/>
        <v>55</v>
      </c>
      <c r="BD3" s="217">
        <f t="shared" si="3"/>
        <v>56</v>
      </c>
      <c r="BE3" s="217">
        <f t="shared" si="3"/>
        <v>57</v>
      </c>
      <c r="BF3" s="217">
        <f t="shared" si="3"/>
        <v>58</v>
      </c>
    </row>
    <row r="4" spans="1:65" x14ac:dyDescent="0.2">
      <c r="A4" s="198"/>
      <c r="B4" s="199"/>
      <c r="C4" s="199"/>
      <c r="D4" s="199"/>
      <c r="E4" s="199"/>
      <c r="F4" s="215" t="s">
        <v>272</v>
      </c>
      <c r="G4" s="215"/>
      <c r="H4" s="215"/>
      <c r="I4" s="216"/>
      <c r="J4" s="216"/>
      <c r="K4" s="216"/>
      <c r="L4" s="218" t="s">
        <v>270</v>
      </c>
      <c r="M4" s="219"/>
      <c r="N4" s="219"/>
      <c r="O4" s="219"/>
      <c r="P4" s="219"/>
      <c r="Q4" s="219"/>
      <c r="R4" s="219"/>
      <c r="S4" s="219"/>
      <c r="T4" s="219"/>
      <c r="U4" s="215" t="s">
        <v>277</v>
      </c>
      <c r="V4" s="215"/>
      <c r="W4" s="216"/>
      <c r="X4" s="216"/>
      <c r="Y4" s="216"/>
      <c r="Z4" s="216"/>
      <c r="AA4" s="226"/>
      <c r="AB4" s="226"/>
      <c r="AC4" s="216"/>
      <c r="AD4" s="216"/>
      <c r="AE4" s="239" t="s">
        <v>287</v>
      </c>
      <c r="AF4" s="239"/>
      <c r="AG4" s="239"/>
      <c r="AH4" s="236"/>
      <c r="AI4" s="236"/>
      <c r="AJ4" s="236"/>
      <c r="AK4" s="236"/>
      <c r="AL4" s="236"/>
      <c r="AM4" s="236"/>
      <c r="AN4" s="215" t="s">
        <v>277</v>
      </c>
      <c r="AO4" s="216"/>
      <c r="AP4" s="216"/>
      <c r="AQ4" s="216"/>
      <c r="AR4" s="216"/>
      <c r="AS4" s="216"/>
      <c r="AT4" s="216"/>
      <c r="AU4" s="216"/>
      <c r="AV4" s="216"/>
      <c r="AW4" s="218" t="s">
        <v>272</v>
      </c>
      <c r="AX4" s="219"/>
      <c r="AY4" s="219"/>
      <c r="AZ4" s="219"/>
      <c r="BA4" s="219"/>
      <c r="BB4" s="219"/>
      <c r="BC4" s="219"/>
      <c r="BD4" s="219"/>
      <c r="BE4" s="219"/>
      <c r="BF4" s="219"/>
      <c r="BG4" s="227"/>
      <c r="BH4" s="227"/>
      <c r="BI4" s="227"/>
      <c r="BJ4" s="227"/>
      <c r="BK4" s="227"/>
      <c r="BL4" s="227"/>
      <c r="BM4" s="227"/>
    </row>
    <row r="5" spans="1:65" ht="51" x14ac:dyDescent="0.2">
      <c r="A5" s="200" t="s">
        <v>259</v>
      </c>
      <c r="B5" s="201" t="s">
        <v>245</v>
      </c>
      <c r="C5" s="201" t="s">
        <v>17</v>
      </c>
      <c r="D5" s="200" t="s">
        <v>260</v>
      </c>
      <c r="E5" s="200" t="s">
        <v>261</v>
      </c>
      <c r="F5" s="212" t="s">
        <v>269</v>
      </c>
      <c r="G5" s="212" t="s">
        <v>311</v>
      </c>
      <c r="H5" s="212" t="s">
        <v>312</v>
      </c>
      <c r="I5" s="213" t="s">
        <v>273</v>
      </c>
      <c r="J5" s="213" t="s">
        <v>274</v>
      </c>
      <c r="K5" s="213" t="s">
        <v>402</v>
      </c>
      <c r="L5" s="220" t="s">
        <v>271</v>
      </c>
      <c r="M5" s="220" t="s">
        <v>275</v>
      </c>
      <c r="N5" s="220" t="s">
        <v>278</v>
      </c>
      <c r="O5" s="220" t="s">
        <v>279</v>
      </c>
      <c r="P5" s="220" t="s">
        <v>292</v>
      </c>
      <c r="Q5" s="220" t="s">
        <v>265</v>
      </c>
      <c r="R5" s="220" t="s">
        <v>266</v>
      </c>
      <c r="S5" s="220" t="s">
        <v>267</v>
      </c>
      <c r="T5" s="220"/>
      <c r="U5" s="213" t="s">
        <v>807</v>
      </c>
      <c r="V5" s="212" t="s">
        <v>315</v>
      </c>
      <c r="W5" s="213" t="s">
        <v>280</v>
      </c>
      <c r="X5" s="213" t="s">
        <v>278</v>
      </c>
      <c r="Y5" s="213" t="s">
        <v>279</v>
      </c>
      <c r="Z5" s="213" t="s">
        <v>292</v>
      </c>
      <c r="AA5" s="213" t="s">
        <v>265</v>
      </c>
      <c r="AB5" s="212" t="s">
        <v>641</v>
      </c>
      <c r="AC5" s="213" t="s">
        <v>267</v>
      </c>
      <c r="AD5" s="213"/>
      <c r="AE5" s="243" t="s">
        <v>313</v>
      </c>
      <c r="AF5" s="243" t="s">
        <v>314</v>
      </c>
      <c r="AG5" s="237" t="s">
        <v>288</v>
      </c>
      <c r="AH5" s="237" t="s">
        <v>280</v>
      </c>
      <c r="AI5" s="237" t="s">
        <v>278</v>
      </c>
      <c r="AJ5" s="243" t="s">
        <v>279</v>
      </c>
      <c r="AK5" s="237" t="s">
        <v>601</v>
      </c>
      <c r="AL5" s="237" t="s">
        <v>294</v>
      </c>
      <c r="AM5" s="237" t="s">
        <v>267</v>
      </c>
      <c r="AN5" s="213" t="s">
        <v>276</v>
      </c>
      <c r="AO5" s="213" t="s">
        <v>280</v>
      </c>
      <c r="AP5" s="213" t="s">
        <v>278</v>
      </c>
      <c r="AQ5" s="213" t="s">
        <v>279</v>
      </c>
      <c r="AR5" s="213" t="s">
        <v>292</v>
      </c>
      <c r="AS5" s="213" t="s">
        <v>294</v>
      </c>
      <c r="AT5" s="213" t="s">
        <v>447</v>
      </c>
      <c r="AU5" s="213" t="s">
        <v>267</v>
      </c>
      <c r="AV5" s="336" t="s">
        <v>285</v>
      </c>
      <c r="AW5" s="221" t="s">
        <v>281</v>
      </c>
      <c r="AX5" s="221" t="s">
        <v>282</v>
      </c>
      <c r="AY5" s="220" t="s">
        <v>283</v>
      </c>
      <c r="AZ5" s="221" t="s">
        <v>284</v>
      </c>
      <c r="BA5" s="221" t="s">
        <v>290</v>
      </c>
      <c r="BB5" s="221" t="s">
        <v>291</v>
      </c>
      <c r="BC5" s="228" t="s">
        <v>285</v>
      </c>
      <c r="BD5" s="229" t="s">
        <v>286</v>
      </c>
      <c r="BE5" s="230" t="s">
        <v>289</v>
      </c>
      <c r="BF5" s="230" t="s">
        <v>403</v>
      </c>
      <c r="BG5" s="231"/>
      <c r="BH5" s="231"/>
      <c r="BI5" s="231"/>
      <c r="BJ5" s="231"/>
      <c r="BK5" s="231"/>
      <c r="BL5" s="231"/>
      <c r="BM5" s="231"/>
    </row>
    <row r="6" spans="1:65" ht="15" customHeight="1" x14ac:dyDescent="0.25">
      <c r="A6" s="196">
        <v>1</v>
      </c>
      <c r="B6" s="211">
        <v>40634</v>
      </c>
      <c r="C6" s="211" t="str">
        <f>+'Retail Rates'!B7</f>
        <v>LGCMG865</v>
      </c>
      <c r="D6" s="197" t="str">
        <f>MID(C6,6,3)</f>
        <v>865</v>
      </c>
      <c r="E6" s="197" t="str">
        <f>VLOOKUP(C6,'Retail Rates'!$B$7:$D$35,3,FALSE)</f>
        <v>AAGS-C</v>
      </c>
      <c r="F6" s="222">
        <f>SUMIFS('Data-Retail'!$G$4:$G$269,'Data-Retail'!$A$4:$A$269,'Apr11-Mar12 Billed-RETAIL'!$B6,'Data-Retail'!$D$4:$D$269,'Apr11-Mar12 Billed-RETAIL'!$C6)</f>
        <v>7</v>
      </c>
      <c r="G6" s="222"/>
      <c r="H6" s="222"/>
      <c r="I6" s="222">
        <f>SUMIFS('Data-Retail'!$H$4:$H$269,'Data-Retail'!$A$4:$A$269,'Apr11-Mar12 Billed-RETAIL'!$B6,'Data-Retail'!$D$4:$D$269,'Apr11-Mar12 Billed-RETAIL'!$C6)</f>
        <v>100208</v>
      </c>
      <c r="J6" s="222">
        <f>SUMIFS('Data-Retail'!$I$4:$I$269,'Data-Retail'!$A$4:$A$269,'Apr11-Mar12 Billed-RETAIL'!$B6,'Data-Retail'!$D$4:$D$269,'Apr11-Mar12 Billed-RETAIL'!$C6)</f>
        <v>0</v>
      </c>
      <c r="K6" s="222"/>
      <c r="L6" s="223">
        <f>VLOOKUP($C6,'Retail Rates'!$B$7:$M$35,5,FALSE)</f>
        <v>275</v>
      </c>
      <c r="M6" s="223">
        <f>VLOOKUP($C6,'Retail Rates'!$B$7:$M$35,6,FALSE)</f>
        <v>0</v>
      </c>
      <c r="N6" s="224">
        <f>VLOOKUP($C6,'Retail Rates'!$B$7:$M$35,7,FALSE)</f>
        <v>5.2519999999999997E-2</v>
      </c>
      <c r="O6" s="224">
        <f>VLOOKUP($C6,'Retail Rates'!$B$7:$M$35,8,FALSE)</f>
        <v>0</v>
      </c>
      <c r="P6" s="224">
        <f>VLOOKUP($B6,'GSC-DSM Factors'!$A$1:$B$46,2,FALSE)</f>
        <v>0.5272</v>
      </c>
      <c r="Q6" s="223">
        <f>VLOOKUP($C6,'Retail Rates'!$B$7:$M$35,9,FALSE)</f>
        <v>0</v>
      </c>
      <c r="R6" s="224">
        <f>VLOOKUP($C6,'Retail Rates'!$B$7:$M$35,10,FALSE)</f>
        <v>0</v>
      </c>
      <c r="S6" s="223">
        <f>VLOOKUP($C6,'Retail Rates'!$B$7:$M$35,11,FALSE)</f>
        <v>0</v>
      </c>
      <c r="T6" s="223"/>
      <c r="U6" s="225">
        <f t="shared" ref="U6:U29" si="4">(+F6*L6)+(G6*L6)</f>
        <v>1925</v>
      </c>
      <c r="V6" s="225"/>
      <c r="W6" s="225"/>
      <c r="X6" s="225">
        <f t="shared" ref="X6:X11" si="5">+I6*N6</f>
        <v>5262.9241599999996</v>
      </c>
      <c r="Y6" s="225">
        <f t="shared" ref="Y6:Y11" si="6">+J6*O6</f>
        <v>0</v>
      </c>
      <c r="Z6" s="225">
        <f>SUM(I6:J6)*P6</f>
        <v>52829.657599999999</v>
      </c>
      <c r="AA6" s="225"/>
      <c r="AB6" s="225"/>
      <c r="AC6" s="225"/>
      <c r="AD6" s="225"/>
      <c r="AE6" s="244">
        <f>SUMIFS(Adjustments!H$5:H$684,Adjustments!$B$5:$B$684,'Apr11-Mar12 Billed-RETAIL'!$B6,Adjustments!$C$5:$C$684,'Apr11-Mar12 Billed-RETAIL'!$C6)</f>
        <v>-10</v>
      </c>
      <c r="AF6" s="244">
        <f>SUMIFS(Adjustments!I$5:I$684,Adjustments!$B$5:$B$684,'Apr11-Mar12 Billed-RETAIL'!$B6,Adjustments!$C$5:$C$684,'Apr11-Mar12 Billed-RETAIL'!$C6)</f>
        <v>0</v>
      </c>
      <c r="AG6" s="238">
        <f>SUMIFS(Adjustments!J$5:J$684,Adjustments!$B$5:$B$684,'Apr11-Mar12 Billed-RETAIL'!$B6,Adjustments!$C$5:$C$684,'Apr11-Mar12 Billed-RETAIL'!$C6)</f>
        <v>137.5</v>
      </c>
      <c r="AH6" s="238">
        <f>SUMIFS(Adjustments!K$5:K$684,Adjustments!$B$5:$B$684,'Apr11-Mar12 Billed-RETAIL'!$B6,Adjustments!$C$5:$C$684,'Apr11-Mar12 Billed-RETAIL'!$C6)</f>
        <v>0</v>
      </c>
      <c r="AI6" s="238">
        <f>SUMIFS(Adjustments!L$5:L$684,Adjustments!$B$5:$B$684,'Apr11-Mar12 Billed-RETAIL'!$B6,Adjustments!$C$5:$C$684,'Apr11-Mar12 Billed-RETAIL'!$C6)</f>
        <v>0</v>
      </c>
      <c r="AJ6" s="238">
        <f>SUMIFS(Adjustments!M$5:M$684,Adjustments!$B$5:$B$684,'Apr11-Mar12 Billed-RETAIL'!$B6,Adjustments!$C$5:$C$684,'Apr11-Mar12 Billed-RETAIL'!$C6)</f>
        <v>0</v>
      </c>
      <c r="AK6" s="238">
        <f>SUMIFS(Adjustments!N$5:N$684,Adjustments!$B$5:$B$684,'Apr11-Mar12 Billed-RETAIL'!$B6,Adjustments!$C$5:$C$684,'Apr11-Mar12 Billed-RETAIL'!$C6)</f>
        <v>-34.020000000000003</v>
      </c>
      <c r="AL6" s="238">
        <f>SUMIFS(Adjustments!O$5:O$684,Adjustments!$B$5:$B$684,'Apr11-Mar12 Billed-RETAIL'!$B6,Adjustments!$C$5:$C$684,'Apr11-Mar12 Billed-RETAIL'!$C6)</f>
        <v>0</v>
      </c>
      <c r="AM6" s="238">
        <f>SUMIFS(Adjustments!P$5:P$684,Adjustments!$B$5:$B$684,'Apr11-Mar12 Billed-RETAIL'!$B6,Adjustments!$C$5:$C$684,'Apr11-Mar12 Billed-RETAIL'!$C6)</f>
        <v>0</v>
      </c>
      <c r="AN6" s="225">
        <f>+U6+AG6+(AE6*L6)</f>
        <v>-687.5</v>
      </c>
      <c r="AO6" s="225">
        <f>+W6+AH6</f>
        <v>0</v>
      </c>
      <c r="AP6" s="225">
        <f>+X6+AI6</f>
        <v>5262.9241599999996</v>
      </c>
      <c r="AQ6" s="225">
        <f>+Y6+AJ6</f>
        <v>0</v>
      </c>
      <c r="AR6" s="232">
        <f ca="1">SUMIF('SBR Apr11'!$D$4:$S$90,'Apr11-Mar12 Billed-RETAIL'!$C6,'SBR Apr11'!$N$4:$N$90)</f>
        <v>52795.64</v>
      </c>
      <c r="AS6" s="232">
        <f ca="1">SUMIF('SBR Apr11'!$D$4:$S$90,'Apr11-Mar12 Billed-RETAIL'!$C6,'SBR Apr11'!$M$4:$M$90)</f>
        <v>90.35</v>
      </c>
      <c r="AT6" s="232">
        <f ca="1">SUMIF('SBR Apr11'!$D$4:$S$90,'Apr11-Mar12 Billed-RETAIL'!$C6,'SBR Apr11'!$O$4:$O$90)</f>
        <v>0</v>
      </c>
      <c r="AU6" s="225">
        <f>+AC6+AM6</f>
        <v>0</v>
      </c>
      <c r="AV6" s="225"/>
      <c r="AW6" s="232">
        <f ca="1">ROUND(SUM(AN6:AV6),2)</f>
        <v>57461.41</v>
      </c>
      <c r="AX6" s="232">
        <f t="shared" ref="AX6:AX29" ca="1" si="7">SUM(AZ6:BF6)-BC6</f>
        <v>57461.42</v>
      </c>
      <c r="AY6" s="233">
        <f ca="1">IF(AX6=0,0,ROUND(AX6/AW6,6))</f>
        <v>1</v>
      </c>
      <c r="AZ6" s="232">
        <f ca="1">SUMIF('SBR Apr11'!$D$4:$S$90,'Apr11-Mar12 Billed-RETAIL'!$C6,'SBR Apr11'!$M$4:$M$90)</f>
        <v>90.35</v>
      </c>
      <c r="BA6" s="232">
        <f ca="1">SUMIF('SBR Apr11'!$D$4:$S$90,'Apr11-Mar12 Billed-RETAIL'!$C6,'SBR Apr11'!$N$4:$N$90)</f>
        <v>52795.64</v>
      </c>
      <c r="BB6" s="232">
        <f ca="1">SUMIF('SBR Apr11'!$D$4:$S$90,'Apr11-Mar12 Billed-RETAIL'!$C6,'SBR Apr11'!$O$4:$O$90)</f>
        <v>0</v>
      </c>
      <c r="BC6" s="232">
        <f ca="1">SUMIF('SBR Apr11'!$D$4:$S$90,'Apr11-Mar12 Billed-RETAIL'!$C6,'SBR Apr11'!$Q$4:$Q$90)</f>
        <v>0</v>
      </c>
      <c r="BD6" s="232">
        <f ca="1">SUMIF('SBR Apr11'!$D$4:$S$90,'Apr11-Mar12 Billed-RETAIL'!$C6,'SBR Apr11'!$K$4:$K$90)</f>
        <v>-687.5</v>
      </c>
      <c r="BE6" s="232">
        <f ca="1">SUMIF('SBR Apr11'!$D$4:$S$90,'Apr11-Mar12 Billed-RETAIL'!$C6,'SBR Apr11'!$L$4:$L$90)</f>
        <v>5262.93</v>
      </c>
      <c r="BF6" s="232"/>
      <c r="BG6" s="234"/>
      <c r="BH6" s="234"/>
      <c r="BI6" s="234"/>
      <c r="BJ6" s="234"/>
      <c r="BK6" s="234"/>
      <c r="BL6" s="234"/>
      <c r="BM6" s="234"/>
    </row>
    <row r="7" spans="1:65" ht="15" customHeight="1" x14ac:dyDescent="0.25">
      <c r="A7" s="196">
        <f>+A6+1</f>
        <v>2</v>
      </c>
      <c r="B7" s="211">
        <v>40634</v>
      </c>
      <c r="C7" s="211" t="str">
        <f>+'Retail Rates'!B10</f>
        <v>LGING866</v>
      </c>
      <c r="D7" s="197" t="str">
        <f t="shared" ref="D7:D17" si="8">MID(C7,6,3)</f>
        <v>866</v>
      </c>
      <c r="E7" s="197" t="str">
        <f>VLOOKUP(C7,'Retail Rates'!$B$7:$D$35,3,FALSE)</f>
        <v>AAGS-I</v>
      </c>
      <c r="F7" s="222">
        <f>SUMIFS('Data-Retail'!$G$4:$G$269,'Data-Retail'!$A$4:$A$269,'Apr11-Mar12 Billed-RETAIL'!$B7,'Data-Retail'!$D$4:$D$269,'Apr11-Mar12 Billed-RETAIL'!$C7)</f>
        <v>8</v>
      </c>
      <c r="G7" s="222"/>
      <c r="H7" s="222"/>
      <c r="I7" s="222">
        <f>SUMIFS('Data-Retail'!$H$4:$H$269,'Data-Retail'!$A$4:$A$269,'Apr11-Mar12 Billed-RETAIL'!$B7,'Data-Retail'!$D$4:$D$269,'Apr11-Mar12 Billed-RETAIL'!$C7)</f>
        <v>172570</v>
      </c>
      <c r="J7" s="222">
        <f>SUMIFS('Data-Retail'!$I$4:$I$269,'Data-Retail'!$A$4:$A$269,'Apr11-Mar12 Billed-RETAIL'!$B7,'Data-Retail'!$D$4:$D$269,'Apr11-Mar12 Billed-RETAIL'!$C7)</f>
        <v>0</v>
      </c>
      <c r="K7" s="222"/>
      <c r="L7" s="223">
        <f>VLOOKUP($C7,'Retail Rates'!$B$7:$M$35,5,FALSE)</f>
        <v>275</v>
      </c>
      <c r="M7" s="223">
        <f>VLOOKUP($C7,'Retail Rates'!$B$7:$M$35,6,FALSE)</f>
        <v>0</v>
      </c>
      <c r="N7" s="224">
        <f>VLOOKUP($C7,'Retail Rates'!$B$7:$M$35,7,FALSE)</f>
        <v>5.2519999999999997E-2</v>
      </c>
      <c r="O7" s="224">
        <f>VLOOKUP($C7,'Retail Rates'!$B$7:$M$35,8,FALSE)</f>
        <v>0</v>
      </c>
      <c r="P7" s="224">
        <f>VLOOKUP($B7,'GSC-DSM Factors'!$A$1:$B$46,2,FALSE)</f>
        <v>0.5272</v>
      </c>
      <c r="Q7" s="223">
        <f>VLOOKUP($C7,'Retail Rates'!$B$7:$M$35,9,FALSE)</f>
        <v>0</v>
      </c>
      <c r="R7" s="224">
        <f>VLOOKUP($C7,'Retail Rates'!$B$7:$M$35,10,FALSE)</f>
        <v>0</v>
      </c>
      <c r="S7" s="223">
        <f>VLOOKUP($C7,'Retail Rates'!$B$7:$M$35,11,FALSE)</f>
        <v>0</v>
      </c>
      <c r="T7" s="223"/>
      <c r="U7" s="225">
        <f t="shared" si="4"/>
        <v>2200</v>
      </c>
      <c r="V7" s="225"/>
      <c r="W7" s="225"/>
      <c r="X7" s="225">
        <f t="shared" si="5"/>
        <v>9063.3763999999992</v>
      </c>
      <c r="Y7" s="225">
        <f t="shared" si="6"/>
        <v>0</v>
      </c>
      <c r="Z7" s="225">
        <f>SUM(I7:J7)*P7</f>
        <v>90978.903999999995</v>
      </c>
      <c r="AA7" s="225"/>
      <c r="AB7" s="225"/>
      <c r="AC7" s="225"/>
      <c r="AD7" s="225"/>
      <c r="AE7" s="244">
        <f>SUMIFS(Adjustments!H$5:H$684,Adjustments!$B$5:$B$684,'Apr11-Mar12 Billed-RETAIL'!$B7,Adjustments!$C$5:$C$684,'Apr11-Mar12 Billed-RETAIL'!$C7)</f>
        <v>0</v>
      </c>
      <c r="AF7" s="244">
        <f>SUMIFS(Adjustments!I$5:I$684,Adjustments!$B$5:$B$684,'Apr11-Mar12 Billed-RETAIL'!$B7,Adjustments!$C$5:$C$684,'Apr11-Mar12 Billed-RETAIL'!$C7)</f>
        <v>0</v>
      </c>
      <c r="AG7" s="238">
        <f>SUMIFS(Adjustments!J$5:J$684,Adjustments!$B$5:$B$684,'Apr11-Mar12 Billed-RETAIL'!$B7,Adjustments!$C$5:$C$684,'Apr11-Mar12 Billed-RETAIL'!$C7)</f>
        <v>0</v>
      </c>
      <c r="AH7" s="238">
        <f>SUMIFS(Adjustments!K$5:K$684,Adjustments!$B$5:$B$684,'Apr11-Mar12 Billed-RETAIL'!$B7,Adjustments!$C$5:$C$684,'Apr11-Mar12 Billed-RETAIL'!$C7)</f>
        <v>0</v>
      </c>
      <c r="AI7" s="238">
        <f>SUMIFS(Adjustments!L$5:L$684,Adjustments!$B$5:$B$684,'Apr11-Mar12 Billed-RETAIL'!$B7,Adjustments!$C$5:$C$684,'Apr11-Mar12 Billed-RETAIL'!$C7)</f>
        <v>0</v>
      </c>
      <c r="AJ7" s="238">
        <f>SUMIFS(Adjustments!M$5:M$684,Adjustments!$B$5:$B$684,'Apr11-Mar12 Billed-RETAIL'!$B7,Adjustments!$C$5:$C$684,'Apr11-Mar12 Billed-RETAIL'!$C7)</f>
        <v>0</v>
      </c>
      <c r="AK7" s="238">
        <f>SUMIFS(Adjustments!N$5:N$684,Adjustments!$B$5:$B$684,'Apr11-Mar12 Billed-RETAIL'!$B7,Adjustments!$C$5:$C$684,'Apr11-Mar12 Billed-RETAIL'!$C7)</f>
        <v>0</v>
      </c>
      <c r="AL7" s="238">
        <f>SUMIFS(Adjustments!O$5:O$684,Adjustments!$B$5:$B$684,'Apr11-Mar12 Billed-RETAIL'!$B7,Adjustments!$C$5:$C$684,'Apr11-Mar12 Billed-RETAIL'!$C7)</f>
        <v>0</v>
      </c>
      <c r="AM7" s="238">
        <f>SUMIFS(Adjustments!P$5:P$684,Adjustments!$B$5:$B$684,'Apr11-Mar12 Billed-RETAIL'!$B7,Adjustments!$C$5:$C$684,'Apr11-Mar12 Billed-RETAIL'!$C7)</f>
        <v>0</v>
      </c>
      <c r="AN7" s="225">
        <f>+U7+AG7+(AE7*L7)</f>
        <v>2200</v>
      </c>
      <c r="AO7" s="225">
        <f t="shared" ref="AO7:AO28" si="9">+W7+AH7</f>
        <v>0</v>
      </c>
      <c r="AP7" s="225">
        <f t="shared" ref="AP7:AP28" si="10">+X7+AI7</f>
        <v>9063.3763999999992</v>
      </c>
      <c r="AQ7" s="225">
        <f t="shared" ref="AQ7:AQ28" si="11">+Y7+AJ7</f>
        <v>0</v>
      </c>
      <c r="AR7" s="232">
        <f ca="1">SUMIF('SBR Apr11'!$D$4:$S$90,'Apr11-Mar12 Billed-RETAIL'!$C7,'SBR Apr11'!$N$4:$N$90)</f>
        <v>90978.9</v>
      </c>
      <c r="AS7" s="232">
        <f ca="1">SUMIF('SBR Apr11'!$D$4:$S$90,'Apr11-Mar12 Billed-RETAIL'!$C7,'SBR Apr11'!$M$4:$M$90)</f>
        <v>0</v>
      </c>
      <c r="AT7" s="232">
        <f ca="1">SUMIF('SBR Apr11'!$D$4:$S$90,'Apr11-Mar12 Billed-RETAIL'!$C7,'SBR Apr11'!$O$4:$O$90)</f>
        <v>0</v>
      </c>
      <c r="AU7" s="225">
        <f t="shared" ref="AU7:AU28" si="12">+AC7+AM7</f>
        <v>0</v>
      </c>
      <c r="AV7" s="225"/>
      <c r="AW7" s="232">
        <f t="shared" ref="AW7:AW17" ca="1" si="13">ROUND(SUM(AN7:AV7),2)</f>
        <v>102242.28</v>
      </c>
      <c r="AX7" s="232">
        <f t="shared" ca="1" si="7"/>
        <v>102242.29</v>
      </c>
      <c r="AY7" s="233">
        <f t="shared" ref="AY7:AY17" ca="1" si="14">IF(AX7=0,0,ROUND(AX7/AW7,6))</f>
        <v>1</v>
      </c>
      <c r="AZ7" s="232">
        <f ca="1">SUMIF('SBR Apr11'!$D$4:$S$90,'Apr11-Mar12 Billed-RETAIL'!$C7,'SBR Apr11'!$M$4:$M$90)</f>
        <v>0</v>
      </c>
      <c r="BA7" s="232">
        <f ca="1">SUMIF('SBR Apr11'!$D$4:$S$90,'Apr11-Mar12 Billed-RETAIL'!$C7,'SBR Apr11'!$N$4:$N$90)</f>
        <v>90978.9</v>
      </c>
      <c r="BB7" s="232">
        <f ca="1">SUMIF('SBR Apr11'!$D$4:$S$90,'Apr11-Mar12 Billed-RETAIL'!$C7,'SBR Apr11'!$O$4:$O$90)</f>
        <v>0</v>
      </c>
      <c r="BC7" s="232">
        <f ca="1">SUMIF('SBR Apr11'!$D$4:$S$90,'Apr11-Mar12 Billed-RETAIL'!$C7,'SBR Apr11'!$Q$4:$Q$90)</f>
        <v>0</v>
      </c>
      <c r="BD7" s="232">
        <f ca="1">SUMIF('SBR Apr11'!$D$4:$S$90,'Apr11-Mar12 Billed-RETAIL'!$C7,'SBR Apr11'!$K$4:$K$90)</f>
        <v>2200</v>
      </c>
      <c r="BE7" s="232">
        <f ca="1">SUMIF('SBR Apr11'!$D$4:$S$90,'Apr11-Mar12 Billed-RETAIL'!$C7,'SBR Apr11'!$L$4:$L$90)</f>
        <v>9063.39</v>
      </c>
      <c r="BF7" s="232"/>
    </row>
    <row r="8" spans="1:65" ht="15" x14ac:dyDescent="0.25">
      <c r="A8" s="196">
        <f t="shared" ref="A8:A71" si="15">+A7+1</f>
        <v>3</v>
      </c>
      <c r="B8" s="211">
        <v>40634</v>
      </c>
      <c r="C8" s="211" t="str">
        <f>+'Retail Rates'!B13</f>
        <v>LGCMG851</v>
      </c>
      <c r="D8" s="197" t="str">
        <f t="shared" si="8"/>
        <v>851</v>
      </c>
      <c r="E8" s="197" t="str">
        <f>VLOOKUP(C8,'Retail Rates'!$B$7:$D$35,3,FALSE)</f>
        <v>CGS</v>
      </c>
      <c r="F8" s="222"/>
      <c r="G8" s="222">
        <f>SUMIFS(Adjustments!F$5:F$151,Adjustments!$B$5:$B$151,'Apr11-Mar12 Billed-RETAIL'!$B8,Adjustments!$C$5:$C$151,'Apr11-Mar12 Billed-RETAIL'!$C8)</f>
        <v>24100</v>
      </c>
      <c r="H8" s="222">
        <f>SUMIFS(Adjustments!G$5:G$151,Adjustments!$B$5:$B$151,'Apr11-Mar12 Billed-RETAIL'!$B8,Adjustments!$C$5:$C$151,'Apr11-Mar12 Billed-RETAIL'!$C8)</f>
        <v>1053</v>
      </c>
      <c r="I8" s="222">
        <f>SUMIFS('Data-Retail'!$H$4:$H$269,'Data-Retail'!$A$4:$A$269,'Apr11-Mar12 Billed-RETAIL'!$B8,'Data-Retail'!$D$4:$D$269,'Apr11-Mar12 Billed-RETAIL'!$C8)</f>
        <v>5866171</v>
      </c>
      <c r="J8" s="222">
        <f>SUMIFS('Data-Retail'!$I$4:$I$269,'Data-Retail'!$A$4:$A$269,'Apr11-Mar12 Billed-RETAIL'!$B8,'Data-Retail'!$D$4:$D$269,'Apr11-Mar12 Billed-RETAIL'!$C8)</f>
        <v>2875303</v>
      </c>
      <c r="K8" s="222"/>
      <c r="L8" s="223">
        <f>VLOOKUP($C8,'Retail Rates'!$B$7:$M$35,5,FALSE)</f>
        <v>30</v>
      </c>
      <c r="M8" s="223">
        <f>VLOOKUP($C8,'Retail Rates'!$B$7:$M$35,6,FALSE)</f>
        <v>170</v>
      </c>
      <c r="N8" s="224">
        <f>VLOOKUP($C8,'Retail Rates'!$B$7:$M$35,7,FALSE)</f>
        <v>0.18722</v>
      </c>
      <c r="O8" s="224">
        <f>VLOOKUP($C8,'Retail Rates'!$B$7:$M$35,8,FALSE)</f>
        <v>0.13722000000000001</v>
      </c>
      <c r="P8" s="224">
        <f>VLOOKUP($B8,'GSC-DSM Factors'!$A$1:$B$46,2,FALSE)</f>
        <v>0.5272</v>
      </c>
      <c r="Q8" s="223">
        <f>VLOOKUP($C8,'Retail Rates'!$B$7:$M$35,9,FALSE)</f>
        <v>0</v>
      </c>
      <c r="R8" s="224">
        <f>VLOOKUP($C8,'Retail Rates'!$B$7:$M$35,10,FALSE)</f>
        <v>0</v>
      </c>
      <c r="S8" s="223">
        <f>VLOOKUP($C8,'Retail Rates'!$B$7:$M$35,11,FALSE)</f>
        <v>0</v>
      </c>
      <c r="T8" s="223"/>
      <c r="U8" s="225">
        <f t="shared" si="4"/>
        <v>723000</v>
      </c>
      <c r="V8" s="225"/>
      <c r="W8" s="225">
        <f>+H8*M8</f>
        <v>179010</v>
      </c>
      <c r="X8" s="225">
        <f t="shared" si="5"/>
        <v>1098264.53462</v>
      </c>
      <c r="Y8" s="225">
        <f t="shared" si="6"/>
        <v>394549.07766000001</v>
      </c>
      <c r="Z8" s="225">
        <f>SUM(I8:J8)*P8</f>
        <v>4608505.0927999998</v>
      </c>
      <c r="AA8" s="225"/>
      <c r="AB8" s="225"/>
      <c r="AC8" s="225"/>
      <c r="AD8" s="225"/>
      <c r="AE8" s="244">
        <f>SUMIFS(Adjustments!H$5:H$684,Adjustments!$B$5:$B$684,'Apr11-Mar12 Billed-RETAIL'!$B8,Adjustments!$C$5:$C$684,'Apr11-Mar12 Billed-RETAIL'!$C8)</f>
        <v>0</v>
      </c>
      <c r="AF8" s="244">
        <f>SUMIFS(Adjustments!I$5:I$684,Adjustments!$B$5:$B$684,'Apr11-Mar12 Billed-RETAIL'!$B8,Adjustments!$C$5:$C$684,'Apr11-Mar12 Billed-RETAIL'!$C8)</f>
        <v>0</v>
      </c>
      <c r="AG8" s="238">
        <f>SUMIFS(Adjustments!J$5:J$684,Adjustments!$B$5:$B$684,'Apr11-Mar12 Billed-RETAIL'!$B8,Adjustments!$C$5:$C$684,'Apr11-Mar12 Billed-RETAIL'!$C8)</f>
        <v>376.05</v>
      </c>
      <c r="AH8" s="238">
        <f>SUMIFS(Adjustments!K$5:K$684,Adjustments!$B$5:$B$684,'Apr11-Mar12 Billed-RETAIL'!$B8,Adjustments!$C$5:$C$684,'Apr11-Mar12 Billed-RETAIL'!$C8)</f>
        <v>-30.71</v>
      </c>
      <c r="AI8" s="238">
        <f>SUMIFS(Adjustments!L$5:L$684,Adjustments!$B$5:$B$684,'Apr11-Mar12 Billed-RETAIL'!$B8,Adjustments!$C$5:$C$684,'Apr11-Mar12 Billed-RETAIL'!$C8)</f>
        <v>-39.58</v>
      </c>
      <c r="AJ8" s="238">
        <f>SUMIFS(Adjustments!M$5:M$684,Adjustments!$B$5:$B$684,'Apr11-Mar12 Billed-RETAIL'!$B8,Adjustments!$C$5:$C$684,'Apr11-Mar12 Billed-RETAIL'!$C8)</f>
        <v>0</v>
      </c>
      <c r="AK8" s="238">
        <f>SUMIFS(Adjustments!N$5:N$684,Adjustments!$B$5:$B$684,'Apr11-Mar12 Billed-RETAIL'!$B8,Adjustments!$C$5:$C$684,'Apr11-Mar12 Billed-RETAIL'!$C8)</f>
        <v>-123.67</v>
      </c>
      <c r="AL8" s="238">
        <f>SUMIFS(Adjustments!O$5:O$684,Adjustments!$B$5:$B$684,'Apr11-Mar12 Billed-RETAIL'!$B8,Adjustments!$C$5:$C$684,'Apr11-Mar12 Billed-RETAIL'!$C8)</f>
        <v>0</v>
      </c>
      <c r="AM8" s="238">
        <f>SUMIFS(Adjustments!P$5:P$684,Adjustments!$B$5:$B$684,'Apr11-Mar12 Billed-RETAIL'!$B8,Adjustments!$C$5:$C$684,'Apr11-Mar12 Billed-RETAIL'!$C8)</f>
        <v>0</v>
      </c>
      <c r="AN8" s="225">
        <f>+U8+AG8+(AE8*L8)</f>
        <v>723376.05</v>
      </c>
      <c r="AO8" s="225">
        <f t="shared" si="9"/>
        <v>178979.29</v>
      </c>
      <c r="AP8" s="225">
        <f t="shared" si="10"/>
        <v>1098224.95462</v>
      </c>
      <c r="AQ8" s="225">
        <f t="shared" si="11"/>
        <v>394549.07766000001</v>
      </c>
      <c r="AR8" s="232">
        <f ca="1">SUMIF('SBR Apr11'!$D$4:$S$90,'Apr11-Mar12 Billed-RETAIL'!$C8,'SBR Apr11'!$N$4:$N$90)</f>
        <v>4608381.42</v>
      </c>
      <c r="AS8" s="232">
        <f ca="1">SUMIF('SBR Apr11'!$D$4:$S$90,'Apr11-Mar12 Billed-RETAIL'!$C8,'SBR Apr11'!$M$4:$M$90)</f>
        <v>7754.96</v>
      </c>
      <c r="AT8" s="232">
        <f ca="1">SUMIF('SBR Apr11'!$D$4:$S$90,'Apr11-Mar12 Billed-RETAIL'!$C8,'SBR Apr11'!$O$4:$O$90)</f>
        <v>223103.03</v>
      </c>
      <c r="AU8" s="225">
        <f t="shared" si="12"/>
        <v>0</v>
      </c>
      <c r="AV8" s="225"/>
      <c r="AW8" s="232">
        <f t="shared" ca="1" si="13"/>
        <v>7234368.7800000003</v>
      </c>
      <c r="AX8" s="232">
        <f t="shared" ca="1" si="7"/>
        <v>7234368.7800000003</v>
      </c>
      <c r="AY8" s="233">
        <f t="shared" ca="1" si="14"/>
        <v>1</v>
      </c>
      <c r="AZ8" s="232">
        <f ca="1">SUMIF('SBR Apr11'!$D$4:$S$90,'Apr11-Mar12 Billed-RETAIL'!$C8,'SBR Apr11'!$M$4:$M$90)</f>
        <v>7754.96</v>
      </c>
      <c r="BA8" s="232">
        <f ca="1">SUMIF('SBR Apr11'!$D$4:$S$90,'Apr11-Mar12 Billed-RETAIL'!$C8,'SBR Apr11'!$N$4:$N$90)</f>
        <v>4608381.42</v>
      </c>
      <c r="BB8" s="232">
        <f ca="1">SUMIF('SBR Apr11'!$D$4:$S$90,'Apr11-Mar12 Billed-RETAIL'!$C8,'SBR Apr11'!$O$4:$O$90)</f>
        <v>223103.03</v>
      </c>
      <c r="BC8" s="232">
        <f ca="1">SUMIF('SBR Apr11'!$D$4:$S$90,'Apr11-Mar12 Billed-RETAIL'!$C8,'SBR Apr11'!$Q$4:$Q$90)</f>
        <v>0</v>
      </c>
      <c r="BD8" s="232">
        <f ca="1">SUMIF('SBR Apr11'!$D$4:$S$90,'Apr11-Mar12 Billed-RETAIL'!$C8,'SBR Apr11'!$K$4:$K$90)</f>
        <v>902355.34</v>
      </c>
      <c r="BE8" s="232">
        <f ca="1">SUMIF('SBR Apr11'!$D$4:$S$90,'Apr11-Mar12 Billed-RETAIL'!$C8,'SBR Apr11'!$L$4:$L$90)</f>
        <v>1492774.03</v>
      </c>
      <c r="BF8" s="232"/>
    </row>
    <row r="9" spans="1:65" ht="15" x14ac:dyDescent="0.25">
      <c r="A9" s="196">
        <f t="shared" si="15"/>
        <v>4</v>
      </c>
      <c r="B9" s="211">
        <v>40634</v>
      </c>
      <c r="C9" s="211" t="str">
        <f>+'Retail Rates'!B14</f>
        <v>LGUMG860</v>
      </c>
      <c r="D9" s="197" t="str">
        <f t="shared" si="8"/>
        <v>860</v>
      </c>
      <c r="E9" s="197" t="str">
        <f>VLOOKUP(C9,'Retail Rates'!$B$7:$D$35,3,FALSE)</f>
        <v>CGS</v>
      </c>
      <c r="F9" s="222"/>
      <c r="G9" s="222">
        <f>SUMIFS(Adjustments!F$5:F$151,Adjustments!$B$5:$B$151,'Apr11-Mar12 Billed-RETAIL'!$B9,Adjustments!$C$5:$C$151,'Apr11-Mar12 Billed-RETAIL'!$C9)</f>
        <v>19</v>
      </c>
      <c r="H9" s="222">
        <f>SUMIFS(Adjustments!G$5:G$151,Adjustments!$B$5:$B$151,'Apr11-Mar12 Billed-RETAIL'!$B9,Adjustments!$C$5:$C$151,'Apr11-Mar12 Billed-RETAIL'!$C9)</f>
        <v>0</v>
      </c>
      <c r="I9" s="222">
        <f>SUMIFS('Data-Retail'!$H$4:$H$269,'Data-Retail'!$A$4:$A$269,'Apr11-Mar12 Billed-RETAIL'!$B9,'Data-Retail'!$D$4:$D$269,'Apr11-Mar12 Billed-RETAIL'!$C9)</f>
        <v>358</v>
      </c>
      <c r="J9" s="222">
        <f>SUMIFS('Data-Retail'!$I$4:$I$269,'Data-Retail'!$A$4:$A$269,'Apr11-Mar12 Billed-RETAIL'!$B9,'Data-Retail'!$D$4:$D$269,'Apr11-Mar12 Billed-RETAIL'!$C9)</f>
        <v>0</v>
      </c>
      <c r="K9" s="222"/>
      <c r="L9" s="223">
        <f>VLOOKUP($C9,'Retail Rates'!$B$7:$M$35,5,FALSE)</f>
        <v>30</v>
      </c>
      <c r="M9" s="223">
        <f>VLOOKUP($C9,'Retail Rates'!$B$7:$M$35,6,FALSE)</f>
        <v>170</v>
      </c>
      <c r="N9" s="224">
        <f>VLOOKUP($C9,'Retail Rates'!$B$7:$M$35,7,FALSE)</f>
        <v>0.18722</v>
      </c>
      <c r="O9" s="224">
        <f>VLOOKUP($C9,'Retail Rates'!$B$7:$M$35,8,FALSE)</f>
        <v>0.13722000000000001</v>
      </c>
      <c r="P9" s="224">
        <f>VLOOKUP($B9,'GSC-DSM Factors'!$A$1:$B$46,2,FALSE)</f>
        <v>0.5272</v>
      </c>
      <c r="Q9" s="223">
        <f>VLOOKUP($C9,'Retail Rates'!$B$7:$M$35,9,FALSE)</f>
        <v>0</v>
      </c>
      <c r="R9" s="224">
        <f>VLOOKUP($C9,'Retail Rates'!$B$7:$M$35,10,FALSE)</f>
        <v>0</v>
      </c>
      <c r="S9" s="223">
        <f>VLOOKUP($C9,'Retail Rates'!$B$7:$M$35,11,FALSE)</f>
        <v>0</v>
      </c>
      <c r="T9" s="223"/>
      <c r="U9" s="225">
        <f t="shared" si="4"/>
        <v>570</v>
      </c>
      <c r="V9" s="225"/>
      <c r="W9" s="225">
        <f>+H9*M9</f>
        <v>0</v>
      </c>
      <c r="X9" s="225">
        <f t="shared" si="5"/>
        <v>67.024760000000001</v>
      </c>
      <c r="Y9" s="225">
        <f t="shared" si="6"/>
        <v>0</v>
      </c>
      <c r="Z9" s="225">
        <f>SUM(I9:J9)*P9</f>
        <v>188.73760000000001</v>
      </c>
      <c r="AA9" s="225"/>
      <c r="AB9" s="225"/>
      <c r="AC9" s="225"/>
      <c r="AD9" s="225"/>
      <c r="AE9" s="244">
        <f>SUMIFS(Adjustments!H$5:H$684,Adjustments!$B$5:$B$684,'Apr11-Mar12 Billed-RETAIL'!$B9,Adjustments!$C$5:$C$684,'Apr11-Mar12 Billed-RETAIL'!$C9)</f>
        <v>0</v>
      </c>
      <c r="AF9" s="244">
        <f>SUMIFS(Adjustments!I$5:I$684,Adjustments!$B$5:$B$684,'Apr11-Mar12 Billed-RETAIL'!$B9,Adjustments!$C$5:$C$684,'Apr11-Mar12 Billed-RETAIL'!$C9)</f>
        <v>0</v>
      </c>
      <c r="AG9" s="238">
        <f>SUMIFS(Adjustments!J$5:J$684,Adjustments!$B$5:$B$684,'Apr11-Mar12 Billed-RETAIL'!$B9,Adjustments!$C$5:$C$684,'Apr11-Mar12 Billed-RETAIL'!$C9)</f>
        <v>0</v>
      </c>
      <c r="AH9" s="238">
        <f>SUMIFS(Adjustments!K$5:K$684,Adjustments!$B$5:$B$684,'Apr11-Mar12 Billed-RETAIL'!$B9,Adjustments!$C$5:$C$684,'Apr11-Mar12 Billed-RETAIL'!$C9)</f>
        <v>0</v>
      </c>
      <c r="AI9" s="238">
        <f>SUMIFS(Adjustments!L$5:L$684,Adjustments!$B$5:$B$684,'Apr11-Mar12 Billed-RETAIL'!$B9,Adjustments!$C$5:$C$684,'Apr11-Mar12 Billed-RETAIL'!$C9)</f>
        <v>0</v>
      </c>
      <c r="AJ9" s="238">
        <f>SUMIFS(Adjustments!M$5:M$684,Adjustments!$B$5:$B$684,'Apr11-Mar12 Billed-RETAIL'!$B9,Adjustments!$C$5:$C$684,'Apr11-Mar12 Billed-RETAIL'!$C9)</f>
        <v>0</v>
      </c>
      <c r="AK9" s="238">
        <f>SUMIFS(Adjustments!N$5:N$684,Adjustments!$B$5:$B$684,'Apr11-Mar12 Billed-RETAIL'!$B9,Adjustments!$C$5:$C$684,'Apr11-Mar12 Billed-RETAIL'!$C9)</f>
        <v>0</v>
      </c>
      <c r="AL9" s="238">
        <f>SUMIFS(Adjustments!O$5:O$684,Adjustments!$B$5:$B$684,'Apr11-Mar12 Billed-RETAIL'!$B9,Adjustments!$C$5:$C$684,'Apr11-Mar12 Billed-RETAIL'!$C9)</f>
        <v>0</v>
      </c>
      <c r="AM9" s="238">
        <f>SUMIFS(Adjustments!P$5:P$684,Adjustments!$B$5:$B$684,'Apr11-Mar12 Billed-RETAIL'!$B9,Adjustments!$C$5:$C$684,'Apr11-Mar12 Billed-RETAIL'!$C9)</f>
        <v>0</v>
      </c>
      <c r="AN9" s="225">
        <f t="shared" ref="AN9:AN33" si="16">+U9+AG9+(AE9*L9)</f>
        <v>570</v>
      </c>
      <c r="AO9" s="225">
        <f t="shared" si="9"/>
        <v>0</v>
      </c>
      <c r="AP9" s="225">
        <f t="shared" si="10"/>
        <v>67.024760000000001</v>
      </c>
      <c r="AQ9" s="225">
        <f t="shared" si="11"/>
        <v>0</v>
      </c>
      <c r="AR9" s="232">
        <f ca="1">SUMIF('SBR Apr11'!$D$4:$S$90,'Apr11-Mar12 Billed-RETAIL'!$C9,'SBR Apr11'!$N$4:$N$90)</f>
        <v>188.74</v>
      </c>
      <c r="AS9" s="232">
        <f ca="1">SUMIF('SBR Apr11'!$D$4:$S$90,'Apr11-Mar12 Billed-RETAIL'!$C9,'SBR Apr11'!$M$4:$M$90)</f>
        <v>0.32</v>
      </c>
      <c r="AT9" s="232">
        <f ca="1">SUMIF('SBR Apr11'!$D$4:$S$90,'Apr11-Mar12 Billed-RETAIL'!$C9,'SBR Apr11'!$O$4:$O$90)</f>
        <v>0</v>
      </c>
      <c r="AU9" s="225">
        <f t="shared" si="12"/>
        <v>0</v>
      </c>
      <c r="AV9" s="225"/>
      <c r="AW9" s="232">
        <f t="shared" ca="1" si="13"/>
        <v>826.08</v>
      </c>
      <c r="AX9" s="232">
        <f t="shared" ca="1" si="7"/>
        <v>826.07999999999993</v>
      </c>
      <c r="AY9" s="233">
        <f t="shared" ca="1" si="14"/>
        <v>1</v>
      </c>
      <c r="AZ9" s="232">
        <f ca="1">SUMIF('SBR Apr11'!$D$4:$S$90,'Apr11-Mar12 Billed-RETAIL'!$C9,'SBR Apr11'!$M$4:$M$90)</f>
        <v>0.32</v>
      </c>
      <c r="BA9" s="232">
        <f ca="1">SUMIF('SBR Apr11'!$D$4:$S$90,'Apr11-Mar12 Billed-RETAIL'!$C9,'SBR Apr11'!$N$4:$N$90)</f>
        <v>188.74</v>
      </c>
      <c r="BB9" s="232">
        <f ca="1">SUMIF('SBR Apr11'!$D$4:$S$90,'Apr11-Mar12 Billed-RETAIL'!$C9,'SBR Apr11'!$O$4:$O$90)</f>
        <v>0</v>
      </c>
      <c r="BC9" s="232">
        <f ca="1">SUMIF('SBR Apr11'!$D$4:$S$90,'Apr11-Mar12 Billed-RETAIL'!$C9,'SBR Apr11'!$Q$4:$Q$90)</f>
        <v>0</v>
      </c>
      <c r="BD9" s="232">
        <f ca="1">SUMIF('SBR Apr11'!$D$4:$S$90,'Apr11-Mar12 Billed-RETAIL'!$C9,'SBR Apr11'!$K$4:$K$90)</f>
        <v>570</v>
      </c>
      <c r="BE9" s="232">
        <f ca="1">SUMIF('SBR Apr11'!$D$4:$S$90,'Apr11-Mar12 Billed-RETAIL'!$C9,'SBR Apr11'!$L$4:$L$90)</f>
        <v>67.02</v>
      </c>
      <c r="BF9" s="232"/>
    </row>
    <row r="10" spans="1:65" ht="15" x14ac:dyDescent="0.25">
      <c r="A10" s="196">
        <f t="shared" si="15"/>
        <v>5</v>
      </c>
      <c r="B10" s="211">
        <v>40634</v>
      </c>
      <c r="C10" s="211" t="str">
        <f>+'Retail Rates'!B15</f>
        <v>LGUMG861</v>
      </c>
      <c r="D10" s="197" t="str">
        <f t="shared" si="8"/>
        <v>861</v>
      </c>
      <c r="E10" s="197" t="str">
        <f>VLOOKUP(C10,'Retail Rates'!$B$7:$D$35,3,FALSE)</f>
        <v>CGS</v>
      </c>
      <c r="F10" s="222"/>
      <c r="G10" s="222">
        <f>SUMIFS(Adjustments!F$5:F$151,Adjustments!$B$5:$B$151,'Apr11-Mar12 Billed-RETAIL'!$B10,Adjustments!$C$5:$C$151,'Apr11-Mar12 Billed-RETAIL'!$C10)</f>
        <v>617</v>
      </c>
      <c r="H10" s="222">
        <f>SUMIFS(Adjustments!G$5:G$151,Adjustments!$B$5:$B$151,'Apr11-Mar12 Billed-RETAIL'!$B10,Adjustments!$C$5:$C$151,'Apr11-Mar12 Billed-RETAIL'!$C10)</f>
        <v>0</v>
      </c>
      <c r="I10" s="222">
        <f>SUMIFS('Data-Retail'!$H$4:$H$269,'Data-Retail'!$A$4:$A$269,'Apr11-Mar12 Billed-RETAIL'!$B10,'Data-Retail'!$D$4:$D$269,'Apr11-Mar12 Billed-RETAIL'!$C10)</f>
        <v>610</v>
      </c>
      <c r="J10" s="222">
        <f>SUMIFS('Data-Retail'!$I$4:$I$269,'Data-Retail'!$A$4:$A$269,'Apr11-Mar12 Billed-RETAIL'!$B10,'Data-Retail'!$D$4:$D$269,'Apr11-Mar12 Billed-RETAIL'!$C10)</f>
        <v>0</v>
      </c>
      <c r="K10" s="222"/>
      <c r="L10" s="223">
        <f>VLOOKUP($C10,'Retail Rates'!$B$7:$M$35,5,FALSE)</f>
        <v>30</v>
      </c>
      <c r="M10" s="223">
        <f>VLOOKUP($C10,'Retail Rates'!$B$7:$M$35,6,FALSE)</f>
        <v>170</v>
      </c>
      <c r="N10" s="224">
        <f>VLOOKUP($C10,'Retail Rates'!$B$7:$M$35,7,FALSE)</f>
        <v>0.18722</v>
      </c>
      <c r="O10" s="224">
        <f>VLOOKUP($C10,'Retail Rates'!$B$7:$M$35,8,FALSE)</f>
        <v>0.13722000000000001</v>
      </c>
      <c r="P10" s="224">
        <f>VLOOKUP($B10,'GSC-DSM Factors'!$A$1:$B$46,2,FALSE)</f>
        <v>0.5272</v>
      </c>
      <c r="Q10" s="223">
        <f>VLOOKUP($C10,'Retail Rates'!$B$7:$M$35,9,FALSE)</f>
        <v>0</v>
      </c>
      <c r="R10" s="224">
        <f>VLOOKUP($C10,'Retail Rates'!$B$7:$M$35,10,FALSE)</f>
        <v>0</v>
      </c>
      <c r="S10" s="223">
        <f>VLOOKUP($C10,'Retail Rates'!$B$7:$M$35,11,FALSE)</f>
        <v>0</v>
      </c>
      <c r="T10" s="223"/>
      <c r="U10" s="225">
        <f t="shared" si="4"/>
        <v>18510</v>
      </c>
      <c r="V10" s="225"/>
      <c r="W10" s="225">
        <f>+H10*M10</f>
        <v>0</v>
      </c>
      <c r="X10" s="225">
        <f t="shared" si="5"/>
        <v>114.2042</v>
      </c>
      <c r="Y10" s="225">
        <f t="shared" si="6"/>
        <v>0</v>
      </c>
      <c r="Z10" s="225">
        <f>SUM(I10:J10)*P10</f>
        <v>321.59199999999998</v>
      </c>
      <c r="AA10" s="225"/>
      <c r="AB10" s="225"/>
      <c r="AC10" s="225"/>
      <c r="AD10" s="225"/>
      <c r="AE10" s="244">
        <f>SUMIFS(Adjustments!H$5:H$684,Adjustments!$B$5:$B$684,'Apr11-Mar12 Billed-RETAIL'!$B10,Adjustments!$C$5:$C$684,'Apr11-Mar12 Billed-RETAIL'!$C10)</f>
        <v>0</v>
      </c>
      <c r="AF10" s="244">
        <f>SUMIFS(Adjustments!I$5:I$684,Adjustments!$B$5:$B$684,'Apr11-Mar12 Billed-RETAIL'!$B10,Adjustments!$C$5:$C$684,'Apr11-Mar12 Billed-RETAIL'!$C10)</f>
        <v>0</v>
      </c>
      <c r="AG10" s="238">
        <f>SUMIFS(Adjustments!J$5:J$684,Adjustments!$B$5:$B$684,'Apr11-Mar12 Billed-RETAIL'!$B10,Adjustments!$C$5:$C$684,'Apr11-Mar12 Billed-RETAIL'!$C10)</f>
        <v>0</v>
      </c>
      <c r="AH10" s="238">
        <f>SUMIFS(Adjustments!K$5:K$684,Adjustments!$B$5:$B$684,'Apr11-Mar12 Billed-RETAIL'!$B10,Adjustments!$C$5:$C$684,'Apr11-Mar12 Billed-RETAIL'!$C10)</f>
        <v>0</v>
      </c>
      <c r="AI10" s="238">
        <f>SUMIFS(Adjustments!L$5:L$684,Adjustments!$B$5:$B$684,'Apr11-Mar12 Billed-RETAIL'!$B10,Adjustments!$C$5:$C$684,'Apr11-Mar12 Billed-RETAIL'!$C10)</f>
        <v>1.61</v>
      </c>
      <c r="AJ10" s="238">
        <f>SUMIFS(Adjustments!M$5:M$684,Adjustments!$B$5:$B$684,'Apr11-Mar12 Billed-RETAIL'!$B10,Adjustments!$C$5:$C$684,'Apr11-Mar12 Billed-RETAIL'!$C10)</f>
        <v>0</v>
      </c>
      <c r="AK10" s="238">
        <f>SUMIFS(Adjustments!N$5:N$684,Adjustments!$B$5:$B$684,'Apr11-Mar12 Billed-RETAIL'!$B10,Adjustments!$C$5:$C$684,'Apr11-Mar12 Billed-RETAIL'!$C10)</f>
        <v>1.61</v>
      </c>
      <c r="AL10" s="238">
        <f>SUMIFS(Adjustments!O$5:O$684,Adjustments!$B$5:$B$684,'Apr11-Mar12 Billed-RETAIL'!$B10,Adjustments!$C$5:$C$684,'Apr11-Mar12 Billed-RETAIL'!$C10)</f>
        <v>0</v>
      </c>
      <c r="AM10" s="238">
        <f>SUMIFS(Adjustments!P$5:P$684,Adjustments!$B$5:$B$684,'Apr11-Mar12 Billed-RETAIL'!$B10,Adjustments!$C$5:$C$684,'Apr11-Mar12 Billed-RETAIL'!$C10)</f>
        <v>0</v>
      </c>
      <c r="AN10" s="225">
        <f t="shared" si="16"/>
        <v>18510</v>
      </c>
      <c r="AO10" s="225">
        <f t="shared" si="9"/>
        <v>0</v>
      </c>
      <c r="AP10" s="225">
        <f t="shared" si="10"/>
        <v>115.8142</v>
      </c>
      <c r="AQ10" s="225">
        <f t="shared" si="11"/>
        <v>0</v>
      </c>
      <c r="AR10" s="232">
        <f ca="1">SUMIF('SBR Apr11'!$D$4:$S$90,'Apr11-Mar12 Billed-RETAIL'!$C10,'SBR Apr11'!$N$4:$N$90)</f>
        <v>323.20999999999998</v>
      </c>
      <c r="AS10" s="232">
        <f ca="1">SUMIF('SBR Apr11'!$D$4:$S$90,'Apr11-Mar12 Billed-RETAIL'!$C10,'SBR Apr11'!$M$4:$M$90)</f>
        <v>0</v>
      </c>
      <c r="AT10" s="232">
        <f ca="1">SUMIF('SBR Apr11'!$D$4:$S$90,'Apr11-Mar12 Billed-RETAIL'!$C10,'SBR Apr11'!$O$4:$O$90)</f>
        <v>0</v>
      </c>
      <c r="AU10" s="225">
        <f t="shared" si="12"/>
        <v>0</v>
      </c>
      <c r="AV10" s="225"/>
      <c r="AW10" s="232">
        <f t="shared" ca="1" si="13"/>
        <v>18949.02</v>
      </c>
      <c r="AX10" s="232">
        <f t="shared" ca="1" si="7"/>
        <v>18949.02</v>
      </c>
      <c r="AY10" s="233">
        <f t="shared" ca="1" si="14"/>
        <v>1</v>
      </c>
      <c r="AZ10" s="232">
        <f ca="1">SUMIF('SBR Apr11'!$D$4:$S$90,'Apr11-Mar12 Billed-RETAIL'!$C10,'SBR Apr11'!$M$4:$M$90)</f>
        <v>0</v>
      </c>
      <c r="BA10" s="232">
        <f ca="1">SUMIF('SBR Apr11'!$D$4:$S$90,'Apr11-Mar12 Billed-RETAIL'!$C10,'SBR Apr11'!$N$4:$N$90)</f>
        <v>323.20999999999998</v>
      </c>
      <c r="BB10" s="232">
        <f ca="1">SUMIF('SBR Apr11'!$D$4:$S$90,'Apr11-Mar12 Billed-RETAIL'!$C10,'SBR Apr11'!$O$4:$O$90)</f>
        <v>0</v>
      </c>
      <c r="BC10" s="232">
        <f ca="1">SUMIF('SBR Apr11'!$D$4:$S$90,'Apr11-Mar12 Billed-RETAIL'!$C10,'SBR Apr11'!$Q$4:$Q$90)</f>
        <v>0</v>
      </c>
      <c r="BD10" s="232">
        <f ca="1">SUMIF('SBR Apr11'!$D$4:$S$90,'Apr11-Mar12 Billed-RETAIL'!$C10,'SBR Apr11'!$K$4:$K$90)</f>
        <v>18510</v>
      </c>
      <c r="BE10" s="232">
        <f ca="1">SUMIF('SBR Apr11'!$D$4:$S$90,'Apr11-Mar12 Billed-RETAIL'!$C10,'SBR Apr11'!$L$4:$L$90)</f>
        <v>115.81</v>
      </c>
      <c r="BF10" s="232"/>
    </row>
    <row r="11" spans="1:65" ht="15" customHeight="1" x14ac:dyDescent="0.25">
      <c r="A11" s="196">
        <f t="shared" si="15"/>
        <v>6</v>
      </c>
      <c r="B11" s="211">
        <v>40634</v>
      </c>
      <c r="C11" s="211" t="str">
        <f>+'Retail Rates'!B18</f>
        <v>LGCMG875</v>
      </c>
      <c r="D11" s="197" t="str">
        <f t="shared" si="8"/>
        <v>875</v>
      </c>
      <c r="E11" s="197" t="str">
        <f>VLOOKUP(C11,'Retail Rates'!$B$7:$D$35,3,FALSE)</f>
        <v>DGGS-C</v>
      </c>
      <c r="F11" s="222">
        <f>SUMIFS('Data-Retail'!$G$4:$G$269,'Data-Retail'!$A$4:$A$269,'Apr11-Mar12 Billed-RETAIL'!$B11,'Data-Retail'!$D$4:$D$269,'Apr11-Mar12 Billed-RETAIL'!$C11)</f>
        <v>0</v>
      </c>
      <c r="G11" s="222"/>
      <c r="H11" s="222"/>
      <c r="I11" s="222">
        <f>SUMIFS('Data-Retail'!$H$4:$H$269,'Data-Retail'!$A$4:$A$269,'Apr11-Mar12 Billed-RETAIL'!$B11,'Data-Retail'!$D$4:$D$269,'Apr11-Mar12 Billed-RETAIL'!$C11)</f>
        <v>0</v>
      </c>
      <c r="J11" s="222">
        <f>SUMIFS('Data-Retail'!$I$4:$I$269,'Data-Retail'!$A$4:$A$269,'Apr11-Mar12 Billed-RETAIL'!$B11,'Data-Retail'!$D$4:$D$269,'Apr11-Mar12 Billed-RETAIL'!$C11)</f>
        <v>0</v>
      </c>
      <c r="K11" s="222"/>
      <c r="L11" s="223">
        <f>VLOOKUP($C11,'Retail Rates'!$B$7:$M$35,5,FALSE)</f>
        <v>30</v>
      </c>
      <c r="M11" s="223">
        <f>VLOOKUP($C11,'Retail Rates'!$B$7:$M$35,6,FALSE)</f>
        <v>170</v>
      </c>
      <c r="N11" s="224">
        <f>VLOOKUP($C11,'Retail Rates'!$B$7:$M$35,7,FALSE)</f>
        <v>2.7439999999999999E-2</v>
      </c>
      <c r="O11" s="224">
        <f>VLOOKUP($C11,'Retail Rates'!$B$7:$M$35,8,FALSE)</f>
        <v>0</v>
      </c>
      <c r="P11" s="224">
        <f>VLOOKUP($B11,'GSC-DSM Factors'!$A$1:$B$46,2,FALSE)</f>
        <v>0.5272</v>
      </c>
      <c r="Q11" s="223">
        <f>VLOOKUP($C11,'Retail Rates'!$B$7:$M$35,9,FALSE)</f>
        <v>0</v>
      </c>
      <c r="R11" s="224">
        <f>VLOOKUP($C11,'Retail Rates'!$B$7:$M$35,10,FALSE)</f>
        <v>0</v>
      </c>
      <c r="S11" s="223">
        <f>VLOOKUP($C11,'Retail Rates'!$B$7:$M$35,11,FALSE)</f>
        <v>1.0109999999999999</v>
      </c>
      <c r="T11" s="223"/>
      <c r="U11" s="225">
        <f t="shared" si="4"/>
        <v>0</v>
      </c>
      <c r="V11" s="225"/>
      <c r="W11" s="225"/>
      <c r="X11" s="225">
        <f t="shared" si="5"/>
        <v>0</v>
      </c>
      <c r="Y11" s="225">
        <f t="shared" si="6"/>
        <v>0</v>
      </c>
      <c r="Z11" s="225">
        <f t="shared" ref="Z11:Z16" si="17">SUM(I11:J11)*P11</f>
        <v>0</v>
      </c>
      <c r="AA11" s="225"/>
      <c r="AB11" s="225"/>
      <c r="AC11" s="225"/>
      <c r="AD11" s="225"/>
      <c r="AE11" s="244">
        <f>SUMIFS(Adjustments!H$5:H$684,Adjustments!$B$5:$B$684,'Apr11-Mar12 Billed-RETAIL'!$B11,Adjustments!$C$5:$C$684,'Apr11-Mar12 Billed-RETAIL'!$C11)</f>
        <v>0</v>
      </c>
      <c r="AF11" s="244">
        <f>SUMIFS(Adjustments!I$5:I$684,Adjustments!$B$5:$B$684,'Apr11-Mar12 Billed-RETAIL'!$B11,Adjustments!$C$5:$C$684,'Apr11-Mar12 Billed-RETAIL'!$C11)</f>
        <v>0</v>
      </c>
      <c r="AG11" s="238">
        <f>SUMIFS(Adjustments!J$5:J$684,Adjustments!$B$5:$B$684,'Apr11-Mar12 Billed-RETAIL'!$B11,Adjustments!$C$5:$C$684,'Apr11-Mar12 Billed-RETAIL'!$C11)</f>
        <v>0</v>
      </c>
      <c r="AH11" s="238">
        <f>SUMIFS(Adjustments!K$5:K$684,Adjustments!$B$5:$B$684,'Apr11-Mar12 Billed-RETAIL'!$B11,Adjustments!$C$5:$C$684,'Apr11-Mar12 Billed-RETAIL'!$C11)</f>
        <v>0</v>
      </c>
      <c r="AI11" s="238">
        <f>SUMIFS(Adjustments!L$5:L$684,Adjustments!$B$5:$B$684,'Apr11-Mar12 Billed-RETAIL'!$B11,Adjustments!$C$5:$C$684,'Apr11-Mar12 Billed-RETAIL'!$C11)</f>
        <v>0</v>
      </c>
      <c r="AJ11" s="238">
        <f>SUMIFS(Adjustments!M$5:M$684,Adjustments!$B$5:$B$684,'Apr11-Mar12 Billed-RETAIL'!$B11,Adjustments!$C$5:$C$684,'Apr11-Mar12 Billed-RETAIL'!$C11)</f>
        <v>0</v>
      </c>
      <c r="AK11" s="238">
        <f>SUMIFS(Adjustments!N$5:N$684,Adjustments!$B$5:$B$684,'Apr11-Mar12 Billed-RETAIL'!$B11,Adjustments!$C$5:$C$684,'Apr11-Mar12 Billed-RETAIL'!$C11)</f>
        <v>0</v>
      </c>
      <c r="AL11" s="238">
        <f>SUMIFS(Adjustments!O$5:O$684,Adjustments!$B$5:$B$684,'Apr11-Mar12 Billed-RETAIL'!$B11,Adjustments!$C$5:$C$684,'Apr11-Mar12 Billed-RETAIL'!$C11)</f>
        <v>0</v>
      </c>
      <c r="AM11" s="238">
        <f>SUMIFS(Adjustments!P$5:P$684,Adjustments!$B$5:$B$684,'Apr11-Mar12 Billed-RETAIL'!$B11,Adjustments!$C$5:$C$684,'Apr11-Mar12 Billed-RETAIL'!$C11)</f>
        <v>0</v>
      </c>
      <c r="AN11" s="225">
        <f t="shared" si="16"/>
        <v>0</v>
      </c>
      <c r="AO11" s="225">
        <f t="shared" si="9"/>
        <v>0</v>
      </c>
      <c r="AP11" s="225">
        <f t="shared" si="10"/>
        <v>0</v>
      </c>
      <c r="AQ11" s="225">
        <f t="shared" si="11"/>
        <v>0</v>
      </c>
      <c r="AR11" s="232">
        <f ca="1">SUMIF('SBR Apr11'!$D$4:$S$90,'Apr11-Mar12 Billed-RETAIL'!$C11,'SBR Apr11'!$N$4:$N$90)</f>
        <v>0</v>
      </c>
      <c r="AS11" s="232">
        <f ca="1">SUMIF('SBR Apr11'!$D$4:$S$90,'Apr11-Mar12 Billed-RETAIL'!$C11,'SBR Apr11'!$M$4:$M$90)</f>
        <v>0</v>
      </c>
      <c r="AT11" s="232">
        <f ca="1">SUMIF('SBR Apr11'!$D$4:$S$90,'Apr11-Mar12 Billed-RETAIL'!$C11,'SBR Apr11'!$O$4:$O$90)</f>
        <v>0</v>
      </c>
      <c r="AU11" s="225">
        <f t="shared" si="12"/>
        <v>0</v>
      </c>
      <c r="AV11" s="225"/>
      <c r="AW11" s="232">
        <f t="shared" ca="1" si="13"/>
        <v>0</v>
      </c>
      <c r="AX11" s="232">
        <f t="shared" ca="1" si="7"/>
        <v>0</v>
      </c>
      <c r="AY11" s="233">
        <v>1</v>
      </c>
      <c r="AZ11" s="232">
        <f ca="1">SUMIF('SBR Apr11'!$D$4:$S$90,'Apr11-Mar12 Billed-RETAIL'!$C11,'SBR Apr11'!$M$4:$M$90)</f>
        <v>0</v>
      </c>
      <c r="BA11" s="232">
        <f ca="1">SUMIF('SBR Apr11'!$D$4:$S$90,'Apr11-Mar12 Billed-RETAIL'!$C11,'SBR Apr11'!$N$4:$N$90)</f>
        <v>0</v>
      </c>
      <c r="BB11" s="232">
        <f ca="1">SUMIF('SBR Apr11'!$D$4:$S$90,'Apr11-Mar12 Billed-RETAIL'!$C11,'SBR Apr11'!$O$4:$O$90)</f>
        <v>0</v>
      </c>
      <c r="BC11" s="232">
        <f ca="1">SUMIF('SBR Apr11'!$D$4:$S$90,'Apr11-Mar12 Billed-RETAIL'!$C11,'SBR Apr11'!$Q$4:$Q$90)</f>
        <v>0</v>
      </c>
      <c r="BD11" s="232">
        <f ca="1">SUMIF('SBR Apr11'!$D$4:$S$90,'Apr11-Mar12 Billed-RETAIL'!$C11,'SBR Apr11'!$K$4:$K$90)</f>
        <v>0</v>
      </c>
      <c r="BE11" s="232">
        <f ca="1">SUMIF('SBR Apr11'!$D$4:$S$90,'Apr11-Mar12 Billed-RETAIL'!$C11,'SBR Apr11'!$L$4:$L$90)</f>
        <v>0</v>
      </c>
      <c r="BF11" s="232"/>
    </row>
    <row r="12" spans="1:65" ht="15" customHeight="1" x14ac:dyDescent="0.25">
      <c r="A12" s="196">
        <f t="shared" si="15"/>
        <v>7</v>
      </c>
      <c r="B12" s="211">
        <v>40634</v>
      </c>
      <c r="C12" s="211" t="str">
        <f>+'Retail Rates'!B23</f>
        <v>LGING855</v>
      </c>
      <c r="D12" s="197" t="str">
        <f t="shared" si="8"/>
        <v>855</v>
      </c>
      <c r="E12" s="197" t="str">
        <f>VLOOKUP(C12,'Retail Rates'!$B$7:$D$35,3,FALSE)</f>
        <v>IGS</v>
      </c>
      <c r="F12" s="222"/>
      <c r="G12" s="222">
        <f>SUMIFS(Adjustments!F$5:F$151,Adjustments!$B$5:$B$151,'Apr11-Mar12 Billed-RETAIL'!$B12,Adjustments!$C$5:$C$151,'Apr11-Mar12 Billed-RETAIL'!$C12)</f>
        <v>105</v>
      </c>
      <c r="H12" s="222">
        <f>SUMIFS(Adjustments!G$5:G$151,Adjustments!$B$5:$B$151,'Apr11-Mar12 Billed-RETAIL'!$B12,Adjustments!$C$5:$C$151,'Apr11-Mar12 Billed-RETAIL'!$C12)</f>
        <v>97</v>
      </c>
      <c r="I12" s="222">
        <f>SUMIFS('Data-Retail'!$H$4:$H$269,'Data-Retail'!$A$4:$A$269,'Apr11-Mar12 Billed-RETAIL'!$B12,'Data-Retail'!$D$4:$D$269,'Apr11-Mar12 Billed-RETAIL'!$C12)</f>
        <v>165036</v>
      </c>
      <c r="J12" s="222">
        <f>SUMIFS('Data-Retail'!$I$4:$I$269,'Data-Retail'!$A$4:$A$269,'Apr11-Mar12 Billed-RETAIL'!$B12,'Data-Retail'!$D$4:$D$269,'Apr11-Mar12 Billed-RETAIL'!$C12)</f>
        <v>535227</v>
      </c>
      <c r="K12" s="222"/>
      <c r="L12" s="223">
        <f>VLOOKUP($C12,'Retail Rates'!$B$7:$M$35,5,FALSE)</f>
        <v>30</v>
      </c>
      <c r="M12" s="223">
        <f>VLOOKUP($C12,'Retail Rates'!$B$7:$M$35,6,FALSE)</f>
        <v>170</v>
      </c>
      <c r="N12" s="224">
        <f>VLOOKUP($C12,'Retail Rates'!$B$7:$M$35,7,FALSE)</f>
        <v>0.19022</v>
      </c>
      <c r="O12" s="224">
        <f>VLOOKUP($C12,'Retail Rates'!$B$7:$M$35,8,FALSE)</f>
        <v>0.14022000000000001</v>
      </c>
      <c r="P12" s="224">
        <f>VLOOKUP($B12,'GSC-DSM Factors'!$A$1:$B$46,2,FALSE)</f>
        <v>0.5272</v>
      </c>
      <c r="Q12" s="223">
        <f>VLOOKUP($C12,'Retail Rates'!$B$7:$M$35,9,FALSE)</f>
        <v>0</v>
      </c>
      <c r="R12" s="224">
        <f>VLOOKUP($C12,'Retail Rates'!$B$7:$M$35,10,FALSE)</f>
        <v>0</v>
      </c>
      <c r="S12" s="223">
        <f>VLOOKUP($C12,'Retail Rates'!$B$7:$M$35,11,FALSE)</f>
        <v>0</v>
      </c>
      <c r="T12" s="223"/>
      <c r="U12" s="225">
        <f t="shared" si="4"/>
        <v>3150</v>
      </c>
      <c r="V12" s="225"/>
      <c r="W12" s="225">
        <f>+H12*M12</f>
        <v>16490</v>
      </c>
      <c r="X12" s="225">
        <f>+I12*N12</f>
        <v>31393.147919999999</v>
      </c>
      <c r="Y12" s="225">
        <f t="shared" ref="Y12:Y34" si="18">+J12*O12</f>
        <v>75049.529940000008</v>
      </c>
      <c r="Z12" s="225">
        <f t="shared" si="17"/>
        <v>369178.65360000002</v>
      </c>
      <c r="AA12" s="225"/>
      <c r="AB12" s="225"/>
      <c r="AC12" s="225"/>
      <c r="AD12" s="225"/>
      <c r="AE12" s="244">
        <f>SUMIFS(Adjustments!H$5:H$684,Adjustments!$B$5:$B$684,'Apr11-Mar12 Billed-RETAIL'!$B12,Adjustments!$C$5:$C$684,'Apr11-Mar12 Billed-RETAIL'!$C12)</f>
        <v>0</v>
      </c>
      <c r="AF12" s="244">
        <f>SUMIFS(Adjustments!I$5:I$684,Adjustments!$B$5:$B$684,'Apr11-Mar12 Billed-RETAIL'!$B12,Adjustments!$C$5:$C$684,'Apr11-Mar12 Billed-RETAIL'!$C12)</f>
        <v>0</v>
      </c>
      <c r="AG12" s="238">
        <f>SUMIFS(Adjustments!J$5:J$684,Adjustments!$B$5:$B$684,'Apr11-Mar12 Billed-RETAIL'!$B12,Adjustments!$C$5:$C$684,'Apr11-Mar12 Billed-RETAIL'!$C12)</f>
        <v>0</v>
      </c>
      <c r="AH12" s="238">
        <f>SUMIFS(Adjustments!K$5:K$684,Adjustments!$B$5:$B$684,'Apr11-Mar12 Billed-RETAIL'!$B12,Adjustments!$C$5:$C$684,'Apr11-Mar12 Billed-RETAIL'!$C12)</f>
        <v>0</v>
      </c>
      <c r="AI12" s="238">
        <f>SUMIFS(Adjustments!L$5:L$684,Adjustments!$B$5:$B$684,'Apr11-Mar12 Billed-RETAIL'!$B12,Adjustments!$C$5:$C$684,'Apr11-Mar12 Billed-RETAIL'!$C12)</f>
        <v>0</v>
      </c>
      <c r="AJ12" s="238">
        <f>SUMIFS(Adjustments!M$5:M$684,Adjustments!$B$5:$B$684,'Apr11-Mar12 Billed-RETAIL'!$B12,Adjustments!$C$5:$C$684,'Apr11-Mar12 Billed-RETAIL'!$C12)</f>
        <v>0</v>
      </c>
      <c r="AK12" s="238">
        <f>SUMIFS(Adjustments!N$5:N$684,Adjustments!$B$5:$B$684,'Apr11-Mar12 Billed-RETAIL'!$B12,Adjustments!$C$5:$C$684,'Apr11-Mar12 Billed-RETAIL'!$C12)</f>
        <v>-124.37</v>
      </c>
      <c r="AL12" s="238">
        <f>SUMIFS(Adjustments!O$5:O$684,Adjustments!$B$5:$B$684,'Apr11-Mar12 Billed-RETAIL'!$B12,Adjustments!$C$5:$C$684,'Apr11-Mar12 Billed-RETAIL'!$C12)</f>
        <v>0</v>
      </c>
      <c r="AM12" s="238">
        <f>SUMIFS(Adjustments!P$5:P$684,Adjustments!$B$5:$B$684,'Apr11-Mar12 Billed-RETAIL'!$B12,Adjustments!$C$5:$C$684,'Apr11-Mar12 Billed-RETAIL'!$C12)</f>
        <v>0</v>
      </c>
      <c r="AN12" s="225">
        <f t="shared" si="16"/>
        <v>3150</v>
      </c>
      <c r="AO12" s="225">
        <f t="shared" si="9"/>
        <v>16490</v>
      </c>
      <c r="AP12" s="225">
        <f t="shared" si="10"/>
        <v>31393.147919999999</v>
      </c>
      <c r="AQ12" s="225">
        <f t="shared" si="11"/>
        <v>75049.529940000008</v>
      </c>
      <c r="AR12" s="232">
        <f ca="1">SUMIF('SBR Apr11'!$D$4:$S$90,'Apr11-Mar12 Billed-RETAIL'!$C12,'SBR Apr11'!$N$4:$N$90)</f>
        <v>369054.28</v>
      </c>
      <c r="AS12" s="232">
        <f ca="1">SUMIF('SBR Apr11'!$D$4:$S$90,'Apr11-Mar12 Billed-RETAIL'!$C12,'SBR Apr11'!$M$4:$M$90)</f>
        <v>0</v>
      </c>
      <c r="AT12" s="232">
        <f ca="1">SUMIF('SBR Apr11'!$D$4:$S$90,'Apr11-Mar12 Billed-RETAIL'!$C12,'SBR Apr11'!$O$4:$O$90)</f>
        <v>0</v>
      </c>
      <c r="AU12" s="225">
        <f t="shared" si="12"/>
        <v>0</v>
      </c>
      <c r="AV12" s="225"/>
      <c r="AW12" s="232">
        <f t="shared" ca="1" si="13"/>
        <v>495136.96</v>
      </c>
      <c r="AX12" s="232">
        <f t="shared" ca="1" si="7"/>
        <v>495137.03</v>
      </c>
      <c r="AY12" s="233">
        <f t="shared" ca="1" si="14"/>
        <v>1</v>
      </c>
      <c r="AZ12" s="232">
        <f ca="1">SUMIF('SBR Apr11'!$D$4:$S$90,'Apr11-Mar12 Billed-RETAIL'!$C12,'SBR Apr11'!$M$4:$M$90)</f>
        <v>0</v>
      </c>
      <c r="BA12" s="232">
        <f ca="1">SUMIF('SBR Apr11'!$D$4:$S$90,'Apr11-Mar12 Billed-RETAIL'!$C12,'SBR Apr11'!$N$4:$N$90)</f>
        <v>369054.28</v>
      </c>
      <c r="BB12" s="232">
        <f ca="1">SUMIF('SBR Apr11'!$D$4:$S$90,'Apr11-Mar12 Billed-RETAIL'!$C12,'SBR Apr11'!$O$4:$O$90)</f>
        <v>0</v>
      </c>
      <c r="BC12" s="232">
        <f ca="1">SUMIF('SBR Apr11'!$D$4:$S$90,'Apr11-Mar12 Billed-RETAIL'!$C12,'SBR Apr11'!$Q$4:$Q$90)</f>
        <v>0</v>
      </c>
      <c r="BD12" s="232">
        <f ca="1">SUMIF('SBR Apr11'!$D$4:$S$90,'Apr11-Mar12 Billed-RETAIL'!$C12,'SBR Apr11'!$K$4:$K$90)</f>
        <v>19640</v>
      </c>
      <c r="BE12" s="232">
        <f ca="1">SUMIF('SBR Apr11'!$D$4:$S$90,'Apr11-Mar12 Billed-RETAIL'!$C12,'SBR Apr11'!$L$4:$L$90)</f>
        <v>106442.75000000001</v>
      </c>
      <c r="BF12" s="232"/>
    </row>
    <row r="13" spans="1:65" ht="15" customHeight="1" x14ac:dyDescent="0.25">
      <c r="A13" s="196">
        <f t="shared" si="15"/>
        <v>8</v>
      </c>
      <c r="B13" s="211">
        <v>40634</v>
      </c>
      <c r="C13" s="211" t="str">
        <f>+'Retail Rates'!B26</f>
        <v>LGRSG811</v>
      </c>
      <c r="D13" s="197" t="str">
        <f t="shared" si="8"/>
        <v>811</v>
      </c>
      <c r="E13" s="197" t="str">
        <f>VLOOKUP(C13,'Retail Rates'!$B$7:$D$35,3,FALSE)</f>
        <v>RGS</v>
      </c>
      <c r="F13" s="222">
        <f>SUMIFS('Data-Retail'!$G$4:$G$269,'Data-Retail'!$A$4:$A$269,'Apr11-Mar12 Billed-RETAIL'!$B13,'Data-Retail'!$D$4:$D$269,'Apr11-Mar12 Billed-RETAIL'!$C13)</f>
        <v>292286</v>
      </c>
      <c r="G13" s="222"/>
      <c r="H13" s="222"/>
      <c r="I13" s="222">
        <f>SUMIFS('Data-Retail'!$H$4:$H$269,'Data-Retail'!$A$4:$A$269,'Apr11-Mar12 Billed-RETAIL'!$B13,'Data-Retail'!$D$4:$D$269,'Apr11-Mar12 Billed-RETAIL'!$C13)</f>
        <v>17618287</v>
      </c>
      <c r="J13" s="222">
        <f>SUMIFS('Data-Retail'!$I$4:$I$269,'Data-Retail'!$A$4:$A$269,'Apr11-Mar12 Billed-RETAIL'!$B13,'Data-Retail'!$D$4:$D$269,'Apr11-Mar12 Billed-RETAIL'!$C13)</f>
        <v>0</v>
      </c>
      <c r="K13" s="222"/>
      <c r="L13" s="223">
        <f>VLOOKUP($C13,'Retail Rates'!$B$7:$M$35,5,FALSE)</f>
        <v>12.5</v>
      </c>
      <c r="M13" s="223">
        <f>VLOOKUP($C13,'Retail Rates'!$B$7:$M$35,6,FALSE)</f>
        <v>0</v>
      </c>
      <c r="N13" s="224">
        <f>VLOOKUP($C13,'Retail Rates'!$B$7:$M$35,7,FALSE)</f>
        <v>0.22395999999999999</v>
      </c>
      <c r="O13" s="224">
        <f>VLOOKUP($C13,'Retail Rates'!$B$7:$M$35,8,FALSE)</f>
        <v>0</v>
      </c>
      <c r="P13" s="224">
        <f>VLOOKUP($B13,'GSC-DSM Factors'!$A$1:$B$46,2,FALSE)</f>
        <v>0.5272</v>
      </c>
      <c r="Q13" s="223">
        <f>VLOOKUP($C13,'Retail Rates'!$B$7:$M$35,9,FALSE)</f>
        <v>0</v>
      </c>
      <c r="R13" s="224">
        <f>VLOOKUP($C13,'Retail Rates'!$B$7:$M$35,10,FALSE)</f>
        <v>0</v>
      </c>
      <c r="S13" s="223">
        <f>VLOOKUP($C13,'Retail Rates'!$B$7:$M$35,11,FALSE)</f>
        <v>0</v>
      </c>
      <c r="T13" s="223"/>
      <c r="U13" s="225">
        <f t="shared" si="4"/>
        <v>3653575</v>
      </c>
      <c r="V13" s="225"/>
      <c r="W13" s="225"/>
      <c r="X13" s="225">
        <f>+I13*N13</f>
        <v>3945791.5565199996</v>
      </c>
      <c r="Y13" s="225">
        <f t="shared" si="18"/>
        <v>0</v>
      </c>
      <c r="Z13" s="225">
        <f t="shared" si="17"/>
        <v>9288360.9064000007</v>
      </c>
      <c r="AA13" s="225"/>
      <c r="AB13" s="225"/>
      <c r="AC13" s="225"/>
      <c r="AD13" s="225"/>
      <c r="AE13" s="244">
        <f>SUMIFS(Adjustments!H$5:H$684,Adjustments!$B$5:$B$684,'Apr11-Mar12 Billed-RETAIL'!$B13,Adjustments!$C$5:$C$684,'Apr11-Mar12 Billed-RETAIL'!$C13)</f>
        <v>-525</v>
      </c>
      <c r="AF13" s="244">
        <f>SUMIFS(Adjustments!I$5:I$684,Adjustments!$B$5:$B$684,'Apr11-Mar12 Billed-RETAIL'!$B13,Adjustments!$C$5:$C$684,'Apr11-Mar12 Billed-RETAIL'!$C13)</f>
        <v>0</v>
      </c>
      <c r="AG13" s="238">
        <f>SUMIFS(Adjustments!J$5:J$684,Adjustments!$B$5:$B$684,'Apr11-Mar12 Billed-RETAIL'!$B13,Adjustments!$C$5:$C$684,'Apr11-Mar12 Billed-RETAIL'!$C13)</f>
        <v>12.52</v>
      </c>
      <c r="AH13" s="238">
        <f>SUMIFS(Adjustments!K$5:K$684,Adjustments!$B$5:$B$684,'Apr11-Mar12 Billed-RETAIL'!$B13,Adjustments!$C$5:$C$684,'Apr11-Mar12 Billed-RETAIL'!$C13)</f>
        <v>0</v>
      </c>
      <c r="AI13" s="238">
        <f>SUMIFS(Adjustments!L$5:L$684,Adjustments!$B$5:$B$684,'Apr11-Mar12 Billed-RETAIL'!$B13,Adjustments!$C$5:$C$684,'Apr11-Mar12 Billed-RETAIL'!$C13)</f>
        <v>-26.84</v>
      </c>
      <c r="AJ13" s="238">
        <f>SUMIFS(Adjustments!M$5:M$684,Adjustments!$B$5:$B$684,'Apr11-Mar12 Billed-RETAIL'!$B13,Adjustments!$C$5:$C$684,'Apr11-Mar12 Billed-RETAIL'!$C13)</f>
        <v>0</v>
      </c>
      <c r="AK13" s="238">
        <f>SUMIFS(Adjustments!N$5:N$684,Adjustments!$B$5:$B$684,'Apr11-Mar12 Billed-RETAIL'!$B13,Adjustments!$C$5:$C$684,'Apr11-Mar12 Billed-RETAIL'!$C13)</f>
        <v>681.8</v>
      </c>
      <c r="AL13" s="238">
        <f>SUMIFS(Adjustments!O$5:O$684,Adjustments!$B$5:$B$684,'Apr11-Mar12 Billed-RETAIL'!$B13,Adjustments!$C$5:$C$684,'Apr11-Mar12 Billed-RETAIL'!$C13)</f>
        <v>0</v>
      </c>
      <c r="AM13" s="238">
        <f>SUMIFS(Adjustments!P$5:P$684,Adjustments!$B$5:$B$684,'Apr11-Mar12 Billed-RETAIL'!$B13,Adjustments!$C$5:$C$684,'Apr11-Mar12 Billed-RETAIL'!$C13)</f>
        <v>0</v>
      </c>
      <c r="AN13" s="225">
        <f t="shared" si="16"/>
        <v>3647025.02</v>
      </c>
      <c r="AO13" s="225">
        <f t="shared" si="9"/>
        <v>0</v>
      </c>
      <c r="AP13" s="225">
        <f t="shared" si="10"/>
        <v>3945764.7165199998</v>
      </c>
      <c r="AQ13" s="225">
        <f t="shared" si="11"/>
        <v>0</v>
      </c>
      <c r="AR13" s="232">
        <f ca="1">SUMIF('SBR Apr11'!$D$4:$S$90,'Apr11-Mar12 Billed-RETAIL'!$C13,'SBR Apr11'!$N$4:$N$90)</f>
        <v>9289042.7100000009</v>
      </c>
      <c r="AS13" s="232">
        <f ca="1">SUMIF('SBR Apr11'!$D$4:$S$90,'Apr11-Mar12 Billed-RETAIL'!$C13,'SBR Apr11'!$M$4:$M$90)</f>
        <v>309648.05000000005</v>
      </c>
      <c r="AT13" s="232">
        <f ca="1">SUMIF('SBR Apr11'!$D$4:$S$90,'Apr11-Mar12 Billed-RETAIL'!$C13,'SBR Apr11'!$O$4:$O$90)</f>
        <v>620042.40999999992</v>
      </c>
      <c r="AU13" s="225">
        <f t="shared" si="12"/>
        <v>0</v>
      </c>
      <c r="AV13" s="225"/>
      <c r="AW13" s="232">
        <f t="shared" ca="1" si="13"/>
        <v>17811522.91</v>
      </c>
      <c r="AX13" s="232">
        <f t="shared" ca="1" si="7"/>
        <v>17811522.91</v>
      </c>
      <c r="AY13" s="233">
        <f t="shared" ca="1" si="14"/>
        <v>1</v>
      </c>
      <c r="AZ13" s="232">
        <f ca="1">SUMIF('SBR Apr11'!$D$4:$S$90,'Apr11-Mar12 Billed-RETAIL'!$C13,'SBR Apr11'!$M$4:$M$90)</f>
        <v>309648.05000000005</v>
      </c>
      <c r="BA13" s="232">
        <f ca="1">SUMIF('SBR Apr11'!$D$4:$S$90,'Apr11-Mar12 Billed-RETAIL'!$C13,'SBR Apr11'!$N$4:$N$90)</f>
        <v>9289042.7100000009</v>
      </c>
      <c r="BB13" s="232">
        <f ca="1">SUMIF('SBR Apr11'!$D$4:$S$90,'Apr11-Mar12 Billed-RETAIL'!$C13,'SBR Apr11'!$O$4:$O$90)</f>
        <v>620042.40999999992</v>
      </c>
      <c r="BC13" s="232">
        <f ca="1">SUMIF('SBR Apr11'!$D$4:$S$90,'Apr11-Mar12 Billed-RETAIL'!$C13,'SBR Apr11'!$Q$4:$Q$90)</f>
        <v>44170.350000000006</v>
      </c>
      <c r="BD13" s="232">
        <f ca="1">SUMIF('SBR Apr11'!$D$4:$S$90,'Apr11-Mar12 Billed-RETAIL'!$C13,'SBR Apr11'!$K$4:$K$90)</f>
        <v>3647025.02</v>
      </c>
      <c r="BE13" s="232">
        <f ca="1">SUMIF('SBR Apr11'!$D$4:$S$90,'Apr11-Mar12 Billed-RETAIL'!$C13,'SBR Apr11'!$L$4:$L$90)</f>
        <v>3945764.72</v>
      </c>
      <c r="BF13" s="232"/>
    </row>
    <row r="14" spans="1:65" ht="15" customHeight="1" x14ac:dyDescent="0.25">
      <c r="A14" s="196">
        <f t="shared" si="15"/>
        <v>9</v>
      </c>
      <c r="B14" s="211">
        <v>40634</v>
      </c>
      <c r="C14" s="211" t="str">
        <f>+'Retail Rates'!B27</f>
        <v>LGRSG811S1</v>
      </c>
      <c r="D14" s="197" t="str">
        <f t="shared" si="8"/>
        <v>811</v>
      </c>
      <c r="E14" s="197" t="str">
        <f>VLOOKUP(C14,'Retail Rates'!$B$7:$D$35,3,FALSE)</f>
        <v>RGS</v>
      </c>
      <c r="F14" s="222">
        <f>SUMIFS('Data-Retail'!$G$4:$G$269,'Data-Retail'!$A$4:$A$269,'Apr11-Mar12 Billed-RETAIL'!$B14,'Data-Retail'!$D$4:$D$269,'Apr11-Mar12 Billed-RETAIL'!$C14)</f>
        <v>1</v>
      </c>
      <c r="G14" s="222"/>
      <c r="H14" s="222"/>
      <c r="I14" s="222">
        <f>SUMIFS('Data-Retail'!$H$4:$H$269,'Data-Retail'!$A$4:$A$269,'Apr11-Mar12 Billed-RETAIL'!$B14,'Data-Retail'!$D$4:$D$269,'Apr11-Mar12 Billed-RETAIL'!$C14)</f>
        <v>1479</v>
      </c>
      <c r="J14" s="222">
        <f>SUMIFS('Data-Retail'!$I$4:$I$269,'Data-Retail'!$A$4:$A$269,'Apr11-Mar12 Billed-RETAIL'!$B14,'Data-Retail'!$D$4:$D$269,'Apr11-Mar12 Billed-RETAIL'!$C14)</f>
        <v>0</v>
      </c>
      <c r="K14" s="222"/>
      <c r="L14" s="223">
        <f>VLOOKUP($C14,'Retail Rates'!$B$7:$M$35,5,FALSE)</f>
        <v>12.5</v>
      </c>
      <c r="M14" s="223">
        <f>VLOOKUP($C14,'Retail Rates'!$B$7:$M$35,6,FALSE)</f>
        <v>0</v>
      </c>
      <c r="N14" s="224">
        <f>VLOOKUP($C14,'Retail Rates'!$B$7:$M$35,7,FALSE)</f>
        <v>0.22395999999999999</v>
      </c>
      <c r="O14" s="224">
        <f>VLOOKUP($C14,'Retail Rates'!$B$7:$M$35,8,FALSE)</f>
        <v>0</v>
      </c>
      <c r="P14" s="224">
        <f>VLOOKUP($B14,'GSC-DSM Factors'!$A$1:$B$46,2,FALSE)</f>
        <v>0.5272</v>
      </c>
      <c r="Q14" s="223">
        <f>VLOOKUP($C14,'Retail Rates'!$B$7:$M$35,9,FALSE)</f>
        <v>0</v>
      </c>
      <c r="R14" s="224">
        <f>VLOOKUP($C14,'Retail Rates'!$B$7:$M$35,10,FALSE)</f>
        <v>0</v>
      </c>
      <c r="S14" s="223">
        <f>VLOOKUP($C14,'Retail Rates'!$B$7:$M$35,11,FALSE)</f>
        <v>0</v>
      </c>
      <c r="T14" s="223"/>
      <c r="U14" s="225">
        <f t="shared" si="4"/>
        <v>12.5</v>
      </c>
      <c r="V14" s="225"/>
      <c r="W14" s="225"/>
      <c r="X14" s="225">
        <f>+I14*N14</f>
        <v>331.23683999999997</v>
      </c>
      <c r="Y14" s="225">
        <f t="shared" si="18"/>
        <v>0</v>
      </c>
      <c r="Z14" s="225">
        <f t="shared" si="17"/>
        <v>779.72879999999998</v>
      </c>
      <c r="AA14" s="225"/>
      <c r="AB14" s="225"/>
      <c r="AC14" s="225"/>
      <c r="AD14" s="225"/>
      <c r="AE14" s="244">
        <f>SUMIFS(Adjustments!H$5:H$684,Adjustments!$B$5:$B$684,'Apr11-Mar12 Billed-RETAIL'!$B14,Adjustments!$C$5:$C$684,'Apr11-Mar12 Billed-RETAIL'!$C14)</f>
        <v>0</v>
      </c>
      <c r="AF14" s="244">
        <f>SUMIFS(Adjustments!I$5:I$684,Adjustments!$B$5:$B$684,'Apr11-Mar12 Billed-RETAIL'!$B14,Adjustments!$C$5:$C$684,'Apr11-Mar12 Billed-RETAIL'!$C14)</f>
        <v>0</v>
      </c>
      <c r="AG14" s="238">
        <f>SUMIFS(Adjustments!J$5:J$684,Adjustments!$B$5:$B$684,'Apr11-Mar12 Billed-RETAIL'!$B14,Adjustments!$C$5:$C$684,'Apr11-Mar12 Billed-RETAIL'!$C14)</f>
        <v>-12</v>
      </c>
      <c r="AH14" s="238">
        <f>SUMIFS(Adjustments!K$5:K$684,Adjustments!$B$5:$B$684,'Apr11-Mar12 Billed-RETAIL'!$B14,Adjustments!$C$5:$C$684,'Apr11-Mar12 Billed-RETAIL'!$C14)</f>
        <v>0</v>
      </c>
      <c r="AI14" s="238">
        <f>SUMIFS(Adjustments!L$5:L$684,Adjustments!$B$5:$B$684,'Apr11-Mar12 Billed-RETAIL'!$B14,Adjustments!$C$5:$C$684,'Apr11-Mar12 Billed-RETAIL'!$C14)</f>
        <v>-397.97</v>
      </c>
      <c r="AJ14" s="238">
        <f>SUMIFS(Adjustments!M$5:M$684,Adjustments!$B$5:$B$684,'Apr11-Mar12 Billed-RETAIL'!$B14,Adjustments!$C$5:$C$684,'Apr11-Mar12 Billed-RETAIL'!$C14)</f>
        <v>0</v>
      </c>
      <c r="AK14" s="238">
        <f>SUMIFS(Adjustments!N$5:N$684,Adjustments!$B$5:$B$684,'Apr11-Mar12 Billed-RETAIL'!$B14,Adjustments!$C$5:$C$684,'Apr11-Mar12 Billed-RETAIL'!$C14)</f>
        <v>0</v>
      </c>
      <c r="AL14" s="238">
        <f>SUMIFS(Adjustments!O$5:O$684,Adjustments!$B$5:$B$684,'Apr11-Mar12 Billed-RETAIL'!$B14,Adjustments!$C$5:$C$684,'Apr11-Mar12 Billed-RETAIL'!$C14)</f>
        <v>0</v>
      </c>
      <c r="AM14" s="238">
        <f>SUMIFS(Adjustments!P$5:P$684,Adjustments!$B$5:$B$684,'Apr11-Mar12 Billed-RETAIL'!$B14,Adjustments!$C$5:$C$684,'Apr11-Mar12 Billed-RETAIL'!$C14)</f>
        <v>0</v>
      </c>
      <c r="AN14" s="225">
        <f t="shared" si="16"/>
        <v>0.5</v>
      </c>
      <c r="AO14" s="225">
        <f t="shared" si="9"/>
        <v>0</v>
      </c>
      <c r="AP14" s="225">
        <f t="shared" si="10"/>
        <v>-66.733160000000055</v>
      </c>
      <c r="AQ14" s="225">
        <f t="shared" si="11"/>
        <v>0</v>
      </c>
      <c r="AR14" s="232">
        <f ca="1">SUMIF('SBR Apr11'!$D$4:$S$90,'Apr11-Mar12 Billed-RETAIL'!$C14,'SBR Apr11'!$N$4:$N$90)</f>
        <v>779.73</v>
      </c>
      <c r="AS14" s="232">
        <f ca="1">SUMIF('SBR Apr11'!$D$4:$S$90,'Apr11-Mar12 Billed-RETAIL'!$C14,'SBR Apr11'!$M$4:$M$90)</f>
        <v>0</v>
      </c>
      <c r="AT14" s="232">
        <f ca="1">SUMIF('SBR Apr11'!$D$4:$S$90,'Apr11-Mar12 Billed-RETAIL'!$C14,'SBR Apr11'!$O$4:$O$90)</f>
        <v>0</v>
      </c>
      <c r="AU14" s="225">
        <f t="shared" si="12"/>
        <v>0</v>
      </c>
      <c r="AV14" s="225"/>
      <c r="AW14" s="232">
        <f t="shared" ca="1" si="13"/>
        <v>713.5</v>
      </c>
      <c r="AX14" s="232">
        <f t="shared" ca="1" si="7"/>
        <v>713.5</v>
      </c>
      <c r="AY14" s="233">
        <f t="shared" ca="1" si="14"/>
        <v>1</v>
      </c>
      <c r="AZ14" s="232">
        <f ca="1">SUMIF('SBR Apr11'!$D$4:$S$90,'Apr11-Mar12 Billed-RETAIL'!$C14,'SBR Apr11'!$M$4:$M$90)</f>
        <v>0</v>
      </c>
      <c r="BA14" s="232">
        <f ca="1">SUMIF('SBR Apr11'!$D$4:$S$90,'Apr11-Mar12 Billed-RETAIL'!$C14,'SBR Apr11'!$N$4:$N$90)</f>
        <v>779.73</v>
      </c>
      <c r="BB14" s="232">
        <f ca="1">SUMIF('SBR Apr11'!$D$4:$S$90,'Apr11-Mar12 Billed-RETAIL'!$C14,'SBR Apr11'!$O$4:$O$90)</f>
        <v>0</v>
      </c>
      <c r="BC14" s="232">
        <f ca="1">SUMIF('SBR Apr11'!$D$4:$S$90,'Apr11-Mar12 Billed-RETAIL'!$C14,'SBR Apr11'!$Q$4:$Q$90)</f>
        <v>0</v>
      </c>
      <c r="BD14" s="232">
        <f ca="1">SUMIF('SBR Apr11'!$D$4:$S$90,'Apr11-Mar12 Billed-RETAIL'!$C14,'SBR Apr11'!$K$4:$K$90)</f>
        <v>0.5</v>
      </c>
      <c r="BE14" s="232">
        <f ca="1">SUMIF('SBR Apr11'!$D$4:$S$90,'Apr11-Mar12 Billed-RETAIL'!$C14,'SBR Apr11'!$L$4:$L$90)</f>
        <v>-66.73</v>
      </c>
      <c r="BF14" s="232"/>
    </row>
    <row r="15" spans="1:65" ht="15" customHeight="1" x14ac:dyDescent="0.25">
      <c r="A15" s="196">
        <f t="shared" si="15"/>
        <v>10</v>
      </c>
      <c r="B15" s="211">
        <v>40634</v>
      </c>
      <c r="C15" s="211" t="str">
        <f>+'Retail Rates'!B28</f>
        <v>LGRSG840</v>
      </c>
      <c r="D15" s="197" t="str">
        <f t="shared" si="8"/>
        <v>840</v>
      </c>
      <c r="E15" s="197" t="str">
        <f>VLOOKUP(C15,'Retail Rates'!$B$7:$D$35,3,FALSE)</f>
        <v>RGS</v>
      </c>
      <c r="F15" s="222">
        <f>SUMIFS('Data-Retail'!$G$4:$G$269,'Data-Retail'!$A$4:$A$269,'Apr11-Mar12 Billed-RETAIL'!$B15,'Data-Retail'!$D$4:$D$269,'Apr11-Mar12 Billed-RETAIL'!$C15)</f>
        <v>4</v>
      </c>
      <c r="G15" s="222"/>
      <c r="H15" s="222"/>
      <c r="I15" s="222">
        <f>SUMIFS('Data-Retail'!$H$4:$H$269,'Data-Retail'!$A$4:$A$269,'Apr11-Mar12 Billed-RETAIL'!$B15,'Data-Retail'!$D$4:$D$269,'Apr11-Mar12 Billed-RETAIL'!$C15)</f>
        <v>1004</v>
      </c>
      <c r="J15" s="222">
        <f>SUMIFS('Data-Retail'!$I$4:$I$269,'Data-Retail'!$A$4:$A$269,'Apr11-Mar12 Billed-RETAIL'!$B15,'Data-Retail'!$D$4:$D$269,'Apr11-Mar12 Billed-RETAIL'!$C15)</f>
        <v>0</v>
      </c>
      <c r="K15" s="222"/>
      <c r="L15" s="223">
        <f>VLOOKUP($C15,'Retail Rates'!$B$7:$M$35,5,FALSE)</f>
        <v>12.5</v>
      </c>
      <c r="M15" s="223">
        <f>VLOOKUP($C15,'Retail Rates'!$B$7:$M$35,6,FALSE)</f>
        <v>0</v>
      </c>
      <c r="N15" s="224">
        <f>VLOOKUP($C15,'Retail Rates'!$B$7:$M$35,7,FALSE)</f>
        <v>0.22395999999999999</v>
      </c>
      <c r="O15" s="224">
        <f>VLOOKUP($C15,'Retail Rates'!$B$7:$M$35,8,FALSE)</f>
        <v>0</v>
      </c>
      <c r="P15" s="224">
        <f>VLOOKUP($B15,'GSC-DSM Factors'!$A$1:$B$46,2,FALSE)</f>
        <v>0.5272</v>
      </c>
      <c r="Q15" s="223">
        <f>VLOOKUP($C15,'Retail Rates'!$B$7:$M$35,9,FALSE)</f>
        <v>0</v>
      </c>
      <c r="R15" s="224">
        <f>VLOOKUP($C15,'Retail Rates'!$B$7:$M$35,10,FALSE)</f>
        <v>0</v>
      </c>
      <c r="S15" s="223">
        <f>VLOOKUP($C15,'Retail Rates'!$B$7:$M$35,11,FALSE)</f>
        <v>0</v>
      </c>
      <c r="T15" s="223"/>
      <c r="U15" s="225">
        <f t="shared" si="4"/>
        <v>50</v>
      </c>
      <c r="V15" s="225"/>
      <c r="W15" s="225"/>
      <c r="X15" s="225">
        <f>+I15*N15</f>
        <v>224.85584</v>
      </c>
      <c r="Y15" s="225">
        <f t="shared" si="18"/>
        <v>0</v>
      </c>
      <c r="Z15" s="225">
        <f t="shared" si="17"/>
        <v>529.30880000000002</v>
      </c>
      <c r="AA15" s="225"/>
      <c r="AB15" s="225"/>
      <c r="AC15" s="225"/>
      <c r="AD15" s="225"/>
      <c r="AE15" s="244">
        <f>SUMIFS(Adjustments!H$5:H$684,Adjustments!$B$5:$B$684,'Apr11-Mar12 Billed-RETAIL'!$B15,Adjustments!$C$5:$C$684,'Apr11-Mar12 Billed-RETAIL'!$C15)</f>
        <v>0</v>
      </c>
      <c r="AF15" s="244">
        <f>SUMIFS(Adjustments!I$5:I$684,Adjustments!$B$5:$B$684,'Apr11-Mar12 Billed-RETAIL'!$B15,Adjustments!$C$5:$C$684,'Apr11-Mar12 Billed-RETAIL'!$C15)</f>
        <v>0</v>
      </c>
      <c r="AG15" s="238">
        <f>SUMIFS(Adjustments!J$5:J$684,Adjustments!$B$5:$B$684,'Apr11-Mar12 Billed-RETAIL'!$B15,Adjustments!$C$5:$C$684,'Apr11-Mar12 Billed-RETAIL'!$C15)</f>
        <v>0</v>
      </c>
      <c r="AH15" s="238">
        <f>SUMIFS(Adjustments!K$5:K$684,Adjustments!$B$5:$B$684,'Apr11-Mar12 Billed-RETAIL'!$B15,Adjustments!$C$5:$C$684,'Apr11-Mar12 Billed-RETAIL'!$C15)</f>
        <v>0</v>
      </c>
      <c r="AI15" s="238">
        <f>SUMIFS(Adjustments!L$5:L$684,Adjustments!$B$5:$B$684,'Apr11-Mar12 Billed-RETAIL'!$B15,Adjustments!$C$5:$C$684,'Apr11-Mar12 Billed-RETAIL'!$C15)</f>
        <v>-0.01</v>
      </c>
      <c r="AJ15" s="238">
        <f>SUMIFS(Adjustments!M$5:M$684,Adjustments!$B$5:$B$684,'Apr11-Mar12 Billed-RETAIL'!$B15,Adjustments!$C$5:$C$684,'Apr11-Mar12 Billed-RETAIL'!$C15)</f>
        <v>0</v>
      </c>
      <c r="AK15" s="238">
        <f>SUMIFS(Adjustments!N$5:N$684,Adjustments!$B$5:$B$684,'Apr11-Mar12 Billed-RETAIL'!$B15,Adjustments!$C$5:$C$684,'Apr11-Mar12 Billed-RETAIL'!$C15)</f>
        <v>0</v>
      </c>
      <c r="AL15" s="238">
        <f>SUMIFS(Adjustments!O$5:O$684,Adjustments!$B$5:$B$684,'Apr11-Mar12 Billed-RETAIL'!$B15,Adjustments!$C$5:$C$684,'Apr11-Mar12 Billed-RETAIL'!$C15)</f>
        <v>0</v>
      </c>
      <c r="AM15" s="238">
        <f>SUMIFS(Adjustments!P$5:P$684,Adjustments!$B$5:$B$684,'Apr11-Mar12 Billed-RETAIL'!$B15,Adjustments!$C$5:$C$684,'Apr11-Mar12 Billed-RETAIL'!$C15)</f>
        <v>0</v>
      </c>
      <c r="AN15" s="225">
        <f t="shared" si="16"/>
        <v>50</v>
      </c>
      <c r="AO15" s="225">
        <f t="shared" si="9"/>
        <v>0</v>
      </c>
      <c r="AP15" s="225">
        <f t="shared" si="10"/>
        <v>224.84584000000001</v>
      </c>
      <c r="AQ15" s="225">
        <f t="shared" si="11"/>
        <v>0</v>
      </c>
      <c r="AR15" s="232">
        <f ca="1">SUMIF('SBR Apr11'!$D$4:$S$90,'Apr11-Mar12 Billed-RETAIL'!$C15,'SBR Apr11'!$N$4:$N$90)</f>
        <v>529.29999999999995</v>
      </c>
      <c r="AS15" s="232">
        <f ca="1">SUMIF('SBR Apr11'!$D$4:$S$90,'Apr11-Mar12 Billed-RETAIL'!$C15,'SBR Apr11'!$M$4:$M$90)</f>
        <v>17.670000000000002</v>
      </c>
      <c r="AT15" s="232">
        <f ca="1">SUMIF('SBR Apr11'!$D$4:$S$90,'Apr11-Mar12 Billed-RETAIL'!$C15,'SBR Apr11'!$O$4:$O$90)</f>
        <v>30.27</v>
      </c>
      <c r="AU15" s="225">
        <f t="shared" si="12"/>
        <v>0</v>
      </c>
      <c r="AV15" s="225"/>
      <c r="AW15" s="232">
        <f t="shared" ca="1" si="13"/>
        <v>852.09</v>
      </c>
      <c r="AX15" s="232">
        <f t="shared" ca="1" si="7"/>
        <v>852.08999999999992</v>
      </c>
      <c r="AY15" s="233">
        <f t="shared" ca="1" si="14"/>
        <v>1</v>
      </c>
      <c r="AZ15" s="232">
        <f ca="1">SUMIF('SBR Apr11'!$D$4:$S$90,'Apr11-Mar12 Billed-RETAIL'!$C15,'SBR Apr11'!$M$4:$M$90)</f>
        <v>17.670000000000002</v>
      </c>
      <c r="BA15" s="232">
        <f ca="1">SUMIF('SBR Apr11'!$D$4:$S$90,'Apr11-Mar12 Billed-RETAIL'!$C15,'SBR Apr11'!$N$4:$N$90)</f>
        <v>529.29999999999995</v>
      </c>
      <c r="BB15" s="232">
        <f ca="1">SUMIF('SBR Apr11'!$D$4:$S$90,'Apr11-Mar12 Billed-RETAIL'!$C15,'SBR Apr11'!$O$4:$O$90)</f>
        <v>30.27</v>
      </c>
      <c r="BC15" s="232">
        <f ca="1">SUMIF('SBR Apr11'!$D$4:$S$90,'Apr11-Mar12 Billed-RETAIL'!$C15,'SBR Apr11'!$Q$4:$Q$90)</f>
        <v>0</v>
      </c>
      <c r="BD15" s="232">
        <f ca="1">SUMIF('SBR Apr11'!$D$4:$S$90,'Apr11-Mar12 Billed-RETAIL'!$C15,'SBR Apr11'!$K$4:$K$90)</f>
        <v>50</v>
      </c>
      <c r="BE15" s="232">
        <f ca="1">SUMIF('SBR Apr11'!$D$4:$S$90,'Apr11-Mar12 Billed-RETAIL'!$C15,'SBR Apr11'!$L$4:$L$90)</f>
        <v>224.85000000000002</v>
      </c>
      <c r="BF15" s="232"/>
    </row>
    <row r="16" spans="1:65" ht="15" customHeight="1" x14ac:dyDescent="0.25">
      <c r="A16" s="196">
        <f t="shared" si="15"/>
        <v>11</v>
      </c>
      <c r="B16" s="211">
        <v>40634</v>
      </c>
      <c r="C16" s="211" t="str">
        <f>+'Retail Rates'!B29</f>
        <v>LGUMG830</v>
      </c>
      <c r="D16" s="197" t="str">
        <f t="shared" si="8"/>
        <v>830</v>
      </c>
      <c r="E16" s="197" t="str">
        <f>VLOOKUP(C16,'Retail Rates'!$B$7:$D$35,3,FALSE)</f>
        <v>RGS</v>
      </c>
      <c r="F16" s="222">
        <f>SUMIFS('Data-Retail'!$G$4:$G$269,'Data-Retail'!$A$4:$A$269,'Apr11-Mar12 Billed-RETAIL'!$B16,'Data-Retail'!$D$4:$D$269,'Apr11-Mar12 Billed-RETAIL'!$C16)</f>
        <v>1</v>
      </c>
      <c r="G16" s="222"/>
      <c r="H16" s="222"/>
      <c r="I16" s="222">
        <f>SUMIFS('Data-Retail'!$H$4:$H$269,'Data-Retail'!$A$4:$A$269,'Apr11-Mar12 Billed-RETAIL'!$B16,'Data-Retail'!$D$4:$D$269,'Apr11-Mar12 Billed-RETAIL'!$C16)</f>
        <v>32</v>
      </c>
      <c r="J16" s="222">
        <f>SUMIFS('Data-Retail'!$I$4:$I$269,'Data-Retail'!$A$4:$A$269,'Apr11-Mar12 Billed-RETAIL'!$B16,'Data-Retail'!$D$4:$D$269,'Apr11-Mar12 Billed-RETAIL'!$C16)</f>
        <v>0</v>
      </c>
      <c r="K16" s="222"/>
      <c r="L16" s="223">
        <f>VLOOKUP($C16,'Retail Rates'!$B$7:$M$35,5,FALSE)</f>
        <v>12.5</v>
      </c>
      <c r="M16" s="223">
        <f>VLOOKUP($C16,'Retail Rates'!$B$7:$M$35,6,FALSE)</f>
        <v>0</v>
      </c>
      <c r="N16" s="224">
        <f>VLOOKUP($C16,'Retail Rates'!$B$7:$M$35,7,FALSE)</f>
        <v>0.22395999999999999</v>
      </c>
      <c r="O16" s="224">
        <f>VLOOKUP($C16,'Retail Rates'!$B$7:$M$35,8,FALSE)</f>
        <v>0</v>
      </c>
      <c r="P16" s="224">
        <f>VLOOKUP($B16,'GSC-DSM Factors'!$A$1:$B$46,2,FALSE)</f>
        <v>0.5272</v>
      </c>
      <c r="Q16" s="223">
        <f>VLOOKUP($C16,'Retail Rates'!$B$7:$M$35,9,FALSE)</f>
        <v>0</v>
      </c>
      <c r="R16" s="224">
        <f>VLOOKUP($C16,'Retail Rates'!$B$7:$M$35,10,FALSE)</f>
        <v>0</v>
      </c>
      <c r="S16" s="223">
        <f>VLOOKUP($C16,'Retail Rates'!$B$7:$M$35,11,FALSE)</f>
        <v>0</v>
      </c>
      <c r="T16" s="223"/>
      <c r="U16" s="225">
        <f t="shared" si="4"/>
        <v>12.5</v>
      </c>
      <c r="V16" s="225"/>
      <c r="W16" s="225"/>
      <c r="X16" s="225">
        <f>+I16*N16</f>
        <v>7.1667199999999998</v>
      </c>
      <c r="Y16" s="225">
        <f t="shared" si="18"/>
        <v>0</v>
      </c>
      <c r="Z16" s="225">
        <f t="shared" si="17"/>
        <v>16.8704</v>
      </c>
      <c r="AA16" s="225"/>
      <c r="AB16" s="225"/>
      <c r="AC16" s="225"/>
      <c r="AD16" s="225"/>
      <c r="AE16" s="244">
        <f>SUMIFS(Adjustments!H$5:H$684,Adjustments!$B$5:$B$684,'Apr11-Mar12 Billed-RETAIL'!$B16,Adjustments!$C$5:$C$684,'Apr11-Mar12 Billed-RETAIL'!$C16)</f>
        <v>1</v>
      </c>
      <c r="AF16" s="244">
        <f>SUMIFS(Adjustments!I$5:I$684,Adjustments!$B$5:$B$684,'Apr11-Mar12 Billed-RETAIL'!$B16,Adjustments!$C$5:$C$684,'Apr11-Mar12 Billed-RETAIL'!$C16)</f>
        <v>0</v>
      </c>
      <c r="AG16" s="238">
        <f>SUMIFS(Adjustments!J$5:J$684,Adjustments!$B$5:$B$684,'Apr11-Mar12 Billed-RETAIL'!$B16,Adjustments!$C$5:$C$684,'Apr11-Mar12 Billed-RETAIL'!$C16)</f>
        <v>0</v>
      </c>
      <c r="AH16" s="238">
        <f>SUMIFS(Adjustments!K$5:K$684,Adjustments!$B$5:$B$684,'Apr11-Mar12 Billed-RETAIL'!$B16,Adjustments!$C$5:$C$684,'Apr11-Mar12 Billed-RETAIL'!$C16)</f>
        <v>0</v>
      </c>
      <c r="AI16" s="238">
        <f>SUMIFS(Adjustments!L$5:L$684,Adjustments!$B$5:$B$684,'Apr11-Mar12 Billed-RETAIL'!$B16,Adjustments!$C$5:$C$684,'Apr11-Mar12 Billed-RETAIL'!$C16)</f>
        <v>0</v>
      </c>
      <c r="AJ16" s="238">
        <f>SUMIFS(Adjustments!M$5:M$684,Adjustments!$B$5:$B$684,'Apr11-Mar12 Billed-RETAIL'!$B16,Adjustments!$C$5:$C$684,'Apr11-Mar12 Billed-RETAIL'!$C16)</f>
        <v>0</v>
      </c>
      <c r="AK16" s="238">
        <f>SUMIFS(Adjustments!N$5:N$684,Adjustments!$B$5:$B$684,'Apr11-Mar12 Billed-RETAIL'!$B16,Adjustments!$C$5:$C$684,'Apr11-Mar12 Billed-RETAIL'!$C16)</f>
        <v>0</v>
      </c>
      <c r="AL16" s="238">
        <f>SUMIFS(Adjustments!O$5:O$684,Adjustments!$B$5:$B$684,'Apr11-Mar12 Billed-RETAIL'!$B16,Adjustments!$C$5:$C$684,'Apr11-Mar12 Billed-RETAIL'!$C16)</f>
        <v>0</v>
      </c>
      <c r="AM16" s="238">
        <f>SUMIFS(Adjustments!P$5:P$684,Adjustments!$B$5:$B$684,'Apr11-Mar12 Billed-RETAIL'!$B16,Adjustments!$C$5:$C$684,'Apr11-Mar12 Billed-RETAIL'!$C16)</f>
        <v>0</v>
      </c>
      <c r="AN16" s="225">
        <f t="shared" si="16"/>
        <v>25</v>
      </c>
      <c r="AO16" s="225">
        <f t="shared" si="9"/>
        <v>0</v>
      </c>
      <c r="AP16" s="225">
        <f t="shared" si="10"/>
        <v>7.1667199999999998</v>
      </c>
      <c r="AQ16" s="225">
        <f t="shared" si="11"/>
        <v>0</v>
      </c>
      <c r="AR16" s="232">
        <f ca="1">SUMIF('SBR Apr11'!$D$4:$S$90,'Apr11-Mar12 Billed-RETAIL'!$C16,'SBR Apr11'!$N$4:$N$90)</f>
        <v>16.87</v>
      </c>
      <c r="AS16" s="232">
        <f ca="1">SUMIF('SBR Apr11'!$D$4:$S$90,'Apr11-Mar12 Billed-RETAIL'!$C16,'SBR Apr11'!$M$4:$M$90)</f>
        <v>0.56000000000000005</v>
      </c>
      <c r="AT16" s="232">
        <f ca="1">SUMIF('SBR Apr11'!$D$4:$S$90,'Apr11-Mar12 Billed-RETAIL'!$C16,'SBR Apr11'!$O$4:$O$90)</f>
        <v>0</v>
      </c>
      <c r="AU16" s="225">
        <f t="shared" si="12"/>
        <v>0</v>
      </c>
      <c r="AV16" s="225"/>
      <c r="AW16" s="232">
        <f t="shared" ca="1" si="13"/>
        <v>49.6</v>
      </c>
      <c r="AX16" s="232">
        <f t="shared" ca="1" si="7"/>
        <v>49.6</v>
      </c>
      <c r="AY16" s="233">
        <f t="shared" ca="1" si="14"/>
        <v>1</v>
      </c>
      <c r="AZ16" s="232">
        <f ca="1">SUMIF('SBR Apr11'!$D$4:$S$90,'Apr11-Mar12 Billed-RETAIL'!$C16,'SBR Apr11'!$M$4:$M$90)</f>
        <v>0.56000000000000005</v>
      </c>
      <c r="BA16" s="232">
        <f ca="1">SUMIF('SBR Apr11'!$D$4:$S$90,'Apr11-Mar12 Billed-RETAIL'!$C16,'SBR Apr11'!$N$4:$N$90)</f>
        <v>16.87</v>
      </c>
      <c r="BB16" s="232">
        <f ca="1">SUMIF('SBR Apr11'!$D$4:$S$90,'Apr11-Mar12 Billed-RETAIL'!$C16,'SBR Apr11'!$O$4:$O$90)</f>
        <v>0</v>
      </c>
      <c r="BC16" s="232">
        <f ca="1">SUMIF('SBR Apr11'!$D$4:$S$90,'Apr11-Mar12 Billed-RETAIL'!$C16,'SBR Apr11'!$Q$4:$Q$90)</f>
        <v>0</v>
      </c>
      <c r="BD16" s="232">
        <f ca="1">SUMIF('SBR Apr11'!$D$4:$S$90,'Apr11-Mar12 Billed-RETAIL'!$C16,'SBR Apr11'!$K$4:$K$90)</f>
        <v>25</v>
      </c>
      <c r="BE16" s="232">
        <f ca="1">SUMIF('SBR Apr11'!$D$4:$S$90,'Apr11-Mar12 Billed-RETAIL'!$C16,'SBR Apr11'!$L$4:$L$90)</f>
        <v>7.17</v>
      </c>
      <c r="BF16" s="232"/>
    </row>
    <row r="17" spans="1:58" ht="15" customHeight="1" x14ac:dyDescent="0.25">
      <c r="A17" s="196">
        <f t="shared" si="15"/>
        <v>12</v>
      </c>
      <c r="B17" s="211">
        <v>40664</v>
      </c>
      <c r="C17" s="211" t="str">
        <f>+'Retail Rates'!B7</f>
        <v>LGCMG865</v>
      </c>
      <c r="D17" s="197" t="str">
        <f t="shared" si="8"/>
        <v>865</v>
      </c>
      <c r="E17" s="197" t="str">
        <f>VLOOKUP(C17,'Retail Rates'!$B$7:$D$35,3,FALSE)</f>
        <v>AAGS-C</v>
      </c>
      <c r="F17" s="222">
        <f>SUMIFS('Data-Retail'!$G$4:$G$269,'Data-Retail'!$A$4:$A$269,'Apr11-Mar12 Billed-RETAIL'!$B17,'Data-Retail'!$D$4:$D$269,'Apr11-Mar12 Billed-RETAIL'!$C17)</f>
        <v>4</v>
      </c>
      <c r="G17" s="222"/>
      <c r="H17" s="222"/>
      <c r="I17" s="222">
        <f>SUMIFS('Data-Retail'!$H$4:$H$269,'Data-Retail'!$A$4:$A$269,'Apr11-Mar12 Billed-RETAIL'!$B17,'Data-Retail'!$D$4:$D$269,'Apr11-Mar12 Billed-RETAIL'!$C17)</f>
        <v>29527</v>
      </c>
      <c r="J17" s="222">
        <f>SUMIFS('Data-Retail'!$I$4:$I$269,'Data-Retail'!$A$4:$A$269,'Apr11-Mar12 Billed-RETAIL'!$B17,'Data-Retail'!$D$4:$D$269,'Apr11-Mar12 Billed-RETAIL'!$C17)</f>
        <v>0</v>
      </c>
      <c r="K17" s="222"/>
      <c r="L17" s="223">
        <f>VLOOKUP($C17,'Retail Rates'!$B$7:$M$35,5,FALSE)</f>
        <v>275</v>
      </c>
      <c r="M17" s="223">
        <f>VLOOKUP($C17,'Retail Rates'!$B$7:$M$35,6,FALSE)</f>
        <v>0</v>
      </c>
      <c r="N17" s="224">
        <f>VLOOKUP($C17,'Retail Rates'!$B$7:$M$35,7,FALSE)</f>
        <v>5.2519999999999997E-2</v>
      </c>
      <c r="O17" s="224">
        <f>VLOOKUP($C17,'Retail Rates'!$B$7:$M$35,8,FALSE)</f>
        <v>0</v>
      </c>
      <c r="P17" s="224">
        <f>VLOOKUP($B17,'GSC-DSM Factors'!$A$1:$B$46,2,FALSE)</f>
        <v>0.56142999999999998</v>
      </c>
      <c r="Q17" s="223">
        <f>VLOOKUP($C17,'Retail Rates'!$B$7:$M$35,9,FALSE)</f>
        <v>0</v>
      </c>
      <c r="R17" s="224">
        <f>VLOOKUP($C17,'Retail Rates'!$B$7:$M$35,10,FALSE)</f>
        <v>0</v>
      </c>
      <c r="S17" s="223">
        <f>VLOOKUP($C17,'Retail Rates'!$B$7:$M$35,11,FALSE)</f>
        <v>0</v>
      </c>
      <c r="T17" s="223"/>
      <c r="U17" s="225">
        <f t="shared" si="4"/>
        <v>1100</v>
      </c>
      <c r="V17" s="225"/>
      <c r="W17" s="225"/>
      <c r="X17" s="225">
        <f t="shared" ref="X17:X22" si="19">+I17*N17</f>
        <v>1550.7580399999999</v>
      </c>
      <c r="Y17" s="225">
        <f t="shared" si="18"/>
        <v>0</v>
      </c>
      <c r="Z17" s="225">
        <f>SUM(I17:J17)*P17</f>
        <v>16577.34361</v>
      </c>
      <c r="AA17" s="225"/>
      <c r="AB17" s="225"/>
      <c r="AC17" s="222"/>
      <c r="AD17" s="225"/>
      <c r="AE17" s="244">
        <f>SUMIFS(Adjustments!H$5:H$684,Adjustments!$B$5:$B$684,'Apr11-Mar12 Billed-RETAIL'!$B17,Adjustments!$C$5:$C$684,'Apr11-Mar12 Billed-RETAIL'!$C17)</f>
        <v>0</v>
      </c>
      <c r="AF17" s="244">
        <f>SUMIFS(Adjustments!I$5:I$684,Adjustments!$B$5:$B$684,'Apr11-Mar12 Billed-RETAIL'!$B17,Adjustments!$C$5:$C$684,'Apr11-Mar12 Billed-RETAIL'!$C17)</f>
        <v>0</v>
      </c>
      <c r="AG17" s="238">
        <f>SUMIFS(Adjustments!J$5:J$684,Adjustments!$B$5:$B$684,'Apr11-Mar12 Billed-RETAIL'!$B17,Adjustments!$C$5:$C$684,'Apr11-Mar12 Billed-RETAIL'!$C17)</f>
        <v>0</v>
      </c>
      <c r="AH17" s="238">
        <f>SUMIFS(Adjustments!K$5:K$684,Adjustments!$B$5:$B$684,'Apr11-Mar12 Billed-RETAIL'!$B17,Adjustments!$C$5:$C$684,'Apr11-Mar12 Billed-RETAIL'!$C17)</f>
        <v>0</v>
      </c>
      <c r="AI17" s="238">
        <f>SUMIFS(Adjustments!L$5:L$684,Adjustments!$B$5:$B$684,'Apr11-Mar12 Billed-RETAIL'!$B17,Adjustments!$C$5:$C$684,'Apr11-Mar12 Billed-RETAIL'!$C17)</f>
        <v>0</v>
      </c>
      <c r="AJ17" s="238">
        <f>SUMIFS(Adjustments!M$5:M$684,Adjustments!$B$5:$B$684,'Apr11-Mar12 Billed-RETAIL'!$B17,Adjustments!$C$5:$C$684,'Apr11-Mar12 Billed-RETAIL'!$C17)</f>
        <v>0</v>
      </c>
      <c r="AK17" s="238">
        <f>SUMIFS(Adjustments!N$5:N$684,Adjustments!$B$5:$B$684,'Apr11-Mar12 Billed-RETAIL'!$B17,Adjustments!$C$5:$C$684,'Apr11-Mar12 Billed-RETAIL'!$C17)</f>
        <v>-684.12361000000055</v>
      </c>
      <c r="AL17" s="238">
        <f>SUMIFS(Adjustments!O$5:O$684,Adjustments!$B$5:$B$684,'Apr11-Mar12 Billed-RETAIL'!$B17,Adjustments!$C$5:$C$684,'Apr11-Mar12 Billed-RETAIL'!$C17)</f>
        <v>0</v>
      </c>
      <c r="AM17" s="238">
        <f>SUMIFS(Adjustments!P$5:P$684,Adjustments!$B$5:$B$684,'Apr11-Mar12 Billed-RETAIL'!$B17,Adjustments!$C$5:$C$684,'Apr11-Mar12 Billed-RETAIL'!$C17)</f>
        <v>0</v>
      </c>
      <c r="AN17" s="225">
        <f t="shared" si="16"/>
        <v>1100</v>
      </c>
      <c r="AO17" s="225">
        <f t="shared" si="9"/>
        <v>0</v>
      </c>
      <c r="AP17" s="225">
        <f t="shared" si="10"/>
        <v>1550.7580399999999</v>
      </c>
      <c r="AQ17" s="225">
        <f t="shared" si="11"/>
        <v>0</v>
      </c>
      <c r="AR17" s="232">
        <f ca="1">SUMIF('SBR May11'!$D$4:$S$90,'Apr11-Mar12 Billed-RETAIL'!$C17,'SBR May11'!$N$4:$N$90)</f>
        <v>15893.22</v>
      </c>
      <c r="AS17" s="232">
        <f ca="1">SUMIF('SBR May11'!$D$4:$S$90,'Apr11-Mar12 Billed-RETAIL'!$C17,'SBR May11'!$M$4:$M$90)</f>
        <v>26.29</v>
      </c>
      <c r="AT17" s="232">
        <f ca="1">SUMIF('SBR May11'!$D$4:$S$90,'Apr11-Mar12 Billed-RETAIL'!$C17,'SBR May11'!$O$4:$O$90)</f>
        <v>0</v>
      </c>
      <c r="AU17" s="225">
        <f t="shared" si="12"/>
        <v>0</v>
      </c>
      <c r="AV17" s="225"/>
      <c r="AW17" s="232">
        <f t="shared" ca="1" si="13"/>
        <v>18570.27</v>
      </c>
      <c r="AX17" s="232">
        <f t="shared" ca="1" si="7"/>
        <v>18570.27</v>
      </c>
      <c r="AY17" s="233">
        <f t="shared" ca="1" si="14"/>
        <v>1</v>
      </c>
      <c r="AZ17" s="232">
        <f ca="1">SUMIF('SBR May11'!$D$4:$S$90,'Apr11-Mar12 Billed-RETAIL'!$C17,'SBR May11'!$M$4:$M$90)</f>
        <v>26.29</v>
      </c>
      <c r="BA17" s="232">
        <f ca="1">SUMIF('SBR May11'!$D$4:$S$90,'Apr11-Mar12 Billed-RETAIL'!$C17,'SBR May11'!$N$4:$N$90)</f>
        <v>15893.22</v>
      </c>
      <c r="BB17" s="232">
        <f ca="1">SUMIF('SBR May11'!$D$4:$S$90,'Apr11-Mar12 Billed-RETAIL'!$C17,'SBR May11'!$O$4:$O$90)</f>
        <v>0</v>
      </c>
      <c r="BC17" s="232">
        <f ca="1">SUMIF('SBR May11'!$D$4:$S$90,'Apr11-Mar12 Billed-RETAIL'!$C17,'SBR May11'!$Q$4:$Q$90)</f>
        <v>0</v>
      </c>
      <c r="BD17" s="232">
        <f ca="1">SUMIF('SBR May11'!$D$4:$S$90,'Apr11-Mar12 Billed-RETAIL'!$C17,'SBR May11'!$K$4:$K$90)</f>
        <v>1100</v>
      </c>
      <c r="BE17" s="232">
        <f ca="1">SUMIF('SBR May11'!$D$4:$S$90,'Apr11-Mar12 Billed-RETAIL'!$C17,'SBR May11'!$L$4:$L$90)</f>
        <v>1550.76</v>
      </c>
      <c r="BF17" s="232"/>
    </row>
    <row r="18" spans="1:58" ht="15" customHeight="1" x14ac:dyDescent="0.25">
      <c r="A18" s="196">
        <f t="shared" si="15"/>
        <v>13</v>
      </c>
      <c r="B18" s="211">
        <v>40664</v>
      </c>
      <c r="C18" s="211" t="str">
        <f>+'Retail Rates'!B10</f>
        <v>LGING866</v>
      </c>
      <c r="D18" s="197" t="str">
        <f t="shared" ref="D18:D27" si="20">MID(C18,6,3)</f>
        <v>866</v>
      </c>
      <c r="E18" s="197" t="str">
        <f>VLOOKUP(C18,'Retail Rates'!$B$7:$D$35,3,FALSE)</f>
        <v>AAGS-I</v>
      </c>
      <c r="F18" s="222">
        <f>SUMIFS('Data-Retail'!$G$4:$G$269,'Data-Retail'!$A$4:$A$269,'Apr11-Mar12 Billed-RETAIL'!$B18,'Data-Retail'!$D$4:$D$269,'Apr11-Mar12 Billed-RETAIL'!$C18)</f>
        <v>7</v>
      </c>
      <c r="G18" s="222"/>
      <c r="H18" s="222"/>
      <c r="I18" s="222">
        <f>SUMIFS('Data-Retail'!$H$4:$H$269,'Data-Retail'!$A$4:$A$269,'Apr11-Mar12 Billed-RETAIL'!$B18,'Data-Retail'!$D$4:$D$269,'Apr11-Mar12 Billed-RETAIL'!$C18)</f>
        <v>217562</v>
      </c>
      <c r="J18" s="222">
        <f>SUMIFS('Data-Retail'!$I$4:$I$269,'Data-Retail'!$A$4:$A$269,'Apr11-Mar12 Billed-RETAIL'!$B18,'Data-Retail'!$D$4:$D$269,'Apr11-Mar12 Billed-RETAIL'!$C18)</f>
        <v>0</v>
      </c>
      <c r="K18" s="222"/>
      <c r="L18" s="223">
        <f>VLOOKUP($C18,'Retail Rates'!$B$7:$M$35,5,FALSE)</f>
        <v>275</v>
      </c>
      <c r="M18" s="223">
        <f>VLOOKUP($C18,'Retail Rates'!$B$7:$M$35,6,FALSE)</f>
        <v>0</v>
      </c>
      <c r="N18" s="224">
        <f>VLOOKUP($C18,'Retail Rates'!$B$7:$M$35,7,FALSE)</f>
        <v>5.2519999999999997E-2</v>
      </c>
      <c r="O18" s="224">
        <f>VLOOKUP($C18,'Retail Rates'!$B$7:$M$35,8,FALSE)</f>
        <v>0</v>
      </c>
      <c r="P18" s="224">
        <f>VLOOKUP($B18,'GSC-DSM Factors'!$A$1:$B$46,2,FALSE)</f>
        <v>0.56142999999999998</v>
      </c>
      <c r="Q18" s="223">
        <f>VLOOKUP($C18,'Retail Rates'!$B$7:$M$35,9,FALSE)</f>
        <v>0</v>
      </c>
      <c r="R18" s="224">
        <f>VLOOKUP($C18,'Retail Rates'!$B$7:$M$35,10,FALSE)</f>
        <v>0</v>
      </c>
      <c r="S18" s="223">
        <f>VLOOKUP($C18,'Retail Rates'!$B$7:$M$35,11,FALSE)</f>
        <v>0</v>
      </c>
      <c r="T18" s="223"/>
      <c r="U18" s="225">
        <f t="shared" si="4"/>
        <v>1925</v>
      </c>
      <c r="V18" s="225"/>
      <c r="W18" s="225"/>
      <c r="X18" s="225">
        <f t="shared" si="19"/>
        <v>11426.356239999999</v>
      </c>
      <c r="Y18" s="225">
        <f t="shared" si="18"/>
        <v>0</v>
      </c>
      <c r="Z18" s="225">
        <f>SUM(I18:J18)*P18</f>
        <v>122145.83366</v>
      </c>
      <c r="AA18" s="225"/>
      <c r="AB18" s="225"/>
      <c r="AC18" s="222"/>
      <c r="AD18" s="225"/>
      <c r="AE18" s="244">
        <f>SUMIFS(Adjustments!H$5:H$684,Adjustments!$B$5:$B$684,'Apr11-Mar12 Billed-RETAIL'!$B18,Adjustments!$C$5:$C$684,'Apr11-Mar12 Billed-RETAIL'!$C18)</f>
        <v>0</v>
      </c>
      <c r="AF18" s="244">
        <f>SUMIFS(Adjustments!I$5:I$684,Adjustments!$B$5:$B$684,'Apr11-Mar12 Billed-RETAIL'!$B18,Adjustments!$C$5:$C$684,'Apr11-Mar12 Billed-RETAIL'!$C18)</f>
        <v>0</v>
      </c>
      <c r="AG18" s="238">
        <f>SUMIFS(Adjustments!J$5:J$684,Adjustments!$B$5:$B$684,'Apr11-Mar12 Billed-RETAIL'!$B18,Adjustments!$C$5:$C$684,'Apr11-Mar12 Billed-RETAIL'!$C18)</f>
        <v>0</v>
      </c>
      <c r="AH18" s="238">
        <f>SUMIFS(Adjustments!K$5:K$684,Adjustments!$B$5:$B$684,'Apr11-Mar12 Billed-RETAIL'!$B18,Adjustments!$C$5:$C$684,'Apr11-Mar12 Billed-RETAIL'!$C18)</f>
        <v>0</v>
      </c>
      <c r="AI18" s="238">
        <f>SUMIFS(Adjustments!L$5:L$684,Adjustments!$B$5:$B$684,'Apr11-Mar12 Billed-RETAIL'!$B18,Adjustments!$C$5:$C$684,'Apr11-Mar12 Billed-RETAIL'!$C18)</f>
        <v>0</v>
      </c>
      <c r="AJ18" s="238">
        <f>SUMIFS(Adjustments!M$5:M$684,Adjustments!$B$5:$B$684,'Apr11-Mar12 Billed-RETAIL'!$B18,Adjustments!$C$5:$C$684,'Apr11-Mar12 Billed-RETAIL'!$C18)</f>
        <v>0</v>
      </c>
      <c r="AK18" s="238">
        <f>SUMIFS(Adjustments!N$5:N$684,Adjustments!$B$5:$B$684,'Apr11-Mar12 Billed-RETAIL'!$B18,Adjustments!$C$5:$C$684,'Apr11-Mar12 Billed-RETAIL'!$C18)</f>
        <v>-2270.4736600000033</v>
      </c>
      <c r="AL18" s="238">
        <f>SUMIFS(Adjustments!O$5:O$684,Adjustments!$B$5:$B$684,'Apr11-Mar12 Billed-RETAIL'!$B18,Adjustments!$C$5:$C$684,'Apr11-Mar12 Billed-RETAIL'!$C18)</f>
        <v>0</v>
      </c>
      <c r="AM18" s="238">
        <f>SUMIFS(Adjustments!P$5:P$684,Adjustments!$B$5:$B$684,'Apr11-Mar12 Billed-RETAIL'!$B18,Adjustments!$C$5:$C$684,'Apr11-Mar12 Billed-RETAIL'!$C18)</f>
        <v>0</v>
      </c>
      <c r="AN18" s="225">
        <f t="shared" si="16"/>
        <v>1925</v>
      </c>
      <c r="AO18" s="225">
        <f t="shared" si="9"/>
        <v>0</v>
      </c>
      <c r="AP18" s="225">
        <f t="shared" si="10"/>
        <v>11426.356239999999</v>
      </c>
      <c r="AQ18" s="225">
        <f t="shared" si="11"/>
        <v>0</v>
      </c>
      <c r="AR18" s="232">
        <f ca="1">SUMIF('SBR May11'!$D$4:$S$90,'Apr11-Mar12 Billed-RETAIL'!$C18,'SBR May11'!$N$4:$N$90)</f>
        <v>119875.36</v>
      </c>
      <c r="AS18" s="232">
        <f ca="1">SUMIF('SBR May11'!$D$4:$S$90,'Apr11-Mar12 Billed-RETAIL'!$C18,'SBR May11'!$M$4:$M$90)</f>
        <v>0</v>
      </c>
      <c r="AT18" s="232">
        <f ca="1">SUMIF('SBR May11'!$D$4:$S$90,'Apr11-Mar12 Billed-RETAIL'!$C18,'SBR May11'!$O$4:$O$90)</f>
        <v>0</v>
      </c>
      <c r="AU18" s="225">
        <f t="shared" si="12"/>
        <v>0</v>
      </c>
      <c r="AV18" s="225"/>
      <c r="AW18" s="232">
        <f t="shared" ref="AW18:AW39" ca="1" si="21">ROUND(SUM(AN18:AV18),2)</f>
        <v>133226.72</v>
      </c>
      <c r="AX18" s="232">
        <f t="shared" ca="1" si="7"/>
        <v>133226.72</v>
      </c>
      <c r="AY18" s="233">
        <f t="shared" ref="AY18:AY28" ca="1" si="22">IF(AX18=0,0,ROUND(AX18/AW18,6))</f>
        <v>1</v>
      </c>
      <c r="AZ18" s="232">
        <f ca="1">SUMIF('SBR May11'!$D$4:$S$90,'Apr11-Mar12 Billed-RETAIL'!$C18,'SBR May11'!$M$4:$M$90)</f>
        <v>0</v>
      </c>
      <c r="BA18" s="232">
        <f ca="1">SUMIF('SBR May11'!$D$4:$S$90,'Apr11-Mar12 Billed-RETAIL'!$C18,'SBR May11'!$N$4:$N$90)</f>
        <v>119875.36</v>
      </c>
      <c r="BB18" s="232">
        <f ca="1">SUMIF('SBR May11'!$D$4:$S$90,'Apr11-Mar12 Billed-RETAIL'!$C18,'SBR May11'!$O$4:$O$90)</f>
        <v>0</v>
      </c>
      <c r="BC18" s="232">
        <f ca="1">SUMIF('SBR May11'!$D$4:$S$90,'Apr11-Mar12 Billed-RETAIL'!$C18,'SBR May11'!$Q$4:$Q$90)</f>
        <v>0</v>
      </c>
      <c r="BD18" s="232">
        <f ca="1">SUMIF('SBR May11'!$D$4:$S$90,'Apr11-Mar12 Billed-RETAIL'!$C18,'SBR May11'!$K$4:$K$90)</f>
        <v>1925</v>
      </c>
      <c r="BE18" s="232">
        <f ca="1">SUMIF('SBR May11'!$D$4:$S$90,'Apr11-Mar12 Billed-RETAIL'!$C18,'SBR May11'!$L$4:$L$90)</f>
        <v>11426.36</v>
      </c>
      <c r="BF18" s="232"/>
    </row>
    <row r="19" spans="1:58" ht="15" x14ac:dyDescent="0.25">
      <c r="A19" s="196">
        <f t="shared" si="15"/>
        <v>14</v>
      </c>
      <c r="B19" s="211">
        <v>40664</v>
      </c>
      <c r="C19" s="211" t="str">
        <f>+'Retail Rates'!B13</f>
        <v>LGCMG851</v>
      </c>
      <c r="D19" s="197" t="str">
        <f t="shared" si="20"/>
        <v>851</v>
      </c>
      <c r="E19" s="197" t="str">
        <f>VLOOKUP(C19,'Retail Rates'!$B$7:$D$35,3,FALSE)</f>
        <v>CGS</v>
      </c>
      <c r="F19" s="222"/>
      <c r="G19" s="222">
        <f>SUMIFS(Adjustments!F$5:F$151,Adjustments!$B$5:$B$151,'Apr11-Mar12 Billed-RETAIL'!$B19,Adjustments!$C$5:$C$151,'Apr11-Mar12 Billed-RETAIL'!$C19)</f>
        <v>23929</v>
      </c>
      <c r="H19" s="222">
        <f>SUMIFS(Adjustments!G$5:G$151,Adjustments!$B$5:$B$151,'Apr11-Mar12 Billed-RETAIL'!$B19,Adjustments!$C$5:$C$151,'Apr11-Mar12 Billed-RETAIL'!$C19)</f>
        <v>1047</v>
      </c>
      <c r="I19" s="222">
        <f>SUMIFS('Data-Retail'!$H$4:$H$269,'Data-Retail'!$A$4:$A$269,'Apr11-Mar12 Billed-RETAIL'!$B19,'Data-Retail'!$D$4:$D$269,'Apr11-Mar12 Billed-RETAIL'!$C19)</f>
        <v>3093584</v>
      </c>
      <c r="J19" s="222">
        <f>SUMIFS('Data-Retail'!$I$4:$I$269,'Data-Retail'!$A$4:$A$269,'Apr11-Mar12 Billed-RETAIL'!$B19,'Data-Retail'!$D$4:$D$269,'Apr11-Mar12 Billed-RETAIL'!$C19)</f>
        <v>1693862</v>
      </c>
      <c r="K19" s="222"/>
      <c r="L19" s="223">
        <f>VLOOKUP($C19,'Retail Rates'!$B$7:$M$35,5,FALSE)</f>
        <v>30</v>
      </c>
      <c r="M19" s="223">
        <f>VLOOKUP($C19,'Retail Rates'!$B$7:$M$35,6,FALSE)</f>
        <v>170</v>
      </c>
      <c r="N19" s="224">
        <f>VLOOKUP($C19,'Retail Rates'!$B$7:$M$35,7,FALSE)</f>
        <v>0.18722</v>
      </c>
      <c r="O19" s="224">
        <f>VLOOKUP($C19,'Retail Rates'!$B$7:$M$35,8,FALSE)</f>
        <v>0.13722000000000001</v>
      </c>
      <c r="P19" s="224">
        <f>VLOOKUP($B19,'GSC-DSM Factors'!$A$1:$B$46,2,FALSE)</f>
        <v>0.56142999999999998</v>
      </c>
      <c r="Q19" s="223">
        <f>VLOOKUP($C19,'Retail Rates'!$B$7:$M$35,9,FALSE)</f>
        <v>0</v>
      </c>
      <c r="R19" s="224">
        <f>VLOOKUP($C19,'Retail Rates'!$B$7:$M$35,10,FALSE)</f>
        <v>0</v>
      </c>
      <c r="S19" s="223">
        <f>VLOOKUP($C19,'Retail Rates'!$B$7:$M$35,11,FALSE)</f>
        <v>0</v>
      </c>
      <c r="T19" s="223"/>
      <c r="U19" s="225">
        <f t="shared" si="4"/>
        <v>717870</v>
      </c>
      <c r="V19" s="225"/>
      <c r="W19" s="225">
        <f>+H19*M19</f>
        <v>177990</v>
      </c>
      <c r="X19" s="225">
        <f t="shared" si="19"/>
        <v>579180.79648000002</v>
      </c>
      <c r="Y19" s="225">
        <f t="shared" si="18"/>
        <v>232431.74364</v>
      </c>
      <c r="Z19" s="225">
        <f>SUM(I19:J19)*P19</f>
        <v>2687815.8077799999</v>
      </c>
      <c r="AA19" s="225"/>
      <c r="AB19" s="225"/>
      <c r="AC19" s="222"/>
      <c r="AD19" s="225"/>
      <c r="AE19" s="244">
        <f>SUMIFS(Adjustments!H$5:H$684,Adjustments!$B$5:$B$684,'Apr11-Mar12 Billed-RETAIL'!$B19,Adjustments!$C$5:$C$684,'Apr11-Mar12 Billed-RETAIL'!$C19)</f>
        <v>0</v>
      </c>
      <c r="AF19" s="244">
        <f>SUMIFS(Adjustments!I$5:I$684,Adjustments!$B$5:$B$684,'Apr11-Mar12 Billed-RETAIL'!$B19,Adjustments!$C$5:$C$684,'Apr11-Mar12 Billed-RETAIL'!$C19)</f>
        <v>0</v>
      </c>
      <c r="AG19" s="238">
        <f>SUMIFS(Adjustments!J$5:J$684,Adjustments!$B$5:$B$684,'Apr11-Mar12 Billed-RETAIL'!$B19,Adjustments!$C$5:$C$684,'Apr11-Mar12 Billed-RETAIL'!$C19)</f>
        <v>524.04</v>
      </c>
      <c r="AH19" s="238">
        <f>SUMIFS(Adjustments!K$5:K$684,Adjustments!$B$5:$B$684,'Apr11-Mar12 Billed-RETAIL'!$B19,Adjustments!$C$5:$C$684,'Apr11-Mar12 Billed-RETAIL'!$C19)</f>
        <v>124.67</v>
      </c>
      <c r="AI19" s="238">
        <f>SUMIFS(Adjustments!L$5:L$684,Adjustments!$B$5:$B$684,'Apr11-Mar12 Billed-RETAIL'!$B19,Adjustments!$C$5:$C$684,'Apr11-Mar12 Billed-RETAIL'!$C19)</f>
        <v>-15.34</v>
      </c>
      <c r="AJ19" s="238">
        <f>SUMIFS(Adjustments!M$5:M$684,Adjustments!$B$5:$B$684,'Apr11-Mar12 Billed-RETAIL'!$B19,Adjustments!$C$5:$C$684,'Apr11-Mar12 Billed-RETAIL'!$C19)</f>
        <v>0</v>
      </c>
      <c r="AK19" s="238">
        <f>SUMIFS(Adjustments!N$5:N$684,Adjustments!$B$5:$B$684,'Apr11-Mar12 Billed-RETAIL'!$B19,Adjustments!$C$5:$C$684,'Apr11-Mar12 Billed-RETAIL'!$C19)</f>
        <v>-91223.147780000232</v>
      </c>
      <c r="AL19" s="238">
        <f>SUMIFS(Adjustments!O$5:O$684,Adjustments!$B$5:$B$684,'Apr11-Mar12 Billed-RETAIL'!$B19,Adjustments!$C$5:$C$684,'Apr11-Mar12 Billed-RETAIL'!$C19)</f>
        <v>0</v>
      </c>
      <c r="AM19" s="238">
        <f>SUMIFS(Adjustments!P$5:P$684,Adjustments!$B$5:$B$684,'Apr11-Mar12 Billed-RETAIL'!$B19,Adjustments!$C$5:$C$684,'Apr11-Mar12 Billed-RETAIL'!$C19)</f>
        <v>0</v>
      </c>
      <c r="AN19" s="225">
        <f t="shared" si="16"/>
        <v>718394.04</v>
      </c>
      <c r="AO19" s="225">
        <f t="shared" si="9"/>
        <v>178114.67</v>
      </c>
      <c r="AP19" s="225">
        <f t="shared" si="10"/>
        <v>579165.45648000005</v>
      </c>
      <c r="AQ19" s="225">
        <f t="shared" si="11"/>
        <v>232431.74364</v>
      </c>
      <c r="AR19" s="232">
        <f ca="1">SUMIF('SBR May11'!$D$4:$S$90,'Apr11-Mar12 Billed-RETAIL'!$C19,'SBR May11'!$N$4:$N$90)</f>
        <v>2596592.6599999997</v>
      </c>
      <c r="AS19" s="232">
        <f ca="1">SUMIF('SBR May11'!$D$4:$S$90,'Apr11-Mar12 Billed-RETAIL'!$C19,'SBR May11'!$M$4:$M$90)</f>
        <v>4260.95</v>
      </c>
      <c r="AT19" s="232">
        <f ca="1">SUMIF('SBR May11'!$D$4:$S$90,'Apr11-Mar12 Billed-RETAIL'!$C19,'SBR May11'!$O$4:$O$90)</f>
        <v>4073.41</v>
      </c>
      <c r="AU19" s="225">
        <f t="shared" si="12"/>
        <v>0</v>
      </c>
      <c r="AV19" s="225"/>
      <c r="AW19" s="232">
        <f t="shared" ca="1" si="21"/>
        <v>4313032.93</v>
      </c>
      <c r="AX19" s="232">
        <f t="shared" ca="1" si="7"/>
        <v>4313032.93</v>
      </c>
      <c r="AY19" s="233">
        <f t="shared" ca="1" si="22"/>
        <v>1</v>
      </c>
      <c r="AZ19" s="232">
        <f ca="1">SUMIF('SBR May11'!$D$4:$S$90,'Apr11-Mar12 Billed-RETAIL'!$C19,'SBR May11'!$M$4:$M$90)</f>
        <v>4260.95</v>
      </c>
      <c r="BA19" s="232">
        <f ca="1">SUMIF('SBR May11'!$D$4:$S$90,'Apr11-Mar12 Billed-RETAIL'!$C19,'SBR May11'!$N$4:$N$90)</f>
        <v>2596592.6599999997</v>
      </c>
      <c r="BB19" s="232">
        <f ca="1">SUMIF('SBR May11'!$D$4:$S$90,'Apr11-Mar12 Billed-RETAIL'!$C19,'SBR May11'!$O$4:$O$90)</f>
        <v>4073.41</v>
      </c>
      <c r="BC19" s="232">
        <f ca="1">SUMIF('SBR May11'!$D$4:$S$90,'Apr11-Mar12 Billed-RETAIL'!$C19,'SBR May11'!$Q$4:$Q$90)</f>
        <v>0</v>
      </c>
      <c r="BD19" s="232">
        <f ca="1">SUMIF('SBR May11'!$D$4:$S$90,'Apr11-Mar12 Billed-RETAIL'!$C19,'SBR May11'!$K$4:$K$90)</f>
        <v>896508.71</v>
      </c>
      <c r="BE19" s="232">
        <f ca="1">SUMIF('SBR May11'!$D$4:$S$90,'Apr11-Mar12 Billed-RETAIL'!$C19,'SBR May11'!$L$4:$L$90)</f>
        <v>811597.20000000007</v>
      </c>
      <c r="BF19" s="232"/>
    </row>
    <row r="20" spans="1:58" ht="15" x14ac:dyDescent="0.25">
      <c r="A20" s="196">
        <f t="shared" si="15"/>
        <v>15</v>
      </c>
      <c r="B20" s="211">
        <v>40664</v>
      </c>
      <c r="C20" s="211" t="str">
        <f>+'Retail Rates'!B14</f>
        <v>LGUMG860</v>
      </c>
      <c r="D20" s="197" t="str">
        <f t="shared" si="20"/>
        <v>860</v>
      </c>
      <c r="E20" s="197" t="str">
        <f>VLOOKUP(C20,'Retail Rates'!$B$7:$D$35,3,FALSE)</f>
        <v>CGS</v>
      </c>
      <c r="F20" s="222"/>
      <c r="G20" s="222">
        <f>SUMIFS(Adjustments!F$5:F$151,Adjustments!$B$5:$B$151,'Apr11-Mar12 Billed-RETAIL'!$B20,Adjustments!$C$5:$C$151,'Apr11-Mar12 Billed-RETAIL'!$C20)</f>
        <v>19</v>
      </c>
      <c r="H20" s="222">
        <f>SUMIFS(Adjustments!G$5:G$151,Adjustments!$B$5:$B$151,'Apr11-Mar12 Billed-RETAIL'!$B20,Adjustments!$C$5:$C$151,'Apr11-Mar12 Billed-RETAIL'!$C20)</f>
        <v>0</v>
      </c>
      <c r="I20" s="222">
        <f>SUMIFS('Data-Retail'!$H$4:$H$269,'Data-Retail'!$A$4:$A$269,'Apr11-Mar12 Billed-RETAIL'!$B20,'Data-Retail'!$D$4:$D$269,'Apr11-Mar12 Billed-RETAIL'!$C20)</f>
        <v>358</v>
      </c>
      <c r="J20" s="222">
        <f>SUMIFS('Data-Retail'!$I$4:$I$269,'Data-Retail'!$A$4:$A$269,'Apr11-Mar12 Billed-RETAIL'!$B20,'Data-Retail'!$D$4:$D$269,'Apr11-Mar12 Billed-RETAIL'!$C20)</f>
        <v>0</v>
      </c>
      <c r="K20" s="222"/>
      <c r="L20" s="223">
        <f>VLOOKUP($C20,'Retail Rates'!$B$7:$M$35,5,FALSE)</f>
        <v>30</v>
      </c>
      <c r="M20" s="223">
        <f>VLOOKUP($C20,'Retail Rates'!$B$7:$M$35,6,FALSE)</f>
        <v>170</v>
      </c>
      <c r="N20" s="224">
        <f>VLOOKUP($C20,'Retail Rates'!$B$7:$M$35,7,FALSE)</f>
        <v>0.18722</v>
      </c>
      <c r="O20" s="224">
        <f>VLOOKUP($C20,'Retail Rates'!$B$7:$M$35,8,FALSE)</f>
        <v>0.13722000000000001</v>
      </c>
      <c r="P20" s="224">
        <f>VLOOKUP($B20,'GSC-DSM Factors'!$A$1:$B$46,2,FALSE)</f>
        <v>0.56142999999999998</v>
      </c>
      <c r="Q20" s="223">
        <f>VLOOKUP($C20,'Retail Rates'!$B$7:$M$35,9,FALSE)</f>
        <v>0</v>
      </c>
      <c r="R20" s="224">
        <f>VLOOKUP($C20,'Retail Rates'!$B$7:$M$35,10,FALSE)</f>
        <v>0</v>
      </c>
      <c r="S20" s="223">
        <f>VLOOKUP($C20,'Retail Rates'!$B$7:$M$35,11,FALSE)</f>
        <v>0</v>
      </c>
      <c r="T20" s="223"/>
      <c r="U20" s="225">
        <f t="shared" si="4"/>
        <v>570</v>
      </c>
      <c r="V20" s="225"/>
      <c r="W20" s="225">
        <f>+H20*M20</f>
        <v>0</v>
      </c>
      <c r="X20" s="225">
        <f t="shared" si="19"/>
        <v>67.024760000000001</v>
      </c>
      <c r="Y20" s="225">
        <f t="shared" si="18"/>
        <v>0</v>
      </c>
      <c r="Z20" s="225">
        <f>SUM(I20:J20)*P20</f>
        <v>200.99194</v>
      </c>
      <c r="AA20" s="225"/>
      <c r="AB20" s="225"/>
      <c r="AC20" s="222"/>
      <c r="AD20" s="225"/>
      <c r="AE20" s="244">
        <f>SUMIFS(Adjustments!H$5:H$684,Adjustments!$B$5:$B$684,'Apr11-Mar12 Billed-RETAIL'!$B20,Adjustments!$C$5:$C$684,'Apr11-Mar12 Billed-RETAIL'!$C20)</f>
        <v>0</v>
      </c>
      <c r="AF20" s="244">
        <f>SUMIFS(Adjustments!I$5:I$684,Adjustments!$B$5:$B$684,'Apr11-Mar12 Billed-RETAIL'!$B20,Adjustments!$C$5:$C$684,'Apr11-Mar12 Billed-RETAIL'!$C20)</f>
        <v>0</v>
      </c>
      <c r="AG20" s="238">
        <f>SUMIFS(Adjustments!J$5:J$684,Adjustments!$B$5:$B$684,'Apr11-Mar12 Billed-RETAIL'!$B20,Adjustments!$C$5:$C$684,'Apr11-Mar12 Billed-RETAIL'!$C20)</f>
        <v>0</v>
      </c>
      <c r="AH20" s="238">
        <f>SUMIFS(Adjustments!K$5:K$684,Adjustments!$B$5:$B$684,'Apr11-Mar12 Billed-RETAIL'!$B20,Adjustments!$C$5:$C$684,'Apr11-Mar12 Billed-RETAIL'!$C20)</f>
        <v>0</v>
      </c>
      <c r="AI20" s="238">
        <f>SUMIFS(Adjustments!L$5:L$684,Adjustments!$B$5:$B$684,'Apr11-Mar12 Billed-RETAIL'!$B20,Adjustments!$C$5:$C$684,'Apr11-Mar12 Billed-RETAIL'!$C20)</f>
        <v>0</v>
      </c>
      <c r="AJ20" s="238">
        <f>SUMIFS(Adjustments!M$5:M$684,Adjustments!$B$5:$B$684,'Apr11-Mar12 Billed-RETAIL'!$B20,Adjustments!$C$5:$C$684,'Apr11-Mar12 Billed-RETAIL'!$C20)</f>
        <v>0</v>
      </c>
      <c r="AK20" s="238">
        <f>SUMIFS(Adjustments!N$5:N$684,Adjustments!$B$5:$B$684,'Apr11-Mar12 Billed-RETAIL'!$B20,Adjustments!$C$5:$C$684,'Apr11-Mar12 Billed-RETAIL'!$C20)</f>
        <v>-3.3619400000000041</v>
      </c>
      <c r="AL20" s="238">
        <f>SUMIFS(Adjustments!O$5:O$684,Adjustments!$B$5:$B$684,'Apr11-Mar12 Billed-RETAIL'!$B20,Adjustments!$C$5:$C$684,'Apr11-Mar12 Billed-RETAIL'!$C20)</f>
        <v>0</v>
      </c>
      <c r="AM20" s="238">
        <f>SUMIFS(Adjustments!P$5:P$684,Adjustments!$B$5:$B$684,'Apr11-Mar12 Billed-RETAIL'!$B20,Adjustments!$C$5:$C$684,'Apr11-Mar12 Billed-RETAIL'!$C20)</f>
        <v>0</v>
      </c>
      <c r="AN20" s="225">
        <f t="shared" si="16"/>
        <v>570</v>
      </c>
      <c r="AO20" s="225">
        <f t="shared" si="9"/>
        <v>0</v>
      </c>
      <c r="AP20" s="225">
        <f t="shared" si="10"/>
        <v>67.024760000000001</v>
      </c>
      <c r="AQ20" s="225">
        <f t="shared" si="11"/>
        <v>0</v>
      </c>
      <c r="AR20" s="232">
        <f ca="1">SUMIF('SBR May11'!$D$4:$S$90,'Apr11-Mar12 Billed-RETAIL'!$C20,'SBR May11'!$N$4:$N$90)</f>
        <v>197.63</v>
      </c>
      <c r="AS20" s="232">
        <f ca="1">SUMIF('SBR May11'!$D$4:$S$90,'Apr11-Mar12 Billed-RETAIL'!$C20,'SBR May11'!$M$4:$M$90)</f>
        <v>0.32</v>
      </c>
      <c r="AT20" s="232">
        <f ca="1">SUMIF('SBR May11'!$D$4:$S$90,'Apr11-Mar12 Billed-RETAIL'!$C20,'SBR May11'!$O$4:$O$90)</f>
        <v>0</v>
      </c>
      <c r="AU20" s="225">
        <f t="shared" si="12"/>
        <v>0</v>
      </c>
      <c r="AV20" s="225"/>
      <c r="AW20" s="232">
        <f t="shared" ca="1" si="21"/>
        <v>834.97</v>
      </c>
      <c r="AX20" s="232">
        <f t="shared" ca="1" si="7"/>
        <v>834.97</v>
      </c>
      <c r="AY20" s="233">
        <f t="shared" ca="1" si="22"/>
        <v>1</v>
      </c>
      <c r="AZ20" s="232">
        <f ca="1">SUMIF('SBR May11'!$D$4:$S$90,'Apr11-Mar12 Billed-RETAIL'!$C20,'SBR May11'!$M$4:$M$90)</f>
        <v>0.32</v>
      </c>
      <c r="BA20" s="232">
        <f ca="1">SUMIF('SBR May11'!$D$4:$S$90,'Apr11-Mar12 Billed-RETAIL'!$C20,'SBR May11'!$N$4:$N$90)</f>
        <v>197.63</v>
      </c>
      <c r="BB20" s="232">
        <f ca="1">SUMIF('SBR May11'!$D$4:$S$90,'Apr11-Mar12 Billed-RETAIL'!$C20,'SBR May11'!$O$4:$O$90)</f>
        <v>0</v>
      </c>
      <c r="BC20" s="232">
        <f ca="1">SUMIF('SBR May11'!$D$4:$S$90,'Apr11-Mar12 Billed-RETAIL'!$C20,'SBR May11'!$Q$4:$Q$90)</f>
        <v>0</v>
      </c>
      <c r="BD20" s="232">
        <f ca="1">SUMIF('SBR May11'!$D$4:$S$90,'Apr11-Mar12 Billed-RETAIL'!$C20,'SBR May11'!$K$4:$K$90)</f>
        <v>570</v>
      </c>
      <c r="BE20" s="232">
        <f ca="1">SUMIF('SBR May11'!$D$4:$S$90,'Apr11-Mar12 Billed-RETAIL'!$C20,'SBR May11'!$L$4:$L$90)</f>
        <v>67.02</v>
      </c>
      <c r="BF20" s="232"/>
    </row>
    <row r="21" spans="1:58" ht="15" x14ac:dyDescent="0.25">
      <c r="A21" s="196">
        <f t="shared" si="15"/>
        <v>16</v>
      </c>
      <c r="B21" s="211">
        <v>40664</v>
      </c>
      <c r="C21" s="211" t="str">
        <f>+'Retail Rates'!B15</f>
        <v>LGUMG861</v>
      </c>
      <c r="D21" s="197" t="str">
        <f t="shared" si="20"/>
        <v>861</v>
      </c>
      <c r="E21" s="197" t="str">
        <f>VLOOKUP(C21,'Retail Rates'!$B$7:$D$35,3,FALSE)</f>
        <v>CGS</v>
      </c>
      <c r="F21" s="222"/>
      <c r="G21" s="222">
        <f>SUMIFS(Adjustments!F$5:F$151,Adjustments!$B$5:$B$151,'Apr11-Mar12 Billed-RETAIL'!$B21,Adjustments!$C$5:$C$151,'Apr11-Mar12 Billed-RETAIL'!$C21)</f>
        <v>617</v>
      </c>
      <c r="H21" s="222">
        <f>SUMIFS(Adjustments!G$5:G$151,Adjustments!$B$5:$B$151,'Apr11-Mar12 Billed-RETAIL'!$B21,Adjustments!$C$5:$C$151,'Apr11-Mar12 Billed-RETAIL'!$C21)</f>
        <v>0</v>
      </c>
      <c r="I21" s="222">
        <f>SUMIFS('Data-Retail'!$H$4:$H$269,'Data-Retail'!$A$4:$A$269,'Apr11-Mar12 Billed-RETAIL'!$B21,'Data-Retail'!$D$4:$D$269,'Apr11-Mar12 Billed-RETAIL'!$C21)</f>
        <v>610</v>
      </c>
      <c r="J21" s="222">
        <f>SUMIFS('Data-Retail'!$I$4:$I$269,'Data-Retail'!$A$4:$A$269,'Apr11-Mar12 Billed-RETAIL'!$B21,'Data-Retail'!$D$4:$D$269,'Apr11-Mar12 Billed-RETAIL'!$C21)</f>
        <v>0</v>
      </c>
      <c r="K21" s="222"/>
      <c r="L21" s="223">
        <f>VLOOKUP($C21,'Retail Rates'!$B$7:$M$35,5,FALSE)</f>
        <v>30</v>
      </c>
      <c r="M21" s="223">
        <f>VLOOKUP($C21,'Retail Rates'!$B$7:$M$35,6,FALSE)</f>
        <v>170</v>
      </c>
      <c r="N21" s="224">
        <f>VLOOKUP($C21,'Retail Rates'!$B$7:$M$35,7,FALSE)</f>
        <v>0.18722</v>
      </c>
      <c r="O21" s="224">
        <f>VLOOKUP($C21,'Retail Rates'!$B$7:$M$35,8,FALSE)</f>
        <v>0.13722000000000001</v>
      </c>
      <c r="P21" s="224">
        <f>VLOOKUP($B21,'GSC-DSM Factors'!$A$1:$B$46,2,FALSE)</f>
        <v>0.56142999999999998</v>
      </c>
      <c r="Q21" s="223">
        <f>VLOOKUP($C21,'Retail Rates'!$B$7:$M$35,9,FALSE)</f>
        <v>0</v>
      </c>
      <c r="R21" s="224">
        <f>VLOOKUP($C21,'Retail Rates'!$B$7:$M$35,10,FALSE)</f>
        <v>0</v>
      </c>
      <c r="S21" s="223">
        <f>VLOOKUP($C21,'Retail Rates'!$B$7:$M$35,11,FALSE)</f>
        <v>0</v>
      </c>
      <c r="T21" s="223"/>
      <c r="U21" s="225">
        <f t="shared" si="4"/>
        <v>18510</v>
      </c>
      <c r="V21" s="225"/>
      <c r="W21" s="225">
        <f>+H21*M21</f>
        <v>0</v>
      </c>
      <c r="X21" s="225">
        <f t="shared" si="19"/>
        <v>114.2042</v>
      </c>
      <c r="Y21" s="225">
        <f t="shared" si="18"/>
        <v>0</v>
      </c>
      <c r="Z21" s="225">
        <f>SUM(I21:J21)*P21</f>
        <v>342.47230000000002</v>
      </c>
      <c r="AA21" s="225"/>
      <c r="AB21" s="225"/>
      <c r="AC21" s="222"/>
      <c r="AD21" s="225"/>
      <c r="AE21" s="244">
        <f>SUMIFS(Adjustments!H$5:H$684,Adjustments!$B$5:$B$684,'Apr11-Mar12 Billed-RETAIL'!$B21,Adjustments!$C$5:$C$684,'Apr11-Mar12 Billed-RETAIL'!$C21)</f>
        <v>0</v>
      </c>
      <c r="AF21" s="244">
        <f>SUMIFS(Adjustments!I$5:I$684,Adjustments!$B$5:$B$684,'Apr11-Mar12 Billed-RETAIL'!$B21,Adjustments!$C$5:$C$684,'Apr11-Mar12 Billed-RETAIL'!$C21)</f>
        <v>0</v>
      </c>
      <c r="AG21" s="238">
        <f>SUMIFS(Adjustments!J$5:J$684,Adjustments!$B$5:$B$684,'Apr11-Mar12 Billed-RETAIL'!$B21,Adjustments!$C$5:$C$684,'Apr11-Mar12 Billed-RETAIL'!$C21)</f>
        <v>0</v>
      </c>
      <c r="AH21" s="238">
        <f>SUMIFS(Adjustments!K$5:K$684,Adjustments!$B$5:$B$684,'Apr11-Mar12 Billed-RETAIL'!$B21,Adjustments!$C$5:$C$684,'Apr11-Mar12 Billed-RETAIL'!$C21)</f>
        <v>0</v>
      </c>
      <c r="AI21" s="238">
        <f>SUMIFS(Adjustments!L$5:L$684,Adjustments!$B$5:$B$684,'Apr11-Mar12 Billed-RETAIL'!$B21,Adjustments!$C$5:$C$684,'Apr11-Mar12 Billed-RETAIL'!$C21)</f>
        <v>1.61</v>
      </c>
      <c r="AJ21" s="238">
        <f>SUMIFS(Adjustments!M$5:M$684,Adjustments!$B$5:$B$684,'Apr11-Mar12 Billed-RETAIL'!$B21,Adjustments!$C$5:$C$684,'Apr11-Mar12 Billed-RETAIL'!$C21)</f>
        <v>0</v>
      </c>
      <c r="AK21" s="238">
        <f>SUMIFS(Adjustments!N$5:N$684,Adjustments!$B$5:$B$684,'Apr11-Mar12 Billed-RETAIL'!$B21,Adjustments!$C$5:$C$684,'Apr11-Mar12 Billed-RETAIL'!$C21)</f>
        <v>-11.002299999999991</v>
      </c>
      <c r="AL21" s="238">
        <f>SUMIFS(Adjustments!O$5:O$684,Adjustments!$B$5:$B$684,'Apr11-Mar12 Billed-RETAIL'!$B21,Adjustments!$C$5:$C$684,'Apr11-Mar12 Billed-RETAIL'!$C21)</f>
        <v>0</v>
      </c>
      <c r="AM21" s="238">
        <f>SUMIFS(Adjustments!P$5:P$684,Adjustments!$B$5:$B$684,'Apr11-Mar12 Billed-RETAIL'!$B21,Adjustments!$C$5:$C$684,'Apr11-Mar12 Billed-RETAIL'!$C21)</f>
        <v>0</v>
      </c>
      <c r="AN21" s="225">
        <f t="shared" si="16"/>
        <v>18510</v>
      </c>
      <c r="AO21" s="225">
        <f t="shared" si="9"/>
        <v>0</v>
      </c>
      <c r="AP21" s="225">
        <f t="shared" si="10"/>
        <v>115.8142</v>
      </c>
      <c r="AQ21" s="225">
        <f t="shared" si="11"/>
        <v>0</v>
      </c>
      <c r="AR21" s="232">
        <f ca="1">SUMIF('SBR May11'!$D$4:$S$90,'Apr11-Mar12 Billed-RETAIL'!$C21,'SBR May11'!$N$4:$N$90)</f>
        <v>331.47</v>
      </c>
      <c r="AS21" s="232">
        <f ca="1">SUMIF('SBR May11'!$D$4:$S$90,'Apr11-Mar12 Billed-RETAIL'!$C21,'SBR May11'!$M$4:$M$90)</f>
        <v>0</v>
      </c>
      <c r="AT21" s="232">
        <f ca="1">SUMIF('SBR May11'!$D$4:$S$90,'Apr11-Mar12 Billed-RETAIL'!$C21,'SBR May11'!$O$4:$O$90)</f>
        <v>0</v>
      </c>
      <c r="AU21" s="225">
        <f t="shared" si="12"/>
        <v>0</v>
      </c>
      <c r="AV21" s="225"/>
      <c r="AW21" s="232">
        <f t="shared" ca="1" si="21"/>
        <v>18957.28</v>
      </c>
      <c r="AX21" s="232">
        <f t="shared" ca="1" si="7"/>
        <v>18957.280000000002</v>
      </c>
      <c r="AY21" s="233">
        <f t="shared" ca="1" si="22"/>
        <v>1</v>
      </c>
      <c r="AZ21" s="232">
        <f ca="1">SUMIF('SBR May11'!$D$4:$S$90,'Apr11-Mar12 Billed-RETAIL'!$C21,'SBR May11'!$M$4:$M$90)</f>
        <v>0</v>
      </c>
      <c r="BA21" s="232">
        <f ca="1">SUMIF('SBR May11'!$D$4:$S$90,'Apr11-Mar12 Billed-RETAIL'!$C21,'SBR May11'!$N$4:$N$90)</f>
        <v>331.47</v>
      </c>
      <c r="BB21" s="232">
        <f ca="1">SUMIF('SBR May11'!$D$4:$S$90,'Apr11-Mar12 Billed-RETAIL'!$C21,'SBR May11'!$O$4:$O$90)</f>
        <v>0</v>
      </c>
      <c r="BC21" s="232">
        <f ca="1">SUMIF('SBR May11'!$D$4:$S$90,'Apr11-Mar12 Billed-RETAIL'!$C21,'SBR May11'!$Q$4:$Q$90)</f>
        <v>0</v>
      </c>
      <c r="BD21" s="232">
        <f ca="1">SUMIF('SBR May11'!$D$4:$S$90,'Apr11-Mar12 Billed-RETAIL'!$C21,'SBR May11'!$K$4:$K$90)</f>
        <v>18510</v>
      </c>
      <c r="BE21" s="232">
        <f ca="1">SUMIF('SBR May11'!$D$4:$S$90,'Apr11-Mar12 Billed-RETAIL'!$C21,'SBR May11'!$L$4:$L$90)</f>
        <v>115.81</v>
      </c>
      <c r="BF21" s="232"/>
    </row>
    <row r="22" spans="1:58" ht="15" customHeight="1" x14ac:dyDescent="0.25">
      <c r="A22" s="196">
        <f t="shared" si="15"/>
        <v>17</v>
      </c>
      <c r="B22" s="211">
        <v>40664</v>
      </c>
      <c r="C22" s="211" t="str">
        <f>+'Retail Rates'!B18</f>
        <v>LGCMG875</v>
      </c>
      <c r="D22" s="197" t="str">
        <f t="shared" si="20"/>
        <v>875</v>
      </c>
      <c r="E22" s="197" t="str">
        <f>VLOOKUP(C22,'Retail Rates'!$B$7:$D$35,3,FALSE)</f>
        <v>DGGS-C</v>
      </c>
      <c r="F22" s="222">
        <f>SUMIFS('Data-Retail'!$G$4:$G$269,'Data-Retail'!$A$4:$A$269,'Apr11-Mar12 Billed-RETAIL'!$B22,'Data-Retail'!$D$4:$D$269,'Apr11-Mar12 Billed-RETAIL'!$C22)</f>
        <v>0</v>
      </c>
      <c r="G22" s="222"/>
      <c r="H22" s="222"/>
      <c r="I22" s="222">
        <f>SUMIFS('Data-Retail'!$H$4:$H$269,'Data-Retail'!$A$4:$A$269,'Apr11-Mar12 Billed-RETAIL'!$B22,'Data-Retail'!$D$4:$D$269,'Apr11-Mar12 Billed-RETAIL'!$C22)</f>
        <v>0</v>
      </c>
      <c r="J22" s="222">
        <f>SUMIFS('Data-Retail'!$I$4:$I$269,'Data-Retail'!$A$4:$A$269,'Apr11-Mar12 Billed-RETAIL'!$B22,'Data-Retail'!$D$4:$D$269,'Apr11-Mar12 Billed-RETAIL'!$C22)</f>
        <v>0</v>
      </c>
      <c r="K22" s="222"/>
      <c r="L22" s="223">
        <f>VLOOKUP($C22,'Retail Rates'!$B$7:$M$35,5,FALSE)</f>
        <v>30</v>
      </c>
      <c r="M22" s="223">
        <f>VLOOKUP($C22,'Retail Rates'!$B$7:$M$35,6,FALSE)</f>
        <v>170</v>
      </c>
      <c r="N22" s="224">
        <f>VLOOKUP($C22,'Retail Rates'!$B$7:$M$35,7,FALSE)</f>
        <v>2.7439999999999999E-2</v>
      </c>
      <c r="O22" s="224">
        <f>VLOOKUP($C22,'Retail Rates'!$B$7:$M$35,8,FALSE)</f>
        <v>0</v>
      </c>
      <c r="P22" s="224">
        <f>VLOOKUP($B22,'GSC-DSM Factors'!$A$1:$B$46,2,FALSE)</f>
        <v>0.56142999999999998</v>
      </c>
      <c r="Q22" s="223">
        <f>VLOOKUP($C22,'Retail Rates'!$B$7:$M$35,9,FALSE)</f>
        <v>0</v>
      </c>
      <c r="R22" s="224">
        <f>VLOOKUP($C22,'Retail Rates'!$B$7:$M$35,10,FALSE)</f>
        <v>0</v>
      </c>
      <c r="S22" s="223">
        <f>VLOOKUP($C22,'Retail Rates'!$B$7:$M$35,11,FALSE)</f>
        <v>1.0109999999999999</v>
      </c>
      <c r="T22" s="223"/>
      <c r="U22" s="225">
        <f t="shared" si="4"/>
        <v>0</v>
      </c>
      <c r="V22" s="225"/>
      <c r="W22" s="225"/>
      <c r="X22" s="225">
        <f t="shared" si="19"/>
        <v>0</v>
      </c>
      <c r="Y22" s="225">
        <f t="shared" si="18"/>
        <v>0</v>
      </c>
      <c r="Z22" s="225">
        <f t="shared" ref="Z22:Z27" si="23">SUM(I22:J22)*P22</f>
        <v>0</v>
      </c>
      <c r="AA22" s="225"/>
      <c r="AB22" s="225"/>
      <c r="AC22" s="222"/>
      <c r="AD22" s="225"/>
      <c r="AE22" s="244">
        <f>SUMIFS(Adjustments!H$5:H$684,Adjustments!$B$5:$B$684,'Apr11-Mar12 Billed-RETAIL'!$B22,Adjustments!$C$5:$C$684,'Apr11-Mar12 Billed-RETAIL'!$C22)</f>
        <v>0</v>
      </c>
      <c r="AF22" s="244">
        <f>SUMIFS(Adjustments!I$5:I$684,Adjustments!$B$5:$B$684,'Apr11-Mar12 Billed-RETAIL'!$B22,Adjustments!$C$5:$C$684,'Apr11-Mar12 Billed-RETAIL'!$C22)</f>
        <v>0</v>
      </c>
      <c r="AG22" s="238">
        <f>SUMIFS(Adjustments!J$5:J$684,Adjustments!$B$5:$B$684,'Apr11-Mar12 Billed-RETAIL'!$B22,Adjustments!$C$5:$C$684,'Apr11-Mar12 Billed-RETAIL'!$C22)</f>
        <v>0</v>
      </c>
      <c r="AH22" s="238">
        <f>SUMIFS(Adjustments!K$5:K$684,Adjustments!$B$5:$B$684,'Apr11-Mar12 Billed-RETAIL'!$B22,Adjustments!$C$5:$C$684,'Apr11-Mar12 Billed-RETAIL'!$C22)</f>
        <v>0</v>
      </c>
      <c r="AI22" s="238">
        <f>SUMIFS(Adjustments!L$5:L$684,Adjustments!$B$5:$B$684,'Apr11-Mar12 Billed-RETAIL'!$B22,Adjustments!$C$5:$C$684,'Apr11-Mar12 Billed-RETAIL'!$C22)</f>
        <v>0</v>
      </c>
      <c r="AJ22" s="238">
        <f>SUMIFS(Adjustments!M$5:M$684,Adjustments!$B$5:$B$684,'Apr11-Mar12 Billed-RETAIL'!$B22,Adjustments!$C$5:$C$684,'Apr11-Mar12 Billed-RETAIL'!$C22)</f>
        <v>0</v>
      </c>
      <c r="AK22" s="238">
        <f>SUMIFS(Adjustments!N$5:N$684,Adjustments!$B$5:$B$684,'Apr11-Mar12 Billed-RETAIL'!$B22,Adjustments!$C$5:$C$684,'Apr11-Mar12 Billed-RETAIL'!$C22)</f>
        <v>0</v>
      </c>
      <c r="AL22" s="238">
        <f>SUMIFS(Adjustments!O$5:O$684,Adjustments!$B$5:$B$684,'Apr11-Mar12 Billed-RETAIL'!$B22,Adjustments!$C$5:$C$684,'Apr11-Mar12 Billed-RETAIL'!$C22)</f>
        <v>0</v>
      </c>
      <c r="AM22" s="238">
        <f>SUMIFS(Adjustments!P$5:P$684,Adjustments!$B$5:$B$684,'Apr11-Mar12 Billed-RETAIL'!$B22,Adjustments!$C$5:$C$684,'Apr11-Mar12 Billed-RETAIL'!$C22)</f>
        <v>0</v>
      </c>
      <c r="AN22" s="225">
        <f t="shared" si="16"/>
        <v>0</v>
      </c>
      <c r="AO22" s="225">
        <f t="shared" si="9"/>
        <v>0</v>
      </c>
      <c r="AP22" s="225">
        <f t="shared" si="10"/>
        <v>0</v>
      </c>
      <c r="AQ22" s="225">
        <f t="shared" si="11"/>
        <v>0</v>
      </c>
      <c r="AR22" s="232">
        <f ca="1">SUMIF('SBR May11'!$D$4:$S$90,'Apr11-Mar12 Billed-RETAIL'!$C22,'SBR May11'!$N$4:$N$90)</f>
        <v>0</v>
      </c>
      <c r="AS22" s="232">
        <f ca="1">SUMIF('SBR May11'!$D$4:$S$90,'Apr11-Mar12 Billed-RETAIL'!$C22,'SBR May11'!$M$4:$M$90)</f>
        <v>0</v>
      </c>
      <c r="AT22" s="232">
        <f ca="1">SUMIF('SBR May11'!$D$4:$S$90,'Apr11-Mar12 Billed-RETAIL'!$C22,'SBR May11'!$O$4:$O$90)</f>
        <v>0</v>
      </c>
      <c r="AU22" s="225">
        <f t="shared" si="12"/>
        <v>0</v>
      </c>
      <c r="AV22" s="225"/>
      <c r="AW22" s="232">
        <f t="shared" ca="1" si="21"/>
        <v>0</v>
      </c>
      <c r="AX22" s="232">
        <f t="shared" ca="1" si="7"/>
        <v>0</v>
      </c>
      <c r="AY22" s="233">
        <v>1</v>
      </c>
      <c r="AZ22" s="232">
        <f ca="1">SUMIF('SBR May11'!$D$4:$S$90,'Apr11-Mar12 Billed-RETAIL'!$C22,'SBR May11'!$M$4:$M$90)</f>
        <v>0</v>
      </c>
      <c r="BA22" s="232">
        <f ca="1">SUMIF('SBR May11'!$D$4:$S$90,'Apr11-Mar12 Billed-RETAIL'!$C22,'SBR May11'!$N$4:$N$90)</f>
        <v>0</v>
      </c>
      <c r="BB22" s="232">
        <f ca="1">SUMIF('SBR May11'!$D$4:$S$90,'Apr11-Mar12 Billed-RETAIL'!$C22,'SBR May11'!$O$4:$O$90)</f>
        <v>0</v>
      </c>
      <c r="BC22" s="232">
        <f ca="1">SUMIF('SBR May11'!$D$4:$S$90,'Apr11-Mar12 Billed-RETAIL'!$C22,'SBR May11'!$Q$4:$Q$90)</f>
        <v>0</v>
      </c>
      <c r="BD22" s="232">
        <f ca="1">SUMIF('SBR May11'!$D$4:$S$90,'Apr11-Mar12 Billed-RETAIL'!$C22,'SBR May11'!$K$4:$K$90)</f>
        <v>0</v>
      </c>
      <c r="BE22" s="232">
        <f ca="1">SUMIF('SBR May11'!$D$4:$S$90,'Apr11-Mar12 Billed-RETAIL'!$C22,'SBR May11'!$L$4:$L$90)</f>
        <v>0</v>
      </c>
      <c r="BF22" s="232"/>
    </row>
    <row r="23" spans="1:58" ht="15" customHeight="1" x14ac:dyDescent="0.25">
      <c r="A23" s="196">
        <f t="shared" si="15"/>
        <v>18</v>
      </c>
      <c r="B23" s="211">
        <v>40664</v>
      </c>
      <c r="C23" s="211" t="str">
        <f>+'Retail Rates'!B23</f>
        <v>LGING855</v>
      </c>
      <c r="D23" s="197" t="str">
        <f t="shared" si="20"/>
        <v>855</v>
      </c>
      <c r="E23" s="197" t="str">
        <f>VLOOKUP(C23,'Retail Rates'!$B$7:$D$35,3,FALSE)</f>
        <v>IGS</v>
      </c>
      <c r="F23" s="222"/>
      <c r="G23" s="222">
        <f>SUMIFS(Adjustments!F$5:F$151,Adjustments!$B$5:$B$151,'Apr11-Mar12 Billed-RETAIL'!$B23,Adjustments!$C$5:$C$151,'Apr11-Mar12 Billed-RETAIL'!$C23)</f>
        <v>118</v>
      </c>
      <c r="H23" s="222">
        <f>SUMIFS(Adjustments!G$5:G$151,Adjustments!$B$5:$B$151,'Apr11-Mar12 Billed-RETAIL'!$B23,Adjustments!$C$5:$C$151,'Apr11-Mar12 Billed-RETAIL'!$C23)</f>
        <v>100</v>
      </c>
      <c r="I23" s="222">
        <f>SUMIFS('Data-Retail'!$H$4:$H$269,'Data-Retail'!$A$4:$A$269,'Apr11-Mar12 Billed-RETAIL'!$B23,'Data-Retail'!$D$4:$D$269,'Apr11-Mar12 Billed-RETAIL'!$C23)</f>
        <v>89806</v>
      </c>
      <c r="J23" s="222">
        <f>SUMIFS('Data-Retail'!$I$4:$I$269,'Data-Retail'!$A$4:$A$269,'Apr11-Mar12 Billed-RETAIL'!$B23,'Data-Retail'!$D$4:$D$269,'Apr11-Mar12 Billed-RETAIL'!$C23)</f>
        <v>390650</v>
      </c>
      <c r="K23" s="222"/>
      <c r="L23" s="223">
        <f>VLOOKUP($C23,'Retail Rates'!$B$7:$M$35,5,FALSE)</f>
        <v>30</v>
      </c>
      <c r="M23" s="223">
        <f>VLOOKUP($C23,'Retail Rates'!$B$7:$M$35,6,FALSE)</f>
        <v>170</v>
      </c>
      <c r="N23" s="224">
        <f>VLOOKUP($C23,'Retail Rates'!$B$7:$M$35,7,FALSE)</f>
        <v>0.19022</v>
      </c>
      <c r="O23" s="224">
        <f>VLOOKUP($C23,'Retail Rates'!$B$7:$M$35,8,FALSE)</f>
        <v>0.14022000000000001</v>
      </c>
      <c r="P23" s="224">
        <f>VLOOKUP($B23,'GSC-DSM Factors'!$A$1:$B$46,2,FALSE)</f>
        <v>0.56142999999999998</v>
      </c>
      <c r="Q23" s="223">
        <f>VLOOKUP($C23,'Retail Rates'!$B$7:$M$35,9,FALSE)</f>
        <v>0</v>
      </c>
      <c r="R23" s="224">
        <f>VLOOKUP($C23,'Retail Rates'!$B$7:$M$35,10,FALSE)</f>
        <v>0</v>
      </c>
      <c r="S23" s="223">
        <f>VLOOKUP($C23,'Retail Rates'!$B$7:$M$35,11,FALSE)</f>
        <v>0</v>
      </c>
      <c r="T23" s="223"/>
      <c r="U23" s="225">
        <f t="shared" si="4"/>
        <v>3540</v>
      </c>
      <c r="V23" s="225"/>
      <c r="W23" s="225">
        <f>+H23*M23</f>
        <v>17000</v>
      </c>
      <c r="X23" s="225">
        <f>+I23*N23</f>
        <v>17082.89732</v>
      </c>
      <c r="Y23" s="225">
        <f t="shared" si="18"/>
        <v>54776.943000000007</v>
      </c>
      <c r="Z23" s="225">
        <f t="shared" si="23"/>
        <v>269742.41207999998</v>
      </c>
      <c r="AA23" s="225"/>
      <c r="AB23" s="225"/>
      <c r="AC23" s="222"/>
      <c r="AD23" s="225"/>
      <c r="AE23" s="244">
        <f>SUMIFS(Adjustments!H$5:H$684,Adjustments!$B$5:$B$684,'Apr11-Mar12 Billed-RETAIL'!$B23,Adjustments!$C$5:$C$684,'Apr11-Mar12 Billed-RETAIL'!$C23)</f>
        <v>0</v>
      </c>
      <c r="AF23" s="244">
        <f>SUMIFS(Adjustments!I$5:I$684,Adjustments!$B$5:$B$684,'Apr11-Mar12 Billed-RETAIL'!$B23,Adjustments!$C$5:$C$684,'Apr11-Mar12 Billed-RETAIL'!$C23)</f>
        <v>0</v>
      </c>
      <c r="AG23" s="238">
        <f>SUMIFS(Adjustments!J$5:J$684,Adjustments!$B$5:$B$684,'Apr11-Mar12 Billed-RETAIL'!$B23,Adjustments!$C$5:$C$684,'Apr11-Mar12 Billed-RETAIL'!$C23)</f>
        <v>13</v>
      </c>
      <c r="AH23" s="238">
        <f>SUMIFS(Adjustments!K$5:K$684,Adjustments!$B$5:$B$684,'Apr11-Mar12 Billed-RETAIL'!$B23,Adjustments!$C$5:$C$684,'Apr11-Mar12 Billed-RETAIL'!$C23)</f>
        <v>73.67</v>
      </c>
      <c r="AI23" s="238">
        <f>SUMIFS(Adjustments!L$5:L$684,Adjustments!$B$5:$B$684,'Apr11-Mar12 Billed-RETAIL'!$B23,Adjustments!$C$5:$C$684,'Apr11-Mar12 Billed-RETAIL'!$C23)</f>
        <v>0</v>
      </c>
      <c r="AJ23" s="238">
        <f>SUMIFS(Adjustments!M$5:M$684,Adjustments!$B$5:$B$684,'Apr11-Mar12 Billed-RETAIL'!$B23,Adjustments!$C$5:$C$684,'Apr11-Mar12 Billed-RETAIL'!$C23)</f>
        <v>0</v>
      </c>
      <c r="AK23" s="238">
        <f>SUMIFS(Adjustments!N$5:N$684,Adjustments!$B$5:$B$684,'Apr11-Mar12 Billed-RETAIL'!$B23,Adjustments!$C$5:$C$684,'Apr11-Mar12 Billed-RETAIL'!$C23)</f>
        <v>-7129.9020800000289</v>
      </c>
      <c r="AL23" s="238">
        <f>SUMIFS(Adjustments!O$5:O$684,Adjustments!$B$5:$B$684,'Apr11-Mar12 Billed-RETAIL'!$B23,Adjustments!$C$5:$C$684,'Apr11-Mar12 Billed-RETAIL'!$C23)</f>
        <v>0</v>
      </c>
      <c r="AM23" s="238">
        <f>SUMIFS(Adjustments!P$5:P$684,Adjustments!$B$5:$B$684,'Apr11-Mar12 Billed-RETAIL'!$B23,Adjustments!$C$5:$C$684,'Apr11-Mar12 Billed-RETAIL'!$C23)</f>
        <v>0</v>
      </c>
      <c r="AN23" s="225">
        <f t="shared" si="16"/>
        <v>3553</v>
      </c>
      <c r="AO23" s="225">
        <f t="shared" si="9"/>
        <v>17073.669999999998</v>
      </c>
      <c r="AP23" s="225">
        <f t="shared" si="10"/>
        <v>17082.89732</v>
      </c>
      <c r="AQ23" s="225">
        <f t="shared" si="11"/>
        <v>54776.943000000007</v>
      </c>
      <c r="AR23" s="232">
        <f ca="1">SUMIF('SBR May11'!$D$4:$S$90,'Apr11-Mar12 Billed-RETAIL'!$C23,'SBR May11'!$N$4:$N$90)</f>
        <v>262612.50999999995</v>
      </c>
      <c r="AS23" s="232">
        <f ca="1">SUMIF('SBR May11'!$D$4:$S$90,'Apr11-Mar12 Billed-RETAIL'!$C23,'SBR May11'!$M$4:$M$90)</f>
        <v>0</v>
      </c>
      <c r="AT23" s="232">
        <f ca="1">SUMIF('SBR May11'!$D$4:$S$90,'Apr11-Mar12 Billed-RETAIL'!$C23,'SBR May11'!$O$4:$O$90)</f>
        <v>0</v>
      </c>
      <c r="AU23" s="225">
        <f t="shared" si="12"/>
        <v>0</v>
      </c>
      <c r="AV23" s="225"/>
      <c r="AW23" s="232">
        <f t="shared" ca="1" si="21"/>
        <v>355099.02</v>
      </c>
      <c r="AX23" s="232">
        <f t="shared" ca="1" si="7"/>
        <v>355099.01999999996</v>
      </c>
      <c r="AY23" s="233">
        <f t="shared" ca="1" si="22"/>
        <v>1</v>
      </c>
      <c r="AZ23" s="232">
        <f ca="1">SUMIF('SBR May11'!$D$4:$S$90,'Apr11-Mar12 Billed-RETAIL'!$C23,'SBR May11'!$M$4:$M$90)</f>
        <v>0</v>
      </c>
      <c r="BA23" s="232">
        <f ca="1">SUMIF('SBR May11'!$D$4:$S$90,'Apr11-Mar12 Billed-RETAIL'!$C23,'SBR May11'!$N$4:$N$90)</f>
        <v>262612.50999999995</v>
      </c>
      <c r="BB23" s="232">
        <f ca="1">SUMIF('SBR May11'!$D$4:$S$90,'Apr11-Mar12 Billed-RETAIL'!$C23,'SBR May11'!$O$4:$O$90)</f>
        <v>0</v>
      </c>
      <c r="BC23" s="232">
        <f ca="1">SUMIF('SBR May11'!$D$4:$S$90,'Apr11-Mar12 Billed-RETAIL'!$C23,'SBR May11'!$Q$4:$Q$90)</f>
        <v>0</v>
      </c>
      <c r="BD23" s="232">
        <f ca="1">SUMIF('SBR May11'!$D$4:$S$90,'Apr11-Mar12 Billed-RETAIL'!$C23,'SBR May11'!$K$4:$K$90)</f>
        <v>20626.669999999998</v>
      </c>
      <c r="BE23" s="232">
        <f ca="1">SUMIF('SBR May11'!$D$4:$S$90,'Apr11-Mar12 Billed-RETAIL'!$C23,'SBR May11'!$L$4:$L$90)</f>
        <v>71859.840000000011</v>
      </c>
      <c r="BF23" s="232"/>
    </row>
    <row r="24" spans="1:58" ht="15" customHeight="1" x14ac:dyDescent="0.25">
      <c r="A24" s="196">
        <f t="shared" si="15"/>
        <v>19</v>
      </c>
      <c r="B24" s="211">
        <v>40664</v>
      </c>
      <c r="C24" s="211" t="str">
        <f>+'Retail Rates'!B26</f>
        <v>LGRSG811</v>
      </c>
      <c r="D24" s="197" t="str">
        <f t="shared" si="20"/>
        <v>811</v>
      </c>
      <c r="E24" s="197" t="str">
        <f>VLOOKUP(C24,'Retail Rates'!$B$7:$D$35,3,FALSE)</f>
        <v>RGS</v>
      </c>
      <c r="F24" s="222">
        <f>SUMIFS('Data-Retail'!$G$4:$G$269,'Data-Retail'!$A$4:$A$269,'Apr11-Mar12 Billed-RETAIL'!$B24,'Data-Retail'!$D$4:$D$269,'Apr11-Mar12 Billed-RETAIL'!$C24)</f>
        <v>292415</v>
      </c>
      <c r="G24" s="222"/>
      <c r="H24" s="222"/>
      <c r="I24" s="222">
        <f>SUMIFS('Data-Retail'!$H$4:$H$269,'Data-Retail'!$A$4:$A$269,'Apr11-Mar12 Billed-RETAIL'!$B24,'Data-Retail'!$D$4:$D$269,'Apr11-Mar12 Billed-RETAIL'!$C24)</f>
        <v>8622002</v>
      </c>
      <c r="J24" s="222">
        <f>SUMIFS('Data-Retail'!$I$4:$I$269,'Data-Retail'!$A$4:$A$269,'Apr11-Mar12 Billed-RETAIL'!$B24,'Data-Retail'!$D$4:$D$269,'Apr11-Mar12 Billed-RETAIL'!$C24)</f>
        <v>0</v>
      </c>
      <c r="K24" s="222"/>
      <c r="L24" s="223">
        <f>VLOOKUP($C24,'Retail Rates'!$B$7:$M$35,5,FALSE)</f>
        <v>12.5</v>
      </c>
      <c r="M24" s="223">
        <f>VLOOKUP($C24,'Retail Rates'!$B$7:$M$35,6,FALSE)</f>
        <v>0</v>
      </c>
      <c r="N24" s="224">
        <f>VLOOKUP($C24,'Retail Rates'!$B$7:$M$35,7,FALSE)</f>
        <v>0.22395999999999999</v>
      </c>
      <c r="O24" s="224">
        <f>VLOOKUP($C24,'Retail Rates'!$B$7:$M$35,8,FALSE)</f>
        <v>0</v>
      </c>
      <c r="P24" s="224">
        <f>VLOOKUP($B24,'GSC-DSM Factors'!$A$1:$B$46,2,FALSE)</f>
        <v>0.56142999999999998</v>
      </c>
      <c r="Q24" s="223">
        <f>VLOOKUP($C24,'Retail Rates'!$B$7:$M$35,9,FALSE)</f>
        <v>0</v>
      </c>
      <c r="R24" s="224">
        <f>VLOOKUP($C24,'Retail Rates'!$B$7:$M$35,10,FALSE)</f>
        <v>0</v>
      </c>
      <c r="S24" s="223">
        <f>VLOOKUP($C24,'Retail Rates'!$B$7:$M$35,11,FALSE)</f>
        <v>0</v>
      </c>
      <c r="T24" s="223"/>
      <c r="U24" s="225">
        <f t="shared" si="4"/>
        <v>3655187.5</v>
      </c>
      <c r="V24" s="225"/>
      <c r="W24" s="225"/>
      <c r="X24" s="225">
        <f>+I24*N24</f>
        <v>1930983.5679199998</v>
      </c>
      <c r="Y24" s="225">
        <f t="shared" si="18"/>
        <v>0</v>
      </c>
      <c r="Z24" s="225">
        <f t="shared" si="23"/>
        <v>4840650.5828599995</v>
      </c>
      <c r="AA24" s="225"/>
      <c r="AB24" s="225"/>
      <c r="AC24" s="222"/>
      <c r="AD24" s="225"/>
      <c r="AE24" s="244">
        <f>SUMIFS(Adjustments!H$5:H$684,Adjustments!$B$5:$B$684,'Apr11-Mar12 Billed-RETAIL'!$B24,Adjustments!$C$5:$C$684,'Apr11-Mar12 Billed-RETAIL'!$C24)</f>
        <v>-1273</v>
      </c>
      <c r="AF24" s="244">
        <f>SUMIFS(Adjustments!I$5:I$684,Adjustments!$B$5:$B$684,'Apr11-Mar12 Billed-RETAIL'!$B24,Adjustments!$C$5:$C$684,'Apr11-Mar12 Billed-RETAIL'!$C24)</f>
        <v>0</v>
      </c>
      <c r="AG24" s="238">
        <f>SUMIFS(Adjustments!J$5:J$684,Adjustments!$B$5:$B$684,'Apr11-Mar12 Billed-RETAIL'!$B24,Adjustments!$C$5:$C$684,'Apr11-Mar12 Billed-RETAIL'!$C24)</f>
        <v>7.1899999999999995</v>
      </c>
      <c r="AH24" s="238">
        <f>SUMIFS(Adjustments!K$5:K$684,Adjustments!$B$5:$B$684,'Apr11-Mar12 Billed-RETAIL'!$B24,Adjustments!$C$5:$C$684,'Apr11-Mar12 Billed-RETAIL'!$C24)</f>
        <v>0</v>
      </c>
      <c r="AI24" s="238">
        <f>SUMIFS(Adjustments!L$5:L$684,Adjustments!$B$5:$B$684,'Apr11-Mar12 Billed-RETAIL'!$B24,Adjustments!$C$5:$C$684,'Apr11-Mar12 Billed-RETAIL'!$C24)</f>
        <v>-30.04</v>
      </c>
      <c r="AJ24" s="238">
        <f>SUMIFS(Adjustments!M$5:M$684,Adjustments!$B$5:$B$684,'Apr11-Mar12 Billed-RETAIL'!$B24,Adjustments!$C$5:$C$684,'Apr11-Mar12 Billed-RETAIL'!$C24)</f>
        <v>0</v>
      </c>
      <c r="AK24" s="238">
        <f>SUMIFS(Adjustments!N$5:N$684,Adjustments!$B$5:$B$684,'Apr11-Mar12 Billed-RETAIL'!$B24,Adjustments!$C$5:$C$684,'Apr11-Mar12 Billed-RETAIL'!$C24)</f>
        <v>-157299.58286000043</v>
      </c>
      <c r="AL24" s="238">
        <f>SUMIFS(Adjustments!O$5:O$684,Adjustments!$B$5:$B$684,'Apr11-Mar12 Billed-RETAIL'!$B24,Adjustments!$C$5:$C$684,'Apr11-Mar12 Billed-RETAIL'!$C24)</f>
        <v>0</v>
      </c>
      <c r="AM24" s="238">
        <f>SUMIFS(Adjustments!P$5:P$684,Adjustments!$B$5:$B$684,'Apr11-Mar12 Billed-RETAIL'!$B24,Adjustments!$C$5:$C$684,'Apr11-Mar12 Billed-RETAIL'!$C24)</f>
        <v>0</v>
      </c>
      <c r="AN24" s="225">
        <f t="shared" si="16"/>
        <v>3639282.19</v>
      </c>
      <c r="AO24" s="225">
        <f t="shared" si="9"/>
        <v>0</v>
      </c>
      <c r="AP24" s="225">
        <f t="shared" si="10"/>
        <v>1930953.5279199998</v>
      </c>
      <c r="AQ24" s="225">
        <f t="shared" si="11"/>
        <v>0</v>
      </c>
      <c r="AR24" s="232">
        <f ca="1">SUMIF('SBR May11'!$D$4:$S$90,'Apr11-Mar12 Billed-RETAIL'!$C24,'SBR May11'!$N$4:$N$90)</f>
        <v>4683350.9999999991</v>
      </c>
      <c r="AS24" s="232">
        <f ca="1">SUMIF('SBR May11'!$D$4:$S$90,'Apr11-Mar12 Billed-RETAIL'!$C24,'SBR May11'!$M$4:$M$90)</f>
        <v>151499.19000000003</v>
      </c>
      <c r="AT24" s="232">
        <f ca="1">SUMIF('SBR May11'!$D$4:$S$90,'Apr11-Mar12 Billed-RETAIL'!$C24,'SBR May11'!$O$4:$O$90)</f>
        <v>-315.42</v>
      </c>
      <c r="AU24" s="225">
        <f t="shared" si="12"/>
        <v>0</v>
      </c>
      <c r="AV24" s="225"/>
      <c r="AW24" s="232">
        <f t="shared" ca="1" si="21"/>
        <v>10404770.49</v>
      </c>
      <c r="AX24" s="232">
        <f t="shared" ca="1" si="7"/>
        <v>10404770.489999998</v>
      </c>
      <c r="AY24" s="233">
        <f t="shared" ca="1" si="22"/>
        <v>1</v>
      </c>
      <c r="AZ24" s="232">
        <f ca="1">SUMIF('SBR May11'!$D$4:$S$90,'Apr11-Mar12 Billed-RETAIL'!$C24,'SBR May11'!$M$4:$M$90)</f>
        <v>151499.19000000003</v>
      </c>
      <c r="BA24" s="232">
        <f ca="1">SUMIF('SBR May11'!$D$4:$S$90,'Apr11-Mar12 Billed-RETAIL'!$C24,'SBR May11'!$N$4:$N$90)</f>
        <v>4683350.9999999991</v>
      </c>
      <c r="BB24" s="232">
        <f ca="1">SUMIF('SBR May11'!$D$4:$S$90,'Apr11-Mar12 Billed-RETAIL'!$C24,'SBR May11'!$O$4:$O$90)</f>
        <v>-315.42</v>
      </c>
      <c r="BC24" s="232">
        <f ca="1">SUMIF('SBR May11'!$D$4:$S$90,'Apr11-Mar12 Billed-RETAIL'!$C24,'SBR May11'!$Q$4:$Q$90)</f>
        <v>44112.6</v>
      </c>
      <c r="BD24" s="232">
        <f ca="1">SUMIF('SBR May11'!$D$4:$S$90,'Apr11-Mar12 Billed-RETAIL'!$C24,'SBR May11'!$K$4:$K$90)</f>
        <v>3639282.19</v>
      </c>
      <c r="BE24" s="232">
        <f ca="1">SUMIF('SBR May11'!$D$4:$S$90,'Apr11-Mar12 Billed-RETAIL'!$C24,'SBR May11'!$L$4:$L$90)</f>
        <v>1930953.53</v>
      </c>
      <c r="BF24" s="232"/>
    </row>
    <row r="25" spans="1:58" ht="15" customHeight="1" x14ac:dyDescent="0.25">
      <c r="A25" s="196">
        <f t="shared" si="15"/>
        <v>20</v>
      </c>
      <c r="B25" s="211">
        <v>40664</v>
      </c>
      <c r="C25" s="211" t="str">
        <f>+'Retail Rates'!B27</f>
        <v>LGRSG811S1</v>
      </c>
      <c r="D25" s="197" t="str">
        <f t="shared" si="20"/>
        <v>811</v>
      </c>
      <c r="E25" s="197" t="str">
        <f>VLOOKUP(C25,'Retail Rates'!$B$7:$D$35,3,FALSE)</f>
        <v>RGS</v>
      </c>
      <c r="F25" s="222">
        <f>SUMIFS('Data-Retail'!$G$4:$G$269,'Data-Retail'!$A$4:$A$269,'Apr11-Mar12 Billed-RETAIL'!$B25,'Data-Retail'!$D$4:$D$269,'Apr11-Mar12 Billed-RETAIL'!$C25)</f>
        <v>1</v>
      </c>
      <c r="G25" s="222"/>
      <c r="H25" s="222"/>
      <c r="I25" s="222">
        <f>SUMIFS('Data-Retail'!$H$4:$H$269,'Data-Retail'!$A$4:$A$269,'Apr11-Mar12 Billed-RETAIL'!$B25,'Data-Retail'!$D$4:$D$269,'Apr11-Mar12 Billed-RETAIL'!$C25)</f>
        <v>528</v>
      </c>
      <c r="J25" s="222">
        <f>SUMIFS('Data-Retail'!$I$4:$I$269,'Data-Retail'!$A$4:$A$269,'Apr11-Mar12 Billed-RETAIL'!$B25,'Data-Retail'!$D$4:$D$269,'Apr11-Mar12 Billed-RETAIL'!$C25)</f>
        <v>0</v>
      </c>
      <c r="K25" s="222"/>
      <c r="L25" s="223">
        <f>VLOOKUP($C25,'Retail Rates'!$B$7:$M$35,5,FALSE)</f>
        <v>12.5</v>
      </c>
      <c r="M25" s="223">
        <f>VLOOKUP($C25,'Retail Rates'!$B$7:$M$35,6,FALSE)</f>
        <v>0</v>
      </c>
      <c r="N25" s="224">
        <f>VLOOKUP($C25,'Retail Rates'!$B$7:$M$35,7,FALSE)</f>
        <v>0.22395999999999999</v>
      </c>
      <c r="O25" s="224">
        <f>VLOOKUP($C25,'Retail Rates'!$B$7:$M$35,8,FALSE)</f>
        <v>0</v>
      </c>
      <c r="P25" s="224">
        <f>VLOOKUP($B25,'GSC-DSM Factors'!$A$1:$B$46,2,FALSE)</f>
        <v>0.56142999999999998</v>
      </c>
      <c r="Q25" s="223">
        <f>VLOOKUP($C25,'Retail Rates'!$B$7:$M$35,9,FALSE)</f>
        <v>0</v>
      </c>
      <c r="R25" s="224">
        <f>VLOOKUP($C25,'Retail Rates'!$B$7:$M$35,10,FALSE)</f>
        <v>0</v>
      </c>
      <c r="S25" s="223">
        <f>VLOOKUP($C25,'Retail Rates'!$B$7:$M$35,11,FALSE)</f>
        <v>0</v>
      </c>
      <c r="T25" s="223"/>
      <c r="U25" s="225">
        <f t="shared" si="4"/>
        <v>12.5</v>
      </c>
      <c r="V25" s="225"/>
      <c r="W25" s="225"/>
      <c r="X25" s="225">
        <f>+I25*N25</f>
        <v>118.25088</v>
      </c>
      <c r="Y25" s="225">
        <f t="shared" si="18"/>
        <v>0</v>
      </c>
      <c r="Z25" s="225">
        <f t="shared" si="23"/>
        <v>296.43504000000001</v>
      </c>
      <c r="AA25" s="225"/>
      <c r="AB25" s="225"/>
      <c r="AC25" s="222"/>
      <c r="AD25" s="225"/>
      <c r="AE25" s="244">
        <f>SUMIFS(Adjustments!H$5:H$684,Adjustments!$B$5:$B$684,'Apr11-Mar12 Billed-RETAIL'!$B25,Adjustments!$C$5:$C$684,'Apr11-Mar12 Billed-RETAIL'!$C25)</f>
        <v>0</v>
      </c>
      <c r="AF25" s="244">
        <f>SUMIFS(Adjustments!I$5:I$684,Adjustments!$B$5:$B$684,'Apr11-Mar12 Billed-RETAIL'!$B25,Adjustments!$C$5:$C$684,'Apr11-Mar12 Billed-RETAIL'!$C25)</f>
        <v>0</v>
      </c>
      <c r="AG25" s="238">
        <f>SUMIFS(Adjustments!J$5:J$684,Adjustments!$B$5:$B$684,'Apr11-Mar12 Billed-RETAIL'!$B25,Adjustments!$C$5:$C$684,'Apr11-Mar12 Billed-RETAIL'!$C25)</f>
        <v>-12</v>
      </c>
      <c r="AH25" s="238">
        <f>SUMIFS(Adjustments!K$5:K$684,Adjustments!$B$5:$B$684,'Apr11-Mar12 Billed-RETAIL'!$B25,Adjustments!$C$5:$C$684,'Apr11-Mar12 Billed-RETAIL'!$C25)</f>
        <v>0</v>
      </c>
      <c r="AI25" s="238">
        <f>SUMIFS(Adjustments!L$5:L$684,Adjustments!$B$5:$B$684,'Apr11-Mar12 Billed-RETAIL'!$B25,Adjustments!$C$5:$C$684,'Apr11-Mar12 Billed-RETAIL'!$C25)</f>
        <v>-142.07</v>
      </c>
      <c r="AJ25" s="238">
        <f>SUMIFS(Adjustments!M$5:M$684,Adjustments!$B$5:$B$684,'Apr11-Mar12 Billed-RETAIL'!$B25,Adjustments!$C$5:$C$684,'Apr11-Mar12 Billed-RETAIL'!$C25)</f>
        <v>0</v>
      </c>
      <c r="AK25" s="238">
        <f>SUMIFS(Adjustments!N$5:N$684,Adjustments!$B$5:$B$684,'Apr11-Mar12 Billed-RETAIL'!$B25,Adjustments!$C$5:$C$684,'Apr11-Mar12 Billed-RETAIL'!$C25)</f>
        <v>-2.77503999999999</v>
      </c>
      <c r="AL25" s="238">
        <f>SUMIFS(Adjustments!O$5:O$684,Adjustments!$B$5:$B$684,'Apr11-Mar12 Billed-RETAIL'!$B25,Adjustments!$C$5:$C$684,'Apr11-Mar12 Billed-RETAIL'!$C25)</f>
        <v>0</v>
      </c>
      <c r="AM25" s="238">
        <f>SUMIFS(Adjustments!P$5:P$684,Adjustments!$B$5:$B$684,'Apr11-Mar12 Billed-RETAIL'!$B25,Adjustments!$C$5:$C$684,'Apr11-Mar12 Billed-RETAIL'!$C25)</f>
        <v>0</v>
      </c>
      <c r="AN25" s="225">
        <f t="shared" si="16"/>
        <v>0.5</v>
      </c>
      <c r="AO25" s="225">
        <f t="shared" si="9"/>
        <v>0</v>
      </c>
      <c r="AP25" s="225">
        <f t="shared" si="10"/>
        <v>-23.819119999999998</v>
      </c>
      <c r="AQ25" s="225">
        <f t="shared" si="11"/>
        <v>0</v>
      </c>
      <c r="AR25" s="232">
        <f ca="1">SUMIF('SBR May11'!$D$4:$S$90,'Apr11-Mar12 Billed-RETAIL'!$C25,'SBR May11'!$N$4:$N$90)</f>
        <v>293.66000000000003</v>
      </c>
      <c r="AS25" s="232">
        <f ca="1">SUMIF('SBR May11'!$D$4:$S$90,'Apr11-Mar12 Billed-RETAIL'!$C25,'SBR May11'!$M$4:$M$90)</f>
        <v>0</v>
      </c>
      <c r="AT25" s="232">
        <f ca="1">SUMIF('SBR May11'!$D$4:$S$90,'Apr11-Mar12 Billed-RETAIL'!$C25,'SBR May11'!$O$4:$O$90)</f>
        <v>0</v>
      </c>
      <c r="AU25" s="225">
        <f t="shared" si="12"/>
        <v>0</v>
      </c>
      <c r="AV25" s="225"/>
      <c r="AW25" s="232">
        <f t="shared" ca="1" si="21"/>
        <v>270.33999999999997</v>
      </c>
      <c r="AX25" s="232">
        <f t="shared" ca="1" si="7"/>
        <v>270.34000000000003</v>
      </c>
      <c r="AY25" s="233">
        <f t="shared" ca="1" si="22"/>
        <v>1</v>
      </c>
      <c r="AZ25" s="232">
        <f ca="1">SUMIF('SBR May11'!$D$4:$S$90,'Apr11-Mar12 Billed-RETAIL'!$C25,'SBR May11'!$M$4:$M$90)</f>
        <v>0</v>
      </c>
      <c r="BA25" s="232">
        <f ca="1">SUMIF('SBR May11'!$D$4:$S$90,'Apr11-Mar12 Billed-RETAIL'!$C25,'SBR May11'!$N$4:$N$90)</f>
        <v>293.66000000000003</v>
      </c>
      <c r="BB25" s="232">
        <f ca="1">SUMIF('SBR May11'!$D$4:$S$90,'Apr11-Mar12 Billed-RETAIL'!$C25,'SBR May11'!$O$4:$O$90)</f>
        <v>0</v>
      </c>
      <c r="BC25" s="232">
        <f ca="1">SUMIF('SBR May11'!$D$4:$S$90,'Apr11-Mar12 Billed-RETAIL'!$C25,'SBR May11'!$Q$4:$Q$90)</f>
        <v>0</v>
      </c>
      <c r="BD25" s="232">
        <f ca="1">SUMIF('SBR May11'!$D$4:$S$90,'Apr11-Mar12 Billed-RETAIL'!$C25,'SBR May11'!$K$4:$K$90)</f>
        <v>0.5</v>
      </c>
      <c r="BE25" s="232">
        <f ca="1">SUMIF('SBR May11'!$D$4:$S$90,'Apr11-Mar12 Billed-RETAIL'!$C25,'SBR May11'!$L$4:$L$90)</f>
        <v>-23.82</v>
      </c>
      <c r="BF25" s="232"/>
    </row>
    <row r="26" spans="1:58" ht="15" customHeight="1" x14ac:dyDescent="0.25">
      <c r="A26" s="196">
        <f t="shared" si="15"/>
        <v>21</v>
      </c>
      <c r="B26" s="211">
        <v>40664</v>
      </c>
      <c r="C26" s="211" t="str">
        <f>+'Retail Rates'!B28</f>
        <v>LGRSG840</v>
      </c>
      <c r="D26" s="197" t="str">
        <f t="shared" si="20"/>
        <v>840</v>
      </c>
      <c r="E26" s="197" t="str">
        <f>VLOOKUP(C26,'Retail Rates'!$B$7:$D$35,3,FALSE)</f>
        <v>RGS</v>
      </c>
      <c r="F26" s="222">
        <f>SUMIFS('Data-Retail'!$G$4:$G$269,'Data-Retail'!$A$4:$A$269,'Apr11-Mar12 Billed-RETAIL'!$B26,'Data-Retail'!$D$4:$D$269,'Apr11-Mar12 Billed-RETAIL'!$C26)</f>
        <v>4</v>
      </c>
      <c r="G26" s="222"/>
      <c r="H26" s="222"/>
      <c r="I26" s="222">
        <f>SUMIFS('Data-Retail'!$H$4:$H$269,'Data-Retail'!$A$4:$A$269,'Apr11-Mar12 Billed-RETAIL'!$B26,'Data-Retail'!$D$4:$D$269,'Apr11-Mar12 Billed-RETAIL'!$C26)</f>
        <v>427</v>
      </c>
      <c r="J26" s="222">
        <f>SUMIFS('Data-Retail'!$I$4:$I$269,'Data-Retail'!$A$4:$A$269,'Apr11-Mar12 Billed-RETAIL'!$B26,'Data-Retail'!$D$4:$D$269,'Apr11-Mar12 Billed-RETAIL'!$C26)</f>
        <v>0</v>
      </c>
      <c r="K26" s="222"/>
      <c r="L26" s="223">
        <f>VLOOKUP($C26,'Retail Rates'!$B$7:$M$35,5,FALSE)</f>
        <v>12.5</v>
      </c>
      <c r="M26" s="223">
        <f>VLOOKUP($C26,'Retail Rates'!$B$7:$M$35,6,FALSE)</f>
        <v>0</v>
      </c>
      <c r="N26" s="224">
        <f>VLOOKUP($C26,'Retail Rates'!$B$7:$M$35,7,FALSE)</f>
        <v>0.22395999999999999</v>
      </c>
      <c r="O26" s="224">
        <f>VLOOKUP($C26,'Retail Rates'!$B$7:$M$35,8,FALSE)</f>
        <v>0</v>
      </c>
      <c r="P26" s="224">
        <f>VLOOKUP($B26,'GSC-DSM Factors'!$A$1:$B$46,2,FALSE)</f>
        <v>0.56142999999999998</v>
      </c>
      <c r="Q26" s="223">
        <f>VLOOKUP($C26,'Retail Rates'!$B$7:$M$35,9,FALSE)</f>
        <v>0</v>
      </c>
      <c r="R26" s="224">
        <f>VLOOKUP($C26,'Retail Rates'!$B$7:$M$35,10,FALSE)</f>
        <v>0</v>
      </c>
      <c r="S26" s="223">
        <f>VLOOKUP($C26,'Retail Rates'!$B$7:$M$35,11,FALSE)</f>
        <v>0</v>
      </c>
      <c r="T26" s="223"/>
      <c r="U26" s="225">
        <f t="shared" si="4"/>
        <v>50</v>
      </c>
      <c r="V26" s="225"/>
      <c r="W26" s="225"/>
      <c r="X26" s="225">
        <f>+I26*N26</f>
        <v>95.630920000000003</v>
      </c>
      <c r="Y26" s="225">
        <f t="shared" si="18"/>
        <v>0</v>
      </c>
      <c r="Z26" s="225">
        <f t="shared" si="23"/>
        <v>239.73060999999998</v>
      </c>
      <c r="AA26" s="225"/>
      <c r="AB26" s="225"/>
      <c r="AC26" s="222"/>
      <c r="AD26" s="225"/>
      <c r="AE26" s="244">
        <f>SUMIFS(Adjustments!H$5:H$684,Adjustments!$B$5:$B$684,'Apr11-Mar12 Billed-RETAIL'!$B26,Adjustments!$C$5:$C$684,'Apr11-Mar12 Billed-RETAIL'!$C26)</f>
        <v>0</v>
      </c>
      <c r="AF26" s="244">
        <f>SUMIFS(Adjustments!I$5:I$684,Adjustments!$B$5:$B$684,'Apr11-Mar12 Billed-RETAIL'!$B26,Adjustments!$C$5:$C$684,'Apr11-Mar12 Billed-RETAIL'!$C26)</f>
        <v>0</v>
      </c>
      <c r="AG26" s="238">
        <f>SUMIFS(Adjustments!J$5:J$684,Adjustments!$B$5:$B$684,'Apr11-Mar12 Billed-RETAIL'!$B26,Adjustments!$C$5:$C$684,'Apr11-Mar12 Billed-RETAIL'!$C26)</f>
        <v>0</v>
      </c>
      <c r="AH26" s="238">
        <f>SUMIFS(Adjustments!K$5:K$684,Adjustments!$B$5:$B$684,'Apr11-Mar12 Billed-RETAIL'!$B26,Adjustments!$C$5:$C$684,'Apr11-Mar12 Billed-RETAIL'!$C26)</f>
        <v>0</v>
      </c>
      <c r="AI26" s="238">
        <f>SUMIFS(Adjustments!L$5:L$684,Adjustments!$B$5:$B$684,'Apr11-Mar12 Billed-RETAIL'!$B26,Adjustments!$C$5:$C$684,'Apr11-Mar12 Billed-RETAIL'!$C26)</f>
        <v>0</v>
      </c>
      <c r="AJ26" s="238">
        <f>SUMIFS(Adjustments!M$5:M$684,Adjustments!$B$5:$B$684,'Apr11-Mar12 Billed-RETAIL'!$B26,Adjustments!$C$5:$C$684,'Apr11-Mar12 Billed-RETAIL'!$C26)</f>
        <v>0</v>
      </c>
      <c r="AK26" s="238">
        <f>SUMIFS(Adjustments!N$5:N$684,Adjustments!$B$5:$B$684,'Apr11-Mar12 Billed-RETAIL'!$B26,Adjustments!$C$5:$C$684,'Apr11-Mar12 Billed-RETAIL'!$C26)</f>
        <v>0</v>
      </c>
      <c r="AL26" s="238">
        <f>SUMIFS(Adjustments!O$5:O$684,Adjustments!$B$5:$B$684,'Apr11-Mar12 Billed-RETAIL'!$B26,Adjustments!$C$5:$C$684,'Apr11-Mar12 Billed-RETAIL'!$C26)</f>
        <v>0</v>
      </c>
      <c r="AM26" s="238">
        <f>SUMIFS(Adjustments!P$5:P$684,Adjustments!$B$5:$B$684,'Apr11-Mar12 Billed-RETAIL'!$B26,Adjustments!$C$5:$C$684,'Apr11-Mar12 Billed-RETAIL'!$C26)</f>
        <v>0</v>
      </c>
      <c r="AN26" s="225">
        <f t="shared" si="16"/>
        <v>50</v>
      </c>
      <c r="AO26" s="225">
        <f t="shared" si="9"/>
        <v>0</v>
      </c>
      <c r="AP26" s="225">
        <f t="shared" si="10"/>
        <v>95.630920000000003</v>
      </c>
      <c r="AQ26" s="225">
        <f t="shared" si="11"/>
        <v>0</v>
      </c>
      <c r="AR26" s="232">
        <f ca="1">SUMIF('SBR May11'!$D$4:$S$90,'Apr11-Mar12 Billed-RETAIL'!$C26,'SBR May11'!$N$4:$N$90)</f>
        <v>233.26</v>
      </c>
      <c r="AS26" s="232">
        <f ca="1">SUMIF('SBR May11'!$D$4:$S$90,'Apr11-Mar12 Billed-RETAIL'!$C26,'SBR May11'!$M$4:$M$90)</f>
        <v>7.51</v>
      </c>
      <c r="AT26" s="232">
        <f ca="1">SUMIF('SBR May11'!$D$4:$S$90,'Apr11-Mar12 Billed-RETAIL'!$C26,'SBR May11'!$O$4:$O$90)</f>
        <v>0</v>
      </c>
      <c r="AU26" s="225">
        <f t="shared" si="12"/>
        <v>0</v>
      </c>
      <c r="AV26" s="225"/>
      <c r="AW26" s="232">
        <f t="shared" ca="1" si="21"/>
        <v>386.4</v>
      </c>
      <c r="AX26" s="232">
        <f t="shared" ca="1" si="7"/>
        <v>386.4</v>
      </c>
      <c r="AY26" s="233">
        <f t="shared" ca="1" si="22"/>
        <v>1</v>
      </c>
      <c r="AZ26" s="232">
        <f ca="1">SUMIF('SBR May11'!$D$4:$S$90,'Apr11-Mar12 Billed-RETAIL'!$C26,'SBR May11'!$M$4:$M$90)</f>
        <v>7.51</v>
      </c>
      <c r="BA26" s="232">
        <f ca="1">SUMIF('SBR May11'!$D$4:$S$90,'Apr11-Mar12 Billed-RETAIL'!$C26,'SBR May11'!$N$4:$N$90)</f>
        <v>233.26</v>
      </c>
      <c r="BB26" s="232">
        <f ca="1">SUMIF('SBR May11'!$D$4:$S$90,'Apr11-Mar12 Billed-RETAIL'!$C26,'SBR May11'!$O$4:$O$90)</f>
        <v>0</v>
      </c>
      <c r="BC26" s="232">
        <f ca="1">SUMIF('SBR May11'!$D$4:$S$90,'Apr11-Mar12 Billed-RETAIL'!$C26,'SBR May11'!$Q$4:$Q$90)</f>
        <v>0</v>
      </c>
      <c r="BD26" s="232">
        <f ca="1">SUMIF('SBR May11'!$D$4:$S$90,'Apr11-Mar12 Billed-RETAIL'!$C26,'SBR May11'!$K$4:$K$90)</f>
        <v>50</v>
      </c>
      <c r="BE26" s="232">
        <f ca="1">SUMIF('SBR May11'!$D$4:$S$90,'Apr11-Mar12 Billed-RETAIL'!$C26,'SBR May11'!$L$4:$L$90)</f>
        <v>95.63</v>
      </c>
      <c r="BF26" s="232"/>
    </row>
    <row r="27" spans="1:58" ht="15" customHeight="1" x14ac:dyDescent="0.25">
      <c r="A27" s="196">
        <f t="shared" si="15"/>
        <v>22</v>
      </c>
      <c r="B27" s="211">
        <v>40664</v>
      </c>
      <c r="C27" s="211" t="str">
        <f>+'Retail Rates'!B29</f>
        <v>LGUMG830</v>
      </c>
      <c r="D27" s="197" t="str">
        <f t="shared" si="20"/>
        <v>830</v>
      </c>
      <c r="E27" s="197" t="str">
        <f>VLOOKUP(C27,'Retail Rates'!$B$7:$D$35,3,FALSE)</f>
        <v>RGS</v>
      </c>
      <c r="F27" s="222">
        <f>SUMIFS('Data-Retail'!$G$4:$G$269,'Data-Retail'!$A$4:$A$269,'Apr11-Mar12 Billed-RETAIL'!$B27,'Data-Retail'!$D$4:$D$269,'Apr11-Mar12 Billed-RETAIL'!$C27)</f>
        <v>1</v>
      </c>
      <c r="G27" s="222"/>
      <c r="H27" s="222"/>
      <c r="I27" s="222">
        <f>SUMIFS('Data-Retail'!$H$4:$H$269,'Data-Retail'!$A$4:$A$269,'Apr11-Mar12 Billed-RETAIL'!$B27,'Data-Retail'!$D$4:$D$269,'Apr11-Mar12 Billed-RETAIL'!$C27)</f>
        <v>32</v>
      </c>
      <c r="J27" s="222">
        <f>SUMIFS('Data-Retail'!$I$4:$I$269,'Data-Retail'!$A$4:$A$269,'Apr11-Mar12 Billed-RETAIL'!$B27,'Data-Retail'!$D$4:$D$269,'Apr11-Mar12 Billed-RETAIL'!$C27)</f>
        <v>0</v>
      </c>
      <c r="K27" s="222"/>
      <c r="L27" s="223">
        <f>VLOOKUP($C27,'Retail Rates'!$B$7:$M$35,5,FALSE)</f>
        <v>12.5</v>
      </c>
      <c r="M27" s="223">
        <f>VLOOKUP($C27,'Retail Rates'!$B$7:$M$35,6,FALSE)</f>
        <v>0</v>
      </c>
      <c r="N27" s="224">
        <f>VLOOKUP($C27,'Retail Rates'!$B$7:$M$35,7,FALSE)</f>
        <v>0.22395999999999999</v>
      </c>
      <c r="O27" s="224">
        <f>VLOOKUP($C27,'Retail Rates'!$B$7:$M$35,8,FALSE)</f>
        <v>0</v>
      </c>
      <c r="P27" s="224">
        <f>VLOOKUP($B27,'GSC-DSM Factors'!$A$1:$B$46,2,FALSE)</f>
        <v>0.56142999999999998</v>
      </c>
      <c r="Q27" s="223">
        <f>VLOOKUP($C27,'Retail Rates'!$B$7:$M$35,9,FALSE)</f>
        <v>0</v>
      </c>
      <c r="R27" s="224">
        <f>VLOOKUP($C27,'Retail Rates'!$B$7:$M$35,10,FALSE)</f>
        <v>0</v>
      </c>
      <c r="S27" s="223">
        <f>VLOOKUP($C27,'Retail Rates'!$B$7:$M$35,11,FALSE)</f>
        <v>0</v>
      </c>
      <c r="T27" s="223"/>
      <c r="U27" s="225">
        <f t="shared" si="4"/>
        <v>12.5</v>
      </c>
      <c r="V27" s="225"/>
      <c r="W27" s="225"/>
      <c r="X27" s="225">
        <f>+I27*N27</f>
        <v>7.1667199999999998</v>
      </c>
      <c r="Y27" s="225">
        <f t="shared" si="18"/>
        <v>0</v>
      </c>
      <c r="Z27" s="225">
        <f t="shared" si="23"/>
        <v>17.96576</v>
      </c>
      <c r="AA27" s="225"/>
      <c r="AB27" s="225"/>
      <c r="AC27" s="225"/>
      <c r="AD27" s="225"/>
      <c r="AE27" s="244">
        <f>SUMIFS(Adjustments!H$5:H$684,Adjustments!$B$5:$B$684,'Apr11-Mar12 Billed-RETAIL'!$B27,Adjustments!$C$5:$C$684,'Apr11-Mar12 Billed-RETAIL'!$C27)</f>
        <v>1</v>
      </c>
      <c r="AF27" s="244">
        <f>SUMIFS(Adjustments!I$5:I$684,Adjustments!$B$5:$B$684,'Apr11-Mar12 Billed-RETAIL'!$B27,Adjustments!$C$5:$C$684,'Apr11-Mar12 Billed-RETAIL'!$C27)</f>
        <v>0</v>
      </c>
      <c r="AG27" s="238">
        <f>SUMIFS(Adjustments!J$5:J$684,Adjustments!$B$5:$B$684,'Apr11-Mar12 Billed-RETAIL'!$B27,Adjustments!$C$5:$C$684,'Apr11-Mar12 Billed-RETAIL'!$C27)</f>
        <v>0</v>
      </c>
      <c r="AH27" s="238">
        <f>SUMIFS(Adjustments!K$5:K$684,Adjustments!$B$5:$B$684,'Apr11-Mar12 Billed-RETAIL'!$B27,Adjustments!$C$5:$C$684,'Apr11-Mar12 Billed-RETAIL'!$C27)</f>
        <v>0</v>
      </c>
      <c r="AI27" s="238">
        <f>SUMIFS(Adjustments!L$5:L$684,Adjustments!$B$5:$B$684,'Apr11-Mar12 Billed-RETAIL'!$B27,Adjustments!$C$5:$C$684,'Apr11-Mar12 Billed-RETAIL'!$C27)</f>
        <v>0</v>
      </c>
      <c r="AJ27" s="238">
        <f>SUMIFS(Adjustments!M$5:M$684,Adjustments!$B$5:$B$684,'Apr11-Mar12 Billed-RETAIL'!$B27,Adjustments!$C$5:$C$684,'Apr11-Mar12 Billed-RETAIL'!$C27)</f>
        <v>0</v>
      </c>
      <c r="AK27" s="238">
        <f>SUMIFS(Adjustments!N$5:N$684,Adjustments!$B$5:$B$684,'Apr11-Mar12 Billed-RETAIL'!$B27,Adjustments!$C$5:$C$684,'Apr11-Mar12 Billed-RETAIL'!$C27)</f>
        <v>-0.34575999999999851</v>
      </c>
      <c r="AL27" s="238">
        <f>SUMIFS(Adjustments!O$5:O$684,Adjustments!$B$5:$B$684,'Apr11-Mar12 Billed-RETAIL'!$B27,Adjustments!$C$5:$C$684,'Apr11-Mar12 Billed-RETAIL'!$C27)</f>
        <v>0</v>
      </c>
      <c r="AM27" s="238">
        <f>SUMIFS(Adjustments!P$5:P$684,Adjustments!$B$5:$B$684,'Apr11-Mar12 Billed-RETAIL'!$B27,Adjustments!$C$5:$C$684,'Apr11-Mar12 Billed-RETAIL'!$C27)</f>
        <v>0</v>
      </c>
      <c r="AN27" s="225">
        <f t="shared" si="16"/>
        <v>25</v>
      </c>
      <c r="AO27" s="225">
        <f t="shared" si="9"/>
        <v>0</v>
      </c>
      <c r="AP27" s="225">
        <f t="shared" si="10"/>
        <v>7.1667199999999998</v>
      </c>
      <c r="AQ27" s="225">
        <f t="shared" si="11"/>
        <v>0</v>
      </c>
      <c r="AR27" s="232">
        <f ca="1">SUMIF('SBR May11'!$D$4:$S$90,'Apr11-Mar12 Billed-RETAIL'!$C27,'SBR May11'!$N$4:$N$90)</f>
        <v>17.62</v>
      </c>
      <c r="AS27" s="232">
        <f ca="1">SUMIF('SBR May11'!$D$4:$S$90,'Apr11-Mar12 Billed-RETAIL'!$C27,'SBR May11'!$M$4:$M$90)</f>
        <v>0.56000000000000005</v>
      </c>
      <c r="AT27" s="232">
        <f ca="1">SUMIF('SBR May11'!$D$4:$S$90,'Apr11-Mar12 Billed-RETAIL'!$C27,'SBR May11'!$O$4:$O$90)</f>
        <v>0</v>
      </c>
      <c r="AU27" s="225">
        <f t="shared" si="12"/>
        <v>0</v>
      </c>
      <c r="AV27" s="225"/>
      <c r="AW27" s="232">
        <f t="shared" ca="1" si="21"/>
        <v>50.35</v>
      </c>
      <c r="AX27" s="232">
        <f t="shared" ca="1" si="7"/>
        <v>50.35</v>
      </c>
      <c r="AY27" s="233">
        <f t="shared" ca="1" si="22"/>
        <v>1</v>
      </c>
      <c r="AZ27" s="232">
        <f ca="1">SUMIF('SBR May11'!$D$4:$S$90,'Apr11-Mar12 Billed-RETAIL'!$C27,'SBR May11'!$M$4:$M$90)</f>
        <v>0.56000000000000005</v>
      </c>
      <c r="BA27" s="232">
        <f ca="1">SUMIF('SBR May11'!$D$4:$S$90,'Apr11-Mar12 Billed-RETAIL'!$C27,'SBR May11'!$N$4:$N$90)</f>
        <v>17.62</v>
      </c>
      <c r="BB27" s="232">
        <f ca="1">SUMIF('SBR May11'!$D$4:$S$90,'Apr11-Mar12 Billed-RETAIL'!$C27,'SBR May11'!$O$4:$O$90)</f>
        <v>0</v>
      </c>
      <c r="BC27" s="232">
        <f ca="1">SUMIF('SBR May11'!$D$4:$S$90,'Apr11-Mar12 Billed-RETAIL'!$C27,'SBR May11'!$Q$4:$Q$90)</f>
        <v>0</v>
      </c>
      <c r="BD27" s="232">
        <f ca="1">SUMIF('SBR May11'!$D$4:$S$90,'Apr11-Mar12 Billed-RETAIL'!$C27,'SBR May11'!$K$4:$K$90)</f>
        <v>25</v>
      </c>
      <c r="BE27" s="232">
        <f ca="1">SUMIF('SBR May11'!$D$4:$S$90,'Apr11-Mar12 Billed-RETAIL'!$C27,'SBR May11'!$L$4:$L$90)</f>
        <v>7.17</v>
      </c>
      <c r="BF27" s="232"/>
    </row>
    <row r="28" spans="1:58" ht="15" customHeight="1" x14ac:dyDescent="0.25">
      <c r="A28" s="196">
        <f t="shared" si="15"/>
        <v>23</v>
      </c>
      <c r="B28" s="211">
        <v>40695</v>
      </c>
      <c r="C28" s="211" t="str">
        <f>+'Retail Rates'!B7</f>
        <v>LGCMG865</v>
      </c>
      <c r="D28" s="197" t="str">
        <f>MID(C28,6,3)</f>
        <v>865</v>
      </c>
      <c r="E28" s="197" t="str">
        <f>VLOOKUP(C28,'Retail Rates'!$B$7:$D$35,3,FALSE)</f>
        <v>AAGS-C</v>
      </c>
      <c r="F28" s="222">
        <f>SUMIFS('Data-Retail'!$G$4:$G$269,'Data-Retail'!$A$4:$A$269,'Apr11-Mar12 Billed-RETAIL'!$B28,'Data-Retail'!$D$4:$D$269,'Apr11-Mar12 Billed-RETAIL'!$C28)</f>
        <v>5</v>
      </c>
      <c r="G28" s="222"/>
      <c r="H28" s="222"/>
      <c r="I28" s="222">
        <f>SUMIFS('Data-Retail'!$H$4:$H$269,'Data-Retail'!$A$4:$A$269,'Apr11-Mar12 Billed-RETAIL'!$B28,'Data-Retail'!$D$4:$D$269,'Apr11-Mar12 Billed-RETAIL'!$C28)</f>
        <v>144507</v>
      </c>
      <c r="J28" s="222">
        <f>SUMIFS('Data-Retail'!$I$4:$I$269,'Data-Retail'!$A$4:$A$269,'Apr11-Mar12 Billed-RETAIL'!$B28,'Data-Retail'!$D$4:$D$269,'Apr11-Mar12 Billed-RETAIL'!$C28)</f>
        <v>0</v>
      </c>
      <c r="K28" s="222"/>
      <c r="L28" s="223">
        <f>VLOOKUP($C28,'Retail Rates'!$B$7:$M$35,5,FALSE)</f>
        <v>275</v>
      </c>
      <c r="M28" s="223">
        <f>VLOOKUP($C28,'Retail Rates'!$B$7:$M$35,6,FALSE)</f>
        <v>0</v>
      </c>
      <c r="N28" s="224">
        <f>VLOOKUP($C28,'Retail Rates'!$B$7:$M$35,7,FALSE)</f>
        <v>5.2519999999999997E-2</v>
      </c>
      <c r="O28" s="224">
        <f>VLOOKUP($C28,'Retail Rates'!$B$7:$M$35,8,FALSE)</f>
        <v>0</v>
      </c>
      <c r="P28" s="224">
        <f>VLOOKUP($B28,'GSC-DSM Factors'!$A$1:$B$46,2,FALSE)</f>
        <v>0.56142999999999998</v>
      </c>
      <c r="Q28" s="223">
        <f>VLOOKUP($C28,'Retail Rates'!$B$7:$M$35,9,FALSE)</f>
        <v>0</v>
      </c>
      <c r="R28" s="224">
        <f>VLOOKUP($C28,'Retail Rates'!$B$7:$M$35,10,FALSE)</f>
        <v>0</v>
      </c>
      <c r="S28" s="223">
        <f>VLOOKUP($C28,'Retail Rates'!$B$7:$M$35,11,FALSE)</f>
        <v>0</v>
      </c>
      <c r="T28" s="223"/>
      <c r="U28" s="225">
        <f t="shared" si="4"/>
        <v>1375</v>
      </c>
      <c r="V28" s="225"/>
      <c r="W28" s="225"/>
      <c r="X28" s="225">
        <f t="shared" ref="X28:X33" si="24">+I28*N28</f>
        <v>7589.5076399999998</v>
      </c>
      <c r="Y28" s="225">
        <f t="shared" si="18"/>
        <v>0</v>
      </c>
      <c r="Z28" s="225">
        <f>SUM(I28:J28)*P28</f>
        <v>81130.565009999991</v>
      </c>
      <c r="AA28" s="225"/>
      <c r="AB28" s="225"/>
      <c r="AC28" s="225"/>
      <c r="AD28" s="225"/>
      <c r="AE28" s="244">
        <f>SUMIFS(Adjustments!H$5:H$684,Adjustments!$B$5:$B$684,'Apr11-Mar12 Billed-RETAIL'!$B28,Adjustments!$C$5:$C$684,'Apr11-Mar12 Billed-RETAIL'!$C28)</f>
        <v>1</v>
      </c>
      <c r="AF28" s="244">
        <f>SUMIFS(Adjustments!I$5:I$684,Adjustments!$B$5:$B$684,'Apr11-Mar12 Billed-RETAIL'!$B28,Adjustments!$C$5:$C$684,'Apr11-Mar12 Billed-RETAIL'!$C28)</f>
        <v>0</v>
      </c>
      <c r="AG28" s="238">
        <f>SUMIFS(Adjustments!J$5:J$684,Adjustments!$B$5:$B$684,'Apr11-Mar12 Billed-RETAIL'!$B28,Adjustments!$C$5:$C$684,'Apr11-Mar12 Billed-RETAIL'!$C28)</f>
        <v>0</v>
      </c>
      <c r="AH28" s="238">
        <f>SUMIFS(Adjustments!K$5:K$684,Adjustments!$B$5:$B$684,'Apr11-Mar12 Billed-RETAIL'!$B28,Adjustments!$C$5:$C$684,'Apr11-Mar12 Billed-RETAIL'!$C28)</f>
        <v>0</v>
      </c>
      <c r="AI28" s="238">
        <f>SUMIFS(Adjustments!L$5:L$684,Adjustments!$B$5:$B$684,'Apr11-Mar12 Billed-RETAIL'!$B28,Adjustments!$C$5:$C$684,'Apr11-Mar12 Billed-RETAIL'!$C28)</f>
        <v>0</v>
      </c>
      <c r="AJ28" s="238">
        <f>SUMIFS(Adjustments!M$5:M$684,Adjustments!$B$5:$B$684,'Apr11-Mar12 Billed-RETAIL'!$B28,Adjustments!$C$5:$C$684,'Apr11-Mar12 Billed-RETAIL'!$C28)</f>
        <v>0</v>
      </c>
      <c r="AK28" s="238">
        <f>SUMIFS(Adjustments!N$5:N$684,Adjustments!$B$5:$B$684,'Apr11-Mar12 Billed-RETAIL'!$B28,Adjustments!$C$5:$C$684,'Apr11-Mar12 Billed-RETAIL'!$C28)</f>
        <v>0</v>
      </c>
      <c r="AL28" s="238">
        <f>SUMIFS(Adjustments!O$5:O$684,Adjustments!$B$5:$B$684,'Apr11-Mar12 Billed-RETAIL'!$B28,Adjustments!$C$5:$C$684,'Apr11-Mar12 Billed-RETAIL'!$C28)</f>
        <v>0</v>
      </c>
      <c r="AM28" s="238">
        <f>SUMIFS(Adjustments!P$5:P$684,Adjustments!$B$5:$B$684,'Apr11-Mar12 Billed-RETAIL'!$B28,Adjustments!$C$5:$C$684,'Apr11-Mar12 Billed-RETAIL'!$C28)</f>
        <v>0</v>
      </c>
      <c r="AN28" s="225">
        <f t="shared" si="16"/>
        <v>1650</v>
      </c>
      <c r="AO28" s="225">
        <f t="shared" si="9"/>
        <v>0</v>
      </c>
      <c r="AP28" s="225">
        <f t="shared" si="10"/>
        <v>7589.5076399999998</v>
      </c>
      <c r="AQ28" s="225">
        <f t="shared" si="11"/>
        <v>0</v>
      </c>
      <c r="AR28" s="232">
        <f ca="1">SUMIF('SBR Jun11'!$D$4:$S$90,'Apr11-Mar12 Billed-RETAIL'!$C28,'SBR Jun11'!$N$4:$N$90)</f>
        <v>80804.87</v>
      </c>
      <c r="AS28" s="232">
        <f ca="1">SUMIF('SBR Jun11'!$D$4:$S$90,'Apr11-Mar12 Billed-RETAIL'!$C28,'SBR Jun11'!$M$4:$M$90)</f>
        <v>134.63</v>
      </c>
      <c r="AT28" s="232">
        <f ca="1">SUMIF('SBR Jun11'!$D$4:$S$90,'Apr11-Mar12 Billed-RETAIL'!$C28,'SBR Jun11'!$O$4:$O$90)</f>
        <v>0</v>
      </c>
      <c r="AU28" s="225">
        <f t="shared" si="12"/>
        <v>0</v>
      </c>
      <c r="AV28" s="225"/>
      <c r="AW28" s="232">
        <f t="shared" ca="1" si="21"/>
        <v>90179.01</v>
      </c>
      <c r="AX28" s="232">
        <f t="shared" ca="1" si="7"/>
        <v>90179.01</v>
      </c>
      <c r="AY28" s="233">
        <f t="shared" ca="1" si="22"/>
        <v>1</v>
      </c>
      <c r="AZ28" s="232">
        <f ca="1">SUMIF('SBR Jun11'!$D$4:$S$90,'Apr11-Mar12 Billed-RETAIL'!$C28,'SBR Jun11'!$M$4:$M$90)</f>
        <v>134.63</v>
      </c>
      <c r="BA28" s="232">
        <f ca="1">SUMIF('SBR Jun11'!$D$4:$S$90,'Apr11-Mar12 Billed-RETAIL'!$C28,'SBR Jun11'!$N$4:$N$90)</f>
        <v>80804.87</v>
      </c>
      <c r="BB28" s="232">
        <f ca="1">SUMIF('SBR Jun11'!$D$4:$S$90,'Apr11-Mar12 Billed-RETAIL'!$C28,'SBR Jun11'!$O$4:$O$90)</f>
        <v>0</v>
      </c>
      <c r="BC28" s="232">
        <f ca="1">SUMIF('SBR Jun11'!$D$4:$S$90,'Apr11-Mar12 Billed-RETAIL'!$C28,'SBR Jun11'!$Q$4:$Q$90)</f>
        <v>0</v>
      </c>
      <c r="BD28" s="232">
        <f ca="1">SUMIF('SBR Jun11'!$D$4:$S$90,'Apr11-Mar12 Billed-RETAIL'!$C28,'SBR Jun11'!$K$4:$K$90)</f>
        <v>1650</v>
      </c>
      <c r="BE28" s="232">
        <f ca="1">SUMIF('SBR Jun11'!$D$4:$S$90,'Apr11-Mar12 Billed-RETAIL'!$C28,'SBR Jun11'!$L$4:$L$90)</f>
        <v>7589.51</v>
      </c>
      <c r="BF28" s="232"/>
    </row>
    <row r="29" spans="1:58" ht="15" customHeight="1" x14ac:dyDescent="0.25">
      <c r="A29" s="196">
        <f t="shared" si="15"/>
        <v>24</v>
      </c>
      <c r="B29" s="211">
        <v>40695</v>
      </c>
      <c r="C29" s="211" t="str">
        <f>+'Retail Rates'!B10</f>
        <v>LGING866</v>
      </c>
      <c r="D29" s="197" t="str">
        <f t="shared" ref="D29:D39" si="25">MID(C29,6,3)</f>
        <v>866</v>
      </c>
      <c r="E29" s="197" t="str">
        <f>VLOOKUP(C29,'Retail Rates'!$B$7:$D$35,3,FALSE)</f>
        <v>AAGS-I</v>
      </c>
      <c r="F29" s="222">
        <f>SUMIFS('Data-Retail'!$G$4:$G$269,'Data-Retail'!$A$4:$A$269,'Apr11-Mar12 Billed-RETAIL'!$B29,'Data-Retail'!$D$4:$D$269,'Apr11-Mar12 Billed-RETAIL'!$C29)</f>
        <v>10</v>
      </c>
      <c r="G29" s="222"/>
      <c r="H29" s="222"/>
      <c r="I29" s="222">
        <f>SUMIFS('Data-Retail'!$H$4:$H$269,'Data-Retail'!$A$4:$A$269,'Apr11-Mar12 Billed-RETAIL'!$B29,'Data-Retail'!$D$4:$D$269,'Apr11-Mar12 Billed-RETAIL'!$C29)</f>
        <v>170961</v>
      </c>
      <c r="J29" s="222">
        <f>SUMIFS('Data-Retail'!$I$4:$I$269,'Data-Retail'!$A$4:$A$269,'Apr11-Mar12 Billed-RETAIL'!$B29,'Data-Retail'!$D$4:$D$269,'Apr11-Mar12 Billed-RETAIL'!$C29)</f>
        <v>0</v>
      </c>
      <c r="K29" s="222"/>
      <c r="L29" s="223">
        <f>VLOOKUP($C29,'Retail Rates'!$B$7:$M$35,5,FALSE)</f>
        <v>275</v>
      </c>
      <c r="M29" s="223">
        <f>VLOOKUP($C29,'Retail Rates'!$B$7:$M$35,6,FALSE)</f>
        <v>0</v>
      </c>
      <c r="N29" s="224">
        <f>VLOOKUP($C29,'Retail Rates'!$B$7:$M$35,7,FALSE)</f>
        <v>5.2519999999999997E-2</v>
      </c>
      <c r="O29" s="224">
        <f>VLOOKUP($C29,'Retail Rates'!$B$7:$M$35,8,FALSE)</f>
        <v>0</v>
      </c>
      <c r="P29" s="224">
        <f>VLOOKUP($B29,'GSC-DSM Factors'!$A$1:$B$46,2,FALSE)</f>
        <v>0.56142999999999998</v>
      </c>
      <c r="Q29" s="223">
        <f>VLOOKUP($C29,'Retail Rates'!$B$7:$M$35,9,FALSE)</f>
        <v>0</v>
      </c>
      <c r="R29" s="224">
        <f>VLOOKUP($C29,'Retail Rates'!$B$7:$M$35,10,FALSE)</f>
        <v>0</v>
      </c>
      <c r="S29" s="223">
        <f>VLOOKUP($C29,'Retail Rates'!$B$7:$M$35,11,FALSE)</f>
        <v>0</v>
      </c>
      <c r="T29" s="223"/>
      <c r="U29" s="225">
        <f t="shared" si="4"/>
        <v>2750</v>
      </c>
      <c r="V29" s="225"/>
      <c r="W29" s="225"/>
      <c r="X29" s="225">
        <f t="shared" si="24"/>
        <v>8978.8717199999992</v>
      </c>
      <c r="Y29" s="225">
        <f t="shared" si="18"/>
        <v>0</v>
      </c>
      <c r="Z29" s="225">
        <f>SUM(I29:J29)*P29</f>
        <v>95982.634229999996</v>
      </c>
      <c r="AA29" s="225"/>
      <c r="AB29" s="225"/>
      <c r="AC29" s="225"/>
      <c r="AD29" s="225"/>
      <c r="AE29" s="244">
        <f>SUMIFS(Adjustments!H$5:H$684,Adjustments!$B$5:$B$684,'Apr11-Mar12 Billed-RETAIL'!$B29,Adjustments!$C$5:$C$684,'Apr11-Mar12 Billed-RETAIL'!$C29)</f>
        <v>1</v>
      </c>
      <c r="AF29" s="244">
        <f>SUMIFS(Adjustments!I$5:I$684,Adjustments!$B$5:$B$684,'Apr11-Mar12 Billed-RETAIL'!$B29,Adjustments!$C$5:$C$684,'Apr11-Mar12 Billed-RETAIL'!$C29)</f>
        <v>0</v>
      </c>
      <c r="AG29" s="238">
        <f>SUMIFS(Adjustments!J$5:J$684,Adjustments!$B$5:$B$684,'Apr11-Mar12 Billed-RETAIL'!$B29,Adjustments!$C$5:$C$684,'Apr11-Mar12 Billed-RETAIL'!$C29)</f>
        <v>0</v>
      </c>
      <c r="AH29" s="238">
        <f>SUMIFS(Adjustments!K$5:K$684,Adjustments!$B$5:$B$684,'Apr11-Mar12 Billed-RETAIL'!$B29,Adjustments!$C$5:$C$684,'Apr11-Mar12 Billed-RETAIL'!$C29)</f>
        <v>0</v>
      </c>
      <c r="AI29" s="238">
        <f>SUMIFS(Adjustments!L$5:L$684,Adjustments!$B$5:$B$684,'Apr11-Mar12 Billed-RETAIL'!$B29,Adjustments!$C$5:$C$684,'Apr11-Mar12 Billed-RETAIL'!$C29)</f>
        <v>0</v>
      </c>
      <c r="AJ29" s="238">
        <f>SUMIFS(Adjustments!M$5:M$684,Adjustments!$B$5:$B$684,'Apr11-Mar12 Billed-RETAIL'!$B29,Adjustments!$C$5:$C$684,'Apr11-Mar12 Billed-RETAIL'!$C29)</f>
        <v>0</v>
      </c>
      <c r="AK29" s="238">
        <f>SUMIFS(Adjustments!N$5:N$684,Adjustments!$B$5:$B$684,'Apr11-Mar12 Billed-RETAIL'!$B29,Adjustments!$C$5:$C$684,'Apr11-Mar12 Billed-RETAIL'!$C29)</f>
        <v>0</v>
      </c>
      <c r="AL29" s="238">
        <f>SUMIFS(Adjustments!O$5:O$684,Adjustments!$B$5:$B$684,'Apr11-Mar12 Billed-RETAIL'!$B29,Adjustments!$C$5:$C$684,'Apr11-Mar12 Billed-RETAIL'!$C29)</f>
        <v>0</v>
      </c>
      <c r="AM29" s="238">
        <f>SUMIFS(Adjustments!P$5:P$684,Adjustments!$B$5:$B$684,'Apr11-Mar12 Billed-RETAIL'!$B29,Adjustments!$C$5:$C$684,'Apr11-Mar12 Billed-RETAIL'!$C29)</f>
        <v>0</v>
      </c>
      <c r="AN29" s="225">
        <f t="shared" si="16"/>
        <v>3025</v>
      </c>
      <c r="AO29" s="225">
        <f t="shared" ref="AO29:AO51" si="26">+W29+AH29</f>
        <v>0</v>
      </c>
      <c r="AP29" s="225">
        <f t="shared" ref="AP29:AP51" si="27">+X29+AI29</f>
        <v>8978.8717199999992</v>
      </c>
      <c r="AQ29" s="225">
        <f t="shared" ref="AQ29:AQ51" si="28">+Y29+AJ29</f>
        <v>0</v>
      </c>
      <c r="AR29" s="232">
        <f ca="1">SUMIF('SBR Jun11'!$D$4:$S$90,'Apr11-Mar12 Billed-RETAIL'!$C29,'SBR Jun11'!$N$4:$N$90)</f>
        <v>95658.47</v>
      </c>
      <c r="AS29" s="232">
        <f ca="1">SUMIF('SBR Jun11'!$D$4:$S$90,'Apr11-Mar12 Billed-RETAIL'!$C29,'SBR Jun11'!$M$4:$M$90)</f>
        <v>0</v>
      </c>
      <c r="AT29" s="232">
        <f ca="1">SUMIF('SBR Jun11'!$D$4:$S$90,'Apr11-Mar12 Billed-RETAIL'!$C29,'SBR Jun11'!$O$4:$O$90)</f>
        <v>0</v>
      </c>
      <c r="AU29" s="225">
        <f t="shared" ref="AU29:AU51" si="29">+AC29+AM29</f>
        <v>0</v>
      </c>
      <c r="AV29" s="225"/>
      <c r="AW29" s="232">
        <f t="shared" ca="1" si="21"/>
        <v>107662.34</v>
      </c>
      <c r="AX29" s="232">
        <f t="shared" ca="1" si="7"/>
        <v>107662.35</v>
      </c>
      <c r="AY29" s="233">
        <f t="shared" ref="AY29:AY39" ca="1" si="30">IF(AX29=0,0,ROUND(AX29/AW29,6))</f>
        <v>1</v>
      </c>
      <c r="AZ29" s="232">
        <f ca="1">SUMIF('SBR Jun11'!$D$4:$S$90,'Apr11-Mar12 Billed-RETAIL'!$C29,'SBR Jun11'!$M$4:$M$90)</f>
        <v>0</v>
      </c>
      <c r="BA29" s="232">
        <f ca="1">SUMIF('SBR Jun11'!$D$4:$S$90,'Apr11-Mar12 Billed-RETAIL'!$C29,'SBR Jun11'!$N$4:$N$90)</f>
        <v>95658.47</v>
      </c>
      <c r="BB29" s="232">
        <f ca="1">SUMIF('SBR Jun11'!$D$4:$S$90,'Apr11-Mar12 Billed-RETAIL'!$C29,'SBR Jun11'!$O$4:$O$90)</f>
        <v>0</v>
      </c>
      <c r="BC29" s="232">
        <f ca="1">SUMIF('SBR Jun11'!$D$4:$S$90,'Apr11-Mar12 Billed-RETAIL'!$C29,'SBR Jun11'!$Q$4:$Q$90)</f>
        <v>0</v>
      </c>
      <c r="BD29" s="232">
        <f ca="1">SUMIF('SBR Jun11'!$D$4:$S$90,'Apr11-Mar12 Billed-RETAIL'!$C29,'SBR Jun11'!$K$4:$K$90)</f>
        <v>3025</v>
      </c>
      <c r="BE29" s="232">
        <f ca="1">SUMIF('SBR Jun11'!$D$4:$S$90,'Apr11-Mar12 Billed-RETAIL'!$C29,'SBR Jun11'!$L$4:$L$90)</f>
        <v>8978.880000000001</v>
      </c>
      <c r="BF29" s="232"/>
    </row>
    <row r="30" spans="1:58" ht="15" x14ac:dyDescent="0.25">
      <c r="A30" s="196">
        <f t="shared" si="15"/>
        <v>25</v>
      </c>
      <c r="B30" s="211">
        <v>40695</v>
      </c>
      <c r="C30" s="211" t="str">
        <f>+'Retail Rates'!B13</f>
        <v>LGCMG851</v>
      </c>
      <c r="D30" s="197" t="str">
        <f t="shared" si="25"/>
        <v>851</v>
      </c>
      <c r="E30" s="197" t="str">
        <f>VLOOKUP(C30,'Retail Rates'!$B$7:$D$35,3,FALSE)</f>
        <v>CGS</v>
      </c>
      <c r="F30" s="222"/>
      <c r="G30" s="222">
        <f>SUMIFS(Adjustments!F$5:F$151,Adjustments!$B$5:$B$151,'Apr11-Mar12 Billed-RETAIL'!$B30,Adjustments!$C$5:$C$151,'Apr11-Mar12 Billed-RETAIL'!$C30)</f>
        <v>23948</v>
      </c>
      <c r="H30" s="222">
        <f>SUMIFS(Adjustments!G$5:G$151,Adjustments!$B$5:$B$151,'Apr11-Mar12 Billed-RETAIL'!$B30,Adjustments!$C$5:$C$151,'Apr11-Mar12 Billed-RETAIL'!$C30)</f>
        <v>1061</v>
      </c>
      <c r="I30" s="222">
        <f>SUMIFS('Data-Retail'!$H$4:$H$269,'Data-Retail'!$A$4:$A$269,'Apr11-Mar12 Billed-RETAIL'!$B30,'Data-Retail'!$D$4:$D$269,'Apr11-Mar12 Billed-RETAIL'!$C30)</f>
        <v>2263995</v>
      </c>
      <c r="J30" s="222">
        <f>SUMIFS('Data-Retail'!$I$4:$I$269,'Data-Retail'!$A$4:$A$269,'Apr11-Mar12 Billed-RETAIL'!$B30,'Data-Retail'!$D$4:$D$269,'Apr11-Mar12 Billed-RETAIL'!$C30)</f>
        <v>1134462</v>
      </c>
      <c r="K30" s="222"/>
      <c r="L30" s="223">
        <f>VLOOKUP($C30,'Retail Rates'!$B$7:$M$35,5,FALSE)</f>
        <v>30</v>
      </c>
      <c r="M30" s="223">
        <f>VLOOKUP($C30,'Retail Rates'!$B$7:$M$35,6,FALSE)</f>
        <v>170</v>
      </c>
      <c r="N30" s="224">
        <f>VLOOKUP($C30,'Retail Rates'!$B$7:$M$35,7,FALSE)</f>
        <v>0.18722</v>
      </c>
      <c r="O30" s="224">
        <f>VLOOKUP($C30,'Retail Rates'!$B$7:$M$35,8,FALSE)</f>
        <v>0.13722000000000001</v>
      </c>
      <c r="P30" s="224">
        <f>VLOOKUP($B30,'GSC-DSM Factors'!$A$1:$B$46,2,FALSE)</f>
        <v>0.56142999999999998</v>
      </c>
      <c r="Q30" s="223">
        <f>VLOOKUP($C30,'Retail Rates'!$B$7:$M$35,9,FALSE)</f>
        <v>0</v>
      </c>
      <c r="R30" s="224">
        <f>VLOOKUP($C30,'Retail Rates'!$B$7:$M$35,10,FALSE)</f>
        <v>0</v>
      </c>
      <c r="S30" s="223">
        <f>VLOOKUP($C30,'Retail Rates'!$B$7:$M$35,11,FALSE)</f>
        <v>0</v>
      </c>
      <c r="T30" s="223"/>
      <c r="U30" s="225">
        <f t="shared" ref="U30:U55" si="31">(+F30*L30)+(G30*L30)</f>
        <v>718440</v>
      </c>
      <c r="V30" s="225"/>
      <c r="W30" s="225">
        <f>+H30*M30</f>
        <v>180370</v>
      </c>
      <c r="X30" s="225">
        <f t="shared" si="24"/>
        <v>423865.14389999997</v>
      </c>
      <c r="Y30" s="225">
        <f t="shared" si="18"/>
        <v>155670.87564000001</v>
      </c>
      <c r="Z30" s="225">
        <f>SUM(I30:J30)*P30</f>
        <v>1907995.7135099999</v>
      </c>
      <c r="AA30" s="225"/>
      <c r="AB30" s="225"/>
      <c r="AC30" s="225"/>
      <c r="AD30" s="225"/>
      <c r="AE30" s="244">
        <f>SUMIFS(Adjustments!H$5:H$684,Adjustments!$B$5:$B$684,'Apr11-Mar12 Billed-RETAIL'!$B30,Adjustments!$C$5:$C$684,'Apr11-Mar12 Billed-RETAIL'!$C30)</f>
        <v>0</v>
      </c>
      <c r="AF30" s="244">
        <f>SUMIFS(Adjustments!I$5:I$684,Adjustments!$B$5:$B$684,'Apr11-Mar12 Billed-RETAIL'!$B30,Adjustments!$C$5:$C$684,'Apr11-Mar12 Billed-RETAIL'!$C30)</f>
        <v>0</v>
      </c>
      <c r="AG30" s="238">
        <f>SUMIFS(Adjustments!J$5:J$684,Adjustments!$B$5:$B$684,'Apr11-Mar12 Billed-RETAIL'!$B30,Adjustments!$C$5:$C$684,'Apr11-Mar12 Billed-RETAIL'!$C30)</f>
        <v>762.83</v>
      </c>
      <c r="AH30" s="238">
        <f>SUMIFS(Adjustments!K$5:K$684,Adjustments!$B$5:$B$684,'Apr11-Mar12 Billed-RETAIL'!$B30,Adjustments!$C$5:$C$684,'Apr11-Mar12 Billed-RETAIL'!$C30)</f>
        <v>-73.650000000000006</v>
      </c>
      <c r="AI30" s="238">
        <f>SUMIFS(Adjustments!L$5:L$684,Adjustments!$B$5:$B$684,'Apr11-Mar12 Billed-RETAIL'!$B30,Adjustments!$C$5:$C$684,'Apr11-Mar12 Billed-RETAIL'!$C30)</f>
        <v>23.84</v>
      </c>
      <c r="AJ30" s="238">
        <f>SUMIFS(Adjustments!M$5:M$684,Adjustments!$B$5:$B$684,'Apr11-Mar12 Billed-RETAIL'!$B30,Adjustments!$C$5:$C$684,'Apr11-Mar12 Billed-RETAIL'!$C30)</f>
        <v>0</v>
      </c>
      <c r="AK30" s="238">
        <f>SUMIFS(Adjustments!N$5:N$684,Adjustments!$B$5:$B$684,'Apr11-Mar12 Billed-RETAIL'!$B30,Adjustments!$C$5:$C$684,'Apr11-Mar12 Billed-RETAIL'!$C30)</f>
        <v>0</v>
      </c>
      <c r="AL30" s="238">
        <f>SUMIFS(Adjustments!O$5:O$684,Adjustments!$B$5:$B$684,'Apr11-Mar12 Billed-RETAIL'!$B30,Adjustments!$C$5:$C$684,'Apr11-Mar12 Billed-RETAIL'!$C30)</f>
        <v>0</v>
      </c>
      <c r="AM30" s="238">
        <f>SUMIFS(Adjustments!P$5:P$684,Adjustments!$B$5:$B$684,'Apr11-Mar12 Billed-RETAIL'!$B30,Adjustments!$C$5:$C$684,'Apr11-Mar12 Billed-RETAIL'!$C30)</f>
        <v>0</v>
      </c>
      <c r="AN30" s="225">
        <f t="shared" si="16"/>
        <v>719202.83</v>
      </c>
      <c r="AO30" s="225">
        <f t="shared" si="26"/>
        <v>180296.35</v>
      </c>
      <c r="AP30" s="225">
        <f t="shared" si="27"/>
        <v>423888.98389999999</v>
      </c>
      <c r="AQ30" s="225">
        <f t="shared" si="28"/>
        <v>155670.87564000001</v>
      </c>
      <c r="AR30" s="232">
        <f ca="1">SUMIF('SBR Jun11'!$D$4:$S$90,'Apr11-Mar12 Billed-RETAIL'!$C30,'SBR Jun11'!$N$4:$N$90)</f>
        <v>1907612.5399999998</v>
      </c>
      <c r="AS30" s="232">
        <f ca="1">SUMIF('SBR Jun11'!$D$4:$S$90,'Apr11-Mar12 Billed-RETAIL'!$C30,'SBR Jun11'!$M$4:$M$90)</f>
        <v>3253.86</v>
      </c>
      <c r="AT30" s="232">
        <f ca="1">SUMIF('SBR Jun11'!$D$4:$S$90,'Apr11-Mar12 Billed-RETAIL'!$C30,'SBR Jun11'!$O$4:$O$90)</f>
        <v>15.23</v>
      </c>
      <c r="AU30" s="225">
        <f t="shared" si="29"/>
        <v>0</v>
      </c>
      <c r="AV30" s="225"/>
      <c r="AW30" s="232">
        <f t="shared" ca="1" si="21"/>
        <v>3389940.67</v>
      </c>
      <c r="AX30" s="232">
        <f t="shared" ref="AX30:AX55" ca="1" si="32">SUM(AZ30:BF30)-BC30</f>
        <v>3389940.6699999995</v>
      </c>
      <c r="AY30" s="233">
        <f t="shared" ca="1" si="30"/>
        <v>1</v>
      </c>
      <c r="AZ30" s="232">
        <f ca="1">SUMIF('SBR Jun11'!$D$4:$S$90,'Apr11-Mar12 Billed-RETAIL'!$C30,'SBR Jun11'!$M$4:$M$90)</f>
        <v>3253.86</v>
      </c>
      <c r="BA30" s="232">
        <f ca="1">SUMIF('SBR Jun11'!$D$4:$S$90,'Apr11-Mar12 Billed-RETAIL'!$C30,'SBR Jun11'!$N$4:$N$90)</f>
        <v>1907612.5399999998</v>
      </c>
      <c r="BB30" s="232">
        <f ca="1">SUMIF('SBR Jun11'!$D$4:$S$90,'Apr11-Mar12 Billed-RETAIL'!$C30,'SBR Jun11'!$O$4:$O$90)</f>
        <v>15.23</v>
      </c>
      <c r="BC30" s="232">
        <f ca="1">SUMIF('SBR Jun11'!$D$4:$S$90,'Apr11-Mar12 Billed-RETAIL'!$C30,'SBR Jun11'!$Q$4:$Q$90)</f>
        <v>0</v>
      </c>
      <c r="BD30" s="232">
        <f ca="1">SUMIF('SBR Jun11'!$D$4:$S$90,'Apr11-Mar12 Billed-RETAIL'!$C30,'SBR Jun11'!$K$4:$K$90)</f>
        <v>899499.17999999993</v>
      </c>
      <c r="BE30" s="232">
        <f ca="1">SUMIF('SBR Jun11'!$D$4:$S$90,'Apr11-Mar12 Billed-RETAIL'!$C30,'SBR Jun11'!$L$4:$L$90)</f>
        <v>579559.86</v>
      </c>
      <c r="BF30" s="232"/>
    </row>
    <row r="31" spans="1:58" ht="15" x14ac:dyDescent="0.25">
      <c r="A31" s="196">
        <f t="shared" si="15"/>
        <v>26</v>
      </c>
      <c r="B31" s="211">
        <v>40695</v>
      </c>
      <c r="C31" s="211" t="str">
        <f>+'Retail Rates'!B14</f>
        <v>LGUMG860</v>
      </c>
      <c r="D31" s="197" t="str">
        <f t="shared" si="25"/>
        <v>860</v>
      </c>
      <c r="E31" s="197" t="str">
        <f>VLOOKUP(C31,'Retail Rates'!$B$7:$D$35,3,FALSE)</f>
        <v>CGS</v>
      </c>
      <c r="F31" s="222"/>
      <c r="G31" s="222">
        <f>SUMIFS(Adjustments!F$5:F$151,Adjustments!$B$5:$B$151,'Apr11-Mar12 Billed-RETAIL'!$B31,Adjustments!$C$5:$C$151,'Apr11-Mar12 Billed-RETAIL'!$C31)</f>
        <v>19</v>
      </c>
      <c r="H31" s="222">
        <f>SUMIFS(Adjustments!G$5:G$151,Adjustments!$B$5:$B$151,'Apr11-Mar12 Billed-RETAIL'!$B31,Adjustments!$C$5:$C$151,'Apr11-Mar12 Billed-RETAIL'!$C31)</f>
        <v>0</v>
      </c>
      <c r="I31" s="222">
        <f>SUMIFS('Data-Retail'!$H$4:$H$269,'Data-Retail'!$A$4:$A$269,'Apr11-Mar12 Billed-RETAIL'!$B31,'Data-Retail'!$D$4:$D$269,'Apr11-Mar12 Billed-RETAIL'!$C31)</f>
        <v>358</v>
      </c>
      <c r="J31" s="222">
        <f>SUMIFS('Data-Retail'!$I$4:$I$269,'Data-Retail'!$A$4:$A$269,'Apr11-Mar12 Billed-RETAIL'!$B31,'Data-Retail'!$D$4:$D$269,'Apr11-Mar12 Billed-RETAIL'!$C31)</f>
        <v>0</v>
      </c>
      <c r="K31" s="222"/>
      <c r="L31" s="223">
        <f>VLOOKUP($C31,'Retail Rates'!$B$7:$M$35,5,FALSE)</f>
        <v>30</v>
      </c>
      <c r="M31" s="223">
        <f>VLOOKUP($C31,'Retail Rates'!$B$7:$M$35,6,FALSE)</f>
        <v>170</v>
      </c>
      <c r="N31" s="224">
        <f>VLOOKUP($C31,'Retail Rates'!$B$7:$M$35,7,FALSE)</f>
        <v>0.18722</v>
      </c>
      <c r="O31" s="224">
        <f>VLOOKUP($C31,'Retail Rates'!$B$7:$M$35,8,FALSE)</f>
        <v>0.13722000000000001</v>
      </c>
      <c r="P31" s="224">
        <f>VLOOKUP($B31,'GSC-DSM Factors'!$A$1:$B$46,2,FALSE)</f>
        <v>0.56142999999999998</v>
      </c>
      <c r="Q31" s="223">
        <f>VLOOKUP($C31,'Retail Rates'!$B$7:$M$35,9,FALSE)</f>
        <v>0</v>
      </c>
      <c r="R31" s="224">
        <f>VLOOKUP($C31,'Retail Rates'!$B$7:$M$35,10,FALSE)</f>
        <v>0</v>
      </c>
      <c r="S31" s="223">
        <f>VLOOKUP($C31,'Retail Rates'!$B$7:$M$35,11,FALSE)</f>
        <v>0</v>
      </c>
      <c r="T31" s="223"/>
      <c r="U31" s="225">
        <f t="shared" si="31"/>
        <v>570</v>
      </c>
      <c r="V31" s="225"/>
      <c r="W31" s="225">
        <f>+H31*M31</f>
        <v>0</v>
      </c>
      <c r="X31" s="225">
        <f t="shared" si="24"/>
        <v>67.024760000000001</v>
      </c>
      <c r="Y31" s="225">
        <f t="shared" si="18"/>
        <v>0</v>
      </c>
      <c r="Z31" s="225">
        <f>SUM(I31:J31)*P31</f>
        <v>200.99194</v>
      </c>
      <c r="AA31" s="225"/>
      <c r="AB31" s="225"/>
      <c r="AC31" s="225"/>
      <c r="AD31" s="225"/>
      <c r="AE31" s="244">
        <f>SUMIFS(Adjustments!H$5:H$684,Adjustments!$B$5:$B$684,'Apr11-Mar12 Billed-RETAIL'!$B31,Adjustments!$C$5:$C$684,'Apr11-Mar12 Billed-RETAIL'!$C31)</f>
        <v>0</v>
      </c>
      <c r="AF31" s="244">
        <f>SUMIFS(Adjustments!I$5:I$684,Adjustments!$B$5:$B$684,'Apr11-Mar12 Billed-RETAIL'!$B31,Adjustments!$C$5:$C$684,'Apr11-Mar12 Billed-RETAIL'!$C31)</f>
        <v>0</v>
      </c>
      <c r="AG31" s="238">
        <f>SUMIFS(Adjustments!J$5:J$684,Adjustments!$B$5:$B$684,'Apr11-Mar12 Billed-RETAIL'!$B31,Adjustments!$C$5:$C$684,'Apr11-Mar12 Billed-RETAIL'!$C31)</f>
        <v>0</v>
      </c>
      <c r="AH31" s="238">
        <f>SUMIFS(Adjustments!K$5:K$684,Adjustments!$B$5:$B$684,'Apr11-Mar12 Billed-RETAIL'!$B31,Adjustments!$C$5:$C$684,'Apr11-Mar12 Billed-RETAIL'!$C31)</f>
        <v>0</v>
      </c>
      <c r="AI31" s="238">
        <f>SUMIFS(Adjustments!L$5:L$684,Adjustments!$B$5:$B$684,'Apr11-Mar12 Billed-RETAIL'!$B31,Adjustments!$C$5:$C$684,'Apr11-Mar12 Billed-RETAIL'!$C31)</f>
        <v>0</v>
      </c>
      <c r="AJ31" s="238">
        <f>SUMIFS(Adjustments!M$5:M$684,Adjustments!$B$5:$B$684,'Apr11-Mar12 Billed-RETAIL'!$B31,Adjustments!$C$5:$C$684,'Apr11-Mar12 Billed-RETAIL'!$C31)</f>
        <v>0</v>
      </c>
      <c r="AK31" s="238">
        <f>SUMIFS(Adjustments!N$5:N$684,Adjustments!$B$5:$B$684,'Apr11-Mar12 Billed-RETAIL'!$B31,Adjustments!$C$5:$C$684,'Apr11-Mar12 Billed-RETAIL'!$C31)</f>
        <v>0</v>
      </c>
      <c r="AL31" s="238">
        <f>SUMIFS(Adjustments!O$5:O$684,Adjustments!$B$5:$B$684,'Apr11-Mar12 Billed-RETAIL'!$B31,Adjustments!$C$5:$C$684,'Apr11-Mar12 Billed-RETAIL'!$C31)</f>
        <v>0</v>
      </c>
      <c r="AM31" s="238">
        <f>SUMIFS(Adjustments!P$5:P$684,Adjustments!$B$5:$B$684,'Apr11-Mar12 Billed-RETAIL'!$B31,Adjustments!$C$5:$C$684,'Apr11-Mar12 Billed-RETAIL'!$C31)</f>
        <v>0</v>
      </c>
      <c r="AN31" s="225">
        <f t="shared" si="16"/>
        <v>570</v>
      </c>
      <c r="AO31" s="225">
        <f t="shared" si="26"/>
        <v>0</v>
      </c>
      <c r="AP31" s="225">
        <f t="shared" si="27"/>
        <v>67.024760000000001</v>
      </c>
      <c r="AQ31" s="225">
        <f t="shared" si="28"/>
        <v>0</v>
      </c>
      <c r="AR31" s="232">
        <f ca="1">SUMIF('SBR Jun11'!$D$4:$S$90,'Apr11-Mar12 Billed-RETAIL'!$C31,'SBR Jun11'!$N$4:$N$90)</f>
        <v>200.98999999999998</v>
      </c>
      <c r="AS31" s="232">
        <f ca="1">SUMIF('SBR Jun11'!$D$4:$S$90,'Apr11-Mar12 Billed-RETAIL'!$C31,'SBR Jun11'!$M$4:$M$90)</f>
        <v>0.33999999999999997</v>
      </c>
      <c r="AT31" s="232">
        <f ca="1">SUMIF('SBR Jun11'!$D$4:$S$90,'Apr11-Mar12 Billed-RETAIL'!$C31,'SBR Jun11'!$O$4:$O$90)</f>
        <v>0</v>
      </c>
      <c r="AU31" s="225">
        <f t="shared" si="29"/>
        <v>0</v>
      </c>
      <c r="AV31" s="225"/>
      <c r="AW31" s="232">
        <f t="shared" ca="1" si="21"/>
        <v>838.35</v>
      </c>
      <c r="AX31" s="232">
        <f t="shared" ca="1" si="32"/>
        <v>838.34999999999991</v>
      </c>
      <c r="AY31" s="233">
        <f t="shared" ca="1" si="30"/>
        <v>1</v>
      </c>
      <c r="AZ31" s="232">
        <f ca="1">SUMIF('SBR Jun11'!$D$4:$S$90,'Apr11-Mar12 Billed-RETAIL'!$C31,'SBR Jun11'!$M$4:$M$90)</f>
        <v>0.33999999999999997</v>
      </c>
      <c r="BA31" s="232">
        <f ca="1">SUMIF('SBR Jun11'!$D$4:$S$90,'Apr11-Mar12 Billed-RETAIL'!$C31,'SBR Jun11'!$N$4:$N$90)</f>
        <v>200.98999999999998</v>
      </c>
      <c r="BB31" s="232">
        <f ca="1">SUMIF('SBR Jun11'!$D$4:$S$90,'Apr11-Mar12 Billed-RETAIL'!$C31,'SBR Jun11'!$O$4:$O$90)</f>
        <v>0</v>
      </c>
      <c r="BC31" s="232">
        <f ca="1">SUMIF('SBR Jun11'!$D$4:$S$90,'Apr11-Mar12 Billed-RETAIL'!$C31,'SBR Jun11'!$Q$4:$Q$90)</f>
        <v>0</v>
      </c>
      <c r="BD31" s="232">
        <f ca="1">SUMIF('SBR Jun11'!$D$4:$S$90,'Apr11-Mar12 Billed-RETAIL'!$C31,'SBR Jun11'!$K$4:$K$90)</f>
        <v>570</v>
      </c>
      <c r="BE31" s="232">
        <f ca="1">SUMIF('SBR Jun11'!$D$4:$S$90,'Apr11-Mar12 Billed-RETAIL'!$C31,'SBR Jun11'!$L$4:$L$90)</f>
        <v>67.02</v>
      </c>
      <c r="BF31" s="232"/>
    </row>
    <row r="32" spans="1:58" ht="15" x14ac:dyDescent="0.25">
      <c r="A32" s="196">
        <f t="shared" si="15"/>
        <v>27</v>
      </c>
      <c r="B32" s="211">
        <v>40695</v>
      </c>
      <c r="C32" s="211" t="str">
        <f>+'Retail Rates'!B15</f>
        <v>LGUMG861</v>
      </c>
      <c r="D32" s="197" t="str">
        <f t="shared" si="25"/>
        <v>861</v>
      </c>
      <c r="E32" s="197" t="str">
        <f>VLOOKUP(C32,'Retail Rates'!$B$7:$D$35,3,FALSE)</f>
        <v>CGS</v>
      </c>
      <c r="F32" s="222"/>
      <c r="G32" s="222">
        <f>SUMIFS(Adjustments!F$5:F$151,Adjustments!$B$5:$B$151,'Apr11-Mar12 Billed-RETAIL'!$B32,Adjustments!$C$5:$C$151,'Apr11-Mar12 Billed-RETAIL'!$C32)</f>
        <v>625</v>
      </c>
      <c r="H32" s="222">
        <f>SUMIFS(Adjustments!G$5:G$151,Adjustments!$B$5:$B$151,'Apr11-Mar12 Billed-RETAIL'!$B32,Adjustments!$C$5:$C$151,'Apr11-Mar12 Billed-RETAIL'!$C32)</f>
        <v>0</v>
      </c>
      <c r="I32" s="222">
        <f>SUMIFS('Data-Retail'!$H$4:$H$269,'Data-Retail'!$A$4:$A$269,'Apr11-Mar12 Billed-RETAIL'!$B32,'Data-Retail'!$D$4:$D$269,'Apr11-Mar12 Billed-RETAIL'!$C32)</f>
        <v>612</v>
      </c>
      <c r="J32" s="222">
        <f>SUMIFS('Data-Retail'!$I$4:$I$269,'Data-Retail'!$A$4:$A$269,'Apr11-Mar12 Billed-RETAIL'!$B32,'Data-Retail'!$D$4:$D$269,'Apr11-Mar12 Billed-RETAIL'!$C32)</f>
        <v>0</v>
      </c>
      <c r="K32" s="222"/>
      <c r="L32" s="223">
        <f>VLOOKUP($C32,'Retail Rates'!$B$7:$M$35,5,FALSE)</f>
        <v>30</v>
      </c>
      <c r="M32" s="223">
        <f>VLOOKUP($C32,'Retail Rates'!$B$7:$M$35,6,FALSE)</f>
        <v>170</v>
      </c>
      <c r="N32" s="224">
        <f>VLOOKUP($C32,'Retail Rates'!$B$7:$M$35,7,FALSE)</f>
        <v>0.18722</v>
      </c>
      <c r="O32" s="224">
        <f>VLOOKUP($C32,'Retail Rates'!$B$7:$M$35,8,FALSE)</f>
        <v>0.13722000000000001</v>
      </c>
      <c r="P32" s="224">
        <f>VLOOKUP($B32,'GSC-DSM Factors'!$A$1:$B$46,2,FALSE)</f>
        <v>0.56142999999999998</v>
      </c>
      <c r="Q32" s="223">
        <f>VLOOKUP($C32,'Retail Rates'!$B$7:$M$35,9,FALSE)</f>
        <v>0</v>
      </c>
      <c r="R32" s="224">
        <f>VLOOKUP($C32,'Retail Rates'!$B$7:$M$35,10,FALSE)</f>
        <v>0</v>
      </c>
      <c r="S32" s="223">
        <f>VLOOKUP($C32,'Retail Rates'!$B$7:$M$35,11,FALSE)</f>
        <v>0</v>
      </c>
      <c r="T32" s="223"/>
      <c r="U32" s="225">
        <f t="shared" si="31"/>
        <v>18750</v>
      </c>
      <c r="V32" s="225"/>
      <c r="W32" s="225">
        <f>+H32*M32</f>
        <v>0</v>
      </c>
      <c r="X32" s="225">
        <f t="shared" si="24"/>
        <v>114.57863999999999</v>
      </c>
      <c r="Y32" s="225">
        <f t="shared" si="18"/>
        <v>0</v>
      </c>
      <c r="Z32" s="225">
        <f>SUM(I32:J32)*P32</f>
        <v>343.59515999999996</v>
      </c>
      <c r="AA32" s="225"/>
      <c r="AB32" s="225"/>
      <c r="AC32" s="225"/>
      <c r="AD32" s="225"/>
      <c r="AE32" s="244">
        <f>SUMIFS(Adjustments!H$5:H$684,Adjustments!$B$5:$B$684,'Apr11-Mar12 Billed-RETAIL'!$B32,Adjustments!$C$5:$C$684,'Apr11-Mar12 Billed-RETAIL'!$C32)</f>
        <v>0</v>
      </c>
      <c r="AF32" s="244">
        <f>SUMIFS(Adjustments!I$5:I$684,Adjustments!$B$5:$B$684,'Apr11-Mar12 Billed-RETAIL'!$B32,Adjustments!$C$5:$C$684,'Apr11-Mar12 Billed-RETAIL'!$C32)</f>
        <v>0</v>
      </c>
      <c r="AG32" s="238">
        <f>SUMIFS(Adjustments!J$5:J$684,Adjustments!$B$5:$B$684,'Apr11-Mar12 Billed-RETAIL'!$B32,Adjustments!$C$5:$C$684,'Apr11-Mar12 Billed-RETAIL'!$C32)</f>
        <v>23</v>
      </c>
      <c r="AH32" s="238">
        <f>SUMIFS(Adjustments!K$5:K$684,Adjustments!$B$5:$B$684,'Apr11-Mar12 Billed-RETAIL'!$B32,Adjustments!$C$5:$C$684,'Apr11-Mar12 Billed-RETAIL'!$C32)</f>
        <v>0</v>
      </c>
      <c r="AI32" s="238">
        <f>SUMIFS(Adjustments!L$5:L$684,Adjustments!$B$5:$B$684,'Apr11-Mar12 Billed-RETAIL'!$B32,Adjustments!$C$5:$C$684,'Apr11-Mar12 Billed-RETAIL'!$C32)</f>
        <v>1.61</v>
      </c>
      <c r="AJ32" s="238">
        <f>SUMIFS(Adjustments!M$5:M$684,Adjustments!$B$5:$B$684,'Apr11-Mar12 Billed-RETAIL'!$B32,Adjustments!$C$5:$C$684,'Apr11-Mar12 Billed-RETAIL'!$C32)</f>
        <v>0</v>
      </c>
      <c r="AK32" s="238">
        <f>SUMIFS(Adjustments!N$5:N$684,Adjustments!$B$5:$B$684,'Apr11-Mar12 Billed-RETAIL'!$B32,Adjustments!$C$5:$C$684,'Apr11-Mar12 Billed-RETAIL'!$C32)</f>
        <v>0</v>
      </c>
      <c r="AL32" s="238">
        <f>SUMIFS(Adjustments!O$5:O$684,Adjustments!$B$5:$B$684,'Apr11-Mar12 Billed-RETAIL'!$B32,Adjustments!$C$5:$C$684,'Apr11-Mar12 Billed-RETAIL'!$C32)</f>
        <v>0</v>
      </c>
      <c r="AM32" s="238">
        <f>SUMIFS(Adjustments!P$5:P$684,Adjustments!$B$5:$B$684,'Apr11-Mar12 Billed-RETAIL'!$B32,Adjustments!$C$5:$C$684,'Apr11-Mar12 Billed-RETAIL'!$C32)</f>
        <v>0</v>
      </c>
      <c r="AN32" s="225">
        <f t="shared" si="16"/>
        <v>18773</v>
      </c>
      <c r="AO32" s="225">
        <f t="shared" si="26"/>
        <v>0</v>
      </c>
      <c r="AP32" s="225">
        <f t="shared" si="27"/>
        <v>116.18863999999999</v>
      </c>
      <c r="AQ32" s="225">
        <f t="shared" si="28"/>
        <v>0</v>
      </c>
      <c r="AR32" s="232">
        <f ca="1">SUMIF('SBR Jun11'!$D$4:$S$90,'Apr11-Mar12 Billed-RETAIL'!$C32,'SBR Jun11'!$N$4:$N$90)</f>
        <v>342.66</v>
      </c>
      <c r="AS32" s="232">
        <f ca="1">SUMIF('SBR Jun11'!$D$4:$S$90,'Apr11-Mar12 Billed-RETAIL'!$C32,'SBR Jun11'!$M$4:$M$90)</f>
        <v>0</v>
      </c>
      <c r="AT32" s="232">
        <f ca="1">SUMIF('SBR Jun11'!$D$4:$S$90,'Apr11-Mar12 Billed-RETAIL'!$C32,'SBR Jun11'!$O$4:$O$90)</f>
        <v>0</v>
      </c>
      <c r="AU32" s="225">
        <f t="shared" si="29"/>
        <v>0</v>
      </c>
      <c r="AV32" s="225"/>
      <c r="AW32" s="232">
        <f t="shared" ca="1" si="21"/>
        <v>19231.849999999999</v>
      </c>
      <c r="AX32" s="232">
        <f t="shared" ca="1" si="32"/>
        <v>19231.849999999999</v>
      </c>
      <c r="AY32" s="233">
        <f t="shared" ca="1" si="30"/>
        <v>1</v>
      </c>
      <c r="AZ32" s="232">
        <f ca="1">SUMIF('SBR Jun11'!$D$4:$S$90,'Apr11-Mar12 Billed-RETAIL'!$C32,'SBR Jun11'!$M$4:$M$90)</f>
        <v>0</v>
      </c>
      <c r="BA32" s="232">
        <f ca="1">SUMIF('SBR Jun11'!$D$4:$S$90,'Apr11-Mar12 Billed-RETAIL'!$C32,'SBR Jun11'!$N$4:$N$90)</f>
        <v>342.66</v>
      </c>
      <c r="BB32" s="232">
        <f ca="1">SUMIF('SBR Jun11'!$D$4:$S$90,'Apr11-Mar12 Billed-RETAIL'!$C32,'SBR Jun11'!$O$4:$O$90)</f>
        <v>0</v>
      </c>
      <c r="BC32" s="232">
        <f ca="1">SUMIF('SBR Jun11'!$D$4:$S$90,'Apr11-Mar12 Billed-RETAIL'!$C32,'SBR Jun11'!$Q$4:$Q$90)</f>
        <v>0</v>
      </c>
      <c r="BD32" s="232">
        <f ca="1">SUMIF('SBR Jun11'!$D$4:$S$90,'Apr11-Mar12 Billed-RETAIL'!$C32,'SBR Jun11'!$K$4:$K$90)</f>
        <v>18773</v>
      </c>
      <c r="BE32" s="232">
        <f ca="1">SUMIF('SBR Jun11'!$D$4:$S$90,'Apr11-Mar12 Billed-RETAIL'!$C32,'SBR Jun11'!$L$4:$L$90)</f>
        <v>116.19</v>
      </c>
      <c r="BF32" s="232"/>
    </row>
    <row r="33" spans="1:58" ht="15" customHeight="1" x14ac:dyDescent="0.25">
      <c r="A33" s="196">
        <f t="shared" si="15"/>
        <v>28</v>
      </c>
      <c r="B33" s="211">
        <v>40695</v>
      </c>
      <c r="C33" s="211" t="str">
        <f>+'Retail Rates'!B18</f>
        <v>LGCMG875</v>
      </c>
      <c r="D33" s="197" t="str">
        <f t="shared" si="25"/>
        <v>875</v>
      </c>
      <c r="E33" s="197" t="str">
        <f>VLOOKUP(C33,'Retail Rates'!$B$7:$D$35,3,FALSE)</f>
        <v>DGGS-C</v>
      </c>
      <c r="F33" s="222">
        <f>SUMIFS('Data-Retail'!$G$4:$G$269,'Data-Retail'!$A$4:$A$269,'Apr11-Mar12 Billed-RETAIL'!$B33,'Data-Retail'!$D$4:$D$269,'Apr11-Mar12 Billed-RETAIL'!$C33)</f>
        <v>0</v>
      </c>
      <c r="G33" s="222"/>
      <c r="H33" s="222"/>
      <c r="I33" s="222">
        <f>SUMIFS('Data-Retail'!$H$4:$H$269,'Data-Retail'!$A$4:$A$269,'Apr11-Mar12 Billed-RETAIL'!$B33,'Data-Retail'!$D$4:$D$269,'Apr11-Mar12 Billed-RETAIL'!$C33)</f>
        <v>0</v>
      </c>
      <c r="J33" s="222">
        <f>SUMIFS('Data-Retail'!$I$4:$I$269,'Data-Retail'!$A$4:$A$269,'Apr11-Mar12 Billed-RETAIL'!$B33,'Data-Retail'!$D$4:$D$269,'Apr11-Mar12 Billed-RETAIL'!$C33)</f>
        <v>0</v>
      </c>
      <c r="K33" s="222"/>
      <c r="L33" s="223">
        <f>VLOOKUP($C33,'Retail Rates'!$B$7:$M$35,5,FALSE)</f>
        <v>30</v>
      </c>
      <c r="M33" s="223">
        <f>VLOOKUP($C33,'Retail Rates'!$B$7:$M$35,6,FALSE)</f>
        <v>170</v>
      </c>
      <c r="N33" s="224">
        <f>VLOOKUP($C33,'Retail Rates'!$B$7:$M$35,7,FALSE)</f>
        <v>2.7439999999999999E-2</v>
      </c>
      <c r="O33" s="224">
        <f>VLOOKUP($C33,'Retail Rates'!$B$7:$M$35,8,FALSE)</f>
        <v>0</v>
      </c>
      <c r="P33" s="224">
        <f>VLOOKUP($B33,'GSC-DSM Factors'!$A$1:$B$46,2,FALSE)</f>
        <v>0.56142999999999998</v>
      </c>
      <c r="Q33" s="223">
        <f>VLOOKUP($C33,'Retail Rates'!$B$7:$M$35,9,FALSE)</f>
        <v>0</v>
      </c>
      <c r="R33" s="224">
        <f>VLOOKUP($C33,'Retail Rates'!$B$7:$M$35,10,FALSE)</f>
        <v>0</v>
      </c>
      <c r="S33" s="223">
        <f>VLOOKUP($C33,'Retail Rates'!$B$7:$M$35,11,FALSE)</f>
        <v>1.0109999999999999</v>
      </c>
      <c r="T33" s="223"/>
      <c r="U33" s="225">
        <f t="shared" si="31"/>
        <v>0</v>
      </c>
      <c r="V33" s="225"/>
      <c r="W33" s="225"/>
      <c r="X33" s="225">
        <f t="shared" si="24"/>
        <v>0</v>
      </c>
      <c r="Y33" s="225">
        <f t="shared" si="18"/>
        <v>0</v>
      </c>
      <c r="Z33" s="225">
        <f t="shared" ref="Z33:Z38" si="33">SUM(I33:J33)*P33</f>
        <v>0</v>
      </c>
      <c r="AA33" s="225"/>
      <c r="AB33" s="225"/>
      <c r="AC33" s="225"/>
      <c r="AD33" s="225"/>
      <c r="AE33" s="244">
        <f>SUMIFS(Adjustments!H$5:H$684,Adjustments!$B$5:$B$684,'Apr11-Mar12 Billed-RETAIL'!$B33,Adjustments!$C$5:$C$684,'Apr11-Mar12 Billed-RETAIL'!$C33)</f>
        <v>0</v>
      </c>
      <c r="AF33" s="244">
        <f>SUMIFS(Adjustments!I$5:I$684,Adjustments!$B$5:$B$684,'Apr11-Mar12 Billed-RETAIL'!$B33,Adjustments!$C$5:$C$684,'Apr11-Mar12 Billed-RETAIL'!$C33)</f>
        <v>0</v>
      </c>
      <c r="AG33" s="238">
        <f>SUMIFS(Adjustments!J$5:J$684,Adjustments!$B$5:$B$684,'Apr11-Mar12 Billed-RETAIL'!$B33,Adjustments!$C$5:$C$684,'Apr11-Mar12 Billed-RETAIL'!$C33)</f>
        <v>0</v>
      </c>
      <c r="AH33" s="238">
        <f>SUMIFS(Adjustments!K$5:K$684,Adjustments!$B$5:$B$684,'Apr11-Mar12 Billed-RETAIL'!$B33,Adjustments!$C$5:$C$684,'Apr11-Mar12 Billed-RETAIL'!$C33)</f>
        <v>0</v>
      </c>
      <c r="AI33" s="238">
        <f>SUMIFS(Adjustments!L$5:L$684,Adjustments!$B$5:$B$684,'Apr11-Mar12 Billed-RETAIL'!$B33,Adjustments!$C$5:$C$684,'Apr11-Mar12 Billed-RETAIL'!$C33)</f>
        <v>0</v>
      </c>
      <c r="AJ33" s="238">
        <f>SUMIFS(Adjustments!M$5:M$684,Adjustments!$B$5:$B$684,'Apr11-Mar12 Billed-RETAIL'!$B33,Adjustments!$C$5:$C$684,'Apr11-Mar12 Billed-RETAIL'!$C33)</f>
        <v>0</v>
      </c>
      <c r="AK33" s="238">
        <f>SUMIFS(Adjustments!N$5:N$684,Adjustments!$B$5:$B$684,'Apr11-Mar12 Billed-RETAIL'!$B33,Adjustments!$C$5:$C$684,'Apr11-Mar12 Billed-RETAIL'!$C33)</f>
        <v>0</v>
      </c>
      <c r="AL33" s="238">
        <f>SUMIFS(Adjustments!O$5:O$684,Adjustments!$B$5:$B$684,'Apr11-Mar12 Billed-RETAIL'!$B33,Adjustments!$C$5:$C$684,'Apr11-Mar12 Billed-RETAIL'!$C33)</f>
        <v>0</v>
      </c>
      <c r="AM33" s="238">
        <f>SUMIFS(Adjustments!P$5:P$684,Adjustments!$B$5:$B$684,'Apr11-Mar12 Billed-RETAIL'!$B33,Adjustments!$C$5:$C$684,'Apr11-Mar12 Billed-RETAIL'!$C33)</f>
        <v>0</v>
      </c>
      <c r="AN33" s="225">
        <f t="shared" si="16"/>
        <v>0</v>
      </c>
      <c r="AO33" s="225">
        <f t="shared" si="26"/>
        <v>0</v>
      </c>
      <c r="AP33" s="225">
        <f t="shared" si="27"/>
        <v>0</v>
      </c>
      <c r="AQ33" s="225">
        <f t="shared" si="28"/>
        <v>0</v>
      </c>
      <c r="AR33" s="232">
        <f ca="1">SUMIF('SBR Jun11'!$D$4:$S$90,'Apr11-Mar12 Billed-RETAIL'!$C33,'SBR Jun11'!$N$4:$N$90)</f>
        <v>0</v>
      </c>
      <c r="AS33" s="232">
        <f ca="1">SUMIF('SBR Jun11'!$D$4:$S$90,'Apr11-Mar12 Billed-RETAIL'!$C33,'SBR Jun11'!$M$4:$M$90)</f>
        <v>0</v>
      </c>
      <c r="AT33" s="232">
        <f ca="1">SUMIF('SBR Jun11'!$D$4:$S$90,'Apr11-Mar12 Billed-RETAIL'!$C33,'SBR Jun11'!$O$4:$O$90)</f>
        <v>0</v>
      </c>
      <c r="AU33" s="225">
        <f t="shared" si="29"/>
        <v>0</v>
      </c>
      <c r="AV33" s="225"/>
      <c r="AW33" s="232">
        <f t="shared" ca="1" si="21"/>
        <v>0</v>
      </c>
      <c r="AX33" s="232">
        <f t="shared" ca="1" si="32"/>
        <v>0</v>
      </c>
      <c r="AY33" s="233">
        <v>1</v>
      </c>
      <c r="AZ33" s="232">
        <f ca="1">SUMIF('SBR Jun11'!$D$4:$S$90,'Apr11-Mar12 Billed-RETAIL'!$C33,'SBR Jun11'!$M$4:$M$90)</f>
        <v>0</v>
      </c>
      <c r="BA33" s="232">
        <f ca="1">SUMIF('SBR Jun11'!$D$4:$S$90,'Apr11-Mar12 Billed-RETAIL'!$C33,'SBR Jun11'!$N$4:$N$90)</f>
        <v>0</v>
      </c>
      <c r="BB33" s="232">
        <f ca="1">SUMIF('SBR Jun11'!$D$4:$S$90,'Apr11-Mar12 Billed-RETAIL'!$C33,'SBR Jun11'!$O$4:$O$90)</f>
        <v>0</v>
      </c>
      <c r="BC33" s="232">
        <f ca="1">SUMIF('SBR Jun11'!$D$4:$S$90,'Apr11-Mar12 Billed-RETAIL'!$C33,'SBR Jun11'!$Q$4:$Q$90)</f>
        <v>0</v>
      </c>
      <c r="BD33" s="232">
        <f ca="1">SUMIF('SBR Jun11'!$D$4:$S$90,'Apr11-Mar12 Billed-RETAIL'!$C33,'SBR Jun11'!$K$4:$K$90)</f>
        <v>0</v>
      </c>
      <c r="BE33" s="232">
        <f ca="1">SUMIF('SBR Jun11'!$D$4:$S$90,'Apr11-Mar12 Billed-RETAIL'!$C33,'SBR Jun11'!$L$4:$L$90)</f>
        <v>0</v>
      </c>
      <c r="BF33" s="232"/>
    </row>
    <row r="34" spans="1:58" ht="15" customHeight="1" x14ac:dyDescent="0.25">
      <c r="A34" s="196">
        <f t="shared" si="15"/>
        <v>29</v>
      </c>
      <c r="B34" s="211">
        <v>40695</v>
      </c>
      <c r="C34" s="211" t="str">
        <f>+'Retail Rates'!B23</f>
        <v>LGING855</v>
      </c>
      <c r="D34" s="197" t="str">
        <f t="shared" si="25"/>
        <v>855</v>
      </c>
      <c r="E34" s="197" t="str">
        <f>VLOOKUP(C34,'Retail Rates'!$B$7:$D$35,3,FALSE)</f>
        <v>IGS</v>
      </c>
      <c r="F34" s="222"/>
      <c r="G34" s="222">
        <f>SUMIFS(Adjustments!F$5:F$151,Adjustments!$B$5:$B$151,'Apr11-Mar12 Billed-RETAIL'!$B34,Adjustments!$C$5:$C$151,'Apr11-Mar12 Billed-RETAIL'!$C34)</f>
        <v>109</v>
      </c>
      <c r="H34" s="222">
        <f>SUMIFS(Adjustments!G$5:G$151,Adjustments!$B$5:$B$151,'Apr11-Mar12 Billed-RETAIL'!$B34,Adjustments!$C$5:$C$151,'Apr11-Mar12 Billed-RETAIL'!$C34)</f>
        <v>102</v>
      </c>
      <c r="I34" s="222">
        <f>SUMIFS('Data-Retail'!$H$4:$H$269,'Data-Retail'!$A$4:$A$269,'Apr11-Mar12 Billed-RETAIL'!$B34,'Data-Retail'!$D$4:$D$269,'Apr11-Mar12 Billed-RETAIL'!$C34)</f>
        <v>73608</v>
      </c>
      <c r="J34" s="222">
        <f>SUMIFS('Data-Retail'!$I$4:$I$269,'Data-Retail'!$A$4:$A$269,'Apr11-Mar12 Billed-RETAIL'!$B34,'Data-Retail'!$D$4:$D$269,'Apr11-Mar12 Billed-RETAIL'!$C34)</f>
        <v>453940</v>
      </c>
      <c r="K34" s="222"/>
      <c r="L34" s="223">
        <f>VLOOKUP($C34,'Retail Rates'!$B$7:$M$35,5,FALSE)</f>
        <v>30</v>
      </c>
      <c r="M34" s="223">
        <f>VLOOKUP($C34,'Retail Rates'!$B$7:$M$35,6,FALSE)</f>
        <v>170</v>
      </c>
      <c r="N34" s="224">
        <f>VLOOKUP($C34,'Retail Rates'!$B$7:$M$35,7,FALSE)</f>
        <v>0.19022</v>
      </c>
      <c r="O34" s="224">
        <f>VLOOKUP($C34,'Retail Rates'!$B$7:$M$35,8,FALSE)</f>
        <v>0.14022000000000001</v>
      </c>
      <c r="P34" s="224">
        <f>VLOOKUP($B34,'GSC-DSM Factors'!$A$1:$B$46,2,FALSE)</f>
        <v>0.56142999999999998</v>
      </c>
      <c r="Q34" s="223">
        <f>VLOOKUP($C34,'Retail Rates'!$B$7:$M$35,9,FALSE)</f>
        <v>0</v>
      </c>
      <c r="R34" s="224">
        <f>VLOOKUP($C34,'Retail Rates'!$B$7:$M$35,10,FALSE)</f>
        <v>0</v>
      </c>
      <c r="S34" s="223">
        <f>VLOOKUP($C34,'Retail Rates'!$B$7:$M$35,11,FALSE)</f>
        <v>0</v>
      </c>
      <c r="T34" s="223"/>
      <c r="U34" s="225">
        <f t="shared" si="31"/>
        <v>3270</v>
      </c>
      <c r="V34" s="225"/>
      <c r="W34" s="225">
        <f>+H34*M34</f>
        <v>17340</v>
      </c>
      <c r="X34" s="225">
        <f>+I34*N34</f>
        <v>14001.713760000001</v>
      </c>
      <c r="Y34" s="225">
        <f t="shared" si="18"/>
        <v>63651.466800000002</v>
      </c>
      <c r="Z34" s="225">
        <f t="shared" si="33"/>
        <v>296181.27363999997</v>
      </c>
      <c r="AA34" s="225"/>
      <c r="AB34" s="225"/>
      <c r="AC34" s="225"/>
      <c r="AD34" s="225"/>
      <c r="AE34" s="244">
        <f>SUMIFS(Adjustments!H$5:H$684,Adjustments!$B$5:$B$684,'Apr11-Mar12 Billed-RETAIL'!$B34,Adjustments!$C$5:$C$684,'Apr11-Mar12 Billed-RETAIL'!$C34)</f>
        <v>0</v>
      </c>
      <c r="AF34" s="244">
        <f>SUMIFS(Adjustments!I$5:I$684,Adjustments!$B$5:$B$684,'Apr11-Mar12 Billed-RETAIL'!$B34,Adjustments!$C$5:$C$684,'Apr11-Mar12 Billed-RETAIL'!$C34)</f>
        <v>0</v>
      </c>
      <c r="AG34" s="238">
        <f>SUMIFS(Adjustments!J$5:J$684,Adjustments!$B$5:$B$684,'Apr11-Mar12 Billed-RETAIL'!$B34,Adjustments!$C$5:$C$684,'Apr11-Mar12 Billed-RETAIL'!$C34)</f>
        <v>0</v>
      </c>
      <c r="AH34" s="238">
        <f>SUMIFS(Adjustments!K$5:K$684,Adjustments!$B$5:$B$684,'Apr11-Mar12 Billed-RETAIL'!$B34,Adjustments!$C$5:$C$684,'Apr11-Mar12 Billed-RETAIL'!$C34)</f>
        <v>0</v>
      </c>
      <c r="AI34" s="238">
        <f>SUMIFS(Adjustments!L$5:L$684,Adjustments!$B$5:$B$684,'Apr11-Mar12 Billed-RETAIL'!$B34,Adjustments!$C$5:$C$684,'Apr11-Mar12 Billed-RETAIL'!$C34)</f>
        <v>0</v>
      </c>
      <c r="AJ34" s="238">
        <f>SUMIFS(Adjustments!M$5:M$684,Adjustments!$B$5:$B$684,'Apr11-Mar12 Billed-RETAIL'!$B34,Adjustments!$C$5:$C$684,'Apr11-Mar12 Billed-RETAIL'!$C34)</f>
        <v>0</v>
      </c>
      <c r="AK34" s="238">
        <f>SUMIFS(Adjustments!N$5:N$684,Adjustments!$B$5:$B$684,'Apr11-Mar12 Billed-RETAIL'!$B34,Adjustments!$C$5:$C$684,'Apr11-Mar12 Billed-RETAIL'!$C34)</f>
        <v>0</v>
      </c>
      <c r="AL34" s="238">
        <f>SUMIFS(Adjustments!O$5:O$684,Adjustments!$B$5:$B$684,'Apr11-Mar12 Billed-RETAIL'!$B34,Adjustments!$C$5:$C$684,'Apr11-Mar12 Billed-RETAIL'!$C34)</f>
        <v>0</v>
      </c>
      <c r="AM34" s="238">
        <f>SUMIFS(Adjustments!P$5:P$684,Adjustments!$B$5:$B$684,'Apr11-Mar12 Billed-RETAIL'!$B34,Adjustments!$C$5:$C$684,'Apr11-Mar12 Billed-RETAIL'!$C34)</f>
        <v>0</v>
      </c>
      <c r="AN34" s="225">
        <f t="shared" ref="AN34:AN56" si="34">+U34+AG34+(AE34*L34)</f>
        <v>3270</v>
      </c>
      <c r="AO34" s="225">
        <f t="shared" si="26"/>
        <v>17340</v>
      </c>
      <c r="AP34" s="225">
        <f t="shared" si="27"/>
        <v>14001.713760000001</v>
      </c>
      <c r="AQ34" s="225">
        <f t="shared" si="28"/>
        <v>63651.466800000002</v>
      </c>
      <c r="AR34" s="232">
        <f ca="1">SUMIF('SBR Jun11'!$D$4:$S$90,'Apr11-Mar12 Billed-RETAIL'!$C34,'SBR Jun11'!$N$4:$N$90)</f>
        <v>295874.08</v>
      </c>
      <c r="AS34" s="232">
        <f ca="1">SUMIF('SBR Jun11'!$D$4:$S$90,'Apr11-Mar12 Billed-RETAIL'!$C34,'SBR Jun11'!$M$4:$M$90)</f>
        <v>0</v>
      </c>
      <c r="AT34" s="232">
        <f ca="1">SUMIF('SBR Jun11'!$D$4:$S$90,'Apr11-Mar12 Billed-RETAIL'!$C34,'SBR Jun11'!$O$4:$O$90)</f>
        <v>0</v>
      </c>
      <c r="AU34" s="225">
        <f t="shared" si="29"/>
        <v>0</v>
      </c>
      <c r="AV34" s="225"/>
      <c r="AW34" s="232">
        <f t="shared" ca="1" si="21"/>
        <v>394137.26</v>
      </c>
      <c r="AX34" s="232">
        <f t="shared" ca="1" si="32"/>
        <v>394137.24</v>
      </c>
      <c r="AY34" s="233">
        <f t="shared" ca="1" si="30"/>
        <v>1</v>
      </c>
      <c r="AZ34" s="232">
        <f ca="1">SUMIF('SBR Jun11'!$D$4:$S$90,'Apr11-Mar12 Billed-RETAIL'!$C34,'SBR Jun11'!$M$4:$M$90)</f>
        <v>0</v>
      </c>
      <c r="BA34" s="232">
        <f ca="1">SUMIF('SBR Jun11'!$D$4:$S$90,'Apr11-Mar12 Billed-RETAIL'!$C34,'SBR Jun11'!$N$4:$N$90)</f>
        <v>295874.08</v>
      </c>
      <c r="BB34" s="232">
        <f ca="1">SUMIF('SBR Jun11'!$D$4:$S$90,'Apr11-Mar12 Billed-RETAIL'!$C34,'SBR Jun11'!$O$4:$O$90)</f>
        <v>0</v>
      </c>
      <c r="BC34" s="232">
        <f ca="1">SUMIF('SBR Jun11'!$D$4:$S$90,'Apr11-Mar12 Billed-RETAIL'!$C34,'SBR Jun11'!$Q$4:$Q$90)</f>
        <v>0</v>
      </c>
      <c r="BD34" s="232">
        <f ca="1">SUMIF('SBR Jun11'!$D$4:$S$90,'Apr11-Mar12 Billed-RETAIL'!$C34,'SBR Jun11'!$K$4:$K$90)</f>
        <v>20610</v>
      </c>
      <c r="BE34" s="232">
        <f ca="1">SUMIF('SBR Jun11'!$D$4:$S$90,'Apr11-Mar12 Billed-RETAIL'!$C34,'SBR Jun11'!$L$4:$L$90)</f>
        <v>77653.159999999989</v>
      </c>
      <c r="BF34" s="232"/>
    </row>
    <row r="35" spans="1:58" ht="15" customHeight="1" x14ac:dyDescent="0.25">
      <c r="A35" s="196">
        <f t="shared" si="15"/>
        <v>30</v>
      </c>
      <c r="B35" s="211">
        <v>40695</v>
      </c>
      <c r="C35" s="211" t="str">
        <f>+'Retail Rates'!B26</f>
        <v>LGRSG811</v>
      </c>
      <c r="D35" s="197" t="str">
        <f t="shared" si="25"/>
        <v>811</v>
      </c>
      <c r="E35" s="197" t="str">
        <f>VLOOKUP(C35,'Retail Rates'!$B$7:$D$35,3,FALSE)</f>
        <v>RGS</v>
      </c>
      <c r="F35" s="222">
        <f>SUMIFS('Data-Retail'!$G$4:$G$269,'Data-Retail'!$A$4:$A$269,'Apr11-Mar12 Billed-RETAIL'!$B35,'Data-Retail'!$D$4:$D$269,'Apr11-Mar12 Billed-RETAIL'!$C35)</f>
        <v>292049</v>
      </c>
      <c r="G35" s="222"/>
      <c r="H35" s="222"/>
      <c r="I35" s="222">
        <f>SUMIFS('Data-Retail'!$H$4:$H$269,'Data-Retail'!$A$4:$A$269,'Apr11-Mar12 Billed-RETAIL'!$B35,'Data-Retail'!$D$4:$D$269,'Apr11-Mar12 Billed-RETAIL'!$C35)</f>
        <v>5432621</v>
      </c>
      <c r="J35" s="222">
        <f>SUMIFS('Data-Retail'!$I$4:$I$269,'Data-Retail'!$A$4:$A$269,'Apr11-Mar12 Billed-RETAIL'!$B35,'Data-Retail'!$D$4:$D$269,'Apr11-Mar12 Billed-RETAIL'!$C35)</f>
        <v>0</v>
      </c>
      <c r="K35" s="222"/>
      <c r="L35" s="223">
        <f>VLOOKUP($C35,'Retail Rates'!$B$7:$M$35,5,FALSE)</f>
        <v>12.5</v>
      </c>
      <c r="M35" s="223">
        <f>VLOOKUP($C35,'Retail Rates'!$B$7:$M$35,6,FALSE)</f>
        <v>0</v>
      </c>
      <c r="N35" s="224">
        <f>VLOOKUP($C35,'Retail Rates'!$B$7:$M$35,7,FALSE)</f>
        <v>0.22395999999999999</v>
      </c>
      <c r="O35" s="224">
        <f>VLOOKUP($C35,'Retail Rates'!$B$7:$M$35,8,FALSE)</f>
        <v>0</v>
      </c>
      <c r="P35" s="224">
        <f>VLOOKUP($B35,'GSC-DSM Factors'!$A$1:$B$46,2,FALSE)</f>
        <v>0.56142999999999998</v>
      </c>
      <c r="Q35" s="223">
        <f>VLOOKUP($C35,'Retail Rates'!$B$7:$M$35,9,FALSE)</f>
        <v>0</v>
      </c>
      <c r="R35" s="224">
        <f>VLOOKUP($C35,'Retail Rates'!$B$7:$M$35,10,FALSE)</f>
        <v>0</v>
      </c>
      <c r="S35" s="223">
        <f>VLOOKUP($C35,'Retail Rates'!$B$7:$M$35,11,FALSE)</f>
        <v>0</v>
      </c>
      <c r="T35" s="223"/>
      <c r="U35" s="225">
        <f t="shared" si="31"/>
        <v>3650612.5</v>
      </c>
      <c r="V35" s="225"/>
      <c r="W35" s="225"/>
      <c r="X35" s="225">
        <f>+I35*N35</f>
        <v>1216689.7991599999</v>
      </c>
      <c r="Y35" s="225">
        <f t="shared" ref="Y35:Y60" si="35">+J35*O35</f>
        <v>0</v>
      </c>
      <c r="Z35" s="225">
        <f t="shared" si="33"/>
        <v>3050036.40803</v>
      </c>
      <c r="AA35" s="225"/>
      <c r="AB35" s="225"/>
      <c r="AC35" s="225"/>
      <c r="AD35" s="225"/>
      <c r="AE35" s="244">
        <f>SUMIFS(Adjustments!H$5:H$684,Adjustments!$B$5:$B$684,'Apr11-Mar12 Billed-RETAIL'!$B35,Adjustments!$C$5:$C$684,'Apr11-Mar12 Billed-RETAIL'!$C35)</f>
        <v>-875</v>
      </c>
      <c r="AF35" s="244">
        <f>SUMIFS(Adjustments!I$5:I$684,Adjustments!$B$5:$B$684,'Apr11-Mar12 Billed-RETAIL'!$B35,Adjustments!$C$5:$C$684,'Apr11-Mar12 Billed-RETAIL'!$C35)</f>
        <v>0</v>
      </c>
      <c r="AG35" s="238">
        <f>SUMIFS(Adjustments!J$5:J$684,Adjustments!$B$5:$B$684,'Apr11-Mar12 Billed-RETAIL'!$B35,Adjustments!$C$5:$C$684,'Apr11-Mar12 Billed-RETAIL'!$C35)</f>
        <v>15.059999999999999</v>
      </c>
      <c r="AH35" s="238">
        <f>SUMIFS(Adjustments!K$5:K$684,Adjustments!$B$5:$B$684,'Apr11-Mar12 Billed-RETAIL'!$B35,Adjustments!$C$5:$C$684,'Apr11-Mar12 Billed-RETAIL'!$C35)</f>
        <v>0</v>
      </c>
      <c r="AI35" s="238">
        <f>SUMIFS(Adjustments!L$5:L$684,Adjustments!$B$5:$B$684,'Apr11-Mar12 Billed-RETAIL'!$B35,Adjustments!$C$5:$C$684,'Apr11-Mar12 Billed-RETAIL'!$C35)</f>
        <v>70.489999999999995</v>
      </c>
      <c r="AJ35" s="238">
        <f>SUMIFS(Adjustments!M$5:M$684,Adjustments!$B$5:$B$684,'Apr11-Mar12 Billed-RETAIL'!$B35,Adjustments!$C$5:$C$684,'Apr11-Mar12 Billed-RETAIL'!$C35)</f>
        <v>0</v>
      </c>
      <c r="AK35" s="238">
        <f>SUMIFS(Adjustments!N$5:N$684,Adjustments!$B$5:$B$684,'Apr11-Mar12 Billed-RETAIL'!$B35,Adjustments!$C$5:$C$684,'Apr11-Mar12 Billed-RETAIL'!$C35)</f>
        <v>0</v>
      </c>
      <c r="AL35" s="238">
        <f>SUMIFS(Adjustments!O$5:O$684,Adjustments!$B$5:$B$684,'Apr11-Mar12 Billed-RETAIL'!$B35,Adjustments!$C$5:$C$684,'Apr11-Mar12 Billed-RETAIL'!$C35)</f>
        <v>0</v>
      </c>
      <c r="AM35" s="238">
        <f>SUMIFS(Adjustments!P$5:P$684,Adjustments!$B$5:$B$684,'Apr11-Mar12 Billed-RETAIL'!$B35,Adjustments!$C$5:$C$684,'Apr11-Mar12 Billed-RETAIL'!$C35)</f>
        <v>0</v>
      </c>
      <c r="AN35" s="225">
        <f t="shared" si="34"/>
        <v>3639690.06</v>
      </c>
      <c r="AO35" s="225">
        <f t="shared" si="26"/>
        <v>0</v>
      </c>
      <c r="AP35" s="225">
        <f t="shared" si="27"/>
        <v>1216760.2891599999</v>
      </c>
      <c r="AQ35" s="225">
        <f t="shared" si="28"/>
        <v>0</v>
      </c>
      <c r="AR35" s="232">
        <f ca="1">SUMIF('SBR Jun11'!$D$4:$S$90,'Apr11-Mar12 Billed-RETAIL'!$C35,'SBR Jun11'!$N$4:$N$90)</f>
        <v>3050652</v>
      </c>
      <c r="AS35" s="232">
        <f ca="1">SUMIF('SBR Jun11'!$D$4:$S$90,'Apr11-Mar12 Billed-RETAIL'!$C35,'SBR Jun11'!$M$4:$M$90)</f>
        <v>102612.65</v>
      </c>
      <c r="AT35" s="232">
        <f ca="1">SUMIF('SBR Jun11'!$D$4:$S$90,'Apr11-Mar12 Billed-RETAIL'!$C35,'SBR Jun11'!$O$4:$O$90)</f>
        <v>-1028.25</v>
      </c>
      <c r="AU35" s="225">
        <f t="shared" si="29"/>
        <v>0</v>
      </c>
      <c r="AV35" s="225"/>
      <c r="AW35" s="232">
        <f t="shared" ca="1" si="21"/>
        <v>8008686.75</v>
      </c>
      <c r="AX35" s="232">
        <f t="shared" ca="1" si="32"/>
        <v>8008686.75</v>
      </c>
      <c r="AY35" s="233">
        <f t="shared" ca="1" si="30"/>
        <v>1</v>
      </c>
      <c r="AZ35" s="232">
        <f ca="1">SUMIF('SBR Jun11'!$D$4:$S$90,'Apr11-Mar12 Billed-RETAIL'!$C35,'SBR Jun11'!$M$4:$M$90)</f>
        <v>102612.65</v>
      </c>
      <c r="BA35" s="232">
        <f ca="1">SUMIF('SBR Jun11'!$D$4:$S$90,'Apr11-Mar12 Billed-RETAIL'!$C35,'SBR Jun11'!$N$4:$N$90)</f>
        <v>3050652</v>
      </c>
      <c r="BB35" s="232">
        <f ca="1">SUMIF('SBR Jun11'!$D$4:$S$90,'Apr11-Mar12 Billed-RETAIL'!$C35,'SBR Jun11'!$O$4:$O$90)</f>
        <v>-1028.25</v>
      </c>
      <c r="BC35" s="232">
        <f ca="1">SUMIF('SBR Jun11'!$D$4:$S$90,'Apr11-Mar12 Billed-RETAIL'!$C35,'SBR Jun11'!$Q$4:$Q$90)</f>
        <v>44186.549999999996</v>
      </c>
      <c r="BD35" s="232">
        <f ca="1">SUMIF('SBR Jun11'!$D$4:$S$90,'Apr11-Mar12 Billed-RETAIL'!$C35,'SBR Jun11'!$K$4:$K$90)</f>
        <v>3639690.06</v>
      </c>
      <c r="BE35" s="232">
        <f ca="1">SUMIF('SBR Jun11'!$D$4:$S$90,'Apr11-Mar12 Billed-RETAIL'!$C35,'SBR Jun11'!$L$4:$L$90)</f>
        <v>1216760.29</v>
      </c>
      <c r="BF35" s="232"/>
    </row>
    <row r="36" spans="1:58" ht="15" customHeight="1" x14ac:dyDescent="0.25">
      <c r="A36" s="196">
        <f t="shared" si="15"/>
        <v>31</v>
      </c>
      <c r="B36" s="211">
        <v>40695</v>
      </c>
      <c r="C36" s="211" t="str">
        <f>+'Retail Rates'!B27</f>
        <v>LGRSG811S1</v>
      </c>
      <c r="D36" s="197" t="str">
        <f t="shared" si="25"/>
        <v>811</v>
      </c>
      <c r="E36" s="197" t="str">
        <f>VLOOKUP(C36,'Retail Rates'!$B$7:$D$35,3,FALSE)</f>
        <v>RGS</v>
      </c>
      <c r="F36" s="222">
        <f>SUMIFS('Data-Retail'!$G$4:$G$269,'Data-Retail'!$A$4:$A$269,'Apr11-Mar12 Billed-RETAIL'!$B36,'Data-Retail'!$D$4:$D$269,'Apr11-Mar12 Billed-RETAIL'!$C36)</f>
        <v>1</v>
      </c>
      <c r="G36" s="222"/>
      <c r="H36" s="222"/>
      <c r="I36" s="222">
        <f>SUMIFS('Data-Retail'!$H$4:$H$269,'Data-Retail'!$A$4:$A$269,'Apr11-Mar12 Billed-RETAIL'!$B36,'Data-Retail'!$D$4:$D$269,'Apr11-Mar12 Billed-RETAIL'!$C36)</f>
        <v>178</v>
      </c>
      <c r="J36" s="222">
        <f>SUMIFS('Data-Retail'!$I$4:$I$269,'Data-Retail'!$A$4:$A$269,'Apr11-Mar12 Billed-RETAIL'!$B36,'Data-Retail'!$D$4:$D$269,'Apr11-Mar12 Billed-RETAIL'!$C36)</f>
        <v>0</v>
      </c>
      <c r="K36" s="222"/>
      <c r="L36" s="223">
        <f>VLOOKUP($C36,'Retail Rates'!$B$7:$M$35,5,FALSE)</f>
        <v>12.5</v>
      </c>
      <c r="M36" s="223">
        <f>VLOOKUP($C36,'Retail Rates'!$B$7:$M$35,6,FALSE)</f>
        <v>0</v>
      </c>
      <c r="N36" s="224">
        <f>VLOOKUP($C36,'Retail Rates'!$B$7:$M$35,7,FALSE)</f>
        <v>0.22395999999999999</v>
      </c>
      <c r="O36" s="224">
        <f>VLOOKUP($C36,'Retail Rates'!$B$7:$M$35,8,FALSE)</f>
        <v>0</v>
      </c>
      <c r="P36" s="224">
        <f>VLOOKUP($B36,'GSC-DSM Factors'!$A$1:$B$46,2,FALSE)</f>
        <v>0.56142999999999998</v>
      </c>
      <c r="Q36" s="223">
        <f>VLOOKUP($C36,'Retail Rates'!$B$7:$M$35,9,FALSE)</f>
        <v>0</v>
      </c>
      <c r="R36" s="224">
        <f>VLOOKUP($C36,'Retail Rates'!$B$7:$M$35,10,FALSE)</f>
        <v>0</v>
      </c>
      <c r="S36" s="223">
        <f>VLOOKUP($C36,'Retail Rates'!$B$7:$M$35,11,FALSE)</f>
        <v>0</v>
      </c>
      <c r="T36" s="223"/>
      <c r="U36" s="225">
        <f t="shared" si="31"/>
        <v>12.5</v>
      </c>
      <c r="V36" s="225"/>
      <c r="W36" s="225"/>
      <c r="X36" s="225">
        <f>+I36*N36</f>
        <v>39.864879999999999</v>
      </c>
      <c r="Y36" s="225">
        <f t="shared" si="35"/>
        <v>0</v>
      </c>
      <c r="Z36" s="225">
        <f t="shared" si="33"/>
        <v>99.934539999999998</v>
      </c>
      <c r="AA36" s="225"/>
      <c r="AB36" s="225"/>
      <c r="AC36" s="225"/>
      <c r="AD36" s="225"/>
      <c r="AE36" s="244">
        <f>SUMIFS(Adjustments!H$5:H$684,Adjustments!$B$5:$B$684,'Apr11-Mar12 Billed-RETAIL'!$B36,Adjustments!$C$5:$C$684,'Apr11-Mar12 Billed-RETAIL'!$C36)</f>
        <v>0</v>
      </c>
      <c r="AF36" s="244">
        <f>SUMIFS(Adjustments!I$5:I$684,Adjustments!$B$5:$B$684,'Apr11-Mar12 Billed-RETAIL'!$B36,Adjustments!$C$5:$C$684,'Apr11-Mar12 Billed-RETAIL'!$C36)</f>
        <v>0</v>
      </c>
      <c r="AG36" s="238">
        <f>SUMIFS(Adjustments!J$5:J$684,Adjustments!$B$5:$B$684,'Apr11-Mar12 Billed-RETAIL'!$B36,Adjustments!$C$5:$C$684,'Apr11-Mar12 Billed-RETAIL'!$C36)</f>
        <v>-12</v>
      </c>
      <c r="AH36" s="238">
        <f>SUMIFS(Adjustments!K$5:K$684,Adjustments!$B$5:$B$684,'Apr11-Mar12 Billed-RETAIL'!$B36,Adjustments!$C$5:$C$684,'Apr11-Mar12 Billed-RETAIL'!$C36)</f>
        <v>0</v>
      </c>
      <c r="AI36" s="238">
        <f>SUMIFS(Adjustments!L$5:L$684,Adjustments!$B$5:$B$684,'Apr11-Mar12 Billed-RETAIL'!$B36,Adjustments!$C$5:$C$684,'Apr11-Mar12 Billed-RETAIL'!$C36)</f>
        <v>-47.89</v>
      </c>
      <c r="AJ36" s="238">
        <f>SUMIFS(Adjustments!M$5:M$684,Adjustments!$B$5:$B$684,'Apr11-Mar12 Billed-RETAIL'!$B36,Adjustments!$C$5:$C$684,'Apr11-Mar12 Billed-RETAIL'!$C36)</f>
        <v>0</v>
      </c>
      <c r="AK36" s="238">
        <f>SUMIFS(Adjustments!N$5:N$684,Adjustments!$B$5:$B$684,'Apr11-Mar12 Billed-RETAIL'!$B36,Adjustments!$C$5:$C$684,'Apr11-Mar12 Billed-RETAIL'!$C36)</f>
        <v>0</v>
      </c>
      <c r="AL36" s="238">
        <f>SUMIFS(Adjustments!O$5:O$684,Adjustments!$B$5:$B$684,'Apr11-Mar12 Billed-RETAIL'!$B36,Adjustments!$C$5:$C$684,'Apr11-Mar12 Billed-RETAIL'!$C36)</f>
        <v>0</v>
      </c>
      <c r="AM36" s="238">
        <f>SUMIFS(Adjustments!P$5:P$684,Adjustments!$B$5:$B$684,'Apr11-Mar12 Billed-RETAIL'!$B36,Adjustments!$C$5:$C$684,'Apr11-Mar12 Billed-RETAIL'!$C36)</f>
        <v>0</v>
      </c>
      <c r="AN36" s="225">
        <f t="shared" si="34"/>
        <v>0.5</v>
      </c>
      <c r="AO36" s="225">
        <f t="shared" si="26"/>
        <v>0</v>
      </c>
      <c r="AP36" s="225">
        <f t="shared" si="27"/>
        <v>-8.0251200000000011</v>
      </c>
      <c r="AQ36" s="225">
        <f t="shared" si="28"/>
        <v>0</v>
      </c>
      <c r="AR36" s="232">
        <f ca="1">SUMIF('SBR Jun11'!$D$4:$S$90,'Apr11-Mar12 Billed-RETAIL'!$C36,'SBR Jun11'!$N$4:$N$90)</f>
        <v>99.93</v>
      </c>
      <c r="AS36" s="232">
        <f ca="1">SUMIF('SBR Jun11'!$D$4:$S$90,'Apr11-Mar12 Billed-RETAIL'!$C36,'SBR Jun11'!$M$4:$M$90)</f>
        <v>0</v>
      </c>
      <c r="AT36" s="232">
        <f ca="1">SUMIF('SBR Jun11'!$D$4:$S$90,'Apr11-Mar12 Billed-RETAIL'!$C36,'SBR Jun11'!$O$4:$O$90)</f>
        <v>0</v>
      </c>
      <c r="AU36" s="225">
        <f t="shared" si="29"/>
        <v>0</v>
      </c>
      <c r="AV36" s="225"/>
      <c r="AW36" s="232">
        <f t="shared" ca="1" si="21"/>
        <v>92.4</v>
      </c>
      <c r="AX36" s="232">
        <f t="shared" ca="1" si="32"/>
        <v>92.4</v>
      </c>
      <c r="AY36" s="233">
        <f t="shared" ca="1" si="30"/>
        <v>1</v>
      </c>
      <c r="AZ36" s="232">
        <f ca="1">SUMIF('SBR Jun11'!$D$4:$S$90,'Apr11-Mar12 Billed-RETAIL'!$C36,'SBR Jun11'!$M$4:$M$90)</f>
        <v>0</v>
      </c>
      <c r="BA36" s="232">
        <f ca="1">SUMIF('SBR Jun11'!$D$4:$S$90,'Apr11-Mar12 Billed-RETAIL'!$C36,'SBR Jun11'!$N$4:$N$90)</f>
        <v>99.93</v>
      </c>
      <c r="BB36" s="232">
        <f ca="1">SUMIF('SBR Jun11'!$D$4:$S$90,'Apr11-Mar12 Billed-RETAIL'!$C36,'SBR Jun11'!$O$4:$O$90)</f>
        <v>0</v>
      </c>
      <c r="BC36" s="232">
        <f ca="1">SUMIF('SBR Jun11'!$D$4:$S$90,'Apr11-Mar12 Billed-RETAIL'!$C36,'SBR Jun11'!$Q$4:$Q$90)</f>
        <v>0</v>
      </c>
      <c r="BD36" s="232">
        <f ca="1">SUMIF('SBR Jun11'!$D$4:$S$90,'Apr11-Mar12 Billed-RETAIL'!$C36,'SBR Jun11'!$K$4:$K$90)</f>
        <v>0.5</v>
      </c>
      <c r="BE36" s="232">
        <f ca="1">SUMIF('SBR Jun11'!$D$4:$S$90,'Apr11-Mar12 Billed-RETAIL'!$C36,'SBR Jun11'!$L$4:$L$90)</f>
        <v>-8.0299999999999994</v>
      </c>
      <c r="BF36" s="232"/>
    </row>
    <row r="37" spans="1:58" ht="15" customHeight="1" x14ac:dyDescent="0.25">
      <c r="A37" s="196">
        <f t="shared" si="15"/>
        <v>32</v>
      </c>
      <c r="B37" s="211">
        <v>40695</v>
      </c>
      <c r="C37" s="211" t="str">
        <f>+'Retail Rates'!B28</f>
        <v>LGRSG840</v>
      </c>
      <c r="D37" s="197" t="str">
        <f t="shared" si="25"/>
        <v>840</v>
      </c>
      <c r="E37" s="197" t="str">
        <f>VLOOKUP(C37,'Retail Rates'!$B$7:$D$35,3,FALSE)</f>
        <v>RGS</v>
      </c>
      <c r="F37" s="222">
        <f>SUMIFS('Data-Retail'!$G$4:$G$269,'Data-Retail'!$A$4:$A$269,'Apr11-Mar12 Billed-RETAIL'!$B37,'Data-Retail'!$D$4:$D$269,'Apr11-Mar12 Billed-RETAIL'!$C37)</f>
        <v>4</v>
      </c>
      <c r="G37" s="222"/>
      <c r="H37" s="222"/>
      <c r="I37" s="222">
        <f>SUMIFS('Data-Retail'!$H$4:$H$269,'Data-Retail'!$A$4:$A$269,'Apr11-Mar12 Billed-RETAIL'!$B37,'Data-Retail'!$D$4:$D$269,'Apr11-Mar12 Billed-RETAIL'!$C37)</f>
        <v>335</v>
      </c>
      <c r="J37" s="222">
        <f>SUMIFS('Data-Retail'!$I$4:$I$269,'Data-Retail'!$A$4:$A$269,'Apr11-Mar12 Billed-RETAIL'!$B37,'Data-Retail'!$D$4:$D$269,'Apr11-Mar12 Billed-RETAIL'!$C37)</f>
        <v>0</v>
      </c>
      <c r="K37" s="222"/>
      <c r="L37" s="223">
        <f>VLOOKUP($C37,'Retail Rates'!$B$7:$M$35,5,FALSE)</f>
        <v>12.5</v>
      </c>
      <c r="M37" s="223">
        <f>VLOOKUP($C37,'Retail Rates'!$B$7:$M$35,6,FALSE)</f>
        <v>0</v>
      </c>
      <c r="N37" s="224">
        <f>VLOOKUP($C37,'Retail Rates'!$B$7:$M$35,7,FALSE)</f>
        <v>0.22395999999999999</v>
      </c>
      <c r="O37" s="224">
        <f>VLOOKUP($C37,'Retail Rates'!$B$7:$M$35,8,FALSE)</f>
        <v>0</v>
      </c>
      <c r="P37" s="224">
        <f>VLOOKUP($B37,'GSC-DSM Factors'!$A$1:$B$46,2,FALSE)</f>
        <v>0.56142999999999998</v>
      </c>
      <c r="Q37" s="223">
        <f>VLOOKUP($C37,'Retail Rates'!$B$7:$M$35,9,FALSE)</f>
        <v>0</v>
      </c>
      <c r="R37" s="224">
        <f>VLOOKUP($C37,'Retail Rates'!$B$7:$M$35,10,FALSE)</f>
        <v>0</v>
      </c>
      <c r="S37" s="223">
        <f>VLOOKUP($C37,'Retail Rates'!$B$7:$M$35,11,FALSE)</f>
        <v>0</v>
      </c>
      <c r="T37" s="223"/>
      <c r="U37" s="225">
        <f t="shared" si="31"/>
        <v>50</v>
      </c>
      <c r="V37" s="225"/>
      <c r="W37" s="225"/>
      <c r="X37" s="225">
        <f>+I37*N37</f>
        <v>75.026600000000002</v>
      </c>
      <c r="Y37" s="225">
        <f t="shared" si="35"/>
        <v>0</v>
      </c>
      <c r="Z37" s="225">
        <f t="shared" si="33"/>
        <v>188.07905</v>
      </c>
      <c r="AA37" s="225"/>
      <c r="AB37" s="225"/>
      <c r="AC37" s="225"/>
      <c r="AD37" s="225"/>
      <c r="AE37" s="244">
        <f>SUMIFS(Adjustments!H$5:H$684,Adjustments!$B$5:$B$684,'Apr11-Mar12 Billed-RETAIL'!$B37,Adjustments!$C$5:$C$684,'Apr11-Mar12 Billed-RETAIL'!$C37)</f>
        <v>0</v>
      </c>
      <c r="AF37" s="244">
        <f>SUMIFS(Adjustments!I$5:I$684,Adjustments!$B$5:$B$684,'Apr11-Mar12 Billed-RETAIL'!$B37,Adjustments!$C$5:$C$684,'Apr11-Mar12 Billed-RETAIL'!$C37)</f>
        <v>0</v>
      </c>
      <c r="AG37" s="238">
        <f>SUMIFS(Adjustments!J$5:J$684,Adjustments!$B$5:$B$684,'Apr11-Mar12 Billed-RETAIL'!$B37,Adjustments!$C$5:$C$684,'Apr11-Mar12 Billed-RETAIL'!$C37)</f>
        <v>0</v>
      </c>
      <c r="AH37" s="238">
        <f>SUMIFS(Adjustments!K$5:K$684,Adjustments!$B$5:$B$684,'Apr11-Mar12 Billed-RETAIL'!$B37,Adjustments!$C$5:$C$684,'Apr11-Mar12 Billed-RETAIL'!$C37)</f>
        <v>0</v>
      </c>
      <c r="AI37" s="238">
        <f>SUMIFS(Adjustments!L$5:L$684,Adjustments!$B$5:$B$684,'Apr11-Mar12 Billed-RETAIL'!$B37,Adjustments!$C$5:$C$684,'Apr11-Mar12 Billed-RETAIL'!$C37)</f>
        <v>-0.01</v>
      </c>
      <c r="AJ37" s="238">
        <f>SUMIFS(Adjustments!M$5:M$684,Adjustments!$B$5:$B$684,'Apr11-Mar12 Billed-RETAIL'!$B37,Adjustments!$C$5:$C$684,'Apr11-Mar12 Billed-RETAIL'!$C37)</f>
        <v>0</v>
      </c>
      <c r="AK37" s="238">
        <f>SUMIFS(Adjustments!N$5:N$684,Adjustments!$B$5:$B$684,'Apr11-Mar12 Billed-RETAIL'!$B37,Adjustments!$C$5:$C$684,'Apr11-Mar12 Billed-RETAIL'!$C37)</f>
        <v>0</v>
      </c>
      <c r="AL37" s="238">
        <f>SUMIFS(Adjustments!O$5:O$684,Adjustments!$B$5:$B$684,'Apr11-Mar12 Billed-RETAIL'!$B37,Adjustments!$C$5:$C$684,'Apr11-Mar12 Billed-RETAIL'!$C37)</f>
        <v>0</v>
      </c>
      <c r="AM37" s="238">
        <f>SUMIFS(Adjustments!P$5:P$684,Adjustments!$B$5:$B$684,'Apr11-Mar12 Billed-RETAIL'!$B37,Adjustments!$C$5:$C$684,'Apr11-Mar12 Billed-RETAIL'!$C37)</f>
        <v>0</v>
      </c>
      <c r="AN37" s="225">
        <f t="shared" si="34"/>
        <v>50</v>
      </c>
      <c r="AO37" s="225">
        <f t="shared" si="26"/>
        <v>0</v>
      </c>
      <c r="AP37" s="225">
        <f t="shared" si="27"/>
        <v>75.016599999999997</v>
      </c>
      <c r="AQ37" s="225">
        <f t="shared" si="28"/>
        <v>0</v>
      </c>
      <c r="AR37" s="232">
        <f ca="1">SUMIF('SBR Jun11'!$D$4:$S$90,'Apr11-Mar12 Billed-RETAIL'!$C37,'SBR Jun11'!$N$4:$N$90)</f>
        <v>188.07999999999998</v>
      </c>
      <c r="AS37" s="232">
        <f ca="1">SUMIF('SBR Jun11'!$D$4:$S$90,'Apr11-Mar12 Billed-RETAIL'!$C37,'SBR Jun11'!$M$4:$M$90)</f>
        <v>6.32</v>
      </c>
      <c r="AT37" s="232">
        <f ca="1">SUMIF('SBR Jun11'!$D$4:$S$90,'Apr11-Mar12 Billed-RETAIL'!$C37,'SBR Jun11'!$O$4:$O$90)</f>
        <v>0</v>
      </c>
      <c r="AU37" s="225">
        <f t="shared" si="29"/>
        <v>0</v>
      </c>
      <c r="AV37" s="225"/>
      <c r="AW37" s="232">
        <f t="shared" ca="1" si="21"/>
        <v>319.42</v>
      </c>
      <c r="AX37" s="232">
        <f t="shared" ca="1" si="32"/>
        <v>319.41999999999996</v>
      </c>
      <c r="AY37" s="233">
        <f t="shared" ca="1" si="30"/>
        <v>1</v>
      </c>
      <c r="AZ37" s="232">
        <f ca="1">SUMIF('SBR Jun11'!$D$4:$S$90,'Apr11-Mar12 Billed-RETAIL'!$C37,'SBR Jun11'!$M$4:$M$90)</f>
        <v>6.32</v>
      </c>
      <c r="BA37" s="232">
        <f ca="1">SUMIF('SBR Jun11'!$D$4:$S$90,'Apr11-Mar12 Billed-RETAIL'!$C37,'SBR Jun11'!$N$4:$N$90)</f>
        <v>188.07999999999998</v>
      </c>
      <c r="BB37" s="232">
        <f ca="1">SUMIF('SBR Jun11'!$D$4:$S$90,'Apr11-Mar12 Billed-RETAIL'!$C37,'SBR Jun11'!$O$4:$O$90)</f>
        <v>0</v>
      </c>
      <c r="BC37" s="232">
        <f ca="1">SUMIF('SBR Jun11'!$D$4:$S$90,'Apr11-Mar12 Billed-RETAIL'!$C37,'SBR Jun11'!$Q$4:$Q$90)</f>
        <v>0</v>
      </c>
      <c r="BD37" s="232">
        <f ca="1">SUMIF('SBR Jun11'!$D$4:$S$90,'Apr11-Mar12 Billed-RETAIL'!$C37,'SBR Jun11'!$K$4:$K$90)</f>
        <v>50</v>
      </c>
      <c r="BE37" s="232">
        <f ca="1">SUMIF('SBR Jun11'!$D$4:$S$90,'Apr11-Mar12 Billed-RETAIL'!$C37,'SBR Jun11'!$L$4:$L$90)</f>
        <v>75.02</v>
      </c>
      <c r="BF37" s="232"/>
    </row>
    <row r="38" spans="1:58" ht="15" customHeight="1" x14ac:dyDescent="0.25">
      <c r="A38" s="196">
        <f t="shared" si="15"/>
        <v>33</v>
      </c>
      <c r="B38" s="211">
        <v>40695</v>
      </c>
      <c r="C38" s="211" t="str">
        <f>+'Retail Rates'!B29</f>
        <v>LGUMG830</v>
      </c>
      <c r="D38" s="197" t="str">
        <f t="shared" si="25"/>
        <v>830</v>
      </c>
      <c r="E38" s="197" t="str">
        <f>VLOOKUP(C38,'Retail Rates'!$B$7:$D$35,3,FALSE)</f>
        <v>RGS</v>
      </c>
      <c r="F38" s="222">
        <f>SUMIFS('Data-Retail'!$G$4:$G$269,'Data-Retail'!$A$4:$A$269,'Apr11-Mar12 Billed-RETAIL'!$B38,'Data-Retail'!$D$4:$D$269,'Apr11-Mar12 Billed-RETAIL'!$C38)</f>
        <v>1</v>
      </c>
      <c r="G38" s="222"/>
      <c r="H38" s="222"/>
      <c r="I38" s="222">
        <f>SUMIFS('Data-Retail'!$H$4:$H$269,'Data-Retail'!$A$4:$A$269,'Apr11-Mar12 Billed-RETAIL'!$B38,'Data-Retail'!$D$4:$D$269,'Apr11-Mar12 Billed-RETAIL'!$C38)</f>
        <v>32</v>
      </c>
      <c r="J38" s="222">
        <f>SUMIFS('Data-Retail'!$I$4:$I$269,'Data-Retail'!$A$4:$A$269,'Apr11-Mar12 Billed-RETAIL'!$B38,'Data-Retail'!$D$4:$D$269,'Apr11-Mar12 Billed-RETAIL'!$C38)</f>
        <v>0</v>
      </c>
      <c r="K38" s="222"/>
      <c r="L38" s="223">
        <f>VLOOKUP($C38,'Retail Rates'!$B$7:$M$35,5,FALSE)</f>
        <v>12.5</v>
      </c>
      <c r="M38" s="223">
        <f>VLOOKUP($C38,'Retail Rates'!$B$7:$M$35,6,FALSE)</f>
        <v>0</v>
      </c>
      <c r="N38" s="224">
        <f>VLOOKUP($C38,'Retail Rates'!$B$7:$M$35,7,FALSE)</f>
        <v>0.22395999999999999</v>
      </c>
      <c r="O38" s="224">
        <f>VLOOKUP($C38,'Retail Rates'!$B$7:$M$35,8,FALSE)</f>
        <v>0</v>
      </c>
      <c r="P38" s="224">
        <f>VLOOKUP($B38,'GSC-DSM Factors'!$A$1:$B$46,2,FALSE)</f>
        <v>0.56142999999999998</v>
      </c>
      <c r="Q38" s="223">
        <f>VLOOKUP($C38,'Retail Rates'!$B$7:$M$35,9,FALSE)</f>
        <v>0</v>
      </c>
      <c r="R38" s="224">
        <f>VLOOKUP($C38,'Retail Rates'!$B$7:$M$35,10,FALSE)</f>
        <v>0</v>
      </c>
      <c r="S38" s="223">
        <f>VLOOKUP($C38,'Retail Rates'!$B$7:$M$35,11,FALSE)</f>
        <v>0</v>
      </c>
      <c r="T38" s="223"/>
      <c r="U38" s="225">
        <f t="shared" si="31"/>
        <v>12.5</v>
      </c>
      <c r="V38" s="225"/>
      <c r="W38" s="225"/>
      <c r="X38" s="225">
        <f>+I38*N38</f>
        <v>7.1667199999999998</v>
      </c>
      <c r="Y38" s="225">
        <f t="shared" si="35"/>
        <v>0</v>
      </c>
      <c r="Z38" s="225">
        <f t="shared" si="33"/>
        <v>17.96576</v>
      </c>
      <c r="AA38" s="225"/>
      <c r="AB38" s="225"/>
      <c r="AC38" s="225"/>
      <c r="AD38" s="225"/>
      <c r="AE38" s="244">
        <f>SUMIFS(Adjustments!H$5:H$684,Adjustments!$B$5:$B$684,'Apr11-Mar12 Billed-RETAIL'!$B38,Adjustments!$C$5:$C$684,'Apr11-Mar12 Billed-RETAIL'!$C38)</f>
        <v>1</v>
      </c>
      <c r="AF38" s="244">
        <f>SUMIFS(Adjustments!I$5:I$684,Adjustments!$B$5:$B$684,'Apr11-Mar12 Billed-RETAIL'!$B38,Adjustments!$C$5:$C$684,'Apr11-Mar12 Billed-RETAIL'!$C38)</f>
        <v>0</v>
      </c>
      <c r="AG38" s="238">
        <f>SUMIFS(Adjustments!J$5:J$684,Adjustments!$B$5:$B$684,'Apr11-Mar12 Billed-RETAIL'!$B38,Adjustments!$C$5:$C$684,'Apr11-Mar12 Billed-RETAIL'!$C38)</f>
        <v>0</v>
      </c>
      <c r="AH38" s="238">
        <f>SUMIFS(Adjustments!K$5:K$684,Adjustments!$B$5:$B$684,'Apr11-Mar12 Billed-RETAIL'!$B38,Adjustments!$C$5:$C$684,'Apr11-Mar12 Billed-RETAIL'!$C38)</f>
        <v>0</v>
      </c>
      <c r="AI38" s="238">
        <f>SUMIFS(Adjustments!L$5:L$684,Adjustments!$B$5:$B$684,'Apr11-Mar12 Billed-RETAIL'!$B38,Adjustments!$C$5:$C$684,'Apr11-Mar12 Billed-RETAIL'!$C38)</f>
        <v>0</v>
      </c>
      <c r="AJ38" s="238">
        <f>SUMIFS(Adjustments!M$5:M$684,Adjustments!$B$5:$B$684,'Apr11-Mar12 Billed-RETAIL'!$B38,Adjustments!$C$5:$C$684,'Apr11-Mar12 Billed-RETAIL'!$C38)</f>
        <v>0</v>
      </c>
      <c r="AK38" s="238">
        <f>SUMIFS(Adjustments!N$5:N$684,Adjustments!$B$5:$B$684,'Apr11-Mar12 Billed-RETAIL'!$B38,Adjustments!$C$5:$C$684,'Apr11-Mar12 Billed-RETAIL'!$C38)</f>
        <v>0</v>
      </c>
      <c r="AL38" s="238">
        <f>SUMIFS(Adjustments!O$5:O$684,Adjustments!$B$5:$B$684,'Apr11-Mar12 Billed-RETAIL'!$B38,Adjustments!$C$5:$C$684,'Apr11-Mar12 Billed-RETAIL'!$C38)</f>
        <v>0</v>
      </c>
      <c r="AM38" s="238">
        <f>SUMIFS(Adjustments!P$5:P$684,Adjustments!$B$5:$B$684,'Apr11-Mar12 Billed-RETAIL'!$B38,Adjustments!$C$5:$C$684,'Apr11-Mar12 Billed-RETAIL'!$C38)</f>
        <v>0</v>
      </c>
      <c r="AN38" s="225">
        <f t="shared" si="34"/>
        <v>25</v>
      </c>
      <c r="AO38" s="225">
        <f t="shared" si="26"/>
        <v>0</v>
      </c>
      <c r="AP38" s="225">
        <f t="shared" si="27"/>
        <v>7.1667199999999998</v>
      </c>
      <c r="AQ38" s="225">
        <f t="shared" si="28"/>
        <v>0</v>
      </c>
      <c r="AR38" s="232">
        <f ca="1">SUMIF('SBR Jun11'!$D$4:$S$90,'Apr11-Mar12 Billed-RETAIL'!$C38,'SBR Jun11'!$N$4:$N$90)</f>
        <v>17.97</v>
      </c>
      <c r="AS38" s="232">
        <f ca="1">SUMIF('SBR Jun11'!$D$4:$S$90,'Apr11-Mar12 Billed-RETAIL'!$C38,'SBR Jun11'!$M$4:$M$90)</f>
        <v>0.6</v>
      </c>
      <c r="AT38" s="232">
        <f ca="1">SUMIF('SBR Jun11'!$D$4:$S$90,'Apr11-Mar12 Billed-RETAIL'!$C38,'SBR Jun11'!$O$4:$O$90)</f>
        <v>0</v>
      </c>
      <c r="AU38" s="225">
        <f t="shared" si="29"/>
        <v>0</v>
      </c>
      <c r="AV38" s="225"/>
      <c r="AW38" s="232">
        <f t="shared" ca="1" si="21"/>
        <v>50.74</v>
      </c>
      <c r="AX38" s="232">
        <f t="shared" ca="1" si="32"/>
        <v>50.74</v>
      </c>
      <c r="AY38" s="233">
        <f t="shared" ca="1" si="30"/>
        <v>1</v>
      </c>
      <c r="AZ38" s="232">
        <f ca="1">SUMIF('SBR Jun11'!$D$4:$S$90,'Apr11-Mar12 Billed-RETAIL'!$C38,'SBR Jun11'!$M$4:$M$90)</f>
        <v>0.6</v>
      </c>
      <c r="BA38" s="232">
        <f ca="1">SUMIF('SBR Jun11'!$D$4:$S$90,'Apr11-Mar12 Billed-RETAIL'!$C38,'SBR Jun11'!$N$4:$N$90)</f>
        <v>17.97</v>
      </c>
      <c r="BB38" s="232">
        <f ca="1">SUMIF('SBR Jun11'!$D$4:$S$90,'Apr11-Mar12 Billed-RETAIL'!$C38,'SBR Jun11'!$O$4:$O$90)</f>
        <v>0</v>
      </c>
      <c r="BC38" s="232">
        <f ca="1">SUMIF('SBR Jun11'!$D$4:$S$90,'Apr11-Mar12 Billed-RETAIL'!$C38,'SBR Jun11'!$Q$4:$Q$90)</f>
        <v>0</v>
      </c>
      <c r="BD38" s="232">
        <f ca="1">SUMIF('SBR Jun11'!$D$4:$S$90,'Apr11-Mar12 Billed-RETAIL'!$C38,'SBR Jun11'!$K$4:$K$90)</f>
        <v>25</v>
      </c>
      <c r="BE38" s="232">
        <f ca="1">SUMIF('SBR Jun11'!$D$4:$S$90,'Apr11-Mar12 Billed-RETAIL'!$C38,'SBR Jun11'!$L$4:$L$90)</f>
        <v>7.17</v>
      </c>
      <c r="BF38" s="232"/>
    </row>
    <row r="39" spans="1:58" ht="15" customHeight="1" x14ac:dyDescent="0.25">
      <c r="A39" s="196">
        <f t="shared" si="15"/>
        <v>34</v>
      </c>
      <c r="B39" s="211">
        <v>40725</v>
      </c>
      <c r="C39" s="211" t="str">
        <f>+'Retail Rates'!B7</f>
        <v>LGCMG865</v>
      </c>
      <c r="D39" s="197" t="str">
        <f t="shared" si="25"/>
        <v>865</v>
      </c>
      <c r="E39" s="197" t="str">
        <f>VLOOKUP(C39,'Retail Rates'!$B$7:$D$35,3,FALSE)</f>
        <v>AAGS-C</v>
      </c>
      <c r="F39" s="222">
        <f>SUMIFS('Data-Retail'!$G$4:$G$269,'Data-Retail'!$A$4:$A$269,'Apr11-Mar12 Billed-RETAIL'!$B39,'Data-Retail'!$D$4:$D$269,'Apr11-Mar12 Billed-RETAIL'!$C39)</f>
        <v>4</v>
      </c>
      <c r="G39" s="222"/>
      <c r="H39" s="222"/>
      <c r="I39" s="222">
        <f>SUMIFS('Data-Retail'!$H$4:$H$269,'Data-Retail'!$A$4:$A$269,'Apr11-Mar12 Billed-RETAIL'!$B39,'Data-Retail'!$D$4:$D$269,'Apr11-Mar12 Billed-RETAIL'!$C39)</f>
        <v>60214</v>
      </c>
      <c r="J39" s="222">
        <f>SUMIFS('Data-Retail'!$I$4:$I$269,'Data-Retail'!$A$4:$A$269,'Apr11-Mar12 Billed-RETAIL'!$B39,'Data-Retail'!$D$4:$D$269,'Apr11-Mar12 Billed-RETAIL'!$C39)</f>
        <v>0</v>
      </c>
      <c r="K39" s="222"/>
      <c r="L39" s="223">
        <f>VLOOKUP($C39,'Retail Rates'!$B$7:$M$35,5,FALSE)</f>
        <v>275</v>
      </c>
      <c r="M39" s="223">
        <f>VLOOKUP($C39,'Retail Rates'!$B$7:$M$35,6,FALSE)</f>
        <v>0</v>
      </c>
      <c r="N39" s="224">
        <f>VLOOKUP($C39,'Retail Rates'!$B$7:$M$35,7,FALSE)</f>
        <v>5.2519999999999997E-2</v>
      </c>
      <c r="O39" s="224">
        <f>VLOOKUP($C39,'Retail Rates'!$B$7:$M$35,8,FALSE)</f>
        <v>0</v>
      </c>
      <c r="P39" s="224">
        <f>VLOOKUP($B39,'GSC-DSM Factors'!$A$1:$B$46,2,FALSE)</f>
        <v>0.56142999999999998</v>
      </c>
      <c r="Q39" s="223">
        <f>VLOOKUP($C39,'Retail Rates'!$B$7:$M$35,9,FALSE)</f>
        <v>0</v>
      </c>
      <c r="R39" s="224">
        <f>VLOOKUP($C39,'Retail Rates'!$B$7:$M$35,10,FALSE)</f>
        <v>0</v>
      </c>
      <c r="S39" s="223">
        <f>VLOOKUP($C39,'Retail Rates'!$B$7:$M$35,11,FALSE)</f>
        <v>0</v>
      </c>
      <c r="T39" s="223"/>
      <c r="U39" s="225">
        <f t="shared" si="31"/>
        <v>1100</v>
      </c>
      <c r="V39" s="225"/>
      <c r="W39" s="225"/>
      <c r="X39" s="225">
        <f t="shared" ref="X39:X44" si="36">+I39*N39</f>
        <v>3162.4392800000001</v>
      </c>
      <c r="Y39" s="225">
        <f t="shared" si="35"/>
        <v>0</v>
      </c>
      <c r="Z39" s="225">
        <f>SUM(I39:J39)*P39</f>
        <v>33805.946019999996</v>
      </c>
      <c r="AA39" s="225"/>
      <c r="AB39" s="225"/>
      <c r="AC39" s="225"/>
      <c r="AD39" s="225"/>
      <c r="AE39" s="244">
        <f>SUMIFS(Adjustments!H$5:H$684,Adjustments!$B$5:$B$684,'Apr11-Mar12 Billed-RETAIL'!$B39,Adjustments!$C$5:$C$684,'Apr11-Mar12 Billed-RETAIL'!$C39)</f>
        <v>0</v>
      </c>
      <c r="AF39" s="244">
        <f>SUMIFS(Adjustments!I$5:I$684,Adjustments!$B$5:$B$684,'Apr11-Mar12 Billed-RETAIL'!$B39,Adjustments!$C$5:$C$684,'Apr11-Mar12 Billed-RETAIL'!$C39)</f>
        <v>0</v>
      </c>
      <c r="AG39" s="238">
        <f>SUMIFS(Adjustments!J$5:J$684,Adjustments!$B$5:$B$684,'Apr11-Mar12 Billed-RETAIL'!$B39,Adjustments!$C$5:$C$684,'Apr11-Mar12 Billed-RETAIL'!$C39)</f>
        <v>0</v>
      </c>
      <c r="AH39" s="238">
        <f>SUMIFS(Adjustments!K$5:K$684,Adjustments!$B$5:$B$684,'Apr11-Mar12 Billed-RETAIL'!$B39,Adjustments!$C$5:$C$684,'Apr11-Mar12 Billed-RETAIL'!$C39)</f>
        <v>0</v>
      </c>
      <c r="AI39" s="238">
        <f>SUMIFS(Adjustments!L$5:L$684,Adjustments!$B$5:$B$684,'Apr11-Mar12 Billed-RETAIL'!$B39,Adjustments!$C$5:$C$684,'Apr11-Mar12 Billed-RETAIL'!$C39)</f>
        <v>0</v>
      </c>
      <c r="AJ39" s="238">
        <f>SUMIFS(Adjustments!M$5:M$684,Adjustments!$B$5:$B$684,'Apr11-Mar12 Billed-RETAIL'!$B39,Adjustments!$C$5:$C$684,'Apr11-Mar12 Billed-RETAIL'!$C39)</f>
        <v>0</v>
      </c>
      <c r="AK39" s="238">
        <f>SUMIFS(Adjustments!N$5:N$684,Adjustments!$B$5:$B$684,'Apr11-Mar12 Billed-RETAIL'!$B39,Adjustments!$C$5:$C$684,'Apr11-Mar12 Billed-RETAIL'!$C39)</f>
        <v>0</v>
      </c>
      <c r="AL39" s="238">
        <f>SUMIFS(Adjustments!O$5:O$684,Adjustments!$B$5:$B$684,'Apr11-Mar12 Billed-RETAIL'!$B39,Adjustments!$C$5:$C$684,'Apr11-Mar12 Billed-RETAIL'!$C39)</f>
        <v>0</v>
      </c>
      <c r="AM39" s="238">
        <f>SUMIFS(Adjustments!P$5:P$684,Adjustments!$B$5:$B$684,'Apr11-Mar12 Billed-RETAIL'!$B39,Adjustments!$C$5:$C$684,'Apr11-Mar12 Billed-RETAIL'!$C39)</f>
        <v>0</v>
      </c>
      <c r="AN39" s="225">
        <f t="shared" si="34"/>
        <v>1100</v>
      </c>
      <c r="AO39" s="225">
        <f t="shared" si="26"/>
        <v>0</v>
      </c>
      <c r="AP39" s="225">
        <f t="shared" si="27"/>
        <v>3162.4392800000001</v>
      </c>
      <c r="AQ39" s="225">
        <f t="shared" si="28"/>
        <v>0</v>
      </c>
      <c r="AR39" s="232">
        <f ca="1">SUMIF('SBR Jul11'!$D$4:$S$90,'Apr11-Mar12 Billed-RETAIL'!$C39,'SBR Jul11'!$N$4:$N$90)</f>
        <v>33805.94</v>
      </c>
      <c r="AS39" s="232">
        <f ca="1">SUMIF('SBR Jul11'!$D$4:$S$90,'Apr11-Mar12 Billed-RETAIL'!$C39,'SBR Jul11'!$M$4:$M$90)</f>
        <v>57.81</v>
      </c>
      <c r="AT39" s="232">
        <f ca="1">SUMIF('SBR Jul11'!$D$4:$S$90,'Apr11-Mar12 Billed-RETAIL'!$C39,'SBR Jul11'!$O$4:$O$90)</f>
        <v>0</v>
      </c>
      <c r="AU39" s="225">
        <f t="shared" si="29"/>
        <v>0</v>
      </c>
      <c r="AV39" s="225"/>
      <c r="AW39" s="232">
        <f t="shared" ca="1" si="21"/>
        <v>38126.19</v>
      </c>
      <c r="AX39" s="232">
        <f t="shared" ca="1" si="32"/>
        <v>38126.19</v>
      </c>
      <c r="AY39" s="233">
        <f t="shared" ca="1" si="30"/>
        <v>1</v>
      </c>
      <c r="AZ39" s="232">
        <f ca="1">SUMIF('SBR Jul11'!$D$4:$S$90,'Apr11-Mar12 Billed-RETAIL'!$C39,'SBR Jul11'!$M$4:$M$90)</f>
        <v>57.81</v>
      </c>
      <c r="BA39" s="232">
        <f ca="1">SUMIF('SBR Jul11'!$D$4:$S$90,'Apr11-Mar12 Billed-RETAIL'!$C39,'SBR Jul11'!$N$4:$N$90)</f>
        <v>33805.94</v>
      </c>
      <c r="BB39" s="232">
        <f ca="1">SUMIF('SBR Jul11'!$D$4:$S$90,'Apr11-Mar12 Billed-RETAIL'!$C39,'SBR Jul11'!$O$4:$O$90)</f>
        <v>0</v>
      </c>
      <c r="BC39" s="232">
        <f ca="1">SUMIF('SBR Jul11'!$D$4:$S$90,'Apr11-Mar12 Billed-RETAIL'!$C39,'SBR Jul11'!$Q$4:$Q$90)</f>
        <v>0</v>
      </c>
      <c r="BD39" s="232">
        <f ca="1">SUMIF('SBR Jul11'!$D$4:$S$90,'Apr11-Mar12 Billed-RETAIL'!$C39,'SBR Jul11'!$K$4:$K$90)</f>
        <v>1100</v>
      </c>
      <c r="BE39" s="232">
        <f ca="1">SUMIF('SBR Jul11'!$D$4:$S$90,'Apr11-Mar12 Billed-RETAIL'!$C39,'SBR Jul11'!$L$4:$L$90)</f>
        <v>3162.4399999999996</v>
      </c>
      <c r="BF39" s="232"/>
    </row>
    <row r="40" spans="1:58" ht="15" customHeight="1" x14ac:dyDescent="0.25">
      <c r="A40" s="196">
        <f t="shared" si="15"/>
        <v>35</v>
      </c>
      <c r="B40" s="211">
        <v>40725</v>
      </c>
      <c r="C40" s="211" t="str">
        <f>+'Retail Rates'!B10</f>
        <v>LGING866</v>
      </c>
      <c r="D40" s="197" t="str">
        <f t="shared" ref="D40:D50" si="37">MID(C40,6,3)</f>
        <v>866</v>
      </c>
      <c r="E40" s="197" t="str">
        <f>VLOOKUP(C40,'Retail Rates'!$B$7:$D$35,3,FALSE)</f>
        <v>AAGS-I</v>
      </c>
      <c r="F40" s="222">
        <f>SUMIFS('Data-Retail'!$G$4:$G$269,'Data-Retail'!$A$4:$A$269,'Apr11-Mar12 Billed-RETAIL'!$B40,'Data-Retail'!$D$4:$D$269,'Apr11-Mar12 Billed-RETAIL'!$C40)</f>
        <v>8</v>
      </c>
      <c r="G40" s="222"/>
      <c r="H40" s="222"/>
      <c r="I40" s="222">
        <f>SUMIFS('Data-Retail'!$H$4:$H$269,'Data-Retail'!$A$4:$A$269,'Apr11-Mar12 Billed-RETAIL'!$B40,'Data-Retail'!$D$4:$D$269,'Apr11-Mar12 Billed-RETAIL'!$C40)</f>
        <v>115128</v>
      </c>
      <c r="J40" s="222">
        <f>SUMIFS('Data-Retail'!$I$4:$I$269,'Data-Retail'!$A$4:$A$269,'Apr11-Mar12 Billed-RETAIL'!$B40,'Data-Retail'!$D$4:$D$269,'Apr11-Mar12 Billed-RETAIL'!$C40)</f>
        <v>0</v>
      </c>
      <c r="K40" s="222"/>
      <c r="L40" s="223">
        <f>VLOOKUP($C40,'Retail Rates'!$B$7:$M$35,5,FALSE)</f>
        <v>275</v>
      </c>
      <c r="M40" s="223">
        <f>VLOOKUP($C40,'Retail Rates'!$B$7:$M$35,6,FALSE)</f>
        <v>0</v>
      </c>
      <c r="N40" s="224">
        <f>VLOOKUP($C40,'Retail Rates'!$B$7:$M$35,7,FALSE)</f>
        <v>5.2519999999999997E-2</v>
      </c>
      <c r="O40" s="224">
        <f>VLOOKUP($C40,'Retail Rates'!$B$7:$M$35,8,FALSE)</f>
        <v>0</v>
      </c>
      <c r="P40" s="224">
        <f>VLOOKUP($B40,'GSC-DSM Factors'!$A$1:$B$46,2,FALSE)</f>
        <v>0.56142999999999998</v>
      </c>
      <c r="Q40" s="223">
        <f>VLOOKUP($C40,'Retail Rates'!$B$7:$M$35,9,FALSE)</f>
        <v>0</v>
      </c>
      <c r="R40" s="224">
        <f>VLOOKUP($C40,'Retail Rates'!$B$7:$M$35,10,FALSE)</f>
        <v>0</v>
      </c>
      <c r="S40" s="223">
        <f>VLOOKUP($C40,'Retail Rates'!$B$7:$M$35,11,FALSE)</f>
        <v>0</v>
      </c>
      <c r="T40" s="223"/>
      <c r="U40" s="225">
        <f t="shared" si="31"/>
        <v>2200</v>
      </c>
      <c r="V40" s="225"/>
      <c r="W40" s="225"/>
      <c r="X40" s="225">
        <f t="shared" si="36"/>
        <v>6046.5225599999994</v>
      </c>
      <c r="Y40" s="225">
        <f t="shared" si="35"/>
        <v>0</v>
      </c>
      <c r="Z40" s="225">
        <f>SUM(I40:J40)*P40</f>
        <v>64636.313040000001</v>
      </c>
      <c r="AA40" s="225"/>
      <c r="AB40" s="225"/>
      <c r="AC40" s="225"/>
      <c r="AD40" s="225"/>
      <c r="AE40" s="244">
        <f>SUMIFS(Adjustments!H$5:H$684,Adjustments!$B$5:$B$684,'Apr11-Mar12 Billed-RETAIL'!$B40,Adjustments!$C$5:$C$684,'Apr11-Mar12 Billed-RETAIL'!$C40)</f>
        <v>1</v>
      </c>
      <c r="AF40" s="244">
        <f>SUMIFS(Adjustments!I$5:I$684,Adjustments!$B$5:$B$684,'Apr11-Mar12 Billed-RETAIL'!$B40,Adjustments!$C$5:$C$684,'Apr11-Mar12 Billed-RETAIL'!$C40)</f>
        <v>0</v>
      </c>
      <c r="AG40" s="238">
        <f>SUMIFS(Adjustments!J$5:J$684,Adjustments!$B$5:$B$684,'Apr11-Mar12 Billed-RETAIL'!$B40,Adjustments!$C$5:$C$684,'Apr11-Mar12 Billed-RETAIL'!$C40)</f>
        <v>0</v>
      </c>
      <c r="AH40" s="238">
        <f>SUMIFS(Adjustments!K$5:K$684,Adjustments!$B$5:$B$684,'Apr11-Mar12 Billed-RETAIL'!$B40,Adjustments!$C$5:$C$684,'Apr11-Mar12 Billed-RETAIL'!$C40)</f>
        <v>0</v>
      </c>
      <c r="AI40" s="238">
        <f>SUMIFS(Adjustments!L$5:L$684,Adjustments!$B$5:$B$684,'Apr11-Mar12 Billed-RETAIL'!$B40,Adjustments!$C$5:$C$684,'Apr11-Mar12 Billed-RETAIL'!$C40)</f>
        <v>0</v>
      </c>
      <c r="AJ40" s="238">
        <f>SUMIFS(Adjustments!M$5:M$684,Adjustments!$B$5:$B$684,'Apr11-Mar12 Billed-RETAIL'!$B40,Adjustments!$C$5:$C$684,'Apr11-Mar12 Billed-RETAIL'!$C40)</f>
        <v>0</v>
      </c>
      <c r="AK40" s="238">
        <f>SUMIFS(Adjustments!N$5:N$684,Adjustments!$B$5:$B$684,'Apr11-Mar12 Billed-RETAIL'!$B40,Adjustments!$C$5:$C$684,'Apr11-Mar12 Billed-RETAIL'!$C40)</f>
        <v>0</v>
      </c>
      <c r="AL40" s="238">
        <f>SUMIFS(Adjustments!O$5:O$684,Adjustments!$B$5:$B$684,'Apr11-Mar12 Billed-RETAIL'!$B40,Adjustments!$C$5:$C$684,'Apr11-Mar12 Billed-RETAIL'!$C40)</f>
        <v>0</v>
      </c>
      <c r="AM40" s="238">
        <f>SUMIFS(Adjustments!P$5:P$684,Adjustments!$B$5:$B$684,'Apr11-Mar12 Billed-RETAIL'!$B40,Adjustments!$C$5:$C$684,'Apr11-Mar12 Billed-RETAIL'!$C40)</f>
        <v>0</v>
      </c>
      <c r="AN40" s="225">
        <f t="shared" si="34"/>
        <v>2475</v>
      </c>
      <c r="AO40" s="225">
        <f t="shared" si="26"/>
        <v>0</v>
      </c>
      <c r="AP40" s="225">
        <f t="shared" si="27"/>
        <v>6046.5225599999994</v>
      </c>
      <c r="AQ40" s="225">
        <f t="shared" si="28"/>
        <v>0</v>
      </c>
      <c r="AR40" s="232">
        <f ca="1">SUMIF('SBR Jul11'!$D$4:$S$90,'Apr11-Mar12 Billed-RETAIL'!$C40,'SBR Jul11'!$N$4:$N$90)</f>
        <v>64636.32</v>
      </c>
      <c r="AS40" s="232">
        <f ca="1">SUMIF('SBR Jul11'!$D$4:$S$90,'Apr11-Mar12 Billed-RETAIL'!$C40,'SBR Jul11'!$M$4:$M$90)</f>
        <v>0</v>
      </c>
      <c r="AT40" s="232">
        <f ca="1">SUMIF('SBR Jul11'!$D$4:$S$90,'Apr11-Mar12 Billed-RETAIL'!$C40,'SBR Jul11'!$O$4:$O$90)</f>
        <v>0</v>
      </c>
      <c r="AU40" s="225">
        <f t="shared" si="29"/>
        <v>0</v>
      </c>
      <c r="AV40" s="225"/>
      <c r="AW40" s="232">
        <f t="shared" ref="AW40:AW62" ca="1" si="38">ROUND(SUM(AN40:AV40),2)</f>
        <v>73157.84</v>
      </c>
      <c r="AX40" s="232">
        <f t="shared" ca="1" si="32"/>
        <v>73157.850000000006</v>
      </c>
      <c r="AY40" s="233">
        <f t="shared" ref="AY40:AY50" ca="1" si="39">IF(AX40=0,0,ROUND(AX40/AW40,6))</f>
        <v>1</v>
      </c>
      <c r="AZ40" s="232">
        <f ca="1">SUMIF('SBR Jul11'!$D$4:$S$90,'Apr11-Mar12 Billed-RETAIL'!$C40,'SBR Jul11'!$M$4:$M$90)</f>
        <v>0</v>
      </c>
      <c r="BA40" s="232">
        <f ca="1">SUMIF('SBR Jul11'!$D$4:$S$90,'Apr11-Mar12 Billed-RETAIL'!$C40,'SBR Jul11'!$N$4:$N$90)</f>
        <v>64636.32</v>
      </c>
      <c r="BB40" s="232">
        <f ca="1">SUMIF('SBR Jul11'!$D$4:$S$90,'Apr11-Mar12 Billed-RETAIL'!$C40,'SBR Jul11'!$O$4:$O$90)</f>
        <v>0</v>
      </c>
      <c r="BC40" s="232">
        <f ca="1">SUMIF('SBR Jul11'!$D$4:$S$90,'Apr11-Mar12 Billed-RETAIL'!$C40,'SBR Jul11'!$Q$4:$Q$90)</f>
        <v>0</v>
      </c>
      <c r="BD40" s="232">
        <f ca="1">SUMIF('SBR Jul11'!$D$4:$S$90,'Apr11-Mar12 Billed-RETAIL'!$C40,'SBR Jul11'!$K$4:$K$90)</f>
        <v>2475</v>
      </c>
      <c r="BE40" s="232">
        <f ca="1">SUMIF('SBR Jul11'!$D$4:$S$90,'Apr11-Mar12 Billed-RETAIL'!$C40,'SBR Jul11'!$L$4:$L$90)</f>
        <v>6046.5300000000007</v>
      </c>
      <c r="BF40" s="232"/>
    </row>
    <row r="41" spans="1:58" ht="15" x14ac:dyDescent="0.25">
      <c r="A41" s="196">
        <f t="shared" si="15"/>
        <v>36</v>
      </c>
      <c r="B41" s="211">
        <v>40725</v>
      </c>
      <c r="C41" s="211" t="str">
        <f>+'Retail Rates'!B13</f>
        <v>LGCMG851</v>
      </c>
      <c r="D41" s="197" t="str">
        <f t="shared" si="37"/>
        <v>851</v>
      </c>
      <c r="E41" s="197" t="str">
        <f>VLOOKUP(C41,'Retail Rates'!$B$7:$D$35,3,FALSE)</f>
        <v>CGS</v>
      </c>
      <c r="F41" s="222"/>
      <c r="G41" s="222">
        <f>SUMIFS(Adjustments!F$5:F$151,Adjustments!$B$5:$B$151,'Apr11-Mar12 Billed-RETAIL'!$B41,Adjustments!$C$5:$C$151,'Apr11-Mar12 Billed-RETAIL'!$C41)</f>
        <v>23254</v>
      </c>
      <c r="H41" s="222">
        <f>SUMIFS(Adjustments!G$5:G$151,Adjustments!$B$5:$B$151,'Apr11-Mar12 Billed-RETAIL'!$B41,Adjustments!$C$5:$C$151,'Apr11-Mar12 Billed-RETAIL'!$C41)</f>
        <v>1031</v>
      </c>
      <c r="I41" s="222">
        <f>SUMIFS('Data-Retail'!$H$4:$H$269,'Data-Retail'!$A$4:$A$269,'Apr11-Mar12 Billed-RETAIL'!$B41,'Data-Retail'!$D$4:$D$269,'Apr11-Mar12 Billed-RETAIL'!$C41)</f>
        <v>1885496</v>
      </c>
      <c r="J41" s="222">
        <f>SUMIFS('Data-Retail'!$I$4:$I$269,'Data-Retail'!$A$4:$A$269,'Apr11-Mar12 Billed-RETAIL'!$B41,'Data-Retail'!$D$4:$D$269,'Apr11-Mar12 Billed-RETAIL'!$C41)</f>
        <v>854412</v>
      </c>
      <c r="K41" s="222"/>
      <c r="L41" s="223">
        <f>VLOOKUP($C41,'Retail Rates'!$B$7:$M$35,5,FALSE)</f>
        <v>30</v>
      </c>
      <c r="M41" s="223">
        <f>VLOOKUP($C41,'Retail Rates'!$B$7:$M$35,6,FALSE)</f>
        <v>170</v>
      </c>
      <c r="N41" s="224">
        <f>VLOOKUP($C41,'Retail Rates'!$B$7:$M$35,7,FALSE)</f>
        <v>0.18722</v>
      </c>
      <c r="O41" s="224">
        <f>VLOOKUP($C41,'Retail Rates'!$B$7:$M$35,8,FALSE)</f>
        <v>0.13722000000000001</v>
      </c>
      <c r="P41" s="224">
        <f>VLOOKUP($B41,'GSC-DSM Factors'!$A$1:$B$46,2,FALSE)</f>
        <v>0.56142999999999998</v>
      </c>
      <c r="Q41" s="223">
        <f>VLOOKUP($C41,'Retail Rates'!$B$7:$M$35,9,FALSE)</f>
        <v>0</v>
      </c>
      <c r="R41" s="224">
        <f>VLOOKUP($C41,'Retail Rates'!$B$7:$M$35,10,FALSE)</f>
        <v>0</v>
      </c>
      <c r="S41" s="223">
        <f>VLOOKUP($C41,'Retail Rates'!$B$7:$M$35,11,FALSE)</f>
        <v>0</v>
      </c>
      <c r="T41" s="223"/>
      <c r="U41" s="225">
        <f t="shared" si="31"/>
        <v>697620</v>
      </c>
      <c r="V41" s="225"/>
      <c r="W41" s="225">
        <f>+H41*M41</f>
        <v>175270</v>
      </c>
      <c r="X41" s="225">
        <f t="shared" si="36"/>
        <v>353002.56111999997</v>
      </c>
      <c r="Y41" s="225">
        <f t="shared" si="35"/>
        <v>117242.41464</v>
      </c>
      <c r="Z41" s="225">
        <f>SUM(I41:J41)*P41</f>
        <v>1538266.54844</v>
      </c>
      <c r="AA41" s="225"/>
      <c r="AB41" s="225"/>
      <c r="AC41" s="225"/>
      <c r="AD41" s="225"/>
      <c r="AE41" s="244">
        <f>SUMIFS(Adjustments!H$5:H$684,Adjustments!$B$5:$B$684,'Apr11-Mar12 Billed-RETAIL'!$B41,Adjustments!$C$5:$C$684,'Apr11-Mar12 Billed-RETAIL'!$C41)</f>
        <v>0</v>
      </c>
      <c r="AF41" s="244">
        <f>SUMIFS(Adjustments!I$5:I$684,Adjustments!$B$5:$B$684,'Apr11-Mar12 Billed-RETAIL'!$B41,Adjustments!$C$5:$C$684,'Apr11-Mar12 Billed-RETAIL'!$C41)</f>
        <v>0</v>
      </c>
      <c r="AG41" s="238">
        <f>SUMIFS(Adjustments!J$5:J$684,Adjustments!$B$5:$B$684,'Apr11-Mar12 Billed-RETAIL'!$B41,Adjustments!$C$5:$C$684,'Apr11-Mar12 Billed-RETAIL'!$C41)</f>
        <v>1187.17</v>
      </c>
      <c r="AH41" s="238">
        <f>SUMIFS(Adjustments!K$5:K$684,Adjustments!$B$5:$B$684,'Apr11-Mar12 Billed-RETAIL'!$B41,Adjustments!$C$5:$C$684,'Apr11-Mar12 Billed-RETAIL'!$C41)</f>
        <v>225</v>
      </c>
      <c r="AI41" s="238">
        <f>SUMIFS(Adjustments!L$5:L$684,Adjustments!$B$5:$B$684,'Apr11-Mar12 Billed-RETAIL'!$B41,Adjustments!$C$5:$C$684,'Apr11-Mar12 Billed-RETAIL'!$C41)</f>
        <v>-20.05</v>
      </c>
      <c r="AJ41" s="238">
        <f>SUMIFS(Adjustments!M$5:M$684,Adjustments!$B$5:$B$684,'Apr11-Mar12 Billed-RETAIL'!$B41,Adjustments!$C$5:$C$684,'Apr11-Mar12 Billed-RETAIL'!$C41)</f>
        <v>0</v>
      </c>
      <c r="AK41" s="238">
        <f>SUMIFS(Adjustments!N$5:N$684,Adjustments!$B$5:$B$684,'Apr11-Mar12 Billed-RETAIL'!$B41,Adjustments!$C$5:$C$684,'Apr11-Mar12 Billed-RETAIL'!$C41)</f>
        <v>0</v>
      </c>
      <c r="AL41" s="238">
        <f>SUMIFS(Adjustments!O$5:O$684,Adjustments!$B$5:$B$684,'Apr11-Mar12 Billed-RETAIL'!$B41,Adjustments!$C$5:$C$684,'Apr11-Mar12 Billed-RETAIL'!$C41)</f>
        <v>0</v>
      </c>
      <c r="AM41" s="238">
        <f>SUMIFS(Adjustments!P$5:P$684,Adjustments!$B$5:$B$684,'Apr11-Mar12 Billed-RETAIL'!$B41,Adjustments!$C$5:$C$684,'Apr11-Mar12 Billed-RETAIL'!$C41)</f>
        <v>0</v>
      </c>
      <c r="AN41" s="225">
        <f t="shared" si="34"/>
        <v>698807.17</v>
      </c>
      <c r="AO41" s="225">
        <f t="shared" si="26"/>
        <v>175495</v>
      </c>
      <c r="AP41" s="225">
        <f t="shared" si="27"/>
        <v>352982.51111999998</v>
      </c>
      <c r="AQ41" s="225">
        <f t="shared" si="28"/>
        <v>117242.41464</v>
      </c>
      <c r="AR41" s="232">
        <f ca="1">SUMIF('SBR Jul11'!$D$4:$S$90,'Apr11-Mar12 Billed-RETAIL'!$C41,'SBR Jul11'!$N$4:$N$90)</f>
        <v>1537799.0399999998</v>
      </c>
      <c r="AS41" s="232">
        <f ca="1">SUMIF('SBR Jul11'!$D$4:$S$90,'Apr11-Mar12 Billed-RETAIL'!$C41,'SBR Jul11'!$M$4:$M$90)</f>
        <v>2622.2499999999995</v>
      </c>
      <c r="AT41" s="232">
        <f ca="1">SUMIF('SBR Jul11'!$D$4:$S$90,'Apr11-Mar12 Billed-RETAIL'!$C41,'SBR Jul11'!$O$4:$O$90)</f>
        <v>-202.71</v>
      </c>
      <c r="AU41" s="225">
        <f t="shared" si="29"/>
        <v>0</v>
      </c>
      <c r="AV41" s="225"/>
      <c r="AW41" s="232">
        <f t="shared" ca="1" si="38"/>
        <v>2884745.68</v>
      </c>
      <c r="AX41" s="232">
        <f t="shared" ca="1" si="32"/>
        <v>2884745.68</v>
      </c>
      <c r="AY41" s="233">
        <f t="shared" ca="1" si="39"/>
        <v>1</v>
      </c>
      <c r="AZ41" s="232">
        <f ca="1">SUMIF('SBR Jul11'!$D$4:$S$90,'Apr11-Mar12 Billed-RETAIL'!$C41,'SBR Jul11'!$M$4:$M$90)</f>
        <v>2622.2499999999995</v>
      </c>
      <c r="BA41" s="232">
        <f ca="1">SUMIF('SBR Jul11'!$D$4:$S$90,'Apr11-Mar12 Billed-RETAIL'!$C41,'SBR Jul11'!$N$4:$N$90)</f>
        <v>1537799.0399999998</v>
      </c>
      <c r="BB41" s="232">
        <f ca="1">SUMIF('SBR Jul11'!$D$4:$S$90,'Apr11-Mar12 Billed-RETAIL'!$C41,'SBR Jul11'!$O$4:$O$90)</f>
        <v>-202.71</v>
      </c>
      <c r="BC41" s="232">
        <f ca="1">SUMIF('SBR Jul11'!$D$4:$S$90,'Apr11-Mar12 Billed-RETAIL'!$C41,'SBR Jul11'!$Q$4:$Q$90)</f>
        <v>0</v>
      </c>
      <c r="BD41" s="232">
        <f ca="1">SUMIF('SBR Jul11'!$D$4:$S$90,'Apr11-Mar12 Billed-RETAIL'!$C41,'SBR Jul11'!$K$4:$K$90)</f>
        <v>874302.16999999993</v>
      </c>
      <c r="BE41" s="232">
        <f ca="1">SUMIF('SBR Jul11'!$D$4:$S$90,'Apr11-Mar12 Billed-RETAIL'!$C41,'SBR Jul11'!$L$4:$L$90)</f>
        <v>470224.93</v>
      </c>
      <c r="BF41" s="232"/>
    </row>
    <row r="42" spans="1:58" ht="15" x14ac:dyDescent="0.25">
      <c r="A42" s="196">
        <f t="shared" si="15"/>
        <v>37</v>
      </c>
      <c r="B42" s="211">
        <v>40725</v>
      </c>
      <c r="C42" s="211" t="str">
        <f>+'Retail Rates'!B14</f>
        <v>LGUMG860</v>
      </c>
      <c r="D42" s="197" t="str">
        <f t="shared" si="37"/>
        <v>860</v>
      </c>
      <c r="E42" s="197" t="str">
        <f>VLOOKUP(C42,'Retail Rates'!$B$7:$D$35,3,FALSE)</f>
        <v>CGS</v>
      </c>
      <c r="F42" s="222"/>
      <c r="G42" s="222">
        <f>SUMIFS(Adjustments!F$5:F$151,Adjustments!$B$5:$B$151,'Apr11-Mar12 Billed-RETAIL'!$B42,Adjustments!$C$5:$C$151,'Apr11-Mar12 Billed-RETAIL'!$C42)</f>
        <v>19</v>
      </c>
      <c r="H42" s="222">
        <f>SUMIFS(Adjustments!G$5:G$151,Adjustments!$B$5:$B$151,'Apr11-Mar12 Billed-RETAIL'!$B42,Adjustments!$C$5:$C$151,'Apr11-Mar12 Billed-RETAIL'!$C42)</f>
        <v>0</v>
      </c>
      <c r="I42" s="222">
        <f>SUMIFS('Data-Retail'!$H$4:$H$269,'Data-Retail'!$A$4:$A$269,'Apr11-Mar12 Billed-RETAIL'!$B42,'Data-Retail'!$D$4:$D$269,'Apr11-Mar12 Billed-RETAIL'!$C42)</f>
        <v>358</v>
      </c>
      <c r="J42" s="222">
        <f>SUMIFS('Data-Retail'!$I$4:$I$269,'Data-Retail'!$A$4:$A$269,'Apr11-Mar12 Billed-RETAIL'!$B42,'Data-Retail'!$D$4:$D$269,'Apr11-Mar12 Billed-RETAIL'!$C42)</f>
        <v>0</v>
      </c>
      <c r="K42" s="222"/>
      <c r="L42" s="223">
        <f>VLOOKUP($C42,'Retail Rates'!$B$7:$M$35,5,FALSE)</f>
        <v>30</v>
      </c>
      <c r="M42" s="223">
        <f>VLOOKUP($C42,'Retail Rates'!$B$7:$M$35,6,FALSE)</f>
        <v>170</v>
      </c>
      <c r="N42" s="224">
        <f>VLOOKUP($C42,'Retail Rates'!$B$7:$M$35,7,FALSE)</f>
        <v>0.18722</v>
      </c>
      <c r="O42" s="224">
        <f>VLOOKUP($C42,'Retail Rates'!$B$7:$M$35,8,FALSE)</f>
        <v>0.13722000000000001</v>
      </c>
      <c r="P42" s="224">
        <f>VLOOKUP($B42,'GSC-DSM Factors'!$A$1:$B$46,2,FALSE)</f>
        <v>0.56142999999999998</v>
      </c>
      <c r="Q42" s="223">
        <f>VLOOKUP($C42,'Retail Rates'!$B$7:$M$35,9,FALSE)</f>
        <v>0</v>
      </c>
      <c r="R42" s="224">
        <f>VLOOKUP($C42,'Retail Rates'!$B$7:$M$35,10,FALSE)</f>
        <v>0</v>
      </c>
      <c r="S42" s="223">
        <f>VLOOKUP($C42,'Retail Rates'!$B$7:$M$35,11,FALSE)</f>
        <v>0</v>
      </c>
      <c r="T42" s="223"/>
      <c r="U42" s="225">
        <f t="shared" si="31"/>
        <v>570</v>
      </c>
      <c r="V42" s="225"/>
      <c r="W42" s="225">
        <f>+H42*M42</f>
        <v>0</v>
      </c>
      <c r="X42" s="225">
        <f t="shared" si="36"/>
        <v>67.024760000000001</v>
      </c>
      <c r="Y42" s="225">
        <f t="shared" si="35"/>
        <v>0</v>
      </c>
      <c r="Z42" s="225">
        <f>SUM(I42:J42)*P42</f>
        <v>200.99194</v>
      </c>
      <c r="AA42" s="225"/>
      <c r="AB42" s="225"/>
      <c r="AC42" s="225"/>
      <c r="AD42" s="225"/>
      <c r="AE42" s="244">
        <f>SUMIFS(Adjustments!H$5:H$684,Adjustments!$B$5:$B$684,'Apr11-Mar12 Billed-RETAIL'!$B42,Adjustments!$C$5:$C$684,'Apr11-Mar12 Billed-RETAIL'!$C42)</f>
        <v>0</v>
      </c>
      <c r="AF42" s="244">
        <f>SUMIFS(Adjustments!I$5:I$684,Adjustments!$B$5:$B$684,'Apr11-Mar12 Billed-RETAIL'!$B42,Adjustments!$C$5:$C$684,'Apr11-Mar12 Billed-RETAIL'!$C42)</f>
        <v>0</v>
      </c>
      <c r="AG42" s="238">
        <f>SUMIFS(Adjustments!J$5:J$684,Adjustments!$B$5:$B$684,'Apr11-Mar12 Billed-RETAIL'!$B42,Adjustments!$C$5:$C$684,'Apr11-Mar12 Billed-RETAIL'!$C42)</f>
        <v>0</v>
      </c>
      <c r="AH42" s="238">
        <f>SUMIFS(Adjustments!K$5:K$684,Adjustments!$B$5:$B$684,'Apr11-Mar12 Billed-RETAIL'!$B42,Adjustments!$C$5:$C$684,'Apr11-Mar12 Billed-RETAIL'!$C42)</f>
        <v>0</v>
      </c>
      <c r="AI42" s="238">
        <f>SUMIFS(Adjustments!L$5:L$684,Adjustments!$B$5:$B$684,'Apr11-Mar12 Billed-RETAIL'!$B42,Adjustments!$C$5:$C$684,'Apr11-Mar12 Billed-RETAIL'!$C42)</f>
        <v>0</v>
      </c>
      <c r="AJ42" s="238">
        <f>SUMIFS(Adjustments!M$5:M$684,Adjustments!$B$5:$B$684,'Apr11-Mar12 Billed-RETAIL'!$B42,Adjustments!$C$5:$C$684,'Apr11-Mar12 Billed-RETAIL'!$C42)</f>
        <v>0</v>
      </c>
      <c r="AK42" s="238">
        <f>SUMIFS(Adjustments!N$5:N$684,Adjustments!$B$5:$B$684,'Apr11-Mar12 Billed-RETAIL'!$B42,Adjustments!$C$5:$C$684,'Apr11-Mar12 Billed-RETAIL'!$C42)</f>
        <v>0</v>
      </c>
      <c r="AL42" s="238">
        <f>SUMIFS(Adjustments!O$5:O$684,Adjustments!$B$5:$B$684,'Apr11-Mar12 Billed-RETAIL'!$B42,Adjustments!$C$5:$C$684,'Apr11-Mar12 Billed-RETAIL'!$C42)</f>
        <v>0</v>
      </c>
      <c r="AM42" s="238">
        <f>SUMIFS(Adjustments!P$5:P$684,Adjustments!$B$5:$B$684,'Apr11-Mar12 Billed-RETAIL'!$B42,Adjustments!$C$5:$C$684,'Apr11-Mar12 Billed-RETAIL'!$C42)</f>
        <v>0</v>
      </c>
      <c r="AN42" s="225">
        <f t="shared" si="34"/>
        <v>570</v>
      </c>
      <c r="AO42" s="225">
        <f t="shared" si="26"/>
        <v>0</v>
      </c>
      <c r="AP42" s="225">
        <f t="shared" si="27"/>
        <v>67.024760000000001</v>
      </c>
      <c r="AQ42" s="225">
        <f t="shared" si="28"/>
        <v>0</v>
      </c>
      <c r="AR42" s="232">
        <f ca="1">SUMIF('SBR Jul11'!$D$4:$S$90,'Apr11-Mar12 Billed-RETAIL'!$C42,'SBR Jul11'!$N$4:$N$90)</f>
        <v>200.98999999999998</v>
      </c>
      <c r="AS42" s="232">
        <f ca="1">SUMIF('SBR Jul11'!$D$4:$S$90,'Apr11-Mar12 Billed-RETAIL'!$C42,'SBR Jul11'!$M$4:$M$90)</f>
        <v>0.33999999999999997</v>
      </c>
      <c r="AT42" s="232">
        <f ca="1">SUMIF('SBR Jul11'!$D$4:$S$90,'Apr11-Mar12 Billed-RETAIL'!$C42,'SBR Jul11'!$O$4:$O$90)</f>
        <v>0</v>
      </c>
      <c r="AU42" s="225">
        <f t="shared" si="29"/>
        <v>0</v>
      </c>
      <c r="AV42" s="225"/>
      <c r="AW42" s="232">
        <f t="shared" ca="1" si="38"/>
        <v>838.35</v>
      </c>
      <c r="AX42" s="232">
        <f t="shared" ca="1" si="32"/>
        <v>838.34999999999991</v>
      </c>
      <c r="AY42" s="233">
        <f t="shared" ca="1" si="39"/>
        <v>1</v>
      </c>
      <c r="AZ42" s="232">
        <f ca="1">SUMIF('SBR Jul11'!$D$4:$S$90,'Apr11-Mar12 Billed-RETAIL'!$C42,'SBR Jul11'!$M$4:$M$90)</f>
        <v>0.33999999999999997</v>
      </c>
      <c r="BA42" s="232">
        <f ca="1">SUMIF('SBR Jul11'!$D$4:$S$90,'Apr11-Mar12 Billed-RETAIL'!$C42,'SBR Jul11'!$N$4:$N$90)</f>
        <v>200.98999999999998</v>
      </c>
      <c r="BB42" s="232">
        <f ca="1">SUMIF('SBR Jul11'!$D$4:$S$90,'Apr11-Mar12 Billed-RETAIL'!$C42,'SBR Jul11'!$O$4:$O$90)</f>
        <v>0</v>
      </c>
      <c r="BC42" s="232">
        <f ca="1">SUMIF('SBR Jul11'!$D$4:$S$90,'Apr11-Mar12 Billed-RETAIL'!$C42,'SBR Jul11'!$Q$4:$Q$90)</f>
        <v>0</v>
      </c>
      <c r="BD42" s="232">
        <f ca="1">SUMIF('SBR Jul11'!$D$4:$S$90,'Apr11-Mar12 Billed-RETAIL'!$C42,'SBR Jul11'!$K$4:$K$90)</f>
        <v>570</v>
      </c>
      <c r="BE42" s="232">
        <f ca="1">SUMIF('SBR Jul11'!$D$4:$S$90,'Apr11-Mar12 Billed-RETAIL'!$C42,'SBR Jul11'!$L$4:$L$90)</f>
        <v>67.02</v>
      </c>
      <c r="BF42" s="232"/>
    </row>
    <row r="43" spans="1:58" ht="15" x14ac:dyDescent="0.25">
      <c r="A43" s="196">
        <f t="shared" si="15"/>
        <v>38</v>
      </c>
      <c r="B43" s="211">
        <v>40725</v>
      </c>
      <c r="C43" s="211" t="str">
        <f>+'Retail Rates'!B15</f>
        <v>LGUMG861</v>
      </c>
      <c r="D43" s="197" t="str">
        <f t="shared" si="37"/>
        <v>861</v>
      </c>
      <c r="E43" s="197" t="str">
        <f>VLOOKUP(C43,'Retail Rates'!$B$7:$D$35,3,FALSE)</f>
        <v>CGS</v>
      </c>
      <c r="F43" s="222"/>
      <c r="G43" s="222">
        <f>SUMIFS(Adjustments!F$5:F$151,Adjustments!$B$5:$B$151,'Apr11-Mar12 Billed-RETAIL'!$B43,Adjustments!$C$5:$C$151,'Apr11-Mar12 Billed-RETAIL'!$C43)</f>
        <v>639</v>
      </c>
      <c r="H43" s="222">
        <f>SUMIFS(Adjustments!G$5:G$151,Adjustments!$B$5:$B$151,'Apr11-Mar12 Billed-RETAIL'!$B43,Adjustments!$C$5:$C$151,'Apr11-Mar12 Billed-RETAIL'!$C43)</f>
        <v>0</v>
      </c>
      <c r="I43" s="222">
        <f>SUMIFS('Data-Retail'!$H$4:$H$269,'Data-Retail'!$A$4:$A$269,'Apr11-Mar12 Billed-RETAIL'!$B43,'Data-Retail'!$D$4:$D$269,'Apr11-Mar12 Billed-RETAIL'!$C43)</f>
        <v>635</v>
      </c>
      <c r="J43" s="222">
        <f>SUMIFS('Data-Retail'!$I$4:$I$269,'Data-Retail'!$A$4:$A$269,'Apr11-Mar12 Billed-RETAIL'!$B43,'Data-Retail'!$D$4:$D$269,'Apr11-Mar12 Billed-RETAIL'!$C43)</f>
        <v>0</v>
      </c>
      <c r="K43" s="222"/>
      <c r="L43" s="223">
        <f>VLOOKUP($C43,'Retail Rates'!$B$7:$M$35,5,FALSE)</f>
        <v>30</v>
      </c>
      <c r="M43" s="223">
        <f>VLOOKUP($C43,'Retail Rates'!$B$7:$M$35,6,FALSE)</f>
        <v>170</v>
      </c>
      <c r="N43" s="224">
        <f>VLOOKUP($C43,'Retail Rates'!$B$7:$M$35,7,FALSE)</f>
        <v>0.18722</v>
      </c>
      <c r="O43" s="224">
        <f>VLOOKUP($C43,'Retail Rates'!$B$7:$M$35,8,FALSE)</f>
        <v>0.13722000000000001</v>
      </c>
      <c r="P43" s="224">
        <f>VLOOKUP($B43,'GSC-DSM Factors'!$A$1:$B$46,2,FALSE)</f>
        <v>0.56142999999999998</v>
      </c>
      <c r="Q43" s="223">
        <f>VLOOKUP($C43,'Retail Rates'!$B$7:$M$35,9,FALSE)</f>
        <v>0</v>
      </c>
      <c r="R43" s="224">
        <f>VLOOKUP($C43,'Retail Rates'!$B$7:$M$35,10,FALSE)</f>
        <v>0</v>
      </c>
      <c r="S43" s="223">
        <f>VLOOKUP($C43,'Retail Rates'!$B$7:$M$35,11,FALSE)</f>
        <v>0</v>
      </c>
      <c r="T43" s="223"/>
      <c r="U43" s="225">
        <f t="shared" si="31"/>
        <v>19170</v>
      </c>
      <c r="V43" s="225"/>
      <c r="W43" s="225">
        <f>+H43*M43</f>
        <v>0</v>
      </c>
      <c r="X43" s="225">
        <f t="shared" si="36"/>
        <v>118.8847</v>
      </c>
      <c r="Y43" s="225">
        <f t="shared" si="35"/>
        <v>0</v>
      </c>
      <c r="Z43" s="225">
        <f>SUM(I43:J43)*P43</f>
        <v>356.50804999999997</v>
      </c>
      <c r="AA43" s="225"/>
      <c r="AB43" s="225"/>
      <c r="AC43" s="225"/>
      <c r="AD43" s="225"/>
      <c r="AE43" s="244">
        <f>SUMIFS(Adjustments!H$5:H$684,Adjustments!$B$5:$B$684,'Apr11-Mar12 Billed-RETAIL'!$B43,Adjustments!$C$5:$C$684,'Apr11-Mar12 Billed-RETAIL'!$C43)</f>
        <v>0</v>
      </c>
      <c r="AF43" s="244">
        <f>SUMIFS(Adjustments!I$5:I$684,Adjustments!$B$5:$B$684,'Apr11-Mar12 Billed-RETAIL'!$B43,Adjustments!$C$5:$C$684,'Apr11-Mar12 Billed-RETAIL'!$C43)</f>
        <v>0</v>
      </c>
      <c r="AG43" s="238">
        <f>SUMIFS(Adjustments!J$5:J$684,Adjustments!$B$5:$B$684,'Apr11-Mar12 Billed-RETAIL'!$B43,Adjustments!$C$5:$C$684,'Apr11-Mar12 Billed-RETAIL'!$C43)</f>
        <v>-14.36</v>
      </c>
      <c r="AH43" s="238">
        <f>SUMIFS(Adjustments!K$5:K$684,Adjustments!$B$5:$B$684,'Apr11-Mar12 Billed-RETAIL'!$B43,Adjustments!$C$5:$C$684,'Apr11-Mar12 Billed-RETAIL'!$C43)</f>
        <v>0</v>
      </c>
      <c r="AI43" s="238">
        <f>SUMIFS(Adjustments!L$5:L$684,Adjustments!$B$5:$B$684,'Apr11-Mar12 Billed-RETAIL'!$B43,Adjustments!$C$5:$C$684,'Apr11-Mar12 Billed-RETAIL'!$C43)</f>
        <v>1.42</v>
      </c>
      <c r="AJ43" s="238">
        <f>SUMIFS(Adjustments!M$5:M$684,Adjustments!$B$5:$B$684,'Apr11-Mar12 Billed-RETAIL'!$B43,Adjustments!$C$5:$C$684,'Apr11-Mar12 Billed-RETAIL'!$C43)</f>
        <v>0</v>
      </c>
      <c r="AK43" s="238">
        <f>SUMIFS(Adjustments!N$5:N$684,Adjustments!$B$5:$B$684,'Apr11-Mar12 Billed-RETAIL'!$B43,Adjustments!$C$5:$C$684,'Apr11-Mar12 Billed-RETAIL'!$C43)</f>
        <v>0</v>
      </c>
      <c r="AL43" s="238">
        <f>SUMIFS(Adjustments!O$5:O$684,Adjustments!$B$5:$B$684,'Apr11-Mar12 Billed-RETAIL'!$B43,Adjustments!$C$5:$C$684,'Apr11-Mar12 Billed-RETAIL'!$C43)</f>
        <v>0</v>
      </c>
      <c r="AM43" s="238">
        <f>SUMIFS(Adjustments!P$5:P$684,Adjustments!$B$5:$B$684,'Apr11-Mar12 Billed-RETAIL'!$B43,Adjustments!$C$5:$C$684,'Apr11-Mar12 Billed-RETAIL'!$C43)</f>
        <v>0</v>
      </c>
      <c r="AN43" s="225">
        <f t="shared" si="34"/>
        <v>19155.64</v>
      </c>
      <c r="AO43" s="225">
        <f t="shared" si="26"/>
        <v>0</v>
      </c>
      <c r="AP43" s="225">
        <f t="shared" si="27"/>
        <v>120.3047</v>
      </c>
      <c r="AQ43" s="225">
        <f t="shared" si="28"/>
        <v>0</v>
      </c>
      <c r="AR43" s="232">
        <f ca="1">SUMIF('SBR Jul11'!$D$4:$S$90,'Apr11-Mar12 Billed-RETAIL'!$C43,'SBR Jul11'!$N$4:$N$90)</f>
        <v>354.95</v>
      </c>
      <c r="AS43" s="232">
        <f ca="1">SUMIF('SBR Jul11'!$D$4:$S$90,'Apr11-Mar12 Billed-RETAIL'!$C43,'SBR Jul11'!$M$4:$M$90)</f>
        <v>0</v>
      </c>
      <c r="AT43" s="232">
        <f ca="1">SUMIF('SBR Jul11'!$D$4:$S$90,'Apr11-Mar12 Billed-RETAIL'!$C43,'SBR Jul11'!$O$4:$O$90)</f>
        <v>0</v>
      </c>
      <c r="AU43" s="225">
        <f t="shared" si="29"/>
        <v>0</v>
      </c>
      <c r="AV43" s="225"/>
      <c r="AW43" s="232">
        <f t="shared" ca="1" si="38"/>
        <v>19630.89</v>
      </c>
      <c r="AX43" s="232">
        <f t="shared" ca="1" si="32"/>
        <v>19630.89</v>
      </c>
      <c r="AY43" s="233">
        <f t="shared" ca="1" si="39"/>
        <v>1</v>
      </c>
      <c r="AZ43" s="232">
        <f ca="1">SUMIF('SBR Jul11'!$D$4:$S$90,'Apr11-Mar12 Billed-RETAIL'!$C43,'SBR Jul11'!$M$4:$M$90)</f>
        <v>0</v>
      </c>
      <c r="BA43" s="232">
        <f ca="1">SUMIF('SBR Jul11'!$D$4:$S$90,'Apr11-Mar12 Billed-RETAIL'!$C43,'SBR Jul11'!$N$4:$N$90)</f>
        <v>354.95</v>
      </c>
      <c r="BB43" s="232">
        <f ca="1">SUMIF('SBR Jul11'!$D$4:$S$90,'Apr11-Mar12 Billed-RETAIL'!$C43,'SBR Jul11'!$O$4:$O$90)</f>
        <v>0</v>
      </c>
      <c r="BC43" s="232">
        <f ca="1">SUMIF('SBR Jul11'!$D$4:$S$90,'Apr11-Mar12 Billed-RETAIL'!$C43,'SBR Jul11'!$Q$4:$Q$90)</f>
        <v>0</v>
      </c>
      <c r="BD43" s="232">
        <f ca="1">SUMIF('SBR Jul11'!$D$4:$S$90,'Apr11-Mar12 Billed-RETAIL'!$C43,'SBR Jul11'!$K$4:$K$90)</f>
        <v>19155.64</v>
      </c>
      <c r="BE43" s="232">
        <f ca="1">SUMIF('SBR Jul11'!$D$4:$S$90,'Apr11-Mar12 Billed-RETAIL'!$C43,'SBR Jul11'!$L$4:$L$90)</f>
        <v>120.3</v>
      </c>
      <c r="BF43" s="232"/>
    </row>
    <row r="44" spans="1:58" ht="15" customHeight="1" x14ac:dyDescent="0.25">
      <c r="A44" s="196">
        <f t="shared" si="15"/>
        <v>39</v>
      </c>
      <c r="B44" s="211">
        <v>40725</v>
      </c>
      <c r="C44" s="211" t="str">
        <f>+'Retail Rates'!B18</f>
        <v>LGCMG875</v>
      </c>
      <c r="D44" s="197" t="str">
        <f t="shared" si="37"/>
        <v>875</v>
      </c>
      <c r="E44" s="197" t="str">
        <f>VLOOKUP(C44,'Retail Rates'!$B$7:$D$35,3,FALSE)</f>
        <v>DGGS-C</v>
      </c>
      <c r="F44" s="222">
        <f>SUMIFS('Data-Retail'!$G$4:$G$269,'Data-Retail'!$A$4:$A$269,'Apr11-Mar12 Billed-RETAIL'!$B44,'Data-Retail'!$D$4:$D$269,'Apr11-Mar12 Billed-RETAIL'!$C44)</f>
        <v>0</v>
      </c>
      <c r="G44" s="222"/>
      <c r="H44" s="222"/>
      <c r="I44" s="222">
        <f>SUMIFS('Data-Retail'!$H$4:$H$269,'Data-Retail'!$A$4:$A$269,'Apr11-Mar12 Billed-RETAIL'!$B44,'Data-Retail'!$D$4:$D$269,'Apr11-Mar12 Billed-RETAIL'!$C44)</f>
        <v>0</v>
      </c>
      <c r="J44" s="222">
        <f>SUMIFS('Data-Retail'!$I$4:$I$269,'Data-Retail'!$A$4:$A$269,'Apr11-Mar12 Billed-RETAIL'!$B44,'Data-Retail'!$D$4:$D$269,'Apr11-Mar12 Billed-RETAIL'!$C44)</f>
        <v>0</v>
      </c>
      <c r="K44" s="222"/>
      <c r="L44" s="223">
        <f>VLOOKUP($C44,'Retail Rates'!$B$7:$M$35,5,FALSE)</f>
        <v>30</v>
      </c>
      <c r="M44" s="223">
        <f>VLOOKUP($C44,'Retail Rates'!$B$7:$M$35,6,FALSE)</f>
        <v>170</v>
      </c>
      <c r="N44" s="224">
        <f>VLOOKUP($C44,'Retail Rates'!$B$7:$M$35,7,FALSE)</f>
        <v>2.7439999999999999E-2</v>
      </c>
      <c r="O44" s="224">
        <f>VLOOKUP($C44,'Retail Rates'!$B$7:$M$35,8,FALSE)</f>
        <v>0</v>
      </c>
      <c r="P44" s="224">
        <f>VLOOKUP($B44,'GSC-DSM Factors'!$A$1:$B$46,2,FALSE)</f>
        <v>0.56142999999999998</v>
      </c>
      <c r="Q44" s="223">
        <f>VLOOKUP($C44,'Retail Rates'!$B$7:$M$35,9,FALSE)</f>
        <v>0</v>
      </c>
      <c r="R44" s="224">
        <f>VLOOKUP($C44,'Retail Rates'!$B$7:$M$35,10,FALSE)</f>
        <v>0</v>
      </c>
      <c r="S44" s="223">
        <f>VLOOKUP($C44,'Retail Rates'!$B$7:$M$35,11,FALSE)</f>
        <v>1.0109999999999999</v>
      </c>
      <c r="T44" s="223"/>
      <c r="U44" s="225">
        <f t="shared" si="31"/>
        <v>0</v>
      </c>
      <c r="V44" s="225"/>
      <c r="W44" s="225"/>
      <c r="X44" s="225">
        <f t="shared" si="36"/>
        <v>0</v>
      </c>
      <c r="Y44" s="225">
        <f t="shared" si="35"/>
        <v>0</v>
      </c>
      <c r="Z44" s="225">
        <f t="shared" ref="Z44:Z49" si="40">SUM(I44:J44)*P44</f>
        <v>0</v>
      </c>
      <c r="AA44" s="225"/>
      <c r="AB44" s="225"/>
      <c r="AC44" s="225"/>
      <c r="AD44" s="225"/>
      <c r="AE44" s="244">
        <f>SUMIFS(Adjustments!H$5:H$684,Adjustments!$B$5:$B$684,'Apr11-Mar12 Billed-RETAIL'!$B44,Adjustments!$C$5:$C$684,'Apr11-Mar12 Billed-RETAIL'!$C44)</f>
        <v>0</v>
      </c>
      <c r="AF44" s="244">
        <f>SUMIFS(Adjustments!I$5:I$684,Adjustments!$B$5:$B$684,'Apr11-Mar12 Billed-RETAIL'!$B44,Adjustments!$C$5:$C$684,'Apr11-Mar12 Billed-RETAIL'!$C44)</f>
        <v>0</v>
      </c>
      <c r="AG44" s="238">
        <f>SUMIFS(Adjustments!J$5:J$684,Adjustments!$B$5:$B$684,'Apr11-Mar12 Billed-RETAIL'!$B44,Adjustments!$C$5:$C$684,'Apr11-Mar12 Billed-RETAIL'!$C44)</f>
        <v>0</v>
      </c>
      <c r="AH44" s="238">
        <f>SUMIFS(Adjustments!K$5:K$684,Adjustments!$B$5:$B$684,'Apr11-Mar12 Billed-RETAIL'!$B44,Adjustments!$C$5:$C$684,'Apr11-Mar12 Billed-RETAIL'!$C44)</f>
        <v>0</v>
      </c>
      <c r="AI44" s="238">
        <f>SUMIFS(Adjustments!L$5:L$684,Adjustments!$B$5:$B$684,'Apr11-Mar12 Billed-RETAIL'!$B44,Adjustments!$C$5:$C$684,'Apr11-Mar12 Billed-RETAIL'!$C44)</f>
        <v>0</v>
      </c>
      <c r="AJ44" s="238">
        <f>SUMIFS(Adjustments!M$5:M$684,Adjustments!$B$5:$B$684,'Apr11-Mar12 Billed-RETAIL'!$B44,Adjustments!$C$5:$C$684,'Apr11-Mar12 Billed-RETAIL'!$C44)</f>
        <v>0</v>
      </c>
      <c r="AK44" s="238">
        <f>SUMIFS(Adjustments!N$5:N$684,Adjustments!$B$5:$B$684,'Apr11-Mar12 Billed-RETAIL'!$B44,Adjustments!$C$5:$C$684,'Apr11-Mar12 Billed-RETAIL'!$C44)</f>
        <v>0</v>
      </c>
      <c r="AL44" s="238">
        <f>SUMIFS(Adjustments!O$5:O$684,Adjustments!$B$5:$B$684,'Apr11-Mar12 Billed-RETAIL'!$B44,Adjustments!$C$5:$C$684,'Apr11-Mar12 Billed-RETAIL'!$C44)</f>
        <v>0</v>
      </c>
      <c r="AM44" s="238">
        <f>SUMIFS(Adjustments!P$5:P$684,Adjustments!$B$5:$B$684,'Apr11-Mar12 Billed-RETAIL'!$B44,Adjustments!$C$5:$C$684,'Apr11-Mar12 Billed-RETAIL'!$C44)</f>
        <v>0</v>
      </c>
      <c r="AN44" s="225">
        <f t="shared" si="34"/>
        <v>0</v>
      </c>
      <c r="AO44" s="225">
        <f t="shared" si="26"/>
        <v>0</v>
      </c>
      <c r="AP44" s="225">
        <f t="shared" si="27"/>
        <v>0</v>
      </c>
      <c r="AQ44" s="225">
        <f t="shared" si="28"/>
        <v>0</v>
      </c>
      <c r="AR44" s="232">
        <f ca="1">SUMIF('SBR Jul11'!$D$4:$S$90,'Apr11-Mar12 Billed-RETAIL'!$C44,'SBR Jul11'!$N$4:$N$90)</f>
        <v>0</v>
      </c>
      <c r="AS44" s="232">
        <f ca="1">SUMIF('SBR Jul11'!$D$4:$S$90,'Apr11-Mar12 Billed-RETAIL'!$C44,'SBR Jul11'!$M$4:$M$90)</f>
        <v>0</v>
      </c>
      <c r="AT44" s="232">
        <f ca="1">SUMIF('SBR Jul11'!$D$4:$S$90,'Apr11-Mar12 Billed-RETAIL'!$C44,'SBR Jul11'!$O$4:$O$90)</f>
        <v>0</v>
      </c>
      <c r="AU44" s="225">
        <f t="shared" si="29"/>
        <v>0</v>
      </c>
      <c r="AV44" s="225"/>
      <c r="AW44" s="232">
        <f t="shared" ca="1" si="38"/>
        <v>0</v>
      </c>
      <c r="AX44" s="232">
        <f t="shared" ca="1" si="32"/>
        <v>0</v>
      </c>
      <c r="AY44" s="233">
        <v>1</v>
      </c>
      <c r="AZ44" s="232">
        <f ca="1">SUMIF('SBR Jul11'!$D$4:$S$90,'Apr11-Mar12 Billed-RETAIL'!$C44,'SBR Jul11'!$M$4:$M$90)</f>
        <v>0</v>
      </c>
      <c r="BA44" s="232">
        <f ca="1">SUMIF('SBR Jul11'!$D$4:$S$90,'Apr11-Mar12 Billed-RETAIL'!$C44,'SBR Jul11'!$N$4:$N$90)</f>
        <v>0</v>
      </c>
      <c r="BB44" s="232">
        <f ca="1">SUMIF('SBR Jul11'!$D$4:$S$90,'Apr11-Mar12 Billed-RETAIL'!$C44,'SBR Jul11'!$O$4:$O$90)</f>
        <v>0</v>
      </c>
      <c r="BC44" s="232">
        <f ca="1">SUMIF('SBR Jul11'!$D$4:$S$90,'Apr11-Mar12 Billed-RETAIL'!$C44,'SBR Jul11'!$Q$4:$Q$90)</f>
        <v>0</v>
      </c>
      <c r="BD44" s="232">
        <f ca="1">SUMIF('SBR Jul11'!$D$4:$S$90,'Apr11-Mar12 Billed-RETAIL'!$C44,'SBR Jul11'!$K$4:$K$90)</f>
        <v>0</v>
      </c>
      <c r="BE44" s="232">
        <f ca="1">SUMIF('SBR Jul11'!$D$4:$S$90,'Apr11-Mar12 Billed-RETAIL'!$C44,'SBR Jul11'!$L$4:$L$90)</f>
        <v>0</v>
      </c>
      <c r="BF44" s="232"/>
    </row>
    <row r="45" spans="1:58" ht="15" customHeight="1" x14ac:dyDescent="0.25">
      <c r="A45" s="196">
        <f t="shared" si="15"/>
        <v>40</v>
      </c>
      <c r="B45" s="211">
        <v>40725</v>
      </c>
      <c r="C45" s="211" t="str">
        <f>+'Retail Rates'!B23</f>
        <v>LGING855</v>
      </c>
      <c r="D45" s="197" t="str">
        <f t="shared" si="37"/>
        <v>855</v>
      </c>
      <c r="E45" s="197" t="str">
        <f>VLOOKUP(C45,'Retail Rates'!$B$7:$D$35,3,FALSE)</f>
        <v>IGS</v>
      </c>
      <c r="F45" s="222"/>
      <c r="G45" s="222">
        <f>SUMIFS(Adjustments!F$5:F$151,Adjustments!$B$5:$B$151,'Apr11-Mar12 Billed-RETAIL'!$B45,Adjustments!$C$5:$C$151,'Apr11-Mar12 Billed-RETAIL'!$C45)</f>
        <v>108</v>
      </c>
      <c r="H45" s="222">
        <f>SUMIFS(Adjustments!G$5:G$151,Adjustments!$B$5:$B$151,'Apr11-Mar12 Billed-RETAIL'!$B45,Adjustments!$C$5:$C$151,'Apr11-Mar12 Billed-RETAIL'!$C45)</f>
        <v>97</v>
      </c>
      <c r="I45" s="222">
        <f>SUMIFS('Data-Retail'!$H$4:$H$269,'Data-Retail'!$A$4:$A$269,'Apr11-Mar12 Billed-RETAIL'!$B45,'Data-Retail'!$D$4:$D$269,'Apr11-Mar12 Billed-RETAIL'!$C45)</f>
        <v>53866</v>
      </c>
      <c r="J45" s="222">
        <f>SUMIFS('Data-Retail'!$I$4:$I$269,'Data-Retail'!$A$4:$A$269,'Apr11-Mar12 Billed-RETAIL'!$B45,'Data-Retail'!$D$4:$D$269,'Apr11-Mar12 Billed-RETAIL'!$C45)</f>
        <v>288675</v>
      </c>
      <c r="K45" s="222"/>
      <c r="L45" s="223">
        <f>VLOOKUP($C45,'Retail Rates'!$B$7:$M$35,5,FALSE)</f>
        <v>30</v>
      </c>
      <c r="M45" s="223">
        <f>VLOOKUP($C45,'Retail Rates'!$B$7:$M$35,6,FALSE)</f>
        <v>170</v>
      </c>
      <c r="N45" s="224">
        <f>VLOOKUP($C45,'Retail Rates'!$B$7:$M$35,7,FALSE)</f>
        <v>0.19022</v>
      </c>
      <c r="O45" s="224">
        <f>VLOOKUP($C45,'Retail Rates'!$B$7:$M$35,8,FALSE)</f>
        <v>0.14022000000000001</v>
      </c>
      <c r="P45" s="224">
        <f>VLOOKUP($B45,'GSC-DSM Factors'!$A$1:$B$46,2,FALSE)</f>
        <v>0.56142999999999998</v>
      </c>
      <c r="Q45" s="223">
        <f>VLOOKUP($C45,'Retail Rates'!$B$7:$M$35,9,FALSE)</f>
        <v>0</v>
      </c>
      <c r="R45" s="224">
        <f>VLOOKUP($C45,'Retail Rates'!$B$7:$M$35,10,FALSE)</f>
        <v>0</v>
      </c>
      <c r="S45" s="223">
        <f>VLOOKUP($C45,'Retail Rates'!$B$7:$M$35,11,FALSE)</f>
        <v>0</v>
      </c>
      <c r="T45" s="223"/>
      <c r="U45" s="225">
        <f t="shared" si="31"/>
        <v>3240</v>
      </c>
      <c r="V45" s="225"/>
      <c r="W45" s="225">
        <f>+H45*M45</f>
        <v>16490</v>
      </c>
      <c r="X45" s="225">
        <f>+I45*N45</f>
        <v>10246.390520000001</v>
      </c>
      <c r="Y45" s="225">
        <f t="shared" si="35"/>
        <v>40478.008500000004</v>
      </c>
      <c r="Z45" s="225">
        <f t="shared" si="40"/>
        <v>192312.79363</v>
      </c>
      <c r="AA45" s="225"/>
      <c r="AB45" s="225"/>
      <c r="AC45" s="225"/>
      <c r="AD45" s="225"/>
      <c r="AE45" s="244">
        <f>SUMIFS(Adjustments!H$5:H$684,Adjustments!$B$5:$B$684,'Apr11-Mar12 Billed-RETAIL'!$B45,Adjustments!$C$5:$C$684,'Apr11-Mar12 Billed-RETAIL'!$C45)</f>
        <v>0</v>
      </c>
      <c r="AF45" s="244">
        <f>SUMIFS(Adjustments!I$5:I$684,Adjustments!$B$5:$B$684,'Apr11-Mar12 Billed-RETAIL'!$B45,Adjustments!$C$5:$C$684,'Apr11-Mar12 Billed-RETAIL'!$C45)</f>
        <v>0</v>
      </c>
      <c r="AG45" s="238">
        <f>SUMIFS(Adjustments!J$5:J$684,Adjustments!$B$5:$B$684,'Apr11-Mar12 Billed-RETAIL'!$B45,Adjustments!$C$5:$C$684,'Apr11-Mar12 Billed-RETAIL'!$C45)</f>
        <v>1</v>
      </c>
      <c r="AH45" s="238">
        <f>SUMIFS(Adjustments!K$5:K$684,Adjustments!$B$5:$B$684,'Apr11-Mar12 Billed-RETAIL'!$B45,Adjustments!$C$5:$C$684,'Apr11-Mar12 Billed-RETAIL'!$C45)</f>
        <v>0</v>
      </c>
      <c r="AI45" s="238">
        <f>SUMIFS(Adjustments!L$5:L$684,Adjustments!$B$5:$B$684,'Apr11-Mar12 Billed-RETAIL'!$B45,Adjustments!$C$5:$C$684,'Apr11-Mar12 Billed-RETAIL'!$C45)</f>
        <v>0</v>
      </c>
      <c r="AJ45" s="238">
        <f>SUMIFS(Adjustments!M$5:M$684,Adjustments!$B$5:$B$684,'Apr11-Mar12 Billed-RETAIL'!$B45,Adjustments!$C$5:$C$684,'Apr11-Mar12 Billed-RETAIL'!$C45)</f>
        <v>0</v>
      </c>
      <c r="AK45" s="238">
        <f>SUMIFS(Adjustments!N$5:N$684,Adjustments!$B$5:$B$684,'Apr11-Mar12 Billed-RETAIL'!$B45,Adjustments!$C$5:$C$684,'Apr11-Mar12 Billed-RETAIL'!$C45)</f>
        <v>0</v>
      </c>
      <c r="AL45" s="238">
        <f>SUMIFS(Adjustments!O$5:O$684,Adjustments!$B$5:$B$684,'Apr11-Mar12 Billed-RETAIL'!$B45,Adjustments!$C$5:$C$684,'Apr11-Mar12 Billed-RETAIL'!$C45)</f>
        <v>0</v>
      </c>
      <c r="AM45" s="238">
        <f>SUMIFS(Adjustments!P$5:P$684,Adjustments!$B$5:$B$684,'Apr11-Mar12 Billed-RETAIL'!$B45,Adjustments!$C$5:$C$684,'Apr11-Mar12 Billed-RETAIL'!$C45)</f>
        <v>0</v>
      </c>
      <c r="AN45" s="225">
        <f t="shared" si="34"/>
        <v>3241</v>
      </c>
      <c r="AO45" s="225">
        <f t="shared" si="26"/>
        <v>16490</v>
      </c>
      <c r="AP45" s="225">
        <f t="shared" si="27"/>
        <v>10246.390520000001</v>
      </c>
      <c r="AQ45" s="225">
        <f t="shared" si="28"/>
        <v>40478.008500000004</v>
      </c>
      <c r="AR45" s="232">
        <f ca="1">SUMIF('SBR Jul11'!$D$4:$S$90,'Apr11-Mar12 Billed-RETAIL'!$C45,'SBR Jul11'!$N$4:$N$90)</f>
        <v>192312.75999999998</v>
      </c>
      <c r="AS45" s="232">
        <f ca="1">SUMIF('SBR Jul11'!$D$4:$S$90,'Apr11-Mar12 Billed-RETAIL'!$C45,'SBR Jul11'!$M$4:$M$90)</f>
        <v>0</v>
      </c>
      <c r="AT45" s="232">
        <f ca="1">SUMIF('SBR Jul11'!$D$4:$S$90,'Apr11-Mar12 Billed-RETAIL'!$C45,'SBR Jul11'!$O$4:$O$90)</f>
        <v>0</v>
      </c>
      <c r="AU45" s="225">
        <f t="shared" si="29"/>
        <v>0</v>
      </c>
      <c r="AV45" s="225"/>
      <c r="AW45" s="232">
        <f t="shared" ca="1" si="38"/>
        <v>262768.15999999997</v>
      </c>
      <c r="AX45" s="232">
        <f t="shared" ca="1" si="32"/>
        <v>262768.09999999998</v>
      </c>
      <c r="AY45" s="233">
        <f t="shared" ca="1" si="39"/>
        <v>1</v>
      </c>
      <c r="AZ45" s="232">
        <f ca="1">SUMIF('SBR Jul11'!$D$4:$S$90,'Apr11-Mar12 Billed-RETAIL'!$C45,'SBR Jul11'!$M$4:$M$90)</f>
        <v>0</v>
      </c>
      <c r="BA45" s="232">
        <f ca="1">SUMIF('SBR Jul11'!$D$4:$S$90,'Apr11-Mar12 Billed-RETAIL'!$C45,'SBR Jul11'!$N$4:$N$90)</f>
        <v>192312.75999999998</v>
      </c>
      <c r="BB45" s="232">
        <f ca="1">SUMIF('SBR Jul11'!$D$4:$S$90,'Apr11-Mar12 Billed-RETAIL'!$C45,'SBR Jul11'!$O$4:$O$90)</f>
        <v>0</v>
      </c>
      <c r="BC45" s="232">
        <f ca="1">SUMIF('SBR Jul11'!$D$4:$S$90,'Apr11-Mar12 Billed-RETAIL'!$C45,'SBR Jul11'!$Q$4:$Q$90)</f>
        <v>0</v>
      </c>
      <c r="BD45" s="232">
        <f ca="1">SUMIF('SBR Jul11'!$D$4:$S$90,'Apr11-Mar12 Billed-RETAIL'!$C45,'SBR Jul11'!$K$4:$K$90)</f>
        <v>19731</v>
      </c>
      <c r="BE45" s="232">
        <f ca="1">SUMIF('SBR Jul11'!$D$4:$S$90,'Apr11-Mar12 Billed-RETAIL'!$C45,'SBR Jul11'!$L$4:$L$90)</f>
        <v>50724.34</v>
      </c>
      <c r="BF45" s="232"/>
    </row>
    <row r="46" spans="1:58" ht="15" customHeight="1" x14ac:dyDescent="0.25">
      <c r="A46" s="196">
        <f t="shared" si="15"/>
        <v>41</v>
      </c>
      <c r="B46" s="211">
        <v>40725</v>
      </c>
      <c r="C46" s="211" t="str">
        <f>+'Retail Rates'!B26</f>
        <v>LGRSG811</v>
      </c>
      <c r="D46" s="197" t="str">
        <f t="shared" si="37"/>
        <v>811</v>
      </c>
      <c r="E46" s="197" t="str">
        <f>VLOOKUP(C46,'Retail Rates'!$B$7:$D$35,3,FALSE)</f>
        <v>RGS</v>
      </c>
      <c r="F46" s="222">
        <f>SUMIFS('Data-Retail'!$G$4:$G$269,'Data-Retail'!$A$4:$A$269,'Apr11-Mar12 Billed-RETAIL'!$B46,'Data-Retail'!$D$4:$D$269,'Apr11-Mar12 Billed-RETAIL'!$C46)</f>
        <v>290954</v>
      </c>
      <c r="G46" s="222"/>
      <c r="H46" s="222"/>
      <c r="I46" s="222">
        <f>SUMIFS('Data-Retail'!$H$4:$H$269,'Data-Retail'!$A$4:$A$269,'Apr11-Mar12 Billed-RETAIL'!$B46,'Data-Retail'!$D$4:$D$269,'Apr11-Mar12 Billed-RETAIL'!$C46)</f>
        <v>3837828</v>
      </c>
      <c r="J46" s="222">
        <f>SUMIFS('Data-Retail'!$I$4:$I$269,'Data-Retail'!$A$4:$A$269,'Apr11-Mar12 Billed-RETAIL'!$B46,'Data-Retail'!$D$4:$D$269,'Apr11-Mar12 Billed-RETAIL'!$C46)</f>
        <v>0</v>
      </c>
      <c r="K46" s="222"/>
      <c r="L46" s="223">
        <f>VLOOKUP($C46,'Retail Rates'!$B$7:$M$35,5,FALSE)</f>
        <v>12.5</v>
      </c>
      <c r="M46" s="223">
        <f>VLOOKUP($C46,'Retail Rates'!$B$7:$M$35,6,FALSE)</f>
        <v>0</v>
      </c>
      <c r="N46" s="224">
        <f>VLOOKUP($C46,'Retail Rates'!$B$7:$M$35,7,FALSE)</f>
        <v>0.22395999999999999</v>
      </c>
      <c r="O46" s="224">
        <f>VLOOKUP($C46,'Retail Rates'!$B$7:$M$35,8,FALSE)</f>
        <v>0</v>
      </c>
      <c r="P46" s="224">
        <f>VLOOKUP($B46,'GSC-DSM Factors'!$A$1:$B$46,2,FALSE)</f>
        <v>0.56142999999999998</v>
      </c>
      <c r="Q46" s="223">
        <f>VLOOKUP($C46,'Retail Rates'!$B$7:$M$35,9,FALSE)</f>
        <v>0</v>
      </c>
      <c r="R46" s="224">
        <f>VLOOKUP($C46,'Retail Rates'!$B$7:$M$35,10,FALSE)</f>
        <v>0</v>
      </c>
      <c r="S46" s="223">
        <f>VLOOKUP($C46,'Retail Rates'!$B$7:$M$35,11,FALSE)</f>
        <v>0</v>
      </c>
      <c r="T46" s="223"/>
      <c r="U46" s="225">
        <f t="shared" si="31"/>
        <v>3636925</v>
      </c>
      <c r="V46" s="225"/>
      <c r="W46" s="225"/>
      <c r="X46" s="225">
        <f>+I46*N46</f>
        <v>859519.95887999993</v>
      </c>
      <c r="Y46" s="225">
        <f t="shared" si="35"/>
        <v>0</v>
      </c>
      <c r="Z46" s="225">
        <f t="shared" si="40"/>
        <v>2154671.77404</v>
      </c>
      <c r="AA46" s="225"/>
      <c r="AB46" s="225"/>
      <c r="AC46" s="225"/>
      <c r="AD46" s="225"/>
      <c r="AE46" s="244">
        <f>SUMIFS(Adjustments!H$5:H$684,Adjustments!$B$5:$B$684,'Apr11-Mar12 Billed-RETAIL'!$B46,Adjustments!$C$5:$C$684,'Apr11-Mar12 Billed-RETAIL'!$C46)</f>
        <v>-854</v>
      </c>
      <c r="AF46" s="244">
        <f>SUMIFS(Adjustments!I$5:I$684,Adjustments!$B$5:$B$684,'Apr11-Mar12 Billed-RETAIL'!$B46,Adjustments!$C$5:$C$684,'Apr11-Mar12 Billed-RETAIL'!$C46)</f>
        <v>0</v>
      </c>
      <c r="AG46" s="238">
        <f>SUMIFS(Adjustments!J$5:J$684,Adjustments!$B$5:$B$684,'Apr11-Mar12 Billed-RETAIL'!$B46,Adjustments!$C$5:$C$684,'Apr11-Mar12 Billed-RETAIL'!$C46)</f>
        <v>12.16</v>
      </c>
      <c r="AH46" s="238">
        <f>SUMIFS(Adjustments!K$5:K$684,Adjustments!$B$5:$B$684,'Apr11-Mar12 Billed-RETAIL'!$B46,Adjustments!$C$5:$C$684,'Apr11-Mar12 Billed-RETAIL'!$C46)</f>
        <v>0</v>
      </c>
      <c r="AI46" s="238">
        <f>SUMIFS(Adjustments!L$5:L$684,Adjustments!$B$5:$B$684,'Apr11-Mar12 Billed-RETAIL'!$B46,Adjustments!$C$5:$C$684,'Apr11-Mar12 Billed-RETAIL'!$C46)</f>
        <v>112.07</v>
      </c>
      <c r="AJ46" s="238">
        <f>SUMIFS(Adjustments!M$5:M$684,Adjustments!$B$5:$B$684,'Apr11-Mar12 Billed-RETAIL'!$B46,Adjustments!$C$5:$C$684,'Apr11-Mar12 Billed-RETAIL'!$C46)</f>
        <v>0</v>
      </c>
      <c r="AK46" s="238">
        <f>SUMIFS(Adjustments!N$5:N$684,Adjustments!$B$5:$B$684,'Apr11-Mar12 Billed-RETAIL'!$B46,Adjustments!$C$5:$C$684,'Apr11-Mar12 Billed-RETAIL'!$C46)</f>
        <v>0</v>
      </c>
      <c r="AL46" s="238">
        <f>SUMIFS(Adjustments!O$5:O$684,Adjustments!$B$5:$B$684,'Apr11-Mar12 Billed-RETAIL'!$B46,Adjustments!$C$5:$C$684,'Apr11-Mar12 Billed-RETAIL'!$C46)</f>
        <v>0</v>
      </c>
      <c r="AM46" s="238">
        <f>SUMIFS(Adjustments!P$5:P$684,Adjustments!$B$5:$B$684,'Apr11-Mar12 Billed-RETAIL'!$B46,Adjustments!$C$5:$C$684,'Apr11-Mar12 Billed-RETAIL'!$C46)</f>
        <v>0</v>
      </c>
      <c r="AN46" s="225">
        <f t="shared" si="34"/>
        <v>3626262.16</v>
      </c>
      <c r="AO46" s="225">
        <f t="shared" si="26"/>
        <v>0</v>
      </c>
      <c r="AP46" s="225">
        <f t="shared" si="27"/>
        <v>859632.02887999988</v>
      </c>
      <c r="AQ46" s="225">
        <f t="shared" si="28"/>
        <v>0</v>
      </c>
      <c r="AR46" s="232">
        <f ca="1">SUMIF('SBR Jul11'!$D$4:$S$90,'Apr11-Mar12 Billed-RETAIL'!$C46,'SBR Jul11'!$N$4:$N$90)</f>
        <v>2155030.2000000002</v>
      </c>
      <c r="AS46" s="232">
        <f ca="1">SUMIF('SBR Jul11'!$D$4:$S$90,'Apr11-Mar12 Billed-RETAIL'!$C46,'SBR Jul11'!$M$4:$M$90)</f>
        <v>72522.009999999995</v>
      </c>
      <c r="AT46" s="232">
        <f ca="1">SUMIF('SBR Jul11'!$D$4:$S$90,'Apr11-Mar12 Billed-RETAIL'!$C46,'SBR Jul11'!$O$4:$O$90)</f>
        <v>-402.37</v>
      </c>
      <c r="AU46" s="225">
        <f t="shared" si="29"/>
        <v>0</v>
      </c>
      <c r="AV46" s="225"/>
      <c r="AW46" s="232">
        <f t="shared" ca="1" si="38"/>
        <v>6713044.0300000003</v>
      </c>
      <c r="AX46" s="232">
        <f t="shared" ca="1" si="32"/>
        <v>6713044.0300000003</v>
      </c>
      <c r="AY46" s="233">
        <f t="shared" ca="1" si="39"/>
        <v>1</v>
      </c>
      <c r="AZ46" s="232">
        <f ca="1">SUMIF('SBR Jul11'!$D$4:$S$90,'Apr11-Mar12 Billed-RETAIL'!$C46,'SBR Jul11'!$M$4:$M$90)</f>
        <v>72522.009999999995</v>
      </c>
      <c r="BA46" s="232">
        <f ca="1">SUMIF('SBR Jul11'!$D$4:$S$90,'Apr11-Mar12 Billed-RETAIL'!$C46,'SBR Jul11'!$N$4:$N$90)</f>
        <v>2155030.2000000002</v>
      </c>
      <c r="BB46" s="232">
        <f ca="1">SUMIF('SBR Jul11'!$D$4:$S$90,'Apr11-Mar12 Billed-RETAIL'!$C46,'SBR Jul11'!$O$4:$O$90)</f>
        <v>-402.37</v>
      </c>
      <c r="BC46" s="232">
        <f ca="1">SUMIF('SBR Jul11'!$D$4:$S$90,'Apr11-Mar12 Billed-RETAIL'!$C46,'SBR Jul11'!$Q$4:$Q$90)</f>
        <v>43980.3</v>
      </c>
      <c r="BD46" s="232">
        <f ca="1">SUMIF('SBR Jul11'!$D$4:$S$90,'Apr11-Mar12 Billed-RETAIL'!$C46,'SBR Jul11'!$K$4:$K$90)</f>
        <v>3626262.16</v>
      </c>
      <c r="BE46" s="232">
        <f ca="1">SUMIF('SBR Jul11'!$D$4:$S$90,'Apr11-Mar12 Billed-RETAIL'!$C46,'SBR Jul11'!$L$4:$L$90)</f>
        <v>859632.03</v>
      </c>
      <c r="BF46" s="232"/>
    </row>
    <row r="47" spans="1:58" ht="15" customHeight="1" x14ac:dyDescent="0.25">
      <c r="A47" s="196">
        <f t="shared" si="15"/>
        <v>42</v>
      </c>
      <c r="B47" s="211">
        <v>40725</v>
      </c>
      <c r="C47" s="211" t="str">
        <f>+'Retail Rates'!B27</f>
        <v>LGRSG811S1</v>
      </c>
      <c r="D47" s="197" t="str">
        <f t="shared" si="37"/>
        <v>811</v>
      </c>
      <c r="E47" s="197" t="str">
        <f>VLOOKUP(C47,'Retail Rates'!$B$7:$D$35,3,FALSE)</f>
        <v>RGS</v>
      </c>
      <c r="F47" s="222">
        <f>SUMIFS('Data-Retail'!$G$4:$G$269,'Data-Retail'!$A$4:$A$269,'Apr11-Mar12 Billed-RETAIL'!$B47,'Data-Retail'!$D$4:$D$269,'Apr11-Mar12 Billed-RETAIL'!$C47)</f>
        <v>1</v>
      </c>
      <c r="G47" s="222"/>
      <c r="H47" s="222"/>
      <c r="I47" s="222">
        <f>SUMIFS('Data-Retail'!$H$4:$H$269,'Data-Retail'!$A$4:$A$269,'Apr11-Mar12 Billed-RETAIL'!$B47,'Data-Retail'!$D$4:$D$269,'Apr11-Mar12 Billed-RETAIL'!$C47)</f>
        <v>49</v>
      </c>
      <c r="J47" s="222">
        <f>SUMIFS('Data-Retail'!$I$4:$I$269,'Data-Retail'!$A$4:$A$269,'Apr11-Mar12 Billed-RETAIL'!$B47,'Data-Retail'!$D$4:$D$269,'Apr11-Mar12 Billed-RETAIL'!$C47)</f>
        <v>0</v>
      </c>
      <c r="K47" s="222"/>
      <c r="L47" s="223">
        <f>VLOOKUP($C47,'Retail Rates'!$B$7:$M$35,5,FALSE)</f>
        <v>12.5</v>
      </c>
      <c r="M47" s="223">
        <f>VLOOKUP($C47,'Retail Rates'!$B$7:$M$35,6,FALSE)</f>
        <v>0</v>
      </c>
      <c r="N47" s="224">
        <f>VLOOKUP($C47,'Retail Rates'!$B$7:$M$35,7,FALSE)</f>
        <v>0.22395999999999999</v>
      </c>
      <c r="O47" s="224">
        <f>VLOOKUP($C47,'Retail Rates'!$B$7:$M$35,8,FALSE)</f>
        <v>0</v>
      </c>
      <c r="P47" s="224">
        <f>VLOOKUP($B47,'GSC-DSM Factors'!$A$1:$B$46,2,FALSE)</f>
        <v>0.56142999999999998</v>
      </c>
      <c r="Q47" s="223">
        <f>VLOOKUP($C47,'Retail Rates'!$B$7:$M$35,9,FALSE)</f>
        <v>0</v>
      </c>
      <c r="R47" s="224">
        <f>VLOOKUP($C47,'Retail Rates'!$B$7:$M$35,10,FALSE)</f>
        <v>0</v>
      </c>
      <c r="S47" s="223">
        <f>VLOOKUP($C47,'Retail Rates'!$B$7:$M$35,11,FALSE)</f>
        <v>0</v>
      </c>
      <c r="T47" s="223"/>
      <c r="U47" s="225">
        <f t="shared" si="31"/>
        <v>12.5</v>
      </c>
      <c r="V47" s="225"/>
      <c r="W47" s="225"/>
      <c r="X47" s="225">
        <f>+I47*N47</f>
        <v>10.97404</v>
      </c>
      <c r="Y47" s="225">
        <f t="shared" si="35"/>
        <v>0</v>
      </c>
      <c r="Z47" s="225">
        <f t="shared" si="40"/>
        <v>27.510069999999999</v>
      </c>
      <c r="AA47" s="225"/>
      <c r="AB47" s="225"/>
      <c r="AC47" s="225"/>
      <c r="AD47" s="225"/>
      <c r="AE47" s="244">
        <f>SUMIFS(Adjustments!H$5:H$684,Adjustments!$B$5:$B$684,'Apr11-Mar12 Billed-RETAIL'!$B47,Adjustments!$C$5:$C$684,'Apr11-Mar12 Billed-RETAIL'!$C47)</f>
        <v>0</v>
      </c>
      <c r="AF47" s="244">
        <f>SUMIFS(Adjustments!I$5:I$684,Adjustments!$B$5:$B$684,'Apr11-Mar12 Billed-RETAIL'!$B47,Adjustments!$C$5:$C$684,'Apr11-Mar12 Billed-RETAIL'!$C47)</f>
        <v>0</v>
      </c>
      <c r="AG47" s="238">
        <f>SUMIFS(Adjustments!J$5:J$684,Adjustments!$B$5:$B$684,'Apr11-Mar12 Billed-RETAIL'!$B47,Adjustments!$C$5:$C$684,'Apr11-Mar12 Billed-RETAIL'!$C47)</f>
        <v>-12</v>
      </c>
      <c r="AH47" s="238">
        <f>SUMIFS(Adjustments!K$5:K$684,Adjustments!$B$5:$B$684,'Apr11-Mar12 Billed-RETAIL'!$B47,Adjustments!$C$5:$C$684,'Apr11-Mar12 Billed-RETAIL'!$C47)</f>
        <v>0</v>
      </c>
      <c r="AI47" s="238">
        <f>SUMIFS(Adjustments!L$5:L$684,Adjustments!$B$5:$B$684,'Apr11-Mar12 Billed-RETAIL'!$B47,Adjustments!$C$5:$C$684,'Apr11-Mar12 Billed-RETAIL'!$C47)</f>
        <v>-13.18</v>
      </c>
      <c r="AJ47" s="238">
        <f>SUMIFS(Adjustments!M$5:M$684,Adjustments!$B$5:$B$684,'Apr11-Mar12 Billed-RETAIL'!$B47,Adjustments!$C$5:$C$684,'Apr11-Mar12 Billed-RETAIL'!$C47)</f>
        <v>0</v>
      </c>
      <c r="AK47" s="238">
        <f>SUMIFS(Adjustments!N$5:N$684,Adjustments!$B$5:$B$684,'Apr11-Mar12 Billed-RETAIL'!$B47,Adjustments!$C$5:$C$684,'Apr11-Mar12 Billed-RETAIL'!$C47)</f>
        <v>0</v>
      </c>
      <c r="AL47" s="238">
        <f>SUMIFS(Adjustments!O$5:O$684,Adjustments!$B$5:$B$684,'Apr11-Mar12 Billed-RETAIL'!$B47,Adjustments!$C$5:$C$684,'Apr11-Mar12 Billed-RETAIL'!$C47)</f>
        <v>0</v>
      </c>
      <c r="AM47" s="238">
        <f>SUMIFS(Adjustments!P$5:P$684,Adjustments!$B$5:$B$684,'Apr11-Mar12 Billed-RETAIL'!$B47,Adjustments!$C$5:$C$684,'Apr11-Mar12 Billed-RETAIL'!$C47)</f>
        <v>0</v>
      </c>
      <c r="AN47" s="225">
        <f t="shared" si="34"/>
        <v>0.5</v>
      </c>
      <c r="AO47" s="225">
        <f t="shared" si="26"/>
        <v>0</v>
      </c>
      <c r="AP47" s="225">
        <f t="shared" si="27"/>
        <v>-2.2059599999999993</v>
      </c>
      <c r="AQ47" s="225">
        <f t="shared" si="28"/>
        <v>0</v>
      </c>
      <c r="AR47" s="232">
        <f ca="1">SUMIF('SBR Jul11'!$D$4:$S$90,'Apr11-Mar12 Billed-RETAIL'!$C47,'SBR Jul11'!$N$4:$N$90)</f>
        <v>27.51</v>
      </c>
      <c r="AS47" s="232">
        <f ca="1">SUMIF('SBR Jul11'!$D$4:$S$90,'Apr11-Mar12 Billed-RETAIL'!$C47,'SBR Jul11'!$M$4:$M$90)</f>
        <v>0</v>
      </c>
      <c r="AT47" s="232">
        <f ca="1">SUMIF('SBR Jul11'!$D$4:$S$90,'Apr11-Mar12 Billed-RETAIL'!$C47,'SBR Jul11'!$O$4:$O$90)</f>
        <v>0</v>
      </c>
      <c r="AU47" s="225">
        <f t="shared" si="29"/>
        <v>0</v>
      </c>
      <c r="AV47" s="225"/>
      <c r="AW47" s="232">
        <f t="shared" ca="1" si="38"/>
        <v>25.8</v>
      </c>
      <c r="AX47" s="232">
        <f t="shared" ca="1" si="32"/>
        <v>25.8</v>
      </c>
      <c r="AY47" s="233">
        <f t="shared" ca="1" si="39"/>
        <v>1</v>
      </c>
      <c r="AZ47" s="232">
        <f ca="1">SUMIF('SBR Jul11'!$D$4:$S$90,'Apr11-Mar12 Billed-RETAIL'!$C47,'SBR Jul11'!$M$4:$M$90)</f>
        <v>0</v>
      </c>
      <c r="BA47" s="232">
        <f ca="1">SUMIF('SBR Jul11'!$D$4:$S$90,'Apr11-Mar12 Billed-RETAIL'!$C47,'SBR Jul11'!$N$4:$N$90)</f>
        <v>27.51</v>
      </c>
      <c r="BB47" s="232">
        <f ca="1">SUMIF('SBR Jul11'!$D$4:$S$90,'Apr11-Mar12 Billed-RETAIL'!$C47,'SBR Jul11'!$O$4:$O$90)</f>
        <v>0</v>
      </c>
      <c r="BC47" s="232">
        <f ca="1">SUMIF('SBR Jul11'!$D$4:$S$90,'Apr11-Mar12 Billed-RETAIL'!$C47,'SBR Jul11'!$Q$4:$Q$90)</f>
        <v>0</v>
      </c>
      <c r="BD47" s="232">
        <f ca="1">SUMIF('SBR Jul11'!$D$4:$S$90,'Apr11-Mar12 Billed-RETAIL'!$C47,'SBR Jul11'!$K$4:$K$90)</f>
        <v>0.5</v>
      </c>
      <c r="BE47" s="232">
        <f ca="1">SUMIF('SBR Jul11'!$D$4:$S$90,'Apr11-Mar12 Billed-RETAIL'!$C47,'SBR Jul11'!$L$4:$L$90)</f>
        <v>-2.21</v>
      </c>
      <c r="BF47" s="232"/>
    </row>
    <row r="48" spans="1:58" ht="15" customHeight="1" x14ac:dyDescent="0.25">
      <c r="A48" s="196">
        <f t="shared" si="15"/>
        <v>43</v>
      </c>
      <c r="B48" s="211">
        <v>40725</v>
      </c>
      <c r="C48" s="211" t="str">
        <f>+'Retail Rates'!B28</f>
        <v>LGRSG840</v>
      </c>
      <c r="D48" s="197" t="str">
        <f t="shared" si="37"/>
        <v>840</v>
      </c>
      <c r="E48" s="197" t="str">
        <f>VLOOKUP(C48,'Retail Rates'!$B$7:$D$35,3,FALSE)</f>
        <v>RGS</v>
      </c>
      <c r="F48" s="222">
        <f>SUMIFS('Data-Retail'!$G$4:$G$269,'Data-Retail'!$A$4:$A$269,'Apr11-Mar12 Billed-RETAIL'!$B48,'Data-Retail'!$D$4:$D$269,'Apr11-Mar12 Billed-RETAIL'!$C48)</f>
        <v>4</v>
      </c>
      <c r="G48" s="222"/>
      <c r="H48" s="222"/>
      <c r="I48" s="222">
        <f>SUMIFS('Data-Retail'!$H$4:$H$269,'Data-Retail'!$A$4:$A$269,'Apr11-Mar12 Billed-RETAIL'!$B48,'Data-Retail'!$D$4:$D$269,'Apr11-Mar12 Billed-RETAIL'!$C48)</f>
        <v>345</v>
      </c>
      <c r="J48" s="222">
        <f>SUMIFS('Data-Retail'!$I$4:$I$269,'Data-Retail'!$A$4:$A$269,'Apr11-Mar12 Billed-RETAIL'!$B48,'Data-Retail'!$D$4:$D$269,'Apr11-Mar12 Billed-RETAIL'!$C48)</f>
        <v>0</v>
      </c>
      <c r="K48" s="222"/>
      <c r="L48" s="223">
        <f>VLOOKUP($C48,'Retail Rates'!$B$7:$M$35,5,FALSE)</f>
        <v>12.5</v>
      </c>
      <c r="M48" s="223">
        <f>VLOOKUP($C48,'Retail Rates'!$B$7:$M$35,6,FALSE)</f>
        <v>0</v>
      </c>
      <c r="N48" s="224">
        <f>VLOOKUP($C48,'Retail Rates'!$B$7:$M$35,7,FALSE)</f>
        <v>0.22395999999999999</v>
      </c>
      <c r="O48" s="224">
        <f>VLOOKUP($C48,'Retail Rates'!$B$7:$M$35,8,FALSE)</f>
        <v>0</v>
      </c>
      <c r="P48" s="224">
        <f>VLOOKUP($B48,'GSC-DSM Factors'!$A$1:$B$46,2,FALSE)</f>
        <v>0.56142999999999998</v>
      </c>
      <c r="Q48" s="223">
        <f>VLOOKUP($C48,'Retail Rates'!$B$7:$M$35,9,FALSE)</f>
        <v>0</v>
      </c>
      <c r="R48" s="224">
        <f>VLOOKUP($C48,'Retail Rates'!$B$7:$M$35,10,FALSE)</f>
        <v>0</v>
      </c>
      <c r="S48" s="223">
        <f>VLOOKUP($C48,'Retail Rates'!$B$7:$M$35,11,FALSE)</f>
        <v>0</v>
      </c>
      <c r="T48" s="223"/>
      <c r="U48" s="225">
        <f t="shared" si="31"/>
        <v>50</v>
      </c>
      <c r="V48" s="225"/>
      <c r="W48" s="225"/>
      <c r="X48" s="225">
        <f>+I48*N48</f>
        <v>77.266199999999998</v>
      </c>
      <c r="Y48" s="225">
        <f t="shared" si="35"/>
        <v>0</v>
      </c>
      <c r="Z48" s="225">
        <f t="shared" si="40"/>
        <v>193.69334999999998</v>
      </c>
      <c r="AA48" s="225"/>
      <c r="AB48" s="225"/>
      <c r="AC48" s="225"/>
      <c r="AD48" s="225"/>
      <c r="AE48" s="244">
        <f>SUMIFS(Adjustments!H$5:H$684,Adjustments!$B$5:$B$684,'Apr11-Mar12 Billed-RETAIL'!$B48,Adjustments!$C$5:$C$684,'Apr11-Mar12 Billed-RETAIL'!$C48)</f>
        <v>0</v>
      </c>
      <c r="AF48" s="244">
        <f>SUMIFS(Adjustments!I$5:I$684,Adjustments!$B$5:$B$684,'Apr11-Mar12 Billed-RETAIL'!$B48,Adjustments!$C$5:$C$684,'Apr11-Mar12 Billed-RETAIL'!$C48)</f>
        <v>0</v>
      </c>
      <c r="AG48" s="238">
        <f>SUMIFS(Adjustments!J$5:J$684,Adjustments!$B$5:$B$684,'Apr11-Mar12 Billed-RETAIL'!$B48,Adjustments!$C$5:$C$684,'Apr11-Mar12 Billed-RETAIL'!$C48)</f>
        <v>0</v>
      </c>
      <c r="AH48" s="238">
        <f>SUMIFS(Adjustments!K$5:K$684,Adjustments!$B$5:$B$684,'Apr11-Mar12 Billed-RETAIL'!$B48,Adjustments!$C$5:$C$684,'Apr11-Mar12 Billed-RETAIL'!$C48)</f>
        <v>0</v>
      </c>
      <c r="AI48" s="238">
        <f>SUMIFS(Adjustments!L$5:L$684,Adjustments!$B$5:$B$684,'Apr11-Mar12 Billed-RETAIL'!$B48,Adjustments!$C$5:$C$684,'Apr11-Mar12 Billed-RETAIL'!$C48)</f>
        <v>0</v>
      </c>
      <c r="AJ48" s="238">
        <f>SUMIFS(Adjustments!M$5:M$684,Adjustments!$B$5:$B$684,'Apr11-Mar12 Billed-RETAIL'!$B48,Adjustments!$C$5:$C$684,'Apr11-Mar12 Billed-RETAIL'!$C48)</f>
        <v>0</v>
      </c>
      <c r="AK48" s="238">
        <f>SUMIFS(Adjustments!N$5:N$684,Adjustments!$B$5:$B$684,'Apr11-Mar12 Billed-RETAIL'!$B48,Adjustments!$C$5:$C$684,'Apr11-Mar12 Billed-RETAIL'!$C48)</f>
        <v>0</v>
      </c>
      <c r="AL48" s="238">
        <f>SUMIFS(Adjustments!O$5:O$684,Adjustments!$B$5:$B$684,'Apr11-Mar12 Billed-RETAIL'!$B48,Adjustments!$C$5:$C$684,'Apr11-Mar12 Billed-RETAIL'!$C48)</f>
        <v>0</v>
      </c>
      <c r="AM48" s="238">
        <f>SUMIFS(Adjustments!P$5:P$684,Adjustments!$B$5:$B$684,'Apr11-Mar12 Billed-RETAIL'!$B48,Adjustments!$C$5:$C$684,'Apr11-Mar12 Billed-RETAIL'!$C48)</f>
        <v>0</v>
      </c>
      <c r="AN48" s="225">
        <f t="shared" si="34"/>
        <v>50</v>
      </c>
      <c r="AO48" s="225">
        <f t="shared" si="26"/>
        <v>0</v>
      </c>
      <c r="AP48" s="225">
        <f t="shared" si="27"/>
        <v>77.266199999999998</v>
      </c>
      <c r="AQ48" s="225">
        <f t="shared" si="28"/>
        <v>0</v>
      </c>
      <c r="AR48" s="232">
        <f ca="1">SUMIF('SBR Jul11'!$D$4:$S$90,'Apr11-Mar12 Billed-RETAIL'!$C48,'SBR Jul11'!$N$4:$N$90)</f>
        <v>193.69</v>
      </c>
      <c r="AS48" s="232">
        <f ca="1">SUMIF('SBR Jul11'!$D$4:$S$90,'Apr11-Mar12 Billed-RETAIL'!$C48,'SBR Jul11'!$M$4:$M$90)</f>
        <v>6.51</v>
      </c>
      <c r="AT48" s="232">
        <f ca="1">SUMIF('SBR Jul11'!$D$4:$S$90,'Apr11-Mar12 Billed-RETAIL'!$C48,'SBR Jul11'!$O$4:$O$90)</f>
        <v>0</v>
      </c>
      <c r="AU48" s="225">
        <f t="shared" si="29"/>
        <v>0</v>
      </c>
      <c r="AV48" s="225"/>
      <c r="AW48" s="232">
        <f t="shared" ca="1" si="38"/>
        <v>327.47000000000003</v>
      </c>
      <c r="AX48" s="232">
        <f t="shared" ca="1" si="32"/>
        <v>327.47000000000003</v>
      </c>
      <c r="AY48" s="233">
        <f t="shared" ca="1" si="39"/>
        <v>1</v>
      </c>
      <c r="AZ48" s="232">
        <f ca="1">SUMIF('SBR Jul11'!$D$4:$S$90,'Apr11-Mar12 Billed-RETAIL'!$C48,'SBR Jul11'!$M$4:$M$90)</f>
        <v>6.51</v>
      </c>
      <c r="BA48" s="232">
        <f ca="1">SUMIF('SBR Jul11'!$D$4:$S$90,'Apr11-Mar12 Billed-RETAIL'!$C48,'SBR Jul11'!$N$4:$N$90)</f>
        <v>193.69</v>
      </c>
      <c r="BB48" s="232">
        <f ca="1">SUMIF('SBR Jul11'!$D$4:$S$90,'Apr11-Mar12 Billed-RETAIL'!$C48,'SBR Jul11'!$O$4:$O$90)</f>
        <v>0</v>
      </c>
      <c r="BC48" s="232">
        <f ca="1">SUMIF('SBR Jul11'!$D$4:$S$90,'Apr11-Mar12 Billed-RETAIL'!$C48,'SBR Jul11'!$Q$4:$Q$90)</f>
        <v>0</v>
      </c>
      <c r="BD48" s="232">
        <f ca="1">SUMIF('SBR Jul11'!$D$4:$S$90,'Apr11-Mar12 Billed-RETAIL'!$C48,'SBR Jul11'!$K$4:$K$90)</f>
        <v>50</v>
      </c>
      <c r="BE48" s="232">
        <f ca="1">SUMIF('SBR Jul11'!$D$4:$S$90,'Apr11-Mar12 Billed-RETAIL'!$C48,'SBR Jul11'!$L$4:$L$90)</f>
        <v>77.27000000000001</v>
      </c>
      <c r="BF48" s="232"/>
    </row>
    <row r="49" spans="1:58" ht="15" customHeight="1" x14ac:dyDescent="0.25">
      <c r="A49" s="196">
        <f t="shared" si="15"/>
        <v>44</v>
      </c>
      <c r="B49" s="211">
        <v>40725</v>
      </c>
      <c r="C49" s="211" t="str">
        <f>+'Retail Rates'!B29</f>
        <v>LGUMG830</v>
      </c>
      <c r="D49" s="197" t="str">
        <f t="shared" si="37"/>
        <v>830</v>
      </c>
      <c r="E49" s="197" t="str">
        <f>VLOOKUP(C49,'Retail Rates'!$B$7:$D$35,3,FALSE)</f>
        <v>RGS</v>
      </c>
      <c r="F49" s="222">
        <f>SUMIFS('Data-Retail'!$G$4:$G$269,'Data-Retail'!$A$4:$A$269,'Apr11-Mar12 Billed-RETAIL'!$B49,'Data-Retail'!$D$4:$D$269,'Apr11-Mar12 Billed-RETAIL'!$C49)</f>
        <v>1</v>
      </c>
      <c r="G49" s="222"/>
      <c r="H49" s="222"/>
      <c r="I49" s="222">
        <f>SUMIFS('Data-Retail'!$H$4:$H$269,'Data-Retail'!$A$4:$A$269,'Apr11-Mar12 Billed-RETAIL'!$B49,'Data-Retail'!$D$4:$D$269,'Apr11-Mar12 Billed-RETAIL'!$C49)</f>
        <v>32</v>
      </c>
      <c r="J49" s="222">
        <f>SUMIFS('Data-Retail'!$I$4:$I$269,'Data-Retail'!$A$4:$A$269,'Apr11-Mar12 Billed-RETAIL'!$B49,'Data-Retail'!$D$4:$D$269,'Apr11-Mar12 Billed-RETAIL'!$C49)</f>
        <v>0</v>
      </c>
      <c r="K49" s="222"/>
      <c r="L49" s="223">
        <f>VLOOKUP($C49,'Retail Rates'!$B$7:$M$35,5,FALSE)</f>
        <v>12.5</v>
      </c>
      <c r="M49" s="223">
        <f>VLOOKUP($C49,'Retail Rates'!$B$7:$M$35,6,FALSE)</f>
        <v>0</v>
      </c>
      <c r="N49" s="224">
        <f>VLOOKUP($C49,'Retail Rates'!$B$7:$M$35,7,FALSE)</f>
        <v>0.22395999999999999</v>
      </c>
      <c r="O49" s="224">
        <f>VLOOKUP($C49,'Retail Rates'!$B$7:$M$35,8,FALSE)</f>
        <v>0</v>
      </c>
      <c r="P49" s="224">
        <f>VLOOKUP($B49,'GSC-DSM Factors'!$A$1:$B$46,2,FALSE)</f>
        <v>0.56142999999999998</v>
      </c>
      <c r="Q49" s="223">
        <f>VLOOKUP($C49,'Retail Rates'!$B$7:$M$35,9,FALSE)</f>
        <v>0</v>
      </c>
      <c r="R49" s="224">
        <f>VLOOKUP($C49,'Retail Rates'!$B$7:$M$35,10,FALSE)</f>
        <v>0</v>
      </c>
      <c r="S49" s="223">
        <f>VLOOKUP($C49,'Retail Rates'!$B$7:$M$35,11,FALSE)</f>
        <v>0</v>
      </c>
      <c r="T49" s="223"/>
      <c r="U49" s="225">
        <f t="shared" si="31"/>
        <v>12.5</v>
      </c>
      <c r="V49" s="225"/>
      <c r="W49" s="225"/>
      <c r="X49" s="225">
        <f>+I49*N49</f>
        <v>7.1667199999999998</v>
      </c>
      <c r="Y49" s="225">
        <f t="shared" si="35"/>
        <v>0</v>
      </c>
      <c r="Z49" s="225">
        <f t="shared" si="40"/>
        <v>17.96576</v>
      </c>
      <c r="AA49" s="225"/>
      <c r="AB49" s="225"/>
      <c r="AC49" s="225"/>
      <c r="AD49" s="225"/>
      <c r="AE49" s="244">
        <f>SUMIFS(Adjustments!H$5:H$684,Adjustments!$B$5:$B$684,'Apr11-Mar12 Billed-RETAIL'!$B49,Adjustments!$C$5:$C$684,'Apr11-Mar12 Billed-RETAIL'!$C49)</f>
        <v>1</v>
      </c>
      <c r="AF49" s="244">
        <f>SUMIFS(Adjustments!I$5:I$684,Adjustments!$B$5:$B$684,'Apr11-Mar12 Billed-RETAIL'!$B49,Adjustments!$C$5:$C$684,'Apr11-Mar12 Billed-RETAIL'!$C49)</f>
        <v>0</v>
      </c>
      <c r="AG49" s="238">
        <f>SUMIFS(Adjustments!J$5:J$684,Adjustments!$B$5:$B$684,'Apr11-Mar12 Billed-RETAIL'!$B49,Adjustments!$C$5:$C$684,'Apr11-Mar12 Billed-RETAIL'!$C49)</f>
        <v>0</v>
      </c>
      <c r="AH49" s="238">
        <f>SUMIFS(Adjustments!K$5:K$684,Adjustments!$B$5:$B$684,'Apr11-Mar12 Billed-RETAIL'!$B49,Adjustments!$C$5:$C$684,'Apr11-Mar12 Billed-RETAIL'!$C49)</f>
        <v>0</v>
      </c>
      <c r="AI49" s="238">
        <f>SUMIFS(Adjustments!L$5:L$684,Adjustments!$B$5:$B$684,'Apr11-Mar12 Billed-RETAIL'!$B49,Adjustments!$C$5:$C$684,'Apr11-Mar12 Billed-RETAIL'!$C49)</f>
        <v>0</v>
      </c>
      <c r="AJ49" s="238">
        <f>SUMIFS(Adjustments!M$5:M$684,Adjustments!$B$5:$B$684,'Apr11-Mar12 Billed-RETAIL'!$B49,Adjustments!$C$5:$C$684,'Apr11-Mar12 Billed-RETAIL'!$C49)</f>
        <v>0</v>
      </c>
      <c r="AK49" s="238">
        <f>SUMIFS(Adjustments!N$5:N$684,Adjustments!$B$5:$B$684,'Apr11-Mar12 Billed-RETAIL'!$B49,Adjustments!$C$5:$C$684,'Apr11-Mar12 Billed-RETAIL'!$C49)</f>
        <v>0</v>
      </c>
      <c r="AL49" s="238">
        <f>SUMIFS(Adjustments!O$5:O$684,Adjustments!$B$5:$B$684,'Apr11-Mar12 Billed-RETAIL'!$B49,Adjustments!$C$5:$C$684,'Apr11-Mar12 Billed-RETAIL'!$C49)</f>
        <v>0</v>
      </c>
      <c r="AM49" s="238">
        <f>SUMIFS(Adjustments!P$5:P$684,Adjustments!$B$5:$B$684,'Apr11-Mar12 Billed-RETAIL'!$B49,Adjustments!$C$5:$C$684,'Apr11-Mar12 Billed-RETAIL'!$C49)</f>
        <v>0</v>
      </c>
      <c r="AN49" s="225">
        <f t="shared" si="34"/>
        <v>25</v>
      </c>
      <c r="AO49" s="225">
        <f t="shared" si="26"/>
        <v>0</v>
      </c>
      <c r="AP49" s="225">
        <f t="shared" si="27"/>
        <v>7.1667199999999998</v>
      </c>
      <c r="AQ49" s="225">
        <f t="shared" si="28"/>
        <v>0</v>
      </c>
      <c r="AR49" s="232">
        <f ca="1">SUMIF('SBR Jul11'!$D$4:$S$90,'Apr11-Mar12 Billed-RETAIL'!$C49,'SBR Jul11'!$N$4:$N$90)</f>
        <v>17.97</v>
      </c>
      <c r="AS49" s="232">
        <f ca="1">SUMIF('SBR Jul11'!$D$4:$S$90,'Apr11-Mar12 Billed-RETAIL'!$C49,'SBR Jul11'!$M$4:$M$90)</f>
        <v>0.6</v>
      </c>
      <c r="AT49" s="232">
        <f ca="1">SUMIF('SBR Jul11'!$D$4:$S$90,'Apr11-Mar12 Billed-RETAIL'!$C49,'SBR Jul11'!$O$4:$O$90)</f>
        <v>0</v>
      </c>
      <c r="AU49" s="225">
        <f t="shared" si="29"/>
        <v>0</v>
      </c>
      <c r="AV49" s="225"/>
      <c r="AW49" s="232">
        <f t="shared" ca="1" si="38"/>
        <v>50.74</v>
      </c>
      <c r="AX49" s="232">
        <f t="shared" ca="1" si="32"/>
        <v>50.74</v>
      </c>
      <c r="AY49" s="233">
        <f t="shared" ca="1" si="39"/>
        <v>1</v>
      </c>
      <c r="AZ49" s="232">
        <f ca="1">SUMIF('SBR Jul11'!$D$4:$S$90,'Apr11-Mar12 Billed-RETAIL'!$C49,'SBR Jul11'!$M$4:$M$90)</f>
        <v>0.6</v>
      </c>
      <c r="BA49" s="232">
        <f ca="1">SUMIF('SBR Jul11'!$D$4:$S$90,'Apr11-Mar12 Billed-RETAIL'!$C49,'SBR Jul11'!$N$4:$N$90)</f>
        <v>17.97</v>
      </c>
      <c r="BB49" s="232">
        <f ca="1">SUMIF('SBR Jul11'!$D$4:$S$90,'Apr11-Mar12 Billed-RETAIL'!$C49,'SBR Jul11'!$O$4:$O$90)</f>
        <v>0</v>
      </c>
      <c r="BC49" s="232">
        <f ca="1">SUMIF('SBR Jul11'!$D$4:$S$90,'Apr11-Mar12 Billed-RETAIL'!$C49,'SBR Jul11'!$Q$4:$Q$90)</f>
        <v>0</v>
      </c>
      <c r="BD49" s="232">
        <f ca="1">SUMIF('SBR Jul11'!$D$4:$S$90,'Apr11-Mar12 Billed-RETAIL'!$C49,'SBR Jul11'!$K$4:$K$90)</f>
        <v>25</v>
      </c>
      <c r="BE49" s="232">
        <f ca="1">SUMIF('SBR Jul11'!$D$4:$S$90,'Apr11-Mar12 Billed-RETAIL'!$C49,'SBR Jul11'!$L$4:$L$90)</f>
        <v>7.17</v>
      </c>
      <c r="BF49" s="232"/>
    </row>
    <row r="50" spans="1:58" ht="15" customHeight="1" x14ac:dyDescent="0.25">
      <c r="A50" s="196">
        <f t="shared" si="15"/>
        <v>45</v>
      </c>
      <c r="B50" s="211">
        <v>40756</v>
      </c>
      <c r="C50" s="211" t="str">
        <f>+'Retail Rates'!B7</f>
        <v>LGCMG865</v>
      </c>
      <c r="D50" s="197" t="str">
        <f t="shared" si="37"/>
        <v>865</v>
      </c>
      <c r="E50" s="197" t="str">
        <f>VLOOKUP(C50,'Retail Rates'!$B$7:$D$35,3,FALSE)</f>
        <v>AAGS-C</v>
      </c>
      <c r="F50" s="222">
        <f>SUMIFS('Data-Retail'!$G$4:$G$269,'Data-Retail'!$A$4:$A$269,'Apr11-Mar12 Billed-RETAIL'!$B50,'Data-Retail'!$D$4:$D$269,'Apr11-Mar12 Billed-RETAIL'!$C50)</f>
        <v>5</v>
      </c>
      <c r="G50" s="222"/>
      <c r="H50" s="222"/>
      <c r="I50" s="222">
        <f>SUMIFS('Data-Retail'!$H$4:$H$269,'Data-Retail'!$A$4:$A$269,'Apr11-Mar12 Billed-RETAIL'!$B50,'Data-Retail'!$D$4:$D$269,'Apr11-Mar12 Billed-RETAIL'!$C50)</f>
        <v>74440</v>
      </c>
      <c r="J50" s="222">
        <f>SUMIFS('Data-Retail'!$I$4:$I$269,'Data-Retail'!$A$4:$A$269,'Apr11-Mar12 Billed-RETAIL'!$B50,'Data-Retail'!$D$4:$D$269,'Apr11-Mar12 Billed-RETAIL'!$C50)</f>
        <v>0</v>
      </c>
      <c r="K50" s="222"/>
      <c r="L50" s="223">
        <f>VLOOKUP($C50,'Retail Rates'!$B$7:$M$35,5,FALSE)</f>
        <v>275</v>
      </c>
      <c r="M50" s="223">
        <f>VLOOKUP($C50,'Retail Rates'!$B$7:$M$35,6,FALSE)</f>
        <v>0</v>
      </c>
      <c r="N50" s="224">
        <f>VLOOKUP($C50,'Retail Rates'!$B$7:$M$35,7,FALSE)</f>
        <v>5.2519999999999997E-2</v>
      </c>
      <c r="O50" s="224">
        <f>VLOOKUP($C50,'Retail Rates'!$B$7:$M$35,8,FALSE)</f>
        <v>0</v>
      </c>
      <c r="P50" s="224">
        <f>VLOOKUP($B50,'GSC-DSM Factors'!$A$1:$B$46,2,FALSE)</f>
        <v>0.5605</v>
      </c>
      <c r="Q50" s="223">
        <f>VLOOKUP($C50,'Retail Rates'!$B$7:$M$35,9,FALSE)</f>
        <v>0</v>
      </c>
      <c r="R50" s="224">
        <f>VLOOKUP($C50,'Retail Rates'!$B$7:$M$35,10,FALSE)</f>
        <v>0</v>
      </c>
      <c r="S50" s="223">
        <f>VLOOKUP($C50,'Retail Rates'!$B$7:$M$35,11,FALSE)</f>
        <v>0</v>
      </c>
      <c r="T50" s="223"/>
      <c r="U50" s="225">
        <f t="shared" si="31"/>
        <v>1375</v>
      </c>
      <c r="V50" s="225"/>
      <c r="W50" s="225"/>
      <c r="X50" s="225">
        <f t="shared" ref="X50:X55" si="41">+I50*N50</f>
        <v>3909.5888</v>
      </c>
      <c r="Y50" s="225">
        <f t="shared" si="35"/>
        <v>0</v>
      </c>
      <c r="Z50" s="225">
        <f>SUM(I50:J50)*P50</f>
        <v>41723.620000000003</v>
      </c>
      <c r="AA50" s="225"/>
      <c r="AB50" s="225"/>
      <c r="AC50" s="225"/>
      <c r="AD50" s="225"/>
      <c r="AE50" s="244">
        <f>SUMIFS(Adjustments!H$5:H$684,Adjustments!$B$5:$B$684,'Apr11-Mar12 Billed-RETAIL'!$B50,Adjustments!$C$5:$C$684,'Apr11-Mar12 Billed-RETAIL'!$C50)</f>
        <v>1</v>
      </c>
      <c r="AF50" s="244">
        <f>SUMIFS(Adjustments!I$5:I$684,Adjustments!$B$5:$B$684,'Apr11-Mar12 Billed-RETAIL'!$B50,Adjustments!$C$5:$C$684,'Apr11-Mar12 Billed-RETAIL'!$C50)</f>
        <v>0</v>
      </c>
      <c r="AG50" s="238">
        <f>SUMIFS(Adjustments!J$5:J$684,Adjustments!$B$5:$B$684,'Apr11-Mar12 Billed-RETAIL'!$B50,Adjustments!$C$5:$C$684,'Apr11-Mar12 Billed-RETAIL'!$C50)</f>
        <v>0</v>
      </c>
      <c r="AH50" s="238">
        <f>SUMIFS(Adjustments!K$5:K$684,Adjustments!$B$5:$B$684,'Apr11-Mar12 Billed-RETAIL'!$B50,Adjustments!$C$5:$C$684,'Apr11-Mar12 Billed-RETAIL'!$C50)</f>
        <v>0</v>
      </c>
      <c r="AI50" s="238">
        <f>SUMIFS(Adjustments!L$5:L$684,Adjustments!$B$5:$B$684,'Apr11-Mar12 Billed-RETAIL'!$B50,Adjustments!$C$5:$C$684,'Apr11-Mar12 Billed-RETAIL'!$C50)</f>
        <v>0</v>
      </c>
      <c r="AJ50" s="238">
        <f>SUMIFS(Adjustments!M$5:M$684,Adjustments!$B$5:$B$684,'Apr11-Mar12 Billed-RETAIL'!$B50,Adjustments!$C$5:$C$684,'Apr11-Mar12 Billed-RETAIL'!$C50)</f>
        <v>0</v>
      </c>
      <c r="AK50" s="238">
        <f>SUMIFS(Adjustments!N$5:N$684,Adjustments!$B$5:$B$684,'Apr11-Mar12 Billed-RETAIL'!$B50,Adjustments!$C$5:$C$684,'Apr11-Mar12 Billed-RETAIL'!$C50)</f>
        <v>0</v>
      </c>
      <c r="AL50" s="238">
        <f>SUMIFS(Adjustments!O$5:O$684,Adjustments!$B$5:$B$684,'Apr11-Mar12 Billed-RETAIL'!$B50,Adjustments!$C$5:$C$684,'Apr11-Mar12 Billed-RETAIL'!$C50)</f>
        <v>0</v>
      </c>
      <c r="AM50" s="238">
        <f>SUMIFS(Adjustments!P$5:P$684,Adjustments!$B$5:$B$684,'Apr11-Mar12 Billed-RETAIL'!$B50,Adjustments!$C$5:$C$684,'Apr11-Mar12 Billed-RETAIL'!$C50)</f>
        <v>0</v>
      </c>
      <c r="AN50" s="225">
        <f t="shared" si="34"/>
        <v>1650</v>
      </c>
      <c r="AO50" s="225">
        <f t="shared" si="26"/>
        <v>0</v>
      </c>
      <c r="AP50" s="225">
        <f t="shared" si="27"/>
        <v>3909.5888</v>
      </c>
      <c r="AQ50" s="225">
        <f t="shared" si="28"/>
        <v>0</v>
      </c>
      <c r="AR50" s="232">
        <f ca="1">SUMIF('SBR Aug11'!$D$4:$S$90,'Apr11-Mar12 Billed-RETAIL'!$C50,'SBR Aug11'!$N$4:$N$90)</f>
        <v>41748.53</v>
      </c>
      <c r="AS50" s="232">
        <f ca="1">SUMIF('SBR Aug11'!$D$4:$S$90,'Apr11-Mar12 Billed-RETAIL'!$C50,'SBR Aug11'!$M$4:$M$90)</f>
        <v>71.47</v>
      </c>
      <c r="AT50" s="232">
        <f ca="1">SUMIF('SBR Aug11'!$D$4:$S$90,'Apr11-Mar12 Billed-RETAIL'!$C50,'SBR Aug11'!$O$4:$O$90)</f>
        <v>0</v>
      </c>
      <c r="AU50" s="225">
        <f t="shared" si="29"/>
        <v>0</v>
      </c>
      <c r="AV50" s="225"/>
      <c r="AW50" s="232">
        <f t="shared" ca="1" si="38"/>
        <v>47379.59</v>
      </c>
      <c r="AX50" s="232">
        <f t="shared" ca="1" si="32"/>
        <v>47379.6</v>
      </c>
      <c r="AY50" s="233">
        <f t="shared" ca="1" si="39"/>
        <v>1</v>
      </c>
      <c r="AZ50" s="232">
        <f ca="1">SUMIF('SBR Aug11'!$D$4:$S$90,'Apr11-Mar12 Billed-RETAIL'!$C50,'SBR Aug11'!$M$4:$M$90)</f>
        <v>71.47</v>
      </c>
      <c r="BA50" s="232">
        <f ca="1">SUMIF('SBR Aug11'!$D$4:$S$90,'Apr11-Mar12 Billed-RETAIL'!$C50,'SBR Aug11'!$N$4:$N$90)</f>
        <v>41748.53</v>
      </c>
      <c r="BB50" s="232">
        <f ca="1">SUMIF('SBR Aug11'!$D$4:$S$90,'Apr11-Mar12 Billed-RETAIL'!$C50,'SBR Aug11'!$O$4:$O$90)</f>
        <v>0</v>
      </c>
      <c r="BC50" s="232">
        <f ca="1">SUMIF('SBR Aug11'!$D$4:$S$90,'Apr11-Mar12 Billed-RETAIL'!$C50,'SBR Aug11'!$Q$4:$Q$90)</f>
        <v>0</v>
      </c>
      <c r="BD50" s="232">
        <f ca="1">SUMIF('SBR Aug11'!$D$4:$S$90,'Apr11-Mar12 Billed-RETAIL'!$C50,'SBR Aug11'!$K$4:$K$90)</f>
        <v>1650</v>
      </c>
      <c r="BE50" s="232">
        <f ca="1">SUMIF('SBR Aug11'!$D$4:$S$90,'Apr11-Mar12 Billed-RETAIL'!$C50,'SBR Aug11'!$L$4:$L$90)</f>
        <v>3909.5999999999995</v>
      </c>
      <c r="BF50" s="232"/>
    </row>
    <row r="51" spans="1:58" ht="15" customHeight="1" x14ac:dyDescent="0.25">
      <c r="A51" s="196">
        <f t="shared" si="15"/>
        <v>46</v>
      </c>
      <c r="B51" s="211">
        <v>40756</v>
      </c>
      <c r="C51" s="211" t="str">
        <f>+'Retail Rates'!B10</f>
        <v>LGING866</v>
      </c>
      <c r="D51" s="197" t="str">
        <f t="shared" ref="D51:D61" si="42">MID(C51,6,3)</f>
        <v>866</v>
      </c>
      <c r="E51" s="197" t="str">
        <f>VLOOKUP(C51,'Retail Rates'!$B$7:$D$35,3,FALSE)</f>
        <v>AAGS-I</v>
      </c>
      <c r="F51" s="222">
        <f>SUMIFS('Data-Retail'!$G$4:$G$269,'Data-Retail'!$A$4:$A$269,'Apr11-Mar12 Billed-RETAIL'!$B51,'Data-Retail'!$D$4:$D$269,'Apr11-Mar12 Billed-RETAIL'!$C51)</f>
        <v>9</v>
      </c>
      <c r="G51" s="222"/>
      <c r="H51" s="222"/>
      <c r="I51" s="222">
        <f>SUMIFS('Data-Retail'!$H$4:$H$269,'Data-Retail'!$A$4:$A$269,'Apr11-Mar12 Billed-RETAIL'!$B51,'Data-Retail'!$D$4:$D$269,'Apr11-Mar12 Billed-RETAIL'!$C51)</f>
        <v>101147</v>
      </c>
      <c r="J51" s="222">
        <f>SUMIFS('Data-Retail'!$I$4:$I$269,'Data-Retail'!$A$4:$A$269,'Apr11-Mar12 Billed-RETAIL'!$B51,'Data-Retail'!$D$4:$D$269,'Apr11-Mar12 Billed-RETAIL'!$C51)</f>
        <v>0</v>
      </c>
      <c r="K51" s="222"/>
      <c r="L51" s="223">
        <f>VLOOKUP($C51,'Retail Rates'!$B$7:$M$35,5,FALSE)</f>
        <v>275</v>
      </c>
      <c r="M51" s="223">
        <f>VLOOKUP($C51,'Retail Rates'!$B$7:$M$35,6,FALSE)</f>
        <v>0</v>
      </c>
      <c r="N51" s="224">
        <f>VLOOKUP($C51,'Retail Rates'!$B$7:$M$35,7,FALSE)</f>
        <v>5.2519999999999997E-2</v>
      </c>
      <c r="O51" s="224">
        <f>VLOOKUP($C51,'Retail Rates'!$B$7:$M$35,8,FALSE)</f>
        <v>0</v>
      </c>
      <c r="P51" s="224">
        <f>VLOOKUP($B51,'GSC-DSM Factors'!$A$1:$B$46,2,FALSE)</f>
        <v>0.5605</v>
      </c>
      <c r="Q51" s="223">
        <f>VLOOKUP($C51,'Retail Rates'!$B$7:$M$35,9,FALSE)</f>
        <v>0</v>
      </c>
      <c r="R51" s="224">
        <f>VLOOKUP($C51,'Retail Rates'!$B$7:$M$35,10,FALSE)</f>
        <v>0</v>
      </c>
      <c r="S51" s="223">
        <f>VLOOKUP($C51,'Retail Rates'!$B$7:$M$35,11,FALSE)</f>
        <v>0</v>
      </c>
      <c r="T51" s="223"/>
      <c r="U51" s="225">
        <f t="shared" si="31"/>
        <v>2475</v>
      </c>
      <c r="V51" s="225"/>
      <c r="W51" s="225"/>
      <c r="X51" s="225">
        <f t="shared" si="41"/>
        <v>5312.2404399999996</v>
      </c>
      <c r="Y51" s="225">
        <f t="shared" si="35"/>
        <v>0</v>
      </c>
      <c r="Z51" s="225">
        <f>SUM(I51:J51)*P51</f>
        <v>56692.893499999998</v>
      </c>
      <c r="AA51" s="225"/>
      <c r="AB51" s="225"/>
      <c r="AC51" s="225"/>
      <c r="AD51" s="225"/>
      <c r="AE51" s="244">
        <f>SUMIFS(Adjustments!H$5:H$684,Adjustments!$B$5:$B$684,'Apr11-Mar12 Billed-RETAIL'!$B51,Adjustments!$C$5:$C$684,'Apr11-Mar12 Billed-RETAIL'!$C51)</f>
        <v>1</v>
      </c>
      <c r="AF51" s="244">
        <f>SUMIFS(Adjustments!I$5:I$684,Adjustments!$B$5:$B$684,'Apr11-Mar12 Billed-RETAIL'!$B51,Adjustments!$C$5:$C$684,'Apr11-Mar12 Billed-RETAIL'!$C51)</f>
        <v>0</v>
      </c>
      <c r="AG51" s="238">
        <f>SUMIFS(Adjustments!J$5:J$684,Adjustments!$B$5:$B$684,'Apr11-Mar12 Billed-RETAIL'!$B51,Adjustments!$C$5:$C$684,'Apr11-Mar12 Billed-RETAIL'!$C51)</f>
        <v>0</v>
      </c>
      <c r="AH51" s="238">
        <f>SUMIFS(Adjustments!K$5:K$684,Adjustments!$B$5:$B$684,'Apr11-Mar12 Billed-RETAIL'!$B51,Adjustments!$C$5:$C$684,'Apr11-Mar12 Billed-RETAIL'!$C51)</f>
        <v>0</v>
      </c>
      <c r="AI51" s="238">
        <f>SUMIFS(Adjustments!L$5:L$684,Adjustments!$B$5:$B$684,'Apr11-Mar12 Billed-RETAIL'!$B51,Adjustments!$C$5:$C$684,'Apr11-Mar12 Billed-RETAIL'!$C51)</f>
        <v>0</v>
      </c>
      <c r="AJ51" s="238">
        <f>SUMIFS(Adjustments!M$5:M$684,Adjustments!$B$5:$B$684,'Apr11-Mar12 Billed-RETAIL'!$B51,Adjustments!$C$5:$C$684,'Apr11-Mar12 Billed-RETAIL'!$C51)</f>
        <v>0</v>
      </c>
      <c r="AK51" s="238">
        <f>SUMIFS(Adjustments!N$5:N$684,Adjustments!$B$5:$B$684,'Apr11-Mar12 Billed-RETAIL'!$B51,Adjustments!$C$5:$C$684,'Apr11-Mar12 Billed-RETAIL'!$C51)</f>
        <v>0</v>
      </c>
      <c r="AL51" s="238">
        <f>SUMIFS(Adjustments!O$5:O$684,Adjustments!$B$5:$B$684,'Apr11-Mar12 Billed-RETAIL'!$B51,Adjustments!$C$5:$C$684,'Apr11-Mar12 Billed-RETAIL'!$C51)</f>
        <v>0</v>
      </c>
      <c r="AM51" s="238">
        <f>SUMIFS(Adjustments!P$5:P$684,Adjustments!$B$5:$B$684,'Apr11-Mar12 Billed-RETAIL'!$B51,Adjustments!$C$5:$C$684,'Apr11-Mar12 Billed-RETAIL'!$C51)</f>
        <v>0</v>
      </c>
      <c r="AN51" s="225">
        <f t="shared" si="34"/>
        <v>2750</v>
      </c>
      <c r="AO51" s="225">
        <f t="shared" si="26"/>
        <v>0</v>
      </c>
      <c r="AP51" s="225">
        <f t="shared" si="27"/>
        <v>5312.2404399999996</v>
      </c>
      <c r="AQ51" s="225">
        <f t="shared" si="28"/>
        <v>0</v>
      </c>
      <c r="AR51" s="232">
        <f ca="1">SUMIF('SBR Aug11'!$D$4:$S$90,'Apr11-Mar12 Billed-RETAIL'!$C51,'SBR Aug11'!$N$4:$N$90)</f>
        <v>56728.99</v>
      </c>
      <c r="AS51" s="232">
        <f ca="1">SUMIF('SBR Aug11'!$D$4:$S$90,'Apr11-Mar12 Billed-RETAIL'!$C51,'SBR Aug11'!$M$4:$M$90)</f>
        <v>0</v>
      </c>
      <c r="AT51" s="232">
        <f ca="1">SUMIF('SBR Aug11'!$D$4:$S$90,'Apr11-Mar12 Billed-RETAIL'!$C51,'SBR Aug11'!$O$4:$O$90)</f>
        <v>0</v>
      </c>
      <c r="AU51" s="225">
        <f t="shared" si="29"/>
        <v>0</v>
      </c>
      <c r="AV51" s="225"/>
      <c r="AW51" s="232">
        <f t="shared" ca="1" si="38"/>
        <v>64791.23</v>
      </c>
      <c r="AX51" s="232">
        <f t="shared" ca="1" si="32"/>
        <v>64791.22</v>
      </c>
      <c r="AY51" s="233">
        <f t="shared" ref="AY51:AY61" ca="1" si="43">IF(AX51=0,0,ROUND(AX51/AW51,6))</f>
        <v>1</v>
      </c>
      <c r="AZ51" s="232">
        <f ca="1">SUMIF('SBR Aug11'!$D$4:$S$90,'Apr11-Mar12 Billed-RETAIL'!$C51,'SBR Aug11'!$M$4:$M$90)</f>
        <v>0</v>
      </c>
      <c r="BA51" s="232">
        <f ca="1">SUMIF('SBR Aug11'!$D$4:$S$90,'Apr11-Mar12 Billed-RETAIL'!$C51,'SBR Aug11'!$N$4:$N$90)</f>
        <v>56728.99</v>
      </c>
      <c r="BB51" s="232">
        <f ca="1">SUMIF('SBR Aug11'!$D$4:$S$90,'Apr11-Mar12 Billed-RETAIL'!$C51,'SBR Aug11'!$O$4:$O$90)</f>
        <v>0</v>
      </c>
      <c r="BC51" s="232">
        <f ca="1">SUMIF('SBR Aug11'!$D$4:$S$90,'Apr11-Mar12 Billed-RETAIL'!$C51,'SBR Aug11'!$Q$4:$Q$90)</f>
        <v>0</v>
      </c>
      <c r="BD51" s="232">
        <f ca="1">SUMIF('SBR Aug11'!$D$4:$S$90,'Apr11-Mar12 Billed-RETAIL'!$C51,'SBR Aug11'!$K$4:$K$90)</f>
        <v>2750</v>
      </c>
      <c r="BE51" s="232">
        <f ca="1">SUMIF('SBR Aug11'!$D$4:$S$90,'Apr11-Mar12 Billed-RETAIL'!$C51,'SBR Aug11'!$L$4:$L$90)</f>
        <v>5312.2300000000005</v>
      </c>
      <c r="BF51" s="232"/>
    </row>
    <row r="52" spans="1:58" ht="15" x14ac:dyDescent="0.25">
      <c r="A52" s="196">
        <f t="shared" si="15"/>
        <v>47</v>
      </c>
      <c r="B52" s="211">
        <v>40756</v>
      </c>
      <c r="C52" s="211" t="str">
        <f>+'Retail Rates'!B13</f>
        <v>LGCMG851</v>
      </c>
      <c r="D52" s="197" t="str">
        <f t="shared" si="42"/>
        <v>851</v>
      </c>
      <c r="E52" s="197" t="str">
        <f>VLOOKUP(C52,'Retail Rates'!$B$7:$D$35,3,FALSE)</f>
        <v>CGS</v>
      </c>
      <c r="F52" s="222"/>
      <c r="G52" s="222">
        <f>SUMIFS(Adjustments!F$5:F$151,Adjustments!$B$5:$B$151,'Apr11-Mar12 Billed-RETAIL'!$B52,Adjustments!$C$5:$C$151,'Apr11-Mar12 Billed-RETAIL'!$C52)</f>
        <v>24599</v>
      </c>
      <c r="H52" s="222">
        <f>SUMIFS(Adjustments!G$5:G$151,Adjustments!$B$5:$B$151,'Apr11-Mar12 Billed-RETAIL'!$B52,Adjustments!$C$5:$C$151,'Apr11-Mar12 Billed-RETAIL'!$C52)</f>
        <v>1081</v>
      </c>
      <c r="I52" s="222">
        <f>SUMIFS('Data-Retail'!$H$4:$H$269,'Data-Retail'!$A$4:$A$269,'Apr11-Mar12 Billed-RETAIL'!$B52,'Data-Retail'!$D$4:$D$269,'Apr11-Mar12 Billed-RETAIL'!$C52)</f>
        <v>1795022</v>
      </c>
      <c r="J52" s="222">
        <f>SUMIFS('Data-Retail'!$I$4:$I$269,'Data-Retail'!$A$4:$A$269,'Apr11-Mar12 Billed-RETAIL'!$B52,'Data-Retail'!$D$4:$D$269,'Apr11-Mar12 Billed-RETAIL'!$C52)</f>
        <v>822937</v>
      </c>
      <c r="K52" s="222"/>
      <c r="L52" s="223">
        <f>VLOOKUP($C52,'Retail Rates'!$B$7:$M$35,5,FALSE)</f>
        <v>30</v>
      </c>
      <c r="M52" s="223">
        <f>VLOOKUP($C52,'Retail Rates'!$B$7:$M$35,6,FALSE)</f>
        <v>170</v>
      </c>
      <c r="N52" s="224">
        <f>VLOOKUP($C52,'Retail Rates'!$B$7:$M$35,7,FALSE)</f>
        <v>0.18722</v>
      </c>
      <c r="O52" s="224">
        <f>VLOOKUP($C52,'Retail Rates'!$B$7:$M$35,8,FALSE)</f>
        <v>0.13722000000000001</v>
      </c>
      <c r="P52" s="224">
        <f>VLOOKUP($B52,'GSC-DSM Factors'!$A$1:$B$46,2,FALSE)</f>
        <v>0.5605</v>
      </c>
      <c r="Q52" s="223">
        <f>VLOOKUP($C52,'Retail Rates'!$B$7:$M$35,9,FALSE)</f>
        <v>0</v>
      </c>
      <c r="R52" s="224">
        <f>VLOOKUP($C52,'Retail Rates'!$B$7:$M$35,10,FALSE)</f>
        <v>0</v>
      </c>
      <c r="S52" s="223">
        <f>VLOOKUP($C52,'Retail Rates'!$B$7:$M$35,11,FALSE)</f>
        <v>0</v>
      </c>
      <c r="T52" s="223"/>
      <c r="U52" s="225">
        <f t="shared" si="31"/>
        <v>737970</v>
      </c>
      <c r="V52" s="225"/>
      <c r="W52" s="225">
        <f>+H52*M52</f>
        <v>183770</v>
      </c>
      <c r="X52" s="225">
        <f t="shared" si="41"/>
        <v>336064.01883999998</v>
      </c>
      <c r="Y52" s="225">
        <f t="shared" si="35"/>
        <v>112923.41514000001</v>
      </c>
      <c r="Z52" s="225">
        <f>SUM(I52:J52)*P52</f>
        <v>1467366.0194999999</v>
      </c>
      <c r="AA52" s="225"/>
      <c r="AB52" s="225"/>
      <c r="AC52" s="225"/>
      <c r="AD52" s="225"/>
      <c r="AE52" s="244">
        <f>SUMIFS(Adjustments!H$5:H$684,Adjustments!$B$5:$B$684,'Apr11-Mar12 Billed-RETAIL'!$B52,Adjustments!$C$5:$C$684,'Apr11-Mar12 Billed-RETAIL'!$C52)</f>
        <v>0</v>
      </c>
      <c r="AF52" s="244">
        <f>SUMIFS(Adjustments!I$5:I$684,Adjustments!$B$5:$B$684,'Apr11-Mar12 Billed-RETAIL'!$B52,Adjustments!$C$5:$C$684,'Apr11-Mar12 Billed-RETAIL'!$C52)</f>
        <v>0</v>
      </c>
      <c r="AG52" s="238">
        <f>SUMIFS(Adjustments!J$5:J$684,Adjustments!$B$5:$B$684,'Apr11-Mar12 Billed-RETAIL'!$B52,Adjustments!$C$5:$C$684,'Apr11-Mar12 Billed-RETAIL'!$C52)</f>
        <v>769.56</v>
      </c>
      <c r="AH52" s="238">
        <f>SUMIFS(Adjustments!K$5:K$684,Adjustments!$B$5:$B$684,'Apr11-Mar12 Billed-RETAIL'!$B52,Adjustments!$C$5:$C$684,'Apr11-Mar12 Billed-RETAIL'!$C52)</f>
        <v>-158.66999999999999</v>
      </c>
      <c r="AI52" s="238">
        <f>SUMIFS(Adjustments!L$5:L$684,Adjustments!$B$5:$B$684,'Apr11-Mar12 Billed-RETAIL'!$B52,Adjustments!$C$5:$C$684,'Apr11-Mar12 Billed-RETAIL'!$C52)</f>
        <v>-0.25</v>
      </c>
      <c r="AJ52" s="238">
        <f>SUMIFS(Adjustments!M$5:M$684,Adjustments!$B$5:$B$684,'Apr11-Mar12 Billed-RETAIL'!$B52,Adjustments!$C$5:$C$684,'Apr11-Mar12 Billed-RETAIL'!$C52)</f>
        <v>0</v>
      </c>
      <c r="AK52" s="238">
        <f>SUMIFS(Adjustments!N$5:N$684,Adjustments!$B$5:$B$684,'Apr11-Mar12 Billed-RETAIL'!$B52,Adjustments!$C$5:$C$684,'Apr11-Mar12 Billed-RETAIL'!$C52)</f>
        <v>0</v>
      </c>
      <c r="AL52" s="238">
        <f>SUMIFS(Adjustments!O$5:O$684,Adjustments!$B$5:$B$684,'Apr11-Mar12 Billed-RETAIL'!$B52,Adjustments!$C$5:$C$684,'Apr11-Mar12 Billed-RETAIL'!$C52)</f>
        <v>0</v>
      </c>
      <c r="AM52" s="238">
        <f>SUMIFS(Adjustments!P$5:P$684,Adjustments!$B$5:$B$684,'Apr11-Mar12 Billed-RETAIL'!$B52,Adjustments!$C$5:$C$684,'Apr11-Mar12 Billed-RETAIL'!$C52)</f>
        <v>0</v>
      </c>
      <c r="AN52" s="225">
        <f t="shared" si="34"/>
        <v>738739.56</v>
      </c>
      <c r="AO52" s="225">
        <f t="shared" ref="AO52:AO74" si="44">+W52+AH52</f>
        <v>183611.33</v>
      </c>
      <c r="AP52" s="225">
        <f t="shared" ref="AP52:AP74" si="45">+X52+AI52</f>
        <v>336063.76883999998</v>
      </c>
      <c r="AQ52" s="225">
        <f t="shared" ref="AQ52:AQ74" si="46">+Y52+AJ52</f>
        <v>112923.41514000001</v>
      </c>
      <c r="AR52" s="232">
        <f ca="1">SUMIF('SBR Aug11'!$D$4:$S$90,'Apr11-Mar12 Billed-RETAIL'!$C52,'SBR Aug11'!$N$4:$N$90)</f>
        <v>1468775.71</v>
      </c>
      <c r="AS52" s="232">
        <f ca="1">SUMIF('SBR Aug11'!$D$4:$S$90,'Apr11-Mar12 Billed-RETAIL'!$C52,'SBR Aug11'!$M$4:$M$90)</f>
        <v>2510.34</v>
      </c>
      <c r="AT52" s="232">
        <f ca="1">SUMIF('SBR Aug11'!$D$4:$S$90,'Apr11-Mar12 Billed-RETAIL'!$C52,'SBR Aug11'!$O$4:$O$90)</f>
        <v>-157.93</v>
      </c>
      <c r="AU52" s="225">
        <f t="shared" ref="AU52:AU74" si="47">+AC52+AM52</f>
        <v>0</v>
      </c>
      <c r="AV52" s="225"/>
      <c r="AW52" s="232">
        <f t="shared" ca="1" si="38"/>
        <v>2842466.19</v>
      </c>
      <c r="AX52" s="232">
        <f t="shared" ca="1" si="32"/>
        <v>2842466.1900000004</v>
      </c>
      <c r="AY52" s="233">
        <f t="shared" ca="1" si="43"/>
        <v>1</v>
      </c>
      <c r="AZ52" s="232">
        <f ca="1">SUMIF('SBR Aug11'!$D$4:$S$90,'Apr11-Mar12 Billed-RETAIL'!$C52,'SBR Aug11'!$M$4:$M$90)</f>
        <v>2510.34</v>
      </c>
      <c r="BA52" s="232">
        <f ca="1">SUMIF('SBR Aug11'!$D$4:$S$90,'Apr11-Mar12 Billed-RETAIL'!$C52,'SBR Aug11'!$N$4:$N$90)</f>
        <v>1468775.71</v>
      </c>
      <c r="BB52" s="232">
        <f ca="1">SUMIF('SBR Aug11'!$D$4:$S$90,'Apr11-Mar12 Billed-RETAIL'!$C52,'SBR Aug11'!$O$4:$O$90)</f>
        <v>-157.93</v>
      </c>
      <c r="BC52" s="232">
        <f ca="1">SUMIF('SBR Aug11'!$D$4:$S$90,'Apr11-Mar12 Billed-RETAIL'!$C52,'SBR Aug11'!$Q$4:$Q$90)</f>
        <v>0</v>
      </c>
      <c r="BD52" s="232">
        <f ca="1">SUMIF('SBR Aug11'!$D$4:$S$90,'Apr11-Mar12 Billed-RETAIL'!$C52,'SBR Aug11'!$K$4:$K$90)</f>
        <v>922350.89</v>
      </c>
      <c r="BE52" s="232">
        <f ca="1">SUMIF('SBR Aug11'!$D$4:$S$90,'Apr11-Mar12 Billed-RETAIL'!$C52,'SBR Aug11'!$L$4:$L$90)</f>
        <v>448987.18000000005</v>
      </c>
      <c r="BF52" s="232"/>
    </row>
    <row r="53" spans="1:58" ht="15" x14ac:dyDescent="0.25">
      <c r="A53" s="196">
        <f t="shared" si="15"/>
        <v>48</v>
      </c>
      <c r="B53" s="211">
        <v>40756</v>
      </c>
      <c r="C53" s="211" t="str">
        <f>+'Retail Rates'!B14</f>
        <v>LGUMG860</v>
      </c>
      <c r="D53" s="197" t="str">
        <f t="shared" si="42"/>
        <v>860</v>
      </c>
      <c r="E53" s="197" t="str">
        <f>VLOOKUP(C53,'Retail Rates'!$B$7:$D$35,3,FALSE)</f>
        <v>CGS</v>
      </c>
      <c r="F53" s="222"/>
      <c r="G53" s="222">
        <f>SUMIFS(Adjustments!F$5:F$151,Adjustments!$B$5:$B$151,'Apr11-Mar12 Billed-RETAIL'!$B53,Adjustments!$C$5:$C$151,'Apr11-Mar12 Billed-RETAIL'!$C53)</f>
        <v>19</v>
      </c>
      <c r="H53" s="222">
        <f>SUMIFS(Adjustments!G$5:G$151,Adjustments!$B$5:$B$151,'Apr11-Mar12 Billed-RETAIL'!$B53,Adjustments!$C$5:$C$151,'Apr11-Mar12 Billed-RETAIL'!$C53)</f>
        <v>0</v>
      </c>
      <c r="I53" s="222">
        <f>SUMIFS('Data-Retail'!$H$4:$H$269,'Data-Retail'!$A$4:$A$269,'Apr11-Mar12 Billed-RETAIL'!$B53,'Data-Retail'!$D$4:$D$269,'Apr11-Mar12 Billed-RETAIL'!$C53)</f>
        <v>358</v>
      </c>
      <c r="J53" s="222">
        <f>SUMIFS('Data-Retail'!$I$4:$I$269,'Data-Retail'!$A$4:$A$269,'Apr11-Mar12 Billed-RETAIL'!$B53,'Data-Retail'!$D$4:$D$269,'Apr11-Mar12 Billed-RETAIL'!$C53)</f>
        <v>0</v>
      </c>
      <c r="K53" s="222"/>
      <c r="L53" s="223">
        <f>VLOOKUP($C53,'Retail Rates'!$B$7:$M$35,5,FALSE)</f>
        <v>30</v>
      </c>
      <c r="M53" s="223">
        <f>VLOOKUP($C53,'Retail Rates'!$B$7:$M$35,6,FALSE)</f>
        <v>170</v>
      </c>
      <c r="N53" s="224">
        <f>VLOOKUP($C53,'Retail Rates'!$B$7:$M$35,7,FALSE)</f>
        <v>0.18722</v>
      </c>
      <c r="O53" s="224">
        <f>VLOOKUP($C53,'Retail Rates'!$B$7:$M$35,8,FALSE)</f>
        <v>0.13722000000000001</v>
      </c>
      <c r="P53" s="224">
        <f>VLOOKUP($B53,'GSC-DSM Factors'!$A$1:$B$46,2,FALSE)</f>
        <v>0.5605</v>
      </c>
      <c r="Q53" s="223">
        <f>VLOOKUP($C53,'Retail Rates'!$B$7:$M$35,9,FALSE)</f>
        <v>0</v>
      </c>
      <c r="R53" s="224">
        <f>VLOOKUP($C53,'Retail Rates'!$B$7:$M$35,10,FALSE)</f>
        <v>0</v>
      </c>
      <c r="S53" s="223">
        <f>VLOOKUP($C53,'Retail Rates'!$B$7:$M$35,11,FALSE)</f>
        <v>0</v>
      </c>
      <c r="T53" s="223"/>
      <c r="U53" s="225">
        <f t="shared" si="31"/>
        <v>570</v>
      </c>
      <c r="V53" s="225"/>
      <c r="W53" s="225">
        <f>+H53*M53</f>
        <v>0</v>
      </c>
      <c r="X53" s="225">
        <f t="shared" si="41"/>
        <v>67.024760000000001</v>
      </c>
      <c r="Y53" s="225">
        <f t="shared" si="35"/>
        <v>0</v>
      </c>
      <c r="Z53" s="225">
        <f>SUM(I53:J53)*P53</f>
        <v>200.65899999999999</v>
      </c>
      <c r="AA53" s="225"/>
      <c r="AB53" s="225"/>
      <c r="AC53" s="225"/>
      <c r="AD53" s="225"/>
      <c r="AE53" s="244">
        <f>SUMIFS(Adjustments!H$5:H$684,Adjustments!$B$5:$B$684,'Apr11-Mar12 Billed-RETAIL'!$B53,Adjustments!$C$5:$C$684,'Apr11-Mar12 Billed-RETAIL'!$C53)</f>
        <v>0</v>
      </c>
      <c r="AF53" s="244">
        <f>SUMIFS(Adjustments!I$5:I$684,Adjustments!$B$5:$B$684,'Apr11-Mar12 Billed-RETAIL'!$B53,Adjustments!$C$5:$C$684,'Apr11-Mar12 Billed-RETAIL'!$C53)</f>
        <v>0</v>
      </c>
      <c r="AG53" s="238">
        <f>SUMIFS(Adjustments!J$5:J$684,Adjustments!$B$5:$B$684,'Apr11-Mar12 Billed-RETAIL'!$B53,Adjustments!$C$5:$C$684,'Apr11-Mar12 Billed-RETAIL'!$C53)</f>
        <v>0</v>
      </c>
      <c r="AH53" s="238">
        <f>SUMIFS(Adjustments!K$5:K$684,Adjustments!$B$5:$B$684,'Apr11-Mar12 Billed-RETAIL'!$B53,Adjustments!$C$5:$C$684,'Apr11-Mar12 Billed-RETAIL'!$C53)</f>
        <v>0</v>
      </c>
      <c r="AI53" s="238">
        <f>SUMIFS(Adjustments!L$5:L$684,Adjustments!$B$5:$B$684,'Apr11-Mar12 Billed-RETAIL'!$B53,Adjustments!$C$5:$C$684,'Apr11-Mar12 Billed-RETAIL'!$C53)</f>
        <v>0</v>
      </c>
      <c r="AJ53" s="238">
        <f>SUMIFS(Adjustments!M$5:M$684,Adjustments!$B$5:$B$684,'Apr11-Mar12 Billed-RETAIL'!$B53,Adjustments!$C$5:$C$684,'Apr11-Mar12 Billed-RETAIL'!$C53)</f>
        <v>0</v>
      </c>
      <c r="AK53" s="238">
        <f>SUMIFS(Adjustments!N$5:N$684,Adjustments!$B$5:$B$684,'Apr11-Mar12 Billed-RETAIL'!$B53,Adjustments!$C$5:$C$684,'Apr11-Mar12 Billed-RETAIL'!$C53)</f>
        <v>0</v>
      </c>
      <c r="AL53" s="238">
        <f>SUMIFS(Adjustments!O$5:O$684,Adjustments!$B$5:$B$684,'Apr11-Mar12 Billed-RETAIL'!$B53,Adjustments!$C$5:$C$684,'Apr11-Mar12 Billed-RETAIL'!$C53)</f>
        <v>0</v>
      </c>
      <c r="AM53" s="238">
        <f>SUMIFS(Adjustments!P$5:P$684,Adjustments!$B$5:$B$684,'Apr11-Mar12 Billed-RETAIL'!$B53,Adjustments!$C$5:$C$684,'Apr11-Mar12 Billed-RETAIL'!$C53)</f>
        <v>0</v>
      </c>
      <c r="AN53" s="225">
        <f t="shared" si="34"/>
        <v>570</v>
      </c>
      <c r="AO53" s="225">
        <f t="shared" si="44"/>
        <v>0</v>
      </c>
      <c r="AP53" s="225">
        <f t="shared" si="45"/>
        <v>67.024760000000001</v>
      </c>
      <c r="AQ53" s="225">
        <f t="shared" si="46"/>
        <v>0</v>
      </c>
      <c r="AR53" s="232">
        <f ca="1">SUMIF('SBR Aug11'!$D$4:$S$90,'Apr11-Mar12 Billed-RETAIL'!$C53,'SBR Aug11'!$N$4:$N$90)</f>
        <v>200.76999999999998</v>
      </c>
      <c r="AS53" s="232">
        <f ca="1">SUMIF('SBR Aug11'!$D$4:$S$90,'Apr11-Mar12 Billed-RETAIL'!$C53,'SBR Aug11'!$M$4:$M$90)</f>
        <v>0.33999999999999997</v>
      </c>
      <c r="AT53" s="232">
        <f ca="1">SUMIF('SBR Aug11'!$D$4:$S$90,'Apr11-Mar12 Billed-RETAIL'!$C53,'SBR Aug11'!$O$4:$O$90)</f>
        <v>0</v>
      </c>
      <c r="AU53" s="225">
        <f t="shared" si="47"/>
        <v>0</v>
      </c>
      <c r="AV53" s="225"/>
      <c r="AW53" s="232">
        <f t="shared" ca="1" si="38"/>
        <v>838.13</v>
      </c>
      <c r="AX53" s="232">
        <f t="shared" ca="1" si="32"/>
        <v>838.13</v>
      </c>
      <c r="AY53" s="233">
        <f t="shared" ca="1" si="43"/>
        <v>1</v>
      </c>
      <c r="AZ53" s="232">
        <f ca="1">SUMIF('SBR Aug11'!$D$4:$S$90,'Apr11-Mar12 Billed-RETAIL'!$C53,'SBR Aug11'!$M$4:$M$90)</f>
        <v>0.33999999999999997</v>
      </c>
      <c r="BA53" s="232">
        <f ca="1">SUMIF('SBR Aug11'!$D$4:$S$90,'Apr11-Mar12 Billed-RETAIL'!$C53,'SBR Aug11'!$N$4:$N$90)</f>
        <v>200.76999999999998</v>
      </c>
      <c r="BB53" s="232">
        <f ca="1">SUMIF('SBR Aug11'!$D$4:$S$90,'Apr11-Mar12 Billed-RETAIL'!$C53,'SBR Aug11'!$O$4:$O$90)</f>
        <v>0</v>
      </c>
      <c r="BC53" s="232">
        <f ca="1">SUMIF('SBR Aug11'!$D$4:$S$90,'Apr11-Mar12 Billed-RETAIL'!$C53,'SBR Aug11'!$Q$4:$Q$90)</f>
        <v>0</v>
      </c>
      <c r="BD53" s="232">
        <f ca="1">SUMIF('SBR Aug11'!$D$4:$S$90,'Apr11-Mar12 Billed-RETAIL'!$C53,'SBR Aug11'!$K$4:$K$90)</f>
        <v>570</v>
      </c>
      <c r="BE53" s="232">
        <f ca="1">SUMIF('SBR Aug11'!$D$4:$S$90,'Apr11-Mar12 Billed-RETAIL'!$C53,'SBR Aug11'!$L$4:$L$90)</f>
        <v>67.02</v>
      </c>
      <c r="BF53" s="232"/>
    </row>
    <row r="54" spans="1:58" ht="15" x14ac:dyDescent="0.25">
      <c r="A54" s="196">
        <f t="shared" si="15"/>
        <v>49</v>
      </c>
      <c r="B54" s="211">
        <v>40756</v>
      </c>
      <c r="C54" s="211" t="str">
        <f>+'Retail Rates'!B15</f>
        <v>LGUMG861</v>
      </c>
      <c r="D54" s="197" t="str">
        <f t="shared" si="42"/>
        <v>861</v>
      </c>
      <c r="E54" s="197" t="str">
        <f>VLOOKUP(C54,'Retail Rates'!$B$7:$D$35,3,FALSE)</f>
        <v>CGS</v>
      </c>
      <c r="F54" s="222"/>
      <c r="G54" s="222">
        <f>SUMIFS(Adjustments!F$5:F$151,Adjustments!$B$5:$B$151,'Apr11-Mar12 Billed-RETAIL'!$B54,Adjustments!$C$5:$C$151,'Apr11-Mar12 Billed-RETAIL'!$C54)</f>
        <v>621</v>
      </c>
      <c r="H54" s="222">
        <f>SUMIFS(Adjustments!G$5:G$151,Adjustments!$B$5:$B$151,'Apr11-Mar12 Billed-RETAIL'!$B54,Adjustments!$C$5:$C$151,'Apr11-Mar12 Billed-RETAIL'!$C54)</f>
        <v>0</v>
      </c>
      <c r="I54" s="222">
        <f>SUMIFS('Data-Retail'!$H$4:$H$269,'Data-Retail'!$A$4:$A$269,'Apr11-Mar12 Billed-RETAIL'!$B54,'Data-Retail'!$D$4:$D$269,'Apr11-Mar12 Billed-RETAIL'!$C54)</f>
        <v>615</v>
      </c>
      <c r="J54" s="222">
        <f>SUMIFS('Data-Retail'!$I$4:$I$269,'Data-Retail'!$A$4:$A$269,'Apr11-Mar12 Billed-RETAIL'!$B54,'Data-Retail'!$D$4:$D$269,'Apr11-Mar12 Billed-RETAIL'!$C54)</f>
        <v>0</v>
      </c>
      <c r="K54" s="222"/>
      <c r="L54" s="223">
        <f>VLOOKUP($C54,'Retail Rates'!$B$7:$M$35,5,FALSE)</f>
        <v>30</v>
      </c>
      <c r="M54" s="223">
        <f>VLOOKUP($C54,'Retail Rates'!$B$7:$M$35,6,FALSE)</f>
        <v>170</v>
      </c>
      <c r="N54" s="224">
        <f>VLOOKUP($C54,'Retail Rates'!$B$7:$M$35,7,FALSE)</f>
        <v>0.18722</v>
      </c>
      <c r="O54" s="224">
        <f>VLOOKUP($C54,'Retail Rates'!$B$7:$M$35,8,FALSE)</f>
        <v>0.13722000000000001</v>
      </c>
      <c r="P54" s="224">
        <f>VLOOKUP($B54,'GSC-DSM Factors'!$A$1:$B$46,2,FALSE)</f>
        <v>0.5605</v>
      </c>
      <c r="Q54" s="223">
        <f>VLOOKUP($C54,'Retail Rates'!$B$7:$M$35,9,FALSE)</f>
        <v>0</v>
      </c>
      <c r="R54" s="224">
        <f>VLOOKUP($C54,'Retail Rates'!$B$7:$M$35,10,FALSE)</f>
        <v>0</v>
      </c>
      <c r="S54" s="223">
        <f>VLOOKUP($C54,'Retail Rates'!$B$7:$M$35,11,FALSE)</f>
        <v>0</v>
      </c>
      <c r="T54" s="223"/>
      <c r="U54" s="225">
        <f t="shared" si="31"/>
        <v>18630</v>
      </c>
      <c r="V54" s="225"/>
      <c r="W54" s="225">
        <f>+H54*M54</f>
        <v>0</v>
      </c>
      <c r="X54" s="225">
        <f t="shared" si="41"/>
        <v>115.1403</v>
      </c>
      <c r="Y54" s="225">
        <f t="shared" si="35"/>
        <v>0</v>
      </c>
      <c r="Z54" s="225">
        <f>SUM(I54:J54)*P54</f>
        <v>344.70749999999998</v>
      </c>
      <c r="AA54" s="225"/>
      <c r="AB54" s="225"/>
      <c r="AC54" s="225"/>
      <c r="AD54" s="225"/>
      <c r="AE54" s="244">
        <f>SUMIFS(Adjustments!H$5:H$684,Adjustments!$B$5:$B$684,'Apr11-Mar12 Billed-RETAIL'!$B54,Adjustments!$C$5:$C$684,'Apr11-Mar12 Billed-RETAIL'!$C54)</f>
        <v>0</v>
      </c>
      <c r="AF54" s="244">
        <f>SUMIFS(Adjustments!I$5:I$684,Adjustments!$B$5:$B$684,'Apr11-Mar12 Billed-RETAIL'!$B54,Adjustments!$C$5:$C$684,'Apr11-Mar12 Billed-RETAIL'!$C54)</f>
        <v>0</v>
      </c>
      <c r="AG54" s="238">
        <f>SUMIFS(Adjustments!J$5:J$684,Adjustments!$B$5:$B$684,'Apr11-Mar12 Billed-RETAIL'!$B54,Adjustments!$C$5:$C$684,'Apr11-Mar12 Billed-RETAIL'!$C54)</f>
        <v>2</v>
      </c>
      <c r="AH54" s="238">
        <f>SUMIFS(Adjustments!K$5:K$684,Adjustments!$B$5:$B$684,'Apr11-Mar12 Billed-RETAIL'!$B54,Adjustments!$C$5:$C$684,'Apr11-Mar12 Billed-RETAIL'!$C54)</f>
        <v>0</v>
      </c>
      <c r="AI54" s="238">
        <f>SUMIFS(Adjustments!L$5:L$684,Adjustments!$B$5:$B$684,'Apr11-Mar12 Billed-RETAIL'!$B54,Adjustments!$C$5:$C$684,'Apr11-Mar12 Billed-RETAIL'!$C54)</f>
        <v>1.62</v>
      </c>
      <c r="AJ54" s="238">
        <f>SUMIFS(Adjustments!M$5:M$684,Adjustments!$B$5:$B$684,'Apr11-Mar12 Billed-RETAIL'!$B54,Adjustments!$C$5:$C$684,'Apr11-Mar12 Billed-RETAIL'!$C54)</f>
        <v>0</v>
      </c>
      <c r="AK54" s="238">
        <f>SUMIFS(Adjustments!N$5:N$684,Adjustments!$B$5:$B$684,'Apr11-Mar12 Billed-RETAIL'!$B54,Adjustments!$C$5:$C$684,'Apr11-Mar12 Billed-RETAIL'!$C54)</f>
        <v>0</v>
      </c>
      <c r="AL54" s="238">
        <f>SUMIFS(Adjustments!O$5:O$684,Adjustments!$B$5:$B$684,'Apr11-Mar12 Billed-RETAIL'!$B54,Adjustments!$C$5:$C$684,'Apr11-Mar12 Billed-RETAIL'!$C54)</f>
        <v>0</v>
      </c>
      <c r="AM54" s="238">
        <f>SUMIFS(Adjustments!P$5:P$684,Adjustments!$B$5:$B$684,'Apr11-Mar12 Billed-RETAIL'!$B54,Adjustments!$C$5:$C$684,'Apr11-Mar12 Billed-RETAIL'!$C54)</f>
        <v>0</v>
      </c>
      <c r="AN54" s="225">
        <f t="shared" si="34"/>
        <v>18632</v>
      </c>
      <c r="AO54" s="225">
        <f t="shared" si="44"/>
        <v>0</v>
      </c>
      <c r="AP54" s="225">
        <f t="shared" si="45"/>
        <v>116.7603</v>
      </c>
      <c r="AQ54" s="225">
        <f t="shared" si="46"/>
        <v>0</v>
      </c>
      <c r="AR54" s="232">
        <f ca="1">SUMIF('SBR Aug11'!$D$4:$S$90,'Apr11-Mar12 Billed-RETAIL'!$C54,'SBR Aug11'!$N$4:$N$90)</f>
        <v>344.4</v>
      </c>
      <c r="AS54" s="232">
        <f ca="1">SUMIF('SBR Aug11'!$D$4:$S$90,'Apr11-Mar12 Billed-RETAIL'!$C54,'SBR Aug11'!$M$4:$M$90)</f>
        <v>0</v>
      </c>
      <c r="AT54" s="232">
        <f ca="1">SUMIF('SBR Aug11'!$D$4:$S$90,'Apr11-Mar12 Billed-RETAIL'!$C54,'SBR Aug11'!$O$4:$O$90)</f>
        <v>0</v>
      </c>
      <c r="AU54" s="225">
        <f t="shared" si="47"/>
        <v>0</v>
      </c>
      <c r="AV54" s="225"/>
      <c r="AW54" s="232">
        <f t="shared" ca="1" si="38"/>
        <v>19093.16</v>
      </c>
      <c r="AX54" s="232">
        <f t="shared" ca="1" si="32"/>
        <v>19093.16</v>
      </c>
      <c r="AY54" s="233">
        <f t="shared" ca="1" si="43"/>
        <v>1</v>
      </c>
      <c r="AZ54" s="232">
        <f ca="1">SUMIF('SBR Aug11'!$D$4:$S$90,'Apr11-Mar12 Billed-RETAIL'!$C54,'SBR Aug11'!$M$4:$M$90)</f>
        <v>0</v>
      </c>
      <c r="BA54" s="232">
        <f ca="1">SUMIF('SBR Aug11'!$D$4:$S$90,'Apr11-Mar12 Billed-RETAIL'!$C54,'SBR Aug11'!$N$4:$N$90)</f>
        <v>344.4</v>
      </c>
      <c r="BB54" s="232">
        <f ca="1">SUMIF('SBR Aug11'!$D$4:$S$90,'Apr11-Mar12 Billed-RETAIL'!$C54,'SBR Aug11'!$O$4:$O$90)</f>
        <v>0</v>
      </c>
      <c r="BC54" s="232">
        <f ca="1">SUMIF('SBR Aug11'!$D$4:$S$90,'Apr11-Mar12 Billed-RETAIL'!$C54,'SBR Aug11'!$Q$4:$Q$90)</f>
        <v>0</v>
      </c>
      <c r="BD54" s="232">
        <f ca="1">SUMIF('SBR Aug11'!$D$4:$S$90,'Apr11-Mar12 Billed-RETAIL'!$C54,'SBR Aug11'!$K$4:$K$90)</f>
        <v>18632</v>
      </c>
      <c r="BE54" s="232">
        <f ca="1">SUMIF('SBR Aug11'!$D$4:$S$90,'Apr11-Mar12 Billed-RETAIL'!$C54,'SBR Aug11'!$L$4:$L$90)</f>
        <v>116.76</v>
      </c>
      <c r="BF54" s="232"/>
    </row>
    <row r="55" spans="1:58" ht="15" customHeight="1" x14ac:dyDescent="0.25">
      <c r="A55" s="196">
        <f t="shared" si="15"/>
        <v>50</v>
      </c>
      <c r="B55" s="211">
        <v>40756</v>
      </c>
      <c r="C55" s="211" t="str">
        <f>+'Retail Rates'!B18</f>
        <v>LGCMG875</v>
      </c>
      <c r="D55" s="197" t="str">
        <f t="shared" si="42"/>
        <v>875</v>
      </c>
      <c r="E55" s="197" t="str">
        <f>VLOOKUP(C55,'Retail Rates'!$B$7:$D$35,3,FALSE)</f>
        <v>DGGS-C</v>
      </c>
      <c r="F55" s="222">
        <f>SUMIFS('Data-Retail'!$G$4:$G$269,'Data-Retail'!$A$4:$A$269,'Apr11-Mar12 Billed-RETAIL'!$B55,'Data-Retail'!$D$4:$D$269,'Apr11-Mar12 Billed-RETAIL'!$C55)</f>
        <v>0</v>
      </c>
      <c r="G55" s="222"/>
      <c r="H55" s="222"/>
      <c r="I55" s="222">
        <f>SUMIFS('Data-Retail'!$H$4:$H$269,'Data-Retail'!$A$4:$A$269,'Apr11-Mar12 Billed-RETAIL'!$B55,'Data-Retail'!$D$4:$D$269,'Apr11-Mar12 Billed-RETAIL'!$C55)</f>
        <v>0</v>
      </c>
      <c r="J55" s="222">
        <f>SUMIFS('Data-Retail'!$I$4:$I$269,'Data-Retail'!$A$4:$A$269,'Apr11-Mar12 Billed-RETAIL'!$B55,'Data-Retail'!$D$4:$D$269,'Apr11-Mar12 Billed-RETAIL'!$C55)</f>
        <v>0</v>
      </c>
      <c r="K55" s="222"/>
      <c r="L55" s="223">
        <f>VLOOKUP($C55,'Retail Rates'!$B$7:$M$35,5,FALSE)</f>
        <v>30</v>
      </c>
      <c r="M55" s="223">
        <f>VLOOKUP($C55,'Retail Rates'!$B$7:$M$35,6,FALSE)</f>
        <v>170</v>
      </c>
      <c r="N55" s="224">
        <f>VLOOKUP($C55,'Retail Rates'!$B$7:$M$35,7,FALSE)</f>
        <v>2.7439999999999999E-2</v>
      </c>
      <c r="O55" s="224">
        <f>VLOOKUP($C55,'Retail Rates'!$B$7:$M$35,8,FALSE)</f>
        <v>0</v>
      </c>
      <c r="P55" s="224">
        <f>VLOOKUP($B55,'GSC-DSM Factors'!$A$1:$B$46,2,FALSE)</f>
        <v>0.5605</v>
      </c>
      <c r="Q55" s="223">
        <f>VLOOKUP($C55,'Retail Rates'!$B$7:$M$35,9,FALSE)</f>
        <v>0</v>
      </c>
      <c r="R55" s="224">
        <f>VLOOKUP($C55,'Retail Rates'!$B$7:$M$35,10,FALSE)</f>
        <v>0</v>
      </c>
      <c r="S55" s="223">
        <f>VLOOKUP($C55,'Retail Rates'!$B$7:$M$35,11,FALSE)</f>
        <v>1.0109999999999999</v>
      </c>
      <c r="T55" s="223"/>
      <c r="U55" s="225">
        <f t="shared" si="31"/>
        <v>0</v>
      </c>
      <c r="V55" s="225"/>
      <c r="W55" s="225"/>
      <c r="X55" s="225">
        <f t="shared" si="41"/>
        <v>0</v>
      </c>
      <c r="Y55" s="225">
        <f t="shared" si="35"/>
        <v>0</v>
      </c>
      <c r="Z55" s="225">
        <f t="shared" ref="Z55:Z60" si="48">SUM(I55:J55)*P55</f>
        <v>0</v>
      </c>
      <c r="AA55" s="225"/>
      <c r="AB55" s="225"/>
      <c r="AC55" s="225"/>
      <c r="AD55" s="225"/>
      <c r="AE55" s="244">
        <f>SUMIFS(Adjustments!H$5:H$684,Adjustments!$B$5:$B$684,'Apr11-Mar12 Billed-RETAIL'!$B55,Adjustments!$C$5:$C$684,'Apr11-Mar12 Billed-RETAIL'!$C55)</f>
        <v>0</v>
      </c>
      <c r="AF55" s="244">
        <f>SUMIFS(Adjustments!I$5:I$684,Adjustments!$B$5:$B$684,'Apr11-Mar12 Billed-RETAIL'!$B55,Adjustments!$C$5:$C$684,'Apr11-Mar12 Billed-RETAIL'!$C55)</f>
        <v>0</v>
      </c>
      <c r="AG55" s="238">
        <f>SUMIFS(Adjustments!J$5:J$684,Adjustments!$B$5:$B$684,'Apr11-Mar12 Billed-RETAIL'!$B55,Adjustments!$C$5:$C$684,'Apr11-Mar12 Billed-RETAIL'!$C55)</f>
        <v>0</v>
      </c>
      <c r="AH55" s="238">
        <f>SUMIFS(Adjustments!K$5:K$684,Adjustments!$B$5:$B$684,'Apr11-Mar12 Billed-RETAIL'!$B55,Adjustments!$C$5:$C$684,'Apr11-Mar12 Billed-RETAIL'!$C55)</f>
        <v>0</v>
      </c>
      <c r="AI55" s="238">
        <f>SUMIFS(Adjustments!L$5:L$684,Adjustments!$B$5:$B$684,'Apr11-Mar12 Billed-RETAIL'!$B55,Adjustments!$C$5:$C$684,'Apr11-Mar12 Billed-RETAIL'!$C55)</f>
        <v>0</v>
      </c>
      <c r="AJ55" s="238">
        <f>SUMIFS(Adjustments!M$5:M$684,Adjustments!$B$5:$B$684,'Apr11-Mar12 Billed-RETAIL'!$B55,Adjustments!$C$5:$C$684,'Apr11-Mar12 Billed-RETAIL'!$C55)</f>
        <v>0</v>
      </c>
      <c r="AK55" s="238">
        <f>SUMIFS(Adjustments!N$5:N$684,Adjustments!$B$5:$B$684,'Apr11-Mar12 Billed-RETAIL'!$B55,Adjustments!$C$5:$C$684,'Apr11-Mar12 Billed-RETAIL'!$C55)</f>
        <v>0</v>
      </c>
      <c r="AL55" s="238">
        <f>SUMIFS(Adjustments!O$5:O$684,Adjustments!$B$5:$B$684,'Apr11-Mar12 Billed-RETAIL'!$B55,Adjustments!$C$5:$C$684,'Apr11-Mar12 Billed-RETAIL'!$C55)</f>
        <v>0</v>
      </c>
      <c r="AM55" s="238">
        <f>SUMIFS(Adjustments!P$5:P$684,Adjustments!$B$5:$B$684,'Apr11-Mar12 Billed-RETAIL'!$B55,Adjustments!$C$5:$C$684,'Apr11-Mar12 Billed-RETAIL'!$C55)</f>
        <v>0</v>
      </c>
      <c r="AN55" s="225">
        <f t="shared" si="34"/>
        <v>0</v>
      </c>
      <c r="AO55" s="225">
        <f t="shared" si="44"/>
        <v>0</v>
      </c>
      <c r="AP55" s="225">
        <f t="shared" si="45"/>
        <v>0</v>
      </c>
      <c r="AQ55" s="225">
        <f t="shared" si="46"/>
        <v>0</v>
      </c>
      <c r="AR55" s="232">
        <f ca="1">SUMIF('SBR Aug11'!$D$4:$S$90,'Apr11-Mar12 Billed-RETAIL'!$C55,'SBR Aug11'!$N$4:$N$90)</f>
        <v>0</v>
      </c>
      <c r="AS55" s="232">
        <f ca="1">SUMIF('SBR Aug11'!$D$4:$S$90,'Apr11-Mar12 Billed-RETAIL'!$C55,'SBR Aug11'!$M$4:$M$90)</f>
        <v>0</v>
      </c>
      <c r="AT55" s="232">
        <f ca="1">SUMIF('SBR Aug11'!$D$4:$S$90,'Apr11-Mar12 Billed-RETAIL'!$C55,'SBR Aug11'!$O$4:$O$90)</f>
        <v>0</v>
      </c>
      <c r="AU55" s="225">
        <f t="shared" si="47"/>
        <v>0</v>
      </c>
      <c r="AV55" s="225"/>
      <c r="AW55" s="232">
        <f t="shared" ca="1" si="38"/>
        <v>0</v>
      </c>
      <c r="AX55" s="232">
        <f t="shared" ca="1" si="32"/>
        <v>0</v>
      </c>
      <c r="AY55" s="233">
        <v>1</v>
      </c>
      <c r="AZ55" s="232">
        <f ca="1">SUMIF('SBR Aug11'!$D$4:$S$90,'Apr11-Mar12 Billed-RETAIL'!$C55,'SBR Aug11'!$M$4:$M$90)</f>
        <v>0</v>
      </c>
      <c r="BA55" s="232">
        <f ca="1">SUMIF('SBR Aug11'!$D$4:$S$90,'Apr11-Mar12 Billed-RETAIL'!$C55,'SBR Aug11'!$N$4:$N$90)</f>
        <v>0</v>
      </c>
      <c r="BB55" s="232">
        <f ca="1">SUMIF('SBR Aug11'!$D$4:$S$90,'Apr11-Mar12 Billed-RETAIL'!$C55,'SBR Aug11'!$O$4:$O$90)</f>
        <v>0</v>
      </c>
      <c r="BC55" s="232">
        <f ca="1">SUMIF('SBR Aug11'!$D$4:$S$90,'Apr11-Mar12 Billed-RETAIL'!$C55,'SBR Aug11'!$Q$4:$Q$90)</f>
        <v>0</v>
      </c>
      <c r="BD55" s="232">
        <f ca="1">SUMIF('SBR Aug11'!$D$4:$S$90,'Apr11-Mar12 Billed-RETAIL'!$C55,'SBR Aug11'!$K$4:$K$90)</f>
        <v>0</v>
      </c>
      <c r="BE55" s="232">
        <f ca="1">SUMIF('SBR Aug11'!$D$4:$S$90,'Apr11-Mar12 Billed-RETAIL'!$C55,'SBR Aug11'!$L$4:$L$90)</f>
        <v>0</v>
      </c>
      <c r="BF55" s="232"/>
    </row>
    <row r="56" spans="1:58" ht="15" customHeight="1" x14ac:dyDescent="0.25">
      <c r="A56" s="196">
        <f t="shared" si="15"/>
        <v>51</v>
      </c>
      <c r="B56" s="211">
        <v>40756</v>
      </c>
      <c r="C56" s="211" t="str">
        <f>+'Retail Rates'!B23</f>
        <v>LGING855</v>
      </c>
      <c r="D56" s="197" t="str">
        <f t="shared" si="42"/>
        <v>855</v>
      </c>
      <c r="E56" s="197" t="str">
        <f>VLOOKUP(C56,'Retail Rates'!$B$7:$D$35,3,FALSE)</f>
        <v>IGS</v>
      </c>
      <c r="F56" s="222"/>
      <c r="G56" s="222">
        <f>SUMIFS(Adjustments!F$5:F$151,Adjustments!$B$5:$B$151,'Apr11-Mar12 Billed-RETAIL'!$B56,Adjustments!$C$5:$C$151,'Apr11-Mar12 Billed-RETAIL'!$C56)</f>
        <v>124</v>
      </c>
      <c r="H56" s="222">
        <f>SUMIFS(Adjustments!G$5:G$151,Adjustments!$B$5:$B$151,'Apr11-Mar12 Billed-RETAIL'!$B56,Adjustments!$C$5:$C$151,'Apr11-Mar12 Billed-RETAIL'!$C56)</f>
        <v>109</v>
      </c>
      <c r="I56" s="222">
        <f>SUMIFS('Data-Retail'!$H$4:$H$269,'Data-Retail'!$A$4:$A$269,'Apr11-Mar12 Billed-RETAIL'!$B56,'Data-Retail'!$D$4:$D$269,'Apr11-Mar12 Billed-RETAIL'!$C56)</f>
        <v>57664</v>
      </c>
      <c r="J56" s="222">
        <f>SUMIFS('Data-Retail'!$I$4:$I$269,'Data-Retail'!$A$4:$A$269,'Apr11-Mar12 Billed-RETAIL'!$B56,'Data-Retail'!$D$4:$D$269,'Apr11-Mar12 Billed-RETAIL'!$C56)</f>
        <v>384790</v>
      </c>
      <c r="K56" s="222"/>
      <c r="L56" s="223">
        <f>VLOOKUP($C56,'Retail Rates'!$B$7:$M$35,5,FALSE)</f>
        <v>30</v>
      </c>
      <c r="M56" s="223">
        <f>VLOOKUP($C56,'Retail Rates'!$B$7:$M$35,6,FALSE)</f>
        <v>170</v>
      </c>
      <c r="N56" s="224">
        <f>VLOOKUP($C56,'Retail Rates'!$B$7:$M$35,7,FALSE)</f>
        <v>0.19022</v>
      </c>
      <c r="O56" s="224">
        <f>VLOOKUP($C56,'Retail Rates'!$B$7:$M$35,8,FALSE)</f>
        <v>0.14022000000000001</v>
      </c>
      <c r="P56" s="224">
        <f>VLOOKUP($B56,'GSC-DSM Factors'!$A$1:$B$46,2,FALSE)</f>
        <v>0.5605</v>
      </c>
      <c r="Q56" s="223">
        <f>VLOOKUP($C56,'Retail Rates'!$B$7:$M$35,9,FALSE)</f>
        <v>0</v>
      </c>
      <c r="R56" s="224">
        <f>VLOOKUP($C56,'Retail Rates'!$B$7:$M$35,10,FALSE)</f>
        <v>0</v>
      </c>
      <c r="S56" s="223">
        <f>VLOOKUP($C56,'Retail Rates'!$B$7:$M$35,11,FALSE)</f>
        <v>0</v>
      </c>
      <c r="T56" s="223"/>
      <c r="U56" s="225">
        <f t="shared" ref="U56:U78" si="49">(+F56*L56)+(G56*L56)</f>
        <v>3720</v>
      </c>
      <c r="V56" s="225"/>
      <c r="W56" s="225">
        <f>+H56*M56</f>
        <v>18530</v>
      </c>
      <c r="X56" s="225">
        <f>+I56*N56</f>
        <v>10968.846079999999</v>
      </c>
      <c r="Y56" s="225">
        <f t="shared" si="35"/>
        <v>53955.253800000006</v>
      </c>
      <c r="Z56" s="225">
        <f t="shared" si="48"/>
        <v>247995.467</v>
      </c>
      <c r="AA56" s="225"/>
      <c r="AB56" s="225"/>
      <c r="AC56" s="225"/>
      <c r="AD56" s="225"/>
      <c r="AE56" s="244">
        <f>SUMIFS(Adjustments!H$5:H$684,Adjustments!$B$5:$B$684,'Apr11-Mar12 Billed-RETAIL'!$B56,Adjustments!$C$5:$C$684,'Apr11-Mar12 Billed-RETAIL'!$C56)</f>
        <v>0</v>
      </c>
      <c r="AF56" s="244">
        <f>SUMIFS(Adjustments!I$5:I$684,Adjustments!$B$5:$B$684,'Apr11-Mar12 Billed-RETAIL'!$B56,Adjustments!$C$5:$C$684,'Apr11-Mar12 Billed-RETAIL'!$C56)</f>
        <v>0</v>
      </c>
      <c r="AG56" s="238">
        <f>SUMIFS(Adjustments!J$5:J$684,Adjustments!$B$5:$B$684,'Apr11-Mar12 Billed-RETAIL'!$B56,Adjustments!$C$5:$C$684,'Apr11-Mar12 Billed-RETAIL'!$C56)</f>
        <v>0</v>
      </c>
      <c r="AH56" s="238">
        <f>SUMIFS(Adjustments!K$5:K$684,Adjustments!$B$5:$B$684,'Apr11-Mar12 Billed-RETAIL'!$B56,Adjustments!$C$5:$C$684,'Apr11-Mar12 Billed-RETAIL'!$C56)</f>
        <v>0</v>
      </c>
      <c r="AI56" s="238">
        <f>SUMIFS(Adjustments!L$5:L$684,Adjustments!$B$5:$B$684,'Apr11-Mar12 Billed-RETAIL'!$B56,Adjustments!$C$5:$C$684,'Apr11-Mar12 Billed-RETAIL'!$C56)</f>
        <v>0</v>
      </c>
      <c r="AJ56" s="238">
        <f>SUMIFS(Adjustments!M$5:M$684,Adjustments!$B$5:$B$684,'Apr11-Mar12 Billed-RETAIL'!$B56,Adjustments!$C$5:$C$684,'Apr11-Mar12 Billed-RETAIL'!$C56)</f>
        <v>0</v>
      </c>
      <c r="AK56" s="238">
        <f>SUMIFS(Adjustments!N$5:N$684,Adjustments!$B$5:$B$684,'Apr11-Mar12 Billed-RETAIL'!$B56,Adjustments!$C$5:$C$684,'Apr11-Mar12 Billed-RETAIL'!$C56)</f>
        <v>0</v>
      </c>
      <c r="AL56" s="238">
        <f>SUMIFS(Adjustments!O$5:O$684,Adjustments!$B$5:$B$684,'Apr11-Mar12 Billed-RETAIL'!$B56,Adjustments!$C$5:$C$684,'Apr11-Mar12 Billed-RETAIL'!$C56)</f>
        <v>0</v>
      </c>
      <c r="AM56" s="238">
        <f>SUMIFS(Adjustments!P$5:P$684,Adjustments!$B$5:$B$684,'Apr11-Mar12 Billed-RETAIL'!$B56,Adjustments!$C$5:$C$684,'Apr11-Mar12 Billed-RETAIL'!$C56)</f>
        <v>0</v>
      </c>
      <c r="AN56" s="225">
        <f t="shared" si="34"/>
        <v>3720</v>
      </c>
      <c r="AO56" s="225">
        <f t="shared" si="44"/>
        <v>18530</v>
      </c>
      <c r="AP56" s="225">
        <f t="shared" si="45"/>
        <v>10968.846079999999</v>
      </c>
      <c r="AQ56" s="225">
        <f t="shared" si="46"/>
        <v>53955.253800000006</v>
      </c>
      <c r="AR56" s="232">
        <f ca="1">SUMIF('SBR Aug11'!$D$4:$S$90,'Apr11-Mar12 Billed-RETAIL'!$C56,'SBR Aug11'!$N$4:$N$90)</f>
        <v>248197.34</v>
      </c>
      <c r="AS56" s="232">
        <f ca="1">SUMIF('SBR Aug11'!$D$4:$S$90,'Apr11-Mar12 Billed-RETAIL'!$C56,'SBR Aug11'!$M$4:$M$90)</f>
        <v>0</v>
      </c>
      <c r="AT56" s="232">
        <f ca="1">SUMIF('SBR Aug11'!$D$4:$S$90,'Apr11-Mar12 Billed-RETAIL'!$C56,'SBR Aug11'!$O$4:$O$90)</f>
        <v>0</v>
      </c>
      <c r="AU56" s="225">
        <f t="shared" si="47"/>
        <v>0</v>
      </c>
      <c r="AV56" s="225"/>
      <c r="AW56" s="232">
        <f t="shared" ca="1" si="38"/>
        <v>335371.44</v>
      </c>
      <c r="AX56" s="232">
        <f t="shared" ref="AX56:AX78" ca="1" si="50">SUM(AZ56:BF56)-BC56</f>
        <v>335371.48</v>
      </c>
      <c r="AY56" s="233">
        <f t="shared" ca="1" si="43"/>
        <v>1</v>
      </c>
      <c r="AZ56" s="232">
        <f ca="1">SUMIF('SBR Aug11'!$D$4:$S$90,'Apr11-Mar12 Billed-RETAIL'!$C56,'SBR Aug11'!$M$4:$M$90)</f>
        <v>0</v>
      </c>
      <c r="BA56" s="232">
        <f ca="1">SUMIF('SBR Aug11'!$D$4:$S$90,'Apr11-Mar12 Billed-RETAIL'!$C56,'SBR Aug11'!$N$4:$N$90)</f>
        <v>248197.34</v>
      </c>
      <c r="BB56" s="232">
        <f ca="1">SUMIF('SBR Aug11'!$D$4:$S$90,'Apr11-Mar12 Billed-RETAIL'!$C56,'SBR Aug11'!$O$4:$O$90)</f>
        <v>0</v>
      </c>
      <c r="BC56" s="232">
        <f ca="1">SUMIF('SBR Aug11'!$D$4:$S$90,'Apr11-Mar12 Billed-RETAIL'!$C56,'SBR Aug11'!$Q$4:$Q$90)</f>
        <v>0</v>
      </c>
      <c r="BD56" s="232">
        <f ca="1">SUMIF('SBR Aug11'!$D$4:$S$90,'Apr11-Mar12 Billed-RETAIL'!$C56,'SBR Aug11'!$K$4:$K$90)</f>
        <v>22250</v>
      </c>
      <c r="BE56" s="232">
        <f ca="1">SUMIF('SBR Aug11'!$D$4:$S$90,'Apr11-Mar12 Billed-RETAIL'!$C56,'SBR Aug11'!$L$4:$L$90)</f>
        <v>64924.14</v>
      </c>
      <c r="BF56" s="232"/>
    </row>
    <row r="57" spans="1:58" ht="15" customHeight="1" x14ac:dyDescent="0.25">
      <c r="A57" s="196">
        <f t="shared" si="15"/>
        <v>52</v>
      </c>
      <c r="B57" s="211">
        <v>40756</v>
      </c>
      <c r="C57" s="211" t="str">
        <f>+'Retail Rates'!B26</f>
        <v>LGRSG811</v>
      </c>
      <c r="D57" s="197" t="str">
        <f t="shared" si="42"/>
        <v>811</v>
      </c>
      <c r="E57" s="197" t="str">
        <f>VLOOKUP(C57,'Retail Rates'!$B$7:$D$35,3,FALSE)</f>
        <v>RGS</v>
      </c>
      <c r="F57" s="222">
        <f>SUMIFS('Data-Retail'!$G$4:$G$269,'Data-Retail'!$A$4:$A$269,'Apr11-Mar12 Billed-RETAIL'!$B57,'Data-Retail'!$D$4:$D$269,'Apr11-Mar12 Billed-RETAIL'!$C57)</f>
        <v>291704</v>
      </c>
      <c r="G57" s="222"/>
      <c r="H57" s="222"/>
      <c r="I57" s="222">
        <f>SUMIFS('Data-Retail'!$H$4:$H$269,'Data-Retail'!$A$4:$A$269,'Apr11-Mar12 Billed-RETAIL'!$B57,'Data-Retail'!$D$4:$D$269,'Apr11-Mar12 Billed-RETAIL'!$C57)</f>
        <v>3590255</v>
      </c>
      <c r="J57" s="222">
        <f>SUMIFS('Data-Retail'!$I$4:$I$269,'Data-Retail'!$A$4:$A$269,'Apr11-Mar12 Billed-RETAIL'!$B57,'Data-Retail'!$D$4:$D$269,'Apr11-Mar12 Billed-RETAIL'!$C57)</f>
        <v>0</v>
      </c>
      <c r="K57" s="222"/>
      <c r="L57" s="223">
        <f>VLOOKUP($C57,'Retail Rates'!$B$7:$M$35,5,FALSE)</f>
        <v>12.5</v>
      </c>
      <c r="M57" s="223">
        <f>VLOOKUP($C57,'Retail Rates'!$B$7:$M$35,6,FALSE)</f>
        <v>0</v>
      </c>
      <c r="N57" s="224">
        <f>VLOOKUP($C57,'Retail Rates'!$B$7:$M$35,7,FALSE)</f>
        <v>0.22395999999999999</v>
      </c>
      <c r="O57" s="224">
        <f>VLOOKUP($C57,'Retail Rates'!$B$7:$M$35,8,FALSE)</f>
        <v>0</v>
      </c>
      <c r="P57" s="224">
        <f>VLOOKUP($B57,'GSC-DSM Factors'!$A$1:$B$46,2,FALSE)</f>
        <v>0.5605</v>
      </c>
      <c r="Q57" s="223">
        <f>VLOOKUP($C57,'Retail Rates'!$B$7:$M$35,9,FALSE)</f>
        <v>0</v>
      </c>
      <c r="R57" s="224">
        <f>VLOOKUP($C57,'Retail Rates'!$B$7:$M$35,10,FALSE)</f>
        <v>0</v>
      </c>
      <c r="S57" s="223">
        <f>VLOOKUP($C57,'Retail Rates'!$B$7:$M$35,11,FALSE)</f>
        <v>0</v>
      </c>
      <c r="T57" s="223"/>
      <c r="U57" s="225">
        <f t="shared" si="49"/>
        <v>3646300</v>
      </c>
      <c r="V57" s="225"/>
      <c r="W57" s="225"/>
      <c r="X57" s="225">
        <f>+I57*N57</f>
        <v>804073.5098</v>
      </c>
      <c r="Y57" s="225">
        <f t="shared" si="35"/>
        <v>0</v>
      </c>
      <c r="Z57" s="225">
        <f t="shared" si="48"/>
        <v>2012337.9275</v>
      </c>
      <c r="AA57" s="225"/>
      <c r="AB57" s="225"/>
      <c r="AC57" s="225"/>
      <c r="AD57" s="225"/>
      <c r="AE57" s="244">
        <f>SUMIFS(Adjustments!H$5:H$684,Adjustments!$B$5:$B$684,'Apr11-Mar12 Billed-RETAIL'!$B57,Adjustments!$C$5:$C$684,'Apr11-Mar12 Billed-RETAIL'!$C57)</f>
        <v>-574</v>
      </c>
      <c r="AF57" s="244">
        <f>SUMIFS(Adjustments!I$5:I$684,Adjustments!$B$5:$B$684,'Apr11-Mar12 Billed-RETAIL'!$B57,Adjustments!$C$5:$C$684,'Apr11-Mar12 Billed-RETAIL'!$C57)</f>
        <v>0</v>
      </c>
      <c r="AG57" s="238">
        <f>SUMIFS(Adjustments!J$5:J$684,Adjustments!$B$5:$B$684,'Apr11-Mar12 Billed-RETAIL'!$B57,Adjustments!$C$5:$C$684,'Apr11-Mar12 Billed-RETAIL'!$C57)</f>
        <v>10.02</v>
      </c>
      <c r="AH57" s="238">
        <f>SUMIFS(Adjustments!K$5:K$684,Adjustments!$B$5:$B$684,'Apr11-Mar12 Billed-RETAIL'!$B57,Adjustments!$C$5:$C$684,'Apr11-Mar12 Billed-RETAIL'!$C57)</f>
        <v>0</v>
      </c>
      <c r="AI57" s="238">
        <f>SUMIFS(Adjustments!L$5:L$684,Adjustments!$B$5:$B$684,'Apr11-Mar12 Billed-RETAIL'!$B57,Adjustments!$C$5:$C$684,'Apr11-Mar12 Billed-RETAIL'!$C57)</f>
        <v>90.74</v>
      </c>
      <c r="AJ57" s="238">
        <f>SUMIFS(Adjustments!M$5:M$684,Adjustments!$B$5:$B$684,'Apr11-Mar12 Billed-RETAIL'!$B57,Adjustments!$C$5:$C$684,'Apr11-Mar12 Billed-RETAIL'!$C57)</f>
        <v>0</v>
      </c>
      <c r="AK57" s="238">
        <f>SUMIFS(Adjustments!N$5:N$684,Adjustments!$B$5:$B$684,'Apr11-Mar12 Billed-RETAIL'!$B57,Adjustments!$C$5:$C$684,'Apr11-Mar12 Billed-RETAIL'!$C57)</f>
        <v>0</v>
      </c>
      <c r="AL57" s="238">
        <f>SUMIFS(Adjustments!O$5:O$684,Adjustments!$B$5:$B$684,'Apr11-Mar12 Billed-RETAIL'!$B57,Adjustments!$C$5:$C$684,'Apr11-Mar12 Billed-RETAIL'!$C57)</f>
        <v>0</v>
      </c>
      <c r="AM57" s="238">
        <f>SUMIFS(Adjustments!P$5:P$684,Adjustments!$B$5:$B$684,'Apr11-Mar12 Billed-RETAIL'!$B57,Adjustments!$C$5:$C$684,'Apr11-Mar12 Billed-RETAIL'!$C57)</f>
        <v>0</v>
      </c>
      <c r="AN57" s="225">
        <f t="shared" ref="AN57:AN82" si="51">+U57+AG57+(AE57*L57)</f>
        <v>3639135.02</v>
      </c>
      <c r="AO57" s="225">
        <f t="shared" si="44"/>
        <v>0</v>
      </c>
      <c r="AP57" s="225">
        <f t="shared" si="45"/>
        <v>804164.24979999999</v>
      </c>
      <c r="AQ57" s="225">
        <f t="shared" si="46"/>
        <v>0</v>
      </c>
      <c r="AR57" s="232">
        <f ca="1">SUMIF('SBR Aug11'!$D$4:$S$90,'Apr11-Mar12 Billed-RETAIL'!$C57,'SBR Aug11'!$N$4:$N$90)</f>
        <v>2013890.0999999999</v>
      </c>
      <c r="AS57" s="232">
        <f ca="1">SUMIF('SBR Aug11'!$D$4:$S$90,'Apr11-Mar12 Billed-RETAIL'!$C57,'SBR Aug11'!$M$4:$M$90)</f>
        <v>67817.920000000013</v>
      </c>
      <c r="AT57" s="232">
        <f ca="1">SUMIF('SBR Aug11'!$D$4:$S$90,'Apr11-Mar12 Billed-RETAIL'!$C57,'SBR Aug11'!$O$4:$O$90)</f>
        <v>-165.82</v>
      </c>
      <c r="AU57" s="225">
        <f t="shared" si="47"/>
        <v>0</v>
      </c>
      <c r="AV57" s="225"/>
      <c r="AW57" s="232">
        <f t="shared" ca="1" si="38"/>
        <v>6524841.4699999997</v>
      </c>
      <c r="AX57" s="232">
        <f t="shared" ca="1" si="50"/>
        <v>6524841.4699999997</v>
      </c>
      <c r="AY57" s="233">
        <f t="shared" ca="1" si="43"/>
        <v>1</v>
      </c>
      <c r="AZ57" s="232">
        <f ca="1">SUMIF('SBR Aug11'!$D$4:$S$90,'Apr11-Mar12 Billed-RETAIL'!$C57,'SBR Aug11'!$M$4:$M$90)</f>
        <v>67817.920000000013</v>
      </c>
      <c r="BA57" s="232">
        <f ca="1">SUMIF('SBR Aug11'!$D$4:$S$90,'Apr11-Mar12 Billed-RETAIL'!$C57,'SBR Aug11'!$N$4:$N$90)</f>
        <v>2013890.0999999999</v>
      </c>
      <c r="BB57" s="232">
        <f ca="1">SUMIF('SBR Aug11'!$D$4:$S$90,'Apr11-Mar12 Billed-RETAIL'!$C57,'SBR Aug11'!$O$4:$O$90)</f>
        <v>-165.82</v>
      </c>
      <c r="BC57" s="232">
        <f ca="1">SUMIF('SBR Aug11'!$D$4:$S$90,'Apr11-Mar12 Billed-RETAIL'!$C57,'SBR Aug11'!$Q$4:$Q$90)</f>
        <v>44244.749999999993</v>
      </c>
      <c r="BD57" s="232">
        <f ca="1">SUMIF('SBR Aug11'!$D$4:$S$90,'Apr11-Mar12 Billed-RETAIL'!$C57,'SBR Aug11'!$K$4:$K$90)</f>
        <v>3639135.02</v>
      </c>
      <c r="BE57" s="232">
        <f ca="1">SUMIF('SBR Aug11'!$D$4:$S$90,'Apr11-Mar12 Billed-RETAIL'!$C57,'SBR Aug11'!$L$4:$L$90)</f>
        <v>804164.25</v>
      </c>
      <c r="BF57" s="232"/>
    </row>
    <row r="58" spans="1:58" ht="15" customHeight="1" x14ac:dyDescent="0.25">
      <c r="A58" s="196">
        <f t="shared" si="15"/>
        <v>53</v>
      </c>
      <c r="B58" s="211">
        <v>40756</v>
      </c>
      <c r="C58" s="211" t="str">
        <f>+'Retail Rates'!B27</f>
        <v>LGRSG811S1</v>
      </c>
      <c r="D58" s="197" t="str">
        <f t="shared" si="42"/>
        <v>811</v>
      </c>
      <c r="E58" s="197" t="str">
        <f>VLOOKUP(C58,'Retail Rates'!$B$7:$D$35,3,FALSE)</f>
        <v>RGS</v>
      </c>
      <c r="F58" s="222">
        <f>SUMIFS('Data-Retail'!$G$4:$G$269,'Data-Retail'!$A$4:$A$269,'Apr11-Mar12 Billed-RETAIL'!$B58,'Data-Retail'!$D$4:$D$269,'Apr11-Mar12 Billed-RETAIL'!$C58)</f>
        <v>1</v>
      </c>
      <c r="G58" s="222"/>
      <c r="H58" s="222"/>
      <c r="I58" s="222">
        <f>SUMIFS('Data-Retail'!$H$4:$H$269,'Data-Retail'!$A$4:$A$269,'Apr11-Mar12 Billed-RETAIL'!$B58,'Data-Retail'!$D$4:$D$269,'Apr11-Mar12 Billed-RETAIL'!$C58)</f>
        <v>27</v>
      </c>
      <c r="J58" s="222">
        <f>SUMIFS('Data-Retail'!$I$4:$I$269,'Data-Retail'!$A$4:$A$269,'Apr11-Mar12 Billed-RETAIL'!$B58,'Data-Retail'!$D$4:$D$269,'Apr11-Mar12 Billed-RETAIL'!$C58)</f>
        <v>0</v>
      </c>
      <c r="K58" s="222"/>
      <c r="L58" s="223">
        <f>VLOOKUP($C58,'Retail Rates'!$B$7:$M$35,5,FALSE)</f>
        <v>12.5</v>
      </c>
      <c r="M58" s="223">
        <f>VLOOKUP($C58,'Retail Rates'!$B$7:$M$35,6,FALSE)</f>
        <v>0</v>
      </c>
      <c r="N58" s="224">
        <f>VLOOKUP($C58,'Retail Rates'!$B$7:$M$35,7,FALSE)</f>
        <v>0.22395999999999999</v>
      </c>
      <c r="O58" s="224">
        <f>VLOOKUP($C58,'Retail Rates'!$B$7:$M$35,8,FALSE)</f>
        <v>0</v>
      </c>
      <c r="P58" s="224">
        <f>VLOOKUP($B58,'GSC-DSM Factors'!$A$1:$B$46,2,FALSE)</f>
        <v>0.5605</v>
      </c>
      <c r="Q58" s="223">
        <f>VLOOKUP($C58,'Retail Rates'!$B$7:$M$35,9,FALSE)</f>
        <v>0</v>
      </c>
      <c r="R58" s="224">
        <f>VLOOKUP($C58,'Retail Rates'!$B$7:$M$35,10,FALSE)</f>
        <v>0</v>
      </c>
      <c r="S58" s="223">
        <f>VLOOKUP($C58,'Retail Rates'!$B$7:$M$35,11,FALSE)</f>
        <v>0</v>
      </c>
      <c r="T58" s="223"/>
      <c r="U58" s="225">
        <f t="shared" si="49"/>
        <v>12.5</v>
      </c>
      <c r="V58" s="225"/>
      <c r="W58" s="225"/>
      <c r="X58" s="225">
        <f>+I58*N58</f>
        <v>6.0469200000000001</v>
      </c>
      <c r="Y58" s="225">
        <f t="shared" si="35"/>
        <v>0</v>
      </c>
      <c r="Z58" s="225">
        <f t="shared" si="48"/>
        <v>15.1335</v>
      </c>
      <c r="AA58" s="225"/>
      <c r="AB58" s="225"/>
      <c r="AC58" s="225"/>
      <c r="AD58" s="225"/>
      <c r="AE58" s="244">
        <f>SUMIFS(Adjustments!H$5:H$684,Adjustments!$B$5:$B$684,'Apr11-Mar12 Billed-RETAIL'!$B58,Adjustments!$C$5:$C$684,'Apr11-Mar12 Billed-RETAIL'!$C58)</f>
        <v>0</v>
      </c>
      <c r="AF58" s="244">
        <f>SUMIFS(Adjustments!I$5:I$684,Adjustments!$B$5:$B$684,'Apr11-Mar12 Billed-RETAIL'!$B58,Adjustments!$C$5:$C$684,'Apr11-Mar12 Billed-RETAIL'!$C58)</f>
        <v>0</v>
      </c>
      <c r="AG58" s="238">
        <f>SUMIFS(Adjustments!J$5:J$684,Adjustments!$B$5:$B$684,'Apr11-Mar12 Billed-RETAIL'!$B58,Adjustments!$C$5:$C$684,'Apr11-Mar12 Billed-RETAIL'!$C58)</f>
        <v>-12</v>
      </c>
      <c r="AH58" s="238">
        <f>SUMIFS(Adjustments!K$5:K$684,Adjustments!$B$5:$B$684,'Apr11-Mar12 Billed-RETAIL'!$B58,Adjustments!$C$5:$C$684,'Apr11-Mar12 Billed-RETAIL'!$C58)</f>
        <v>0</v>
      </c>
      <c r="AI58" s="238">
        <f>SUMIFS(Adjustments!L$5:L$684,Adjustments!$B$5:$B$684,'Apr11-Mar12 Billed-RETAIL'!$B58,Adjustments!$C$5:$C$684,'Apr11-Mar12 Billed-RETAIL'!$C58)</f>
        <v>-7.27</v>
      </c>
      <c r="AJ58" s="238">
        <f>SUMIFS(Adjustments!M$5:M$684,Adjustments!$B$5:$B$684,'Apr11-Mar12 Billed-RETAIL'!$B58,Adjustments!$C$5:$C$684,'Apr11-Mar12 Billed-RETAIL'!$C58)</f>
        <v>0</v>
      </c>
      <c r="AK58" s="238">
        <f>SUMIFS(Adjustments!N$5:N$684,Adjustments!$B$5:$B$684,'Apr11-Mar12 Billed-RETAIL'!$B58,Adjustments!$C$5:$C$684,'Apr11-Mar12 Billed-RETAIL'!$C58)</f>
        <v>0</v>
      </c>
      <c r="AL58" s="238">
        <f>SUMIFS(Adjustments!O$5:O$684,Adjustments!$B$5:$B$684,'Apr11-Mar12 Billed-RETAIL'!$B58,Adjustments!$C$5:$C$684,'Apr11-Mar12 Billed-RETAIL'!$C58)</f>
        <v>0</v>
      </c>
      <c r="AM58" s="238">
        <f>SUMIFS(Adjustments!P$5:P$684,Adjustments!$B$5:$B$684,'Apr11-Mar12 Billed-RETAIL'!$B58,Adjustments!$C$5:$C$684,'Apr11-Mar12 Billed-RETAIL'!$C58)</f>
        <v>0</v>
      </c>
      <c r="AN58" s="225">
        <f t="shared" si="51"/>
        <v>0.5</v>
      </c>
      <c r="AO58" s="225">
        <f t="shared" si="44"/>
        <v>0</v>
      </c>
      <c r="AP58" s="225">
        <f t="shared" si="45"/>
        <v>-1.2230799999999995</v>
      </c>
      <c r="AQ58" s="225">
        <f t="shared" si="46"/>
        <v>0</v>
      </c>
      <c r="AR58" s="232">
        <f ca="1">SUMIF('SBR Aug11'!$D$4:$S$90,'Apr11-Mar12 Billed-RETAIL'!$C58,'SBR Aug11'!$N$4:$N$90)</f>
        <v>15.13</v>
      </c>
      <c r="AS58" s="232">
        <f ca="1">SUMIF('SBR Aug11'!$D$4:$S$90,'Apr11-Mar12 Billed-RETAIL'!$C58,'SBR Aug11'!$M$4:$M$90)</f>
        <v>0</v>
      </c>
      <c r="AT58" s="232">
        <f ca="1">SUMIF('SBR Aug11'!$D$4:$S$90,'Apr11-Mar12 Billed-RETAIL'!$C58,'SBR Aug11'!$O$4:$O$90)</f>
        <v>0</v>
      </c>
      <c r="AU58" s="225">
        <f t="shared" si="47"/>
        <v>0</v>
      </c>
      <c r="AV58" s="225"/>
      <c r="AW58" s="232">
        <f t="shared" ca="1" si="38"/>
        <v>14.41</v>
      </c>
      <c r="AX58" s="232">
        <f t="shared" ca="1" si="50"/>
        <v>14.41</v>
      </c>
      <c r="AY58" s="233">
        <f t="shared" ca="1" si="43"/>
        <v>1</v>
      </c>
      <c r="AZ58" s="232">
        <f ca="1">SUMIF('SBR Aug11'!$D$4:$S$90,'Apr11-Mar12 Billed-RETAIL'!$C58,'SBR Aug11'!$M$4:$M$90)</f>
        <v>0</v>
      </c>
      <c r="BA58" s="232">
        <f ca="1">SUMIF('SBR Aug11'!$D$4:$S$90,'Apr11-Mar12 Billed-RETAIL'!$C58,'SBR Aug11'!$N$4:$N$90)</f>
        <v>15.13</v>
      </c>
      <c r="BB58" s="232">
        <f ca="1">SUMIF('SBR Aug11'!$D$4:$S$90,'Apr11-Mar12 Billed-RETAIL'!$C58,'SBR Aug11'!$O$4:$O$90)</f>
        <v>0</v>
      </c>
      <c r="BC58" s="232">
        <f ca="1">SUMIF('SBR Aug11'!$D$4:$S$90,'Apr11-Mar12 Billed-RETAIL'!$C58,'SBR Aug11'!$Q$4:$Q$90)</f>
        <v>0</v>
      </c>
      <c r="BD58" s="232">
        <f ca="1">SUMIF('SBR Aug11'!$D$4:$S$90,'Apr11-Mar12 Billed-RETAIL'!$C58,'SBR Aug11'!$K$4:$K$90)</f>
        <v>0.5</v>
      </c>
      <c r="BE58" s="232">
        <f ca="1">SUMIF('SBR Aug11'!$D$4:$S$90,'Apr11-Mar12 Billed-RETAIL'!$C58,'SBR Aug11'!$L$4:$L$90)</f>
        <v>-1.22</v>
      </c>
      <c r="BF58" s="232"/>
    </row>
    <row r="59" spans="1:58" ht="15" customHeight="1" x14ac:dyDescent="0.25">
      <c r="A59" s="196">
        <f t="shared" si="15"/>
        <v>54</v>
      </c>
      <c r="B59" s="211">
        <v>40756</v>
      </c>
      <c r="C59" s="211" t="str">
        <f>+'Retail Rates'!B28</f>
        <v>LGRSG840</v>
      </c>
      <c r="D59" s="197" t="str">
        <f t="shared" si="42"/>
        <v>840</v>
      </c>
      <c r="E59" s="197" t="str">
        <f>VLOOKUP(C59,'Retail Rates'!$B$7:$D$35,3,FALSE)</f>
        <v>RGS</v>
      </c>
      <c r="F59" s="222">
        <f>SUMIFS('Data-Retail'!$G$4:$G$269,'Data-Retail'!$A$4:$A$269,'Apr11-Mar12 Billed-RETAIL'!$B59,'Data-Retail'!$D$4:$D$269,'Apr11-Mar12 Billed-RETAIL'!$C59)</f>
        <v>4</v>
      </c>
      <c r="G59" s="222"/>
      <c r="H59" s="222"/>
      <c r="I59" s="222">
        <f>SUMIFS('Data-Retail'!$H$4:$H$269,'Data-Retail'!$A$4:$A$269,'Apr11-Mar12 Billed-RETAIL'!$B59,'Data-Retail'!$D$4:$D$269,'Apr11-Mar12 Billed-RETAIL'!$C59)</f>
        <v>322</v>
      </c>
      <c r="J59" s="222">
        <f>SUMIFS('Data-Retail'!$I$4:$I$269,'Data-Retail'!$A$4:$A$269,'Apr11-Mar12 Billed-RETAIL'!$B59,'Data-Retail'!$D$4:$D$269,'Apr11-Mar12 Billed-RETAIL'!$C59)</f>
        <v>0</v>
      </c>
      <c r="K59" s="222"/>
      <c r="L59" s="223">
        <f>VLOOKUP($C59,'Retail Rates'!$B$7:$M$35,5,FALSE)</f>
        <v>12.5</v>
      </c>
      <c r="M59" s="223">
        <f>VLOOKUP($C59,'Retail Rates'!$B$7:$M$35,6,FALSE)</f>
        <v>0</v>
      </c>
      <c r="N59" s="224">
        <f>VLOOKUP($C59,'Retail Rates'!$B$7:$M$35,7,FALSE)</f>
        <v>0.22395999999999999</v>
      </c>
      <c r="O59" s="224">
        <f>VLOOKUP($C59,'Retail Rates'!$B$7:$M$35,8,FALSE)</f>
        <v>0</v>
      </c>
      <c r="P59" s="224">
        <f>VLOOKUP($B59,'GSC-DSM Factors'!$A$1:$B$46,2,FALSE)</f>
        <v>0.5605</v>
      </c>
      <c r="Q59" s="223">
        <f>VLOOKUP($C59,'Retail Rates'!$B$7:$M$35,9,FALSE)</f>
        <v>0</v>
      </c>
      <c r="R59" s="224">
        <f>VLOOKUP($C59,'Retail Rates'!$B$7:$M$35,10,FALSE)</f>
        <v>0</v>
      </c>
      <c r="S59" s="223">
        <f>VLOOKUP($C59,'Retail Rates'!$B$7:$M$35,11,FALSE)</f>
        <v>0</v>
      </c>
      <c r="T59" s="223"/>
      <c r="U59" s="225">
        <f t="shared" si="49"/>
        <v>50</v>
      </c>
      <c r="V59" s="225"/>
      <c r="W59" s="225"/>
      <c r="X59" s="225">
        <f>+I59*N59</f>
        <v>72.115120000000005</v>
      </c>
      <c r="Y59" s="225">
        <f t="shared" si="35"/>
        <v>0</v>
      </c>
      <c r="Z59" s="225">
        <f t="shared" si="48"/>
        <v>180.48099999999999</v>
      </c>
      <c r="AA59" s="225"/>
      <c r="AB59" s="225"/>
      <c r="AC59" s="225"/>
      <c r="AD59" s="225"/>
      <c r="AE59" s="244">
        <f>SUMIFS(Adjustments!H$5:H$684,Adjustments!$B$5:$B$684,'Apr11-Mar12 Billed-RETAIL'!$B59,Adjustments!$C$5:$C$684,'Apr11-Mar12 Billed-RETAIL'!$C59)</f>
        <v>0</v>
      </c>
      <c r="AF59" s="244">
        <f>SUMIFS(Adjustments!I$5:I$684,Adjustments!$B$5:$B$684,'Apr11-Mar12 Billed-RETAIL'!$B59,Adjustments!$C$5:$C$684,'Apr11-Mar12 Billed-RETAIL'!$C59)</f>
        <v>0</v>
      </c>
      <c r="AG59" s="238">
        <f>SUMIFS(Adjustments!J$5:J$684,Adjustments!$B$5:$B$684,'Apr11-Mar12 Billed-RETAIL'!$B59,Adjustments!$C$5:$C$684,'Apr11-Mar12 Billed-RETAIL'!$C59)</f>
        <v>0</v>
      </c>
      <c r="AH59" s="238">
        <f>SUMIFS(Adjustments!K$5:K$684,Adjustments!$B$5:$B$684,'Apr11-Mar12 Billed-RETAIL'!$B59,Adjustments!$C$5:$C$684,'Apr11-Mar12 Billed-RETAIL'!$C59)</f>
        <v>0</v>
      </c>
      <c r="AI59" s="238">
        <f>SUMIFS(Adjustments!L$5:L$684,Adjustments!$B$5:$B$684,'Apr11-Mar12 Billed-RETAIL'!$B59,Adjustments!$C$5:$C$684,'Apr11-Mar12 Billed-RETAIL'!$C59)</f>
        <v>-0.01</v>
      </c>
      <c r="AJ59" s="238">
        <f>SUMIFS(Adjustments!M$5:M$684,Adjustments!$B$5:$B$684,'Apr11-Mar12 Billed-RETAIL'!$B59,Adjustments!$C$5:$C$684,'Apr11-Mar12 Billed-RETAIL'!$C59)</f>
        <v>0</v>
      </c>
      <c r="AK59" s="238">
        <f>SUMIFS(Adjustments!N$5:N$684,Adjustments!$B$5:$B$684,'Apr11-Mar12 Billed-RETAIL'!$B59,Adjustments!$C$5:$C$684,'Apr11-Mar12 Billed-RETAIL'!$C59)</f>
        <v>0</v>
      </c>
      <c r="AL59" s="238">
        <f>SUMIFS(Adjustments!O$5:O$684,Adjustments!$B$5:$B$684,'Apr11-Mar12 Billed-RETAIL'!$B59,Adjustments!$C$5:$C$684,'Apr11-Mar12 Billed-RETAIL'!$C59)</f>
        <v>0</v>
      </c>
      <c r="AM59" s="238">
        <f>SUMIFS(Adjustments!P$5:P$684,Adjustments!$B$5:$B$684,'Apr11-Mar12 Billed-RETAIL'!$B59,Adjustments!$C$5:$C$684,'Apr11-Mar12 Billed-RETAIL'!$C59)</f>
        <v>0</v>
      </c>
      <c r="AN59" s="225">
        <f t="shared" si="51"/>
        <v>50</v>
      </c>
      <c r="AO59" s="225">
        <f t="shared" si="44"/>
        <v>0</v>
      </c>
      <c r="AP59" s="225">
        <f t="shared" si="45"/>
        <v>72.105119999999999</v>
      </c>
      <c r="AQ59" s="225">
        <f t="shared" si="46"/>
        <v>0</v>
      </c>
      <c r="AR59" s="232">
        <f ca="1">SUMIF('SBR Aug11'!$D$4:$S$90,'Apr11-Mar12 Billed-RETAIL'!$C59,'SBR Aug11'!$N$4:$N$90)</f>
        <v>180.61</v>
      </c>
      <c r="AS59" s="232">
        <f ca="1">SUMIF('SBR Aug11'!$D$4:$S$90,'Apr11-Mar12 Billed-RETAIL'!$C59,'SBR Aug11'!$M$4:$M$90)</f>
        <v>6.08</v>
      </c>
      <c r="AT59" s="232">
        <f ca="1">SUMIF('SBR Aug11'!$D$4:$S$90,'Apr11-Mar12 Billed-RETAIL'!$C59,'SBR Aug11'!$O$4:$O$90)</f>
        <v>0</v>
      </c>
      <c r="AU59" s="225">
        <f t="shared" si="47"/>
        <v>0</v>
      </c>
      <c r="AV59" s="225"/>
      <c r="AW59" s="232">
        <f t="shared" ca="1" si="38"/>
        <v>308.8</v>
      </c>
      <c r="AX59" s="232">
        <f t="shared" ca="1" si="50"/>
        <v>308.8</v>
      </c>
      <c r="AY59" s="233">
        <f t="shared" ca="1" si="43"/>
        <v>1</v>
      </c>
      <c r="AZ59" s="232">
        <f ca="1">SUMIF('SBR Aug11'!$D$4:$S$90,'Apr11-Mar12 Billed-RETAIL'!$C59,'SBR Aug11'!$M$4:$M$90)</f>
        <v>6.08</v>
      </c>
      <c r="BA59" s="232">
        <f ca="1">SUMIF('SBR Aug11'!$D$4:$S$90,'Apr11-Mar12 Billed-RETAIL'!$C59,'SBR Aug11'!$N$4:$N$90)</f>
        <v>180.61</v>
      </c>
      <c r="BB59" s="232">
        <f ca="1">SUMIF('SBR Aug11'!$D$4:$S$90,'Apr11-Mar12 Billed-RETAIL'!$C59,'SBR Aug11'!$O$4:$O$90)</f>
        <v>0</v>
      </c>
      <c r="BC59" s="232">
        <f ca="1">SUMIF('SBR Aug11'!$D$4:$S$90,'Apr11-Mar12 Billed-RETAIL'!$C59,'SBR Aug11'!$Q$4:$Q$90)</f>
        <v>0</v>
      </c>
      <c r="BD59" s="232">
        <f ca="1">SUMIF('SBR Aug11'!$D$4:$S$90,'Apr11-Mar12 Billed-RETAIL'!$C59,'SBR Aug11'!$K$4:$K$90)</f>
        <v>50</v>
      </c>
      <c r="BE59" s="232">
        <f ca="1">SUMIF('SBR Aug11'!$D$4:$S$90,'Apr11-Mar12 Billed-RETAIL'!$C59,'SBR Aug11'!$L$4:$L$90)</f>
        <v>72.11</v>
      </c>
      <c r="BF59" s="232"/>
    </row>
    <row r="60" spans="1:58" ht="15" customHeight="1" x14ac:dyDescent="0.25">
      <c r="A60" s="196">
        <f t="shared" si="15"/>
        <v>55</v>
      </c>
      <c r="B60" s="211">
        <v>40756</v>
      </c>
      <c r="C60" s="211" t="str">
        <f>+'Retail Rates'!B29</f>
        <v>LGUMG830</v>
      </c>
      <c r="D60" s="197" t="str">
        <f t="shared" si="42"/>
        <v>830</v>
      </c>
      <c r="E60" s="197" t="str">
        <f>VLOOKUP(C60,'Retail Rates'!$B$7:$D$35,3,FALSE)</f>
        <v>RGS</v>
      </c>
      <c r="F60" s="222">
        <f>SUMIFS('Data-Retail'!$G$4:$G$269,'Data-Retail'!$A$4:$A$269,'Apr11-Mar12 Billed-RETAIL'!$B60,'Data-Retail'!$D$4:$D$269,'Apr11-Mar12 Billed-RETAIL'!$C60)</f>
        <v>1</v>
      </c>
      <c r="G60" s="222"/>
      <c r="H60" s="222"/>
      <c r="I60" s="222">
        <f>SUMIFS('Data-Retail'!$H$4:$H$269,'Data-Retail'!$A$4:$A$269,'Apr11-Mar12 Billed-RETAIL'!$B60,'Data-Retail'!$D$4:$D$269,'Apr11-Mar12 Billed-RETAIL'!$C60)</f>
        <v>32</v>
      </c>
      <c r="J60" s="222">
        <f>SUMIFS('Data-Retail'!$I$4:$I$269,'Data-Retail'!$A$4:$A$269,'Apr11-Mar12 Billed-RETAIL'!$B60,'Data-Retail'!$D$4:$D$269,'Apr11-Mar12 Billed-RETAIL'!$C60)</f>
        <v>0</v>
      </c>
      <c r="K60" s="222"/>
      <c r="L60" s="223">
        <f>VLOOKUP($C60,'Retail Rates'!$B$7:$M$35,5,FALSE)</f>
        <v>12.5</v>
      </c>
      <c r="M60" s="223">
        <f>VLOOKUP($C60,'Retail Rates'!$B$7:$M$35,6,FALSE)</f>
        <v>0</v>
      </c>
      <c r="N60" s="224">
        <f>VLOOKUP($C60,'Retail Rates'!$B$7:$M$35,7,FALSE)</f>
        <v>0.22395999999999999</v>
      </c>
      <c r="O60" s="224">
        <f>VLOOKUP($C60,'Retail Rates'!$B$7:$M$35,8,FALSE)</f>
        <v>0</v>
      </c>
      <c r="P60" s="224">
        <f>VLOOKUP($B60,'GSC-DSM Factors'!$A$1:$B$46,2,FALSE)</f>
        <v>0.5605</v>
      </c>
      <c r="Q60" s="223">
        <f>VLOOKUP($C60,'Retail Rates'!$B$7:$M$35,9,FALSE)</f>
        <v>0</v>
      </c>
      <c r="R60" s="224">
        <f>VLOOKUP($C60,'Retail Rates'!$B$7:$M$35,10,FALSE)</f>
        <v>0</v>
      </c>
      <c r="S60" s="223">
        <f>VLOOKUP($C60,'Retail Rates'!$B$7:$M$35,11,FALSE)</f>
        <v>0</v>
      </c>
      <c r="T60" s="223"/>
      <c r="U60" s="225">
        <f t="shared" si="49"/>
        <v>12.5</v>
      </c>
      <c r="V60" s="225"/>
      <c r="W60" s="225"/>
      <c r="X60" s="225">
        <f>+I60*N60</f>
        <v>7.1667199999999998</v>
      </c>
      <c r="Y60" s="225">
        <f t="shared" si="35"/>
        <v>0</v>
      </c>
      <c r="Z60" s="225">
        <f t="shared" si="48"/>
        <v>17.936</v>
      </c>
      <c r="AA60" s="225"/>
      <c r="AB60" s="225"/>
      <c r="AC60" s="225"/>
      <c r="AD60" s="225"/>
      <c r="AE60" s="244">
        <f>SUMIFS(Adjustments!H$5:H$684,Adjustments!$B$5:$B$684,'Apr11-Mar12 Billed-RETAIL'!$B60,Adjustments!$C$5:$C$684,'Apr11-Mar12 Billed-RETAIL'!$C60)</f>
        <v>1</v>
      </c>
      <c r="AF60" s="244">
        <f>SUMIFS(Adjustments!I$5:I$684,Adjustments!$B$5:$B$684,'Apr11-Mar12 Billed-RETAIL'!$B60,Adjustments!$C$5:$C$684,'Apr11-Mar12 Billed-RETAIL'!$C60)</f>
        <v>0</v>
      </c>
      <c r="AG60" s="238">
        <f>SUMIFS(Adjustments!J$5:J$684,Adjustments!$B$5:$B$684,'Apr11-Mar12 Billed-RETAIL'!$B60,Adjustments!$C$5:$C$684,'Apr11-Mar12 Billed-RETAIL'!$C60)</f>
        <v>0</v>
      </c>
      <c r="AH60" s="238">
        <f>SUMIFS(Adjustments!K$5:K$684,Adjustments!$B$5:$B$684,'Apr11-Mar12 Billed-RETAIL'!$B60,Adjustments!$C$5:$C$684,'Apr11-Mar12 Billed-RETAIL'!$C60)</f>
        <v>0</v>
      </c>
      <c r="AI60" s="238">
        <f>SUMIFS(Adjustments!L$5:L$684,Adjustments!$B$5:$B$684,'Apr11-Mar12 Billed-RETAIL'!$B60,Adjustments!$C$5:$C$684,'Apr11-Mar12 Billed-RETAIL'!$C60)</f>
        <v>0</v>
      </c>
      <c r="AJ60" s="238">
        <f>SUMIFS(Adjustments!M$5:M$684,Adjustments!$B$5:$B$684,'Apr11-Mar12 Billed-RETAIL'!$B60,Adjustments!$C$5:$C$684,'Apr11-Mar12 Billed-RETAIL'!$C60)</f>
        <v>0</v>
      </c>
      <c r="AK60" s="238">
        <f>SUMIFS(Adjustments!N$5:N$684,Adjustments!$B$5:$B$684,'Apr11-Mar12 Billed-RETAIL'!$B60,Adjustments!$C$5:$C$684,'Apr11-Mar12 Billed-RETAIL'!$C60)</f>
        <v>0</v>
      </c>
      <c r="AL60" s="238">
        <f>SUMIFS(Adjustments!O$5:O$684,Adjustments!$B$5:$B$684,'Apr11-Mar12 Billed-RETAIL'!$B60,Adjustments!$C$5:$C$684,'Apr11-Mar12 Billed-RETAIL'!$C60)</f>
        <v>0</v>
      </c>
      <c r="AM60" s="238">
        <f>SUMIFS(Adjustments!P$5:P$684,Adjustments!$B$5:$B$684,'Apr11-Mar12 Billed-RETAIL'!$B60,Adjustments!$C$5:$C$684,'Apr11-Mar12 Billed-RETAIL'!$C60)</f>
        <v>0</v>
      </c>
      <c r="AN60" s="225">
        <f t="shared" si="51"/>
        <v>25</v>
      </c>
      <c r="AO60" s="225">
        <f t="shared" si="44"/>
        <v>0</v>
      </c>
      <c r="AP60" s="225">
        <f t="shared" si="45"/>
        <v>7.1667199999999998</v>
      </c>
      <c r="AQ60" s="225">
        <f t="shared" si="46"/>
        <v>0</v>
      </c>
      <c r="AR60" s="232">
        <f ca="1">SUMIF('SBR Aug11'!$D$4:$S$90,'Apr11-Mar12 Billed-RETAIL'!$C60,'SBR Aug11'!$N$4:$N$90)</f>
        <v>17.95</v>
      </c>
      <c r="AS60" s="232">
        <f ca="1">SUMIF('SBR Aug11'!$D$4:$S$90,'Apr11-Mar12 Billed-RETAIL'!$C60,'SBR Aug11'!$M$4:$M$90)</f>
        <v>0.6</v>
      </c>
      <c r="AT60" s="232">
        <f ca="1">SUMIF('SBR Aug11'!$D$4:$S$90,'Apr11-Mar12 Billed-RETAIL'!$C60,'SBR Aug11'!$O$4:$O$90)</f>
        <v>0</v>
      </c>
      <c r="AU60" s="225">
        <f t="shared" si="47"/>
        <v>0</v>
      </c>
      <c r="AV60" s="225"/>
      <c r="AW60" s="232">
        <f t="shared" ca="1" si="38"/>
        <v>50.72</v>
      </c>
      <c r="AX60" s="232">
        <f t="shared" ca="1" si="50"/>
        <v>50.72</v>
      </c>
      <c r="AY60" s="233">
        <f t="shared" ca="1" si="43"/>
        <v>1</v>
      </c>
      <c r="AZ60" s="232">
        <f ca="1">SUMIF('SBR Aug11'!$D$4:$S$90,'Apr11-Mar12 Billed-RETAIL'!$C60,'SBR Aug11'!$M$4:$M$90)</f>
        <v>0.6</v>
      </c>
      <c r="BA60" s="232">
        <f ca="1">SUMIF('SBR Aug11'!$D$4:$S$90,'Apr11-Mar12 Billed-RETAIL'!$C60,'SBR Aug11'!$N$4:$N$90)</f>
        <v>17.95</v>
      </c>
      <c r="BB60" s="232">
        <f ca="1">SUMIF('SBR Aug11'!$D$4:$S$90,'Apr11-Mar12 Billed-RETAIL'!$C60,'SBR Aug11'!$O$4:$O$90)</f>
        <v>0</v>
      </c>
      <c r="BC60" s="232">
        <f ca="1">SUMIF('SBR Aug11'!$D$4:$S$90,'Apr11-Mar12 Billed-RETAIL'!$C60,'SBR Aug11'!$Q$4:$Q$90)</f>
        <v>0</v>
      </c>
      <c r="BD60" s="232">
        <f ca="1">SUMIF('SBR Aug11'!$D$4:$S$90,'Apr11-Mar12 Billed-RETAIL'!$C60,'SBR Aug11'!$K$4:$K$90)</f>
        <v>25</v>
      </c>
      <c r="BE60" s="232">
        <f ca="1">SUMIF('SBR Aug11'!$D$4:$S$90,'Apr11-Mar12 Billed-RETAIL'!$C60,'SBR Aug11'!$L$4:$L$90)</f>
        <v>7.17</v>
      </c>
      <c r="BF60" s="232"/>
    </row>
    <row r="61" spans="1:58" ht="15" customHeight="1" x14ac:dyDescent="0.25">
      <c r="A61" s="196">
        <f t="shared" si="15"/>
        <v>56</v>
      </c>
      <c r="B61" s="211">
        <v>40787</v>
      </c>
      <c r="C61" s="211" t="str">
        <f>+'Retail Rates'!B7</f>
        <v>LGCMG865</v>
      </c>
      <c r="D61" s="197" t="str">
        <f t="shared" si="42"/>
        <v>865</v>
      </c>
      <c r="E61" s="197" t="str">
        <f>VLOOKUP(C61,'Retail Rates'!$B$7:$D$35,3,FALSE)</f>
        <v>AAGS-C</v>
      </c>
      <c r="F61" s="222">
        <f>SUMIFS('Data-Retail'!$G$4:$G$269,'Data-Retail'!$A$4:$A$269,'Apr11-Mar12 Billed-RETAIL'!$B61,'Data-Retail'!$D$4:$D$269,'Apr11-Mar12 Billed-RETAIL'!$C61)</f>
        <v>5</v>
      </c>
      <c r="G61" s="222"/>
      <c r="H61" s="222"/>
      <c r="I61" s="222">
        <f>SUMIFS('Data-Retail'!$H$4:$H$269,'Data-Retail'!$A$4:$A$269,'Apr11-Mar12 Billed-RETAIL'!$B61,'Data-Retail'!$D$4:$D$269,'Apr11-Mar12 Billed-RETAIL'!$C61)</f>
        <v>87880</v>
      </c>
      <c r="J61" s="222">
        <f>SUMIFS('Data-Retail'!$I$4:$I$269,'Data-Retail'!$A$4:$A$269,'Apr11-Mar12 Billed-RETAIL'!$B61,'Data-Retail'!$D$4:$D$269,'Apr11-Mar12 Billed-RETAIL'!$C61)</f>
        <v>0</v>
      </c>
      <c r="K61" s="222"/>
      <c r="L61" s="223">
        <f>VLOOKUP($C61,'Retail Rates'!$B$7:$M$35,5,FALSE)</f>
        <v>275</v>
      </c>
      <c r="M61" s="223">
        <f>VLOOKUP($C61,'Retail Rates'!$B$7:$M$35,6,FALSE)</f>
        <v>0</v>
      </c>
      <c r="N61" s="224">
        <f>VLOOKUP($C61,'Retail Rates'!$B$7:$M$35,7,FALSE)</f>
        <v>5.2519999999999997E-2</v>
      </c>
      <c r="O61" s="224">
        <f>VLOOKUP($C61,'Retail Rates'!$B$7:$M$35,8,FALSE)</f>
        <v>0</v>
      </c>
      <c r="P61" s="224">
        <f>VLOOKUP($B61,'GSC-DSM Factors'!$A$1:$B$46,2,FALSE)</f>
        <v>0.5605</v>
      </c>
      <c r="Q61" s="223">
        <f>VLOOKUP($C61,'Retail Rates'!$B$7:$M$35,9,FALSE)</f>
        <v>0</v>
      </c>
      <c r="R61" s="224">
        <f>VLOOKUP($C61,'Retail Rates'!$B$7:$M$35,10,FALSE)</f>
        <v>0</v>
      </c>
      <c r="S61" s="223">
        <f>VLOOKUP($C61,'Retail Rates'!$B$7:$M$35,11,FALSE)</f>
        <v>0</v>
      </c>
      <c r="T61" s="223"/>
      <c r="U61" s="225">
        <f t="shared" si="49"/>
        <v>1375</v>
      </c>
      <c r="V61" s="225"/>
      <c r="W61" s="225"/>
      <c r="X61" s="225">
        <f t="shared" ref="X61:X66" si="52">+I61*N61</f>
        <v>4615.4575999999997</v>
      </c>
      <c r="Y61" s="225">
        <f t="shared" ref="Y61:Y83" si="53">+J61*O61</f>
        <v>0</v>
      </c>
      <c r="Z61" s="225">
        <f>SUM(I61:J61)*P61</f>
        <v>49256.74</v>
      </c>
      <c r="AA61" s="225"/>
      <c r="AB61" s="225"/>
      <c r="AC61" s="225"/>
      <c r="AD61" s="225"/>
      <c r="AE61" s="244">
        <f>SUMIFS(Adjustments!H$5:H$684,Adjustments!$B$5:$B$684,'Apr11-Mar12 Billed-RETAIL'!$B61,Adjustments!$C$5:$C$684,'Apr11-Mar12 Billed-RETAIL'!$C61)</f>
        <v>0</v>
      </c>
      <c r="AF61" s="244">
        <f>SUMIFS(Adjustments!I$5:I$684,Adjustments!$B$5:$B$684,'Apr11-Mar12 Billed-RETAIL'!$B61,Adjustments!$C$5:$C$684,'Apr11-Mar12 Billed-RETAIL'!$C61)</f>
        <v>0</v>
      </c>
      <c r="AG61" s="238">
        <f>SUMIFS(Adjustments!J$5:J$684,Adjustments!$B$5:$B$684,'Apr11-Mar12 Billed-RETAIL'!$B61,Adjustments!$C$5:$C$684,'Apr11-Mar12 Billed-RETAIL'!$C61)</f>
        <v>0</v>
      </c>
      <c r="AH61" s="238">
        <f>SUMIFS(Adjustments!K$5:K$684,Adjustments!$B$5:$B$684,'Apr11-Mar12 Billed-RETAIL'!$B61,Adjustments!$C$5:$C$684,'Apr11-Mar12 Billed-RETAIL'!$C61)</f>
        <v>0</v>
      </c>
      <c r="AI61" s="238">
        <f>SUMIFS(Adjustments!L$5:L$684,Adjustments!$B$5:$B$684,'Apr11-Mar12 Billed-RETAIL'!$B61,Adjustments!$C$5:$C$684,'Apr11-Mar12 Billed-RETAIL'!$C61)</f>
        <v>0</v>
      </c>
      <c r="AJ61" s="238">
        <f>SUMIFS(Adjustments!M$5:M$684,Adjustments!$B$5:$B$684,'Apr11-Mar12 Billed-RETAIL'!$B61,Adjustments!$C$5:$C$684,'Apr11-Mar12 Billed-RETAIL'!$C61)</f>
        <v>0</v>
      </c>
      <c r="AK61" s="238">
        <f>SUMIFS(Adjustments!N$5:N$684,Adjustments!$B$5:$B$684,'Apr11-Mar12 Billed-RETAIL'!$B61,Adjustments!$C$5:$C$684,'Apr11-Mar12 Billed-RETAIL'!$C61)</f>
        <v>0</v>
      </c>
      <c r="AL61" s="238">
        <f>SUMIFS(Adjustments!O$5:O$684,Adjustments!$B$5:$B$684,'Apr11-Mar12 Billed-RETAIL'!$B61,Adjustments!$C$5:$C$684,'Apr11-Mar12 Billed-RETAIL'!$C61)</f>
        <v>0</v>
      </c>
      <c r="AM61" s="238">
        <f>SUMIFS(Adjustments!P$5:P$684,Adjustments!$B$5:$B$684,'Apr11-Mar12 Billed-RETAIL'!$B61,Adjustments!$C$5:$C$684,'Apr11-Mar12 Billed-RETAIL'!$C61)</f>
        <v>0</v>
      </c>
      <c r="AN61" s="225">
        <f t="shared" si="51"/>
        <v>1375</v>
      </c>
      <c r="AO61" s="225">
        <f t="shared" si="44"/>
        <v>0</v>
      </c>
      <c r="AP61" s="225">
        <f t="shared" si="45"/>
        <v>4615.4575999999997</v>
      </c>
      <c r="AQ61" s="225">
        <f t="shared" si="46"/>
        <v>0</v>
      </c>
      <c r="AR61" s="232">
        <f ca="1">SUMIF('SBR Sep11'!$D$4:$S$90,'Apr11-Mar12 Billed-RETAIL'!$C61,'SBR Sep11'!$N$4:$N$90)</f>
        <v>49256.75</v>
      </c>
      <c r="AS61" s="232">
        <f ca="1">SUMIF('SBR Sep11'!$D$4:$S$90,'Apr11-Mar12 Billed-RETAIL'!$C61,'SBR Sep11'!$M$4:$M$90)</f>
        <v>84.36</v>
      </c>
      <c r="AT61" s="232">
        <f ca="1">SUMIF('SBR Sep11'!$D$4:$S$90,'Apr11-Mar12 Billed-RETAIL'!$C61,'SBR Sep11'!$O$4:$O$90)</f>
        <v>0</v>
      </c>
      <c r="AU61" s="225">
        <f t="shared" si="47"/>
        <v>0</v>
      </c>
      <c r="AV61" s="225"/>
      <c r="AW61" s="232">
        <f t="shared" ca="1" si="38"/>
        <v>55331.57</v>
      </c>
      <c r="AX61" s="232">
        <f t="shared" ca="1" si="50"/>
        <v>55331.57</v>
      </c>
      <c r="AY61" s="233">
        <f t="shared" ca="1" si="43"/>
        <v>1</v>
      </c>
      <c r="AZ61" s="232">
        <f ca="1">SUMIF('SBR Sep11'!$D$4:$S$90,'Apr11-Mar12 Billed-RETAIL'!$C61,'SBR Sep11'!$M$4:$M$90)</f>
        <v>84.36</v>
      </c>
      <c r="BA61" s="232">
        <f ca="1">SUMIF('SBR Sep11'!$D$4:$S$90,'Apr11-Mar12 Billed-RETAIL'!$C61,'SBR Sep11'!$N$4:$N$90)</f>
        <v>49256.75</v>
      </c>
      <c r="BB61" s="232">
        <f ca="1">SUMIF('SBR Sep11'!$D$4:$S$90,'Apr11-Mar12 Billed-RETAIL'!$C61,'SBR Sep11'!$O$4:$O$90)</f>
        <v>0</v>
      </c>
      <c r="BC61" s="232">
        <f ca="1">SUMIF('SBR Sep11'!$D$4:$S$90,'Apr11-Mar12 Billed-RETAIL'!$C61,'SBR Sep11'!$Q$4:$Q$90)</f>
        <v>0</v>
      </c>
      <c r="BD61" s="232">
        <f ca="1">SUMIF('SBR Sep11'!$D$4:$S$90,'Apr11-Mar12 Billed-RETAIL'!$C61,'SBR Sep11'!$K$4:$K$90)</f>
        <v>1375</v>
      </c>
      <c r="BE61" s="232">
        <f ca="1">SUMIF('SBR Sep11'!$D$4:$S$90,'Apr11-Mar12 Billed-RETAIL'!$C61,'SBR Sep11'!$L$4:$L$90)</f>
        <v>4615.46</v>
      </c>
      <c r="BF61" s="232"/>
    </row>
    <row r="62" spans="1:58" ht="15" customHeight="1" x14ac:dyDescent="0.25">
      <c r="A62" s="196">
        <f t="shared" si="15"/>
        <v>57</v>
      </c>
      <c r="B62" s="211">
        <v>40787</v>
      </c>
      <c r="C62" s="211" t="str">
        <f>+'Retail Rates'!B10</f>
        <v>LGING866</v>
      </c>
      <c r="D62" s="197" t="str">
        <f t="shared" ref="D62:D72" si="54">MID(C62,6,3)</f>
        <v>866</v>
      </c>
      <c r="E62" s="197" t="str">
        <f>VLOOKUP(C62,'Retail Rates'!$B$7:$D$35,3,FALSE)</f>
        <v>AAGS-I</v>
      </c>
      <c r="F62" s="222">
        <f>SUMIFS('Data-Retail'!$G$4:$G$269,'Data-Retail'!$A$4:$A$269,'Apr11-Mar12 Billed-RETAIL'!$B62,'Data-Retail'!$D$4:$D$269,'Apr11-Mar12 Billed-RETAIL'!$C62)</f>
        <v>8</v>
      </c>
      <c r="G62" s="222"/>
      <c r="H62" s="222"/>
      <c r="I62" s="222">
        <f>SUMIFS('Data-Retail'!$H$4:$H$269,'Data-Retail'!$A$4:$A$269,'Apr11-Mar12 Billed-RETAIL'!$B62,'Data-Retail'!$D$4:$D$269,'Apr11-Mar12 Billed-RETAIL'!$C62)</f>
        <v>62542</v>
      </c>
      <c r="J62" s="222">
        <f>SUMIFS('Data-Retail'!$I$4:$I$269,'Data-Retail'!$A$4:$A$269,'Apr11-Mar12 Billed-RETAIL'!$B62,'Data-Retail'!$D$4:$D$269,'Apr11-Mar12 Billed-RETAIL'!$C62)</f>
        <v>0</v>
      </c>
      <c r="K62" s="222"/>
      <c r="L62" s="223">
        <f>VLOOKUP($C62,'Retail Rates'!$B$7:$M$35,5,FALSE)</f>
        <v>275</v>
      </c>
      <c r="M62" s="223">
        <f>VLOOKUP($C62,'Retail Rates'!$B$7:$M$35,6,FALSE)</f>
        <v>0</v>
      </c>
      <c r="N62" s="224">
        <f>VLOOKUP($C62,'Retail Rates'!$B$7:$M$35,7,FALSE)</f>
        <v>5.2519999999999997E-2</v>
      </c>
      <c r="O62" s="224">
        <f>VLOOKUP($C62,'Retail Rates'!$B$7:$M$35,8,FALSE)</f>
        <v>0</v>
      </c>
      <c r="P62" s="224">
        <f>VLOOKUP($B62,'GSC-DSM Factors'!$A$1:$B$46,2,FALSE)</f>
        <v>0.5605</v>
      </c>
      <c r="Q62" s="223">
        <f>VLOOKUP($C62,'Retail Rates'!$B$7:$M$35,9,FALSE)</f>
        <v>0</v>
      </c>
      <c r="R62" s="224">
        <f>VLOOKUP($C62,'Retail Rates'!$B$7:$M$35,10,FALSE)</f>
        <v>0</v>
      </c>
      <c r="S62" s="223">
        <f>VLOOKUP($C62,'Retail Rates'!$B$7:$M$35,11,FALSE)</f>
        <v>0</v>
      </c>
      <c r="T62" s="223"/>
      <c r="U62" s="225">
        <f t="shared" si="49"/>
        <v>2200</v>
      </c>
      <c r="V62" s="225"/>
      <c r="W62" s="225"/>
      <c r="X62" s="225">
        <f t="shared" si="52"/>
        <v>3284.7058399999996</v>
      </c>
      <c r="Y62" s="225">
        <f t="shared" si="53"/>
        <v>0</v>
      </c>
      <c r="Z62" s="225">
        <f>SUM(I62:J62)*P62</f>
        <v>35054.790999999997</v>
      </c>
      <c r="AA62" s="225"/>
      <c r="AB62" s="225"/>
      <c r="AC62" s="225"/>
      <c r="AD62" s="225"/>
      <c r="AE62" s="244">
        <f>SUMIFS(Adjustments!H$5:H$684,Adjustments!$B$5:$B$684,'Apr11-Mar12 Billed-RETAIL'!$B62,Adjustments!$C$5:$C$684,'Apr11-Mar12 Billed-RETAIL'!$C62)</f>
        <v>0</v>
      </c>
      <c r="AF62" s="244">
        <f>SUMIFS(Adjustments!I$5:I$684,Adjustments!$B$5:$B$684,'Apr11-Mar12 Billed-RETAIL'!$B62,Adjustments!$C$5:$C$684,'Apr11-Mar12 Billed-RETAIL'!$C62)</f>
        <v>0</v>
      </c>
      <c r="AG62" s="238">
        <f>SUMIFS(Adjustments!J$5:J$684,Adjustments!$B$5:$B$684,'Apr11-Mar12 Billed-RETAIL'!$B62,Adjustments!$C$5:$C$684,'Apr11-Mar12 Billed-RETAIL'!$C62)</f>
        <v>0</v>
      </c>
      <c r="AH62" s="238">
        <f>SUMIFS(Adjustments!K$5:K$684,Adjustments!$B$5:$B$684,'Apr11-Mar12 Billed-RETAIL'!$B62,Adjustments!$C$5:$C$684,'Apr11-Mar12 Billed-RETAIL'!$C62)</f>
        <v>0</v>
      </c>
      <c r="AI62" s="238">
        <f>SUMIFS(Adjustments!L$5:L$684,Adjustments!$B$5:$B$684,'Apr11-Mar12 Billed-RETAIL'!$B62,Adjustments!$C$5:$C$684,'Apr11-Mar12 Billed-RETAIL'!$C62)</f>
        <v>0</v>
      </c>
      <c r="AJ62" s="238">
        <f>SUMIFS(Adjustments!M$5:M$684,Adjustments!$B$5:$B$684,'Apr11-Mar12 Billed-RETAIL'!$B62,Adjustments!$C$5:$C$684,'Apr11-Mar12 Billed-RETAIL'!$C62)</f>
        <v>0</v>
      </c>
      <c r="AK62" s="238">
        <f>SUMIFS(Adjustments!N$5:N$684,Adjustments!$B$5:$B$684,'Apr11-Mar12 Billed-RETAIL'!$B62,Adjustments!$C$5:$C$684,'Apr11-Mar12 Billed-RETAIL'!$C62)</f>
        <v>0</v>
      </c>
      <c r="AL62" s="238">
        <f>SUMIFS(Adjustments!O$5:O$684,Adjustments!$B$5:$B$684,'Apr11-Mar12 Billed-RETAIL'!$B62,Adjustments!$C$5:$C$684,'Apr11-Mar12 Billed-RETAIL'!$C62)</f>
        <v>0</v>
      </c>
      <c r="AM62" s="238">
        <f>SUMIFS(Adjustments!P$5:P$684,Adjustments!$B$5:$B$684,'Apr11-Mar12 Billed-RETAIL'!$B62,Adjustments!$C$5:$C$684,'Apr11-Mar12 Billed-RETAIL'!$C62)</f>
        <v>0</v>
      </c>
      <c r="AN62" s="225">
        <f t="shared" si="51"/>
        <v>2200</v>
      </c>
      <c r="AO62" s="225">
        <f t="shared" si="44"/>
        <v>0</v>
      </c>
      <c r="AP62" s="225">
        <f t="shared" si="45"/>
        <v>3284.7058399999996</v>
      </c>
      <c r="AQ62" s="225">
        <f t="shared" si="46"/>
        <v>0</v>
      </c>
      <c r="AR62" s="232">
        <f ca="1">SUMIF('SBR Sep11'!$D$4:$S$90,'Apr11-Mar12 Billed-RETAIL'!$C62,'SBR Sep11'!$N$4:$N$90)</f>
        <v>35054.800000000003</v>
      </c>
      <c r="AS62" s="232">
        <f ca="1">SUMIF('SBR Sep11'!$D$4:$S$90,'Apr11-Mar12 Billed-RETAIL'!$C62,'SBR Sep11'!$M$4:$M$90)</f>
        <v>0</v>
      </c>
      <c r="AT62" s="232">
        <f ca="1">SUMIF('SBR Sep11'!$D$4:$S$90,'Apr11-Mar12 Billed-RETAIL'!$C62,'SBR Sep11'!$O$4:$O$90)</f>
        <v>0</v>
      </c>
      <c r="AU62" s="225">
        <f t="shared" si="47"/>
        <v>0</v>
      </c>
      <c r="AV62" s="225"/>
      <c r="AW62" s="232">
        <f t="shared" ca="1" si="38"/>
        <v>40539.51</v>
      </c>
      <c r="AX62" s="232">
        <f t="shared" ca="1" si="50"/>
        <v>40539.490000000005</v>
      </c>
      <c r="AY62" s="233">
        <f t="shared" ref="AY62:AY71" ca="1" si="55">IF(AX62=0,0,ROUND(AX62/AW62,6))</f>
        <v>1</v>
      </c>
      <c r="AZ62" s="232">
        <f ca="1">SUMIF('SBR Sep11'!$D$4:$S$90,'Apr11-Mar12 Billed-RETAIL'!$C62,'SBR Sep11'!$M$4:$M$90)</f>
        <v>0</v>
      </c>
      <c r="BA62" s="232">
        <f ca="1">SUMIF('SBR Sep11'!$D$4:$S$90,'Apr11-Mar12 Billed-RETAIL'!$C62,'SBR Sep11'!$N$4:$N$90)</f>
        <v>35054.800000000003</v>
      </c>
      <c r="BB62" s="232">
        <f ca="1">SUMIF('SBR Sep11'!$D$4:$S$90,'Apr11-Mar12 Billed-RETAIL'!$C62,'SBR Sep11'!$O$4:$O$90)</f>
        <v>0</v>
      </c>
      <c r="BC62" s="232">
        <f ca="1">SUMIF('SBR Sep11'!$D$4:$S$90,'Apr11-Mar12 Billed-RETAIL'!$C62,'SBR Sep11'!$Q$4:$Q$90)</f>
        <v>0</v>
      </c>
      <c r="BD62" s="232">
        <f ca="1">SUMIF('SBR Sep11'!$D$4:$S$90,'Apr11-Mar12 Billed-RETAIL'!$C62,'SBR Sep11'!$K$4:$K$90)</f>
        <v>2200</v>
      </c>
      <c r="BE62" s="232">
        <f ca="1">SUMIF('SBR Sep11'!$D$4:$S$90,'Apr11-Mar12 Billed-RETAIL'!$C62,'SBR Sep11'!$L$4:$L$90)</f>
        <v>3284.69</v>
      </c>
      <c r="BF62" s="232"/>
    </row>
    <row r="63" spans="1:58" ht="15" x14ac:dyDescent="0.25">
      <c r="A63" s="196">
        <f t="shared" si="15"/>
        <v>58</v>
      </c>
      <c r="B63" s="211">
        <v>40787</v>
      </c>
      <c r="C63" s="211" t="str">
        <f>+'Retail Rates'!B13</f>
        <v>LGCMG851</v>
      </c>
      <c r="D63" s="197" t="str">
        <f t="shared" si="54"/>
        <v>851</v>
      </c>
      <c r="E63" s="197" t="str">
        <f>VLOOKUP(C63,'Retail Rates'!$B$7:$D$35,3,FALSE)</f>
        <v>CGS</v>
      </c>
      <c r="F63" s="222"/>
      <c r="G63" s="222">
        <f>SUMIFS(Adjustments!F$5:F$151,Adjustments!$B$5:$B$151,'Apr11-Mar12 Billed-RETAIL'!$B63,Adjustments!$C$5:$C$151,'Apr11-Mar12 Billed-RETAIL'!$C63)</f>
        <v>23929</v>
      </c>
      <c r="H63" s="222">
        <f>SUMIFS(Adjustments!G$5:G$151,Adjustments!$B$5:$B$151,'Apr11-Mar12 Billed-RETAIL'!$B63,Adjustments!$C$5:$C$151,'Apr11-Mar12 Billed-RETAIL'!$C63)</f>
        <v>1068</v>
      </c>
      <c r="I63" s="222">
        <f>SUMIFS('Data-Retail'!$H$4:$H$269,'Data-Retail'!$A$4:$A$269,'Apr11-Mar12 Billed-RETAIL'!$B63,'Data-Retail'!$D$4:$D$269,'Apr11-Mar12 Billed-RETAIL'!$C63)</f>
        <v>1946927</v>
      </c>
      <c r="J63" s="222">
        <f>SUMIFS('Data-Retail'!$I$4:$I$269,'Data-Retail'!$A$4:$A$269,'Apr11-Mar12 Billed-RETAIL'!$B63,'Data-Retail'!$D$4:$D$269,'Apr11-Mar12 Billed-RETAIL'!$C63)</f>
        <v>1133611</v>
      </c>
      <c r="K63" s="222"/>
      <c r="L63" s="223">
        <f>VLOOKUP($C63,'Retail Rates'!$B$7:$M$35,5,FALSE)</f>
        <v>30</v>
      </c>
      <c r="M63" s="223">
        <f>VLOOKUP($C63,'Retail Rates'!$B$7:$M$35,6,FALSE)</f>
        <v>170</v>
      </c>
      <c r="N63" s="224">
        <f>VLOOKUP($C63,'Retail Rates'!$B$7:$M$35,7,FALSE)</f>
        <v>0.18722</v>
      </c>
      <c r="O63" s="224">
        <f>VLOOKUP($C63,'Retail Rates'!$B$7:$M$35,8,FALSE)</f>
        <v>0.13722000000000001</v>
      </c>
      <c r="P63" s="224">
        <f>VLOOKUP($B63,'GSC-DSM Factors'!$A$1:$B$46,2,FALSE)</f>
        <v>0.5605</v>
      </c>
      <c r="Q63" s="223">
        <f>VLOOKUP($C63,'Retail Rates'!$B$7:$M$35,9,FALSE)</f>
        <v>0</v>
      </c>
      <c r="R63" s="224">
        <f>VLOOKUP($C63,'Retail Rates'!$B$7:$M$35,10,FALSE)</f>
        <v>0</v>
      </c>
      <c r="S63" s="223">
        <f>VLOOKUP($C63,'Retail Rates'!$B$7:$M$35,11,FALSE)</f>
        <v>0</v>
      </c>
      <c r="T63" s="223"/>
      <c r="U63" s="225">
        <f t="shared" si="49"/>
        <v>717870</v>
      </c>
      <c r="V63" s="225"/>
      <c r="W63" s="225">
        <f>+H63*M63</f>
        <v>181560</v>
      </c>
      <c r="X63" s="225">
        <f t="shared" si="52"/>
        <v>364503.67294000002</v>
      </c>
      <c r="Y63" s="225">
        <f t="shared" si="53"/>
        <v>155554.10142000002</v>
      </c>
      <c r="Z63" s="225">
        <f>SUM(I63:J63)*P63</f>
        <v>1726641.5489999999</v>
      </c>
      <c r="AA63" s="225"/>
      <c r="AB63" s="225"/>
      <c r="AC63" s="225"/>
      <c r="AD63" s="225"/>
      <c r="AE63" s="244">
        <f>SUMIFS(Adjustments!H$5:H$684,Adjustments!$B$5:$B$684,'Apr11-Mar12 Billed-RETAIL'!$B63,Adjustments!$C$5:$C$684,'Apr11-Mar12 Billed-RETAIL'!$C63)</f>
        <v>0</v>
      </c>
      <c r="AF63" s="244">
        <f>SUMIFS(Adjustments!I$5:I$684,Adjustments!$B$5:$B$684,'Apr11-Mar12 Billed-RETAIL'!$B63,Adjustments!$C$5:$C$684,'Apr11-Mar12 Billed-RETAIL'!$C63)</f>
        <v>0</v>
      </c>
      <c r="AG63" s="238">
        <f>SUMIFS(Adjustments!J$5:J$684,Adjustments!$B$5:$B$684,'Apr11-Mar12 Billed-RETAIL'!$B63,Adjustments!$C$5:$C$684,'Apr11-Mar12 Billed-RETAIL'!$C63)</f>
        <v>592.98</v>
      </c>
      <c r="AH63" s="238">
        <f>SUMIFS(Adjustments!K$5:K$684,Adjustments!$B$5:$B$684,'Apr11-Mar12 Billed-RETAIL'!$B63,Adjustments!$C$5:$C$684,'Apr11-Mar12 Billed-RETAIL'!$C63)</f>
        <v>-266.3</v>
      </c>
      <c r="AI63" s="238">
        <f>SUMIFS(Adjustments!L$5:L$684,Adjustments!$B$5:$B$684,'Apr11-Mar12 Billed-RETAIL'!$B63,Adjustments!$C$5:$C$684,'Apr11-Mar12 Billed-RETAIL'!$C63)</f>
        <v>-1.73</v>
      </c>
      <c r="AJ63" s="238">
        <f>SUMIFS(Adjustments!M$5:M$684,Adjustments!$B$5:$B$684,'Apr11-Mar12 Billed-RETAIL'!$B63,Adjustments!$C$5:$C$684,'Apr11-Mar12 Billed-RETAIL'!$C63)</f>
        <v>0</v>
      </c>
      <c r="AK63" s="238">
        <f>SUMIFS(Adjustments!N$5:N$684,Adjustments!$B$5:$B$684,'Apr11-Mar12 Billed-RETAIL'!$B63,Adjustments!$C$5:$C$684,'Apr11-Mar12 Billed-RETAIL'!$C63)</f>
        <v>0</v>
      </c>
      <c r="AL63" s="238">
        <f>SUMIFS(Adjustments!O$5:O$684,Adjustments!$B$5:$B$684,'Apr11-Mar12 Billed-RETAIL'!$B63,Adjustments!$C$5:$C$684,'Apr11-Mar12 Billed-RETAIL'!$C63)</f>
        <v>0</v>
      </c>
      <c r="AM63" s="238">
        <f>SUMIFS(Adjustments!P$5:P$684,Adjustments!$B$5:$B$684,'Apr11-Mar12 Billed-RETAIL'!$B63,Adjustments!$C$5:$C$684,'Apr11-Mar12 Billed-RETAIL'!$C63)</f>
        <v>0</v>
      </c>
      <c r="AN63" s="225">
        <f t="shared" si="51"/>
        <v>718462.98</v>
      </c>
      <c r="AO63" s="225">
        <f t="shared" si="44"/>
        <v>181293.7</v>
      </c>
      <c r="AP63" s="225">
        <f t="shared" si="45"/>
        <v>364501.94294000004</v>
      </c>
      <c r="AQ63" s="225">
        <f t="shared" si="46"/>
        <v>155554.10142000002</v>
      </c>
      <c r="AR63" s="232">
        <f ca="1">SUMIF('SBR Sep11'!$D$4:$S$90,'Apr11-Mar12 Billed-RETAIL'!$C63,'SBR Sep11'!$N$4:$N$90)</f>
        <v>1726522.73</v>
      </c>
      <c r="AS63" s="232">
        <f ca="1">SUMIF('SBR Sep11'!$D$4:$S$90,'Apr11-Mar12 Billed-RETAIL'!$C63,'SBR Sep11'!$M$4:$M$90)</f>
        <v>2952.24</v>
      </c>
      <c r="AT63" s="232">
        <f ca="1">SUMIF('SBR Sep11'!$D$4:$S$90,'Apr11-Mar12 Billed-RETAIL'!$C63,'SBR Sep11'!$O$4:$O$90)</f>
        <v>4.66</v>
      </c>
      <c r="AU63" s="225">
        <f t="shared" si="47"/>
        <v>0</v>
      </c>
      <c r="AV63" s="225"/>
      <c r="AW63" s="232">
        <f t="shared" ref="AW63:AW85" ca="1" si="56">ROUND(SUM(AN63:AV63),2)</f>
        <v>3149292.35</v>
      </c>
      <c r="AX63" s="232">
        <f t="shared" ca="1" si="50"/>
        <v>3149292.35</v>
      </c>
      <c r="AY63" s="233">
        <f t="shared" ca="1" si="55"/>
        <v>1</v>
      </c>
      <c r="AZ63" s="232">
        <f ca="1">SUMIF('SBR Sep11'!$D$4:$S$90,'Apr11-Mar12 Billed-RETAIL'!$C63,'SBR Sep11'!$M$4:$M$90)</f>
        <v>2952.24</v>
      </c>
      <c r="BA63" s="232">
        <f ca="1">SUMIF('SBR Sep11'!$D$4:$S$90,'Apr11-Mar12 Billed-RETAIL'!$C63,'SBR Sep11'!$N$4:$N$90)</f>
        <v>1726522.73</v>
      </c>
      <c r="BB63" s="232">
        <f ca="1">SUMIF('SBR Sep11'!$D$4:$S$90,'Apr11-Mar12 Billed-RETAIL'!$C63,'SBR Sep11'!$O$4:$O$90)</f>
        <v>4.66</v>
      </c>
      <c r="BC63" s="232">
        <f ca="1">SUMIF('SBR Sep11'!$D$4:$S$90,'Apr11-Mar12 Billed-RETAIL'!$C63,'SBR Sep11'!$Q$4:$Q$90)</f>
        <v>0</v>
      </c>
      <c r="BD63" s="232">
        <f ca="1">SUMIF('SBR Sep11'!$D$4:$S$90,'Apr11-Mar12 Billed-RETAIL'!$C63,'SBR Sep11'!$K$4:$K$90)</f>
        <v>899756.68</v>
      </c>
      <c r="BE63" s="232">
        <f ca="1">SUMIF('SBR Sep11'!$D$4:$S$90,'Apr11-Mar12 Billed-RETAIL'!$C63,'SBR Sep11'!$L$4:$L$90)</f>
        <v>520056.04</v>
      </c>
      <c r="BF63" s="232"/>
    </row>
    <row r="64" spans="1:58" ht="15" x14ac:dyDescent="0.25">
      <c r="A64" s="196">
        <f t="shared" si="15"/>
        <v>59</v>
      </c>
      <c r="B64" s="211">
        <v>40787</v>
      </c>
      <c r="C64" s="211" t="str">
        <f>+'Retail Rates'!B14</f>
        <v>LGUMG860</v>
      </c>
      <c r="D64" s="197" t="str">
        <f t="shared" si="54"/>
        <v>860</v>
      </c>
      <c r="E64" s="197" t="str">
        <f>VLOOKUP(C64,'Retail Rates'!$B$7:$D$35,3,FALSE)</f>
        <v>CGS</v>
      </c>
      <c r="F64" s="222"/>
      <c r="G64" s="222">
        <f>SUMIFS(Adjustments!F$5:F$151,Adjustments!$B$5:$B$151,'Apr11-Mar12 Billed-RETAIL'!$B64,Adjustments!$C$5:$C$151,'Apr11-Mar12 Billed-RETAIL'!$C64)</f>
        <v>19</v>
      </c>
      <c r="H64" s="222">
        <f>SUMIFS(Adjustments!G$5:G$151,Adjustments!$B$5:$B$151,'Apr11-Mar12 Billed-RETAIL'!$B64,Adjustments!$C$5:$C$151,'Apr11-Mar12 Billed-RETAIL'!$C64)</f>
        <v>0</v>
      </c>
      <c r="I64" s="222">
        <f>SUMIFS('Data-Retail'!$H$4:$H$269,'Data-Retail'!$A$4:$A$269,'Apr11-Mar12 Billed-RETAIL'!$B64,'Data-Retail'!$D$4:$D$269,'Apr11-Mar12 Billed-RETAIL'!$C64)</f>
        <v>358</v>
      </c>
      <c r="J64" s="222">
        <f>SUMIFS('Data-Retail'!$I$4:$I$269,'Data-Retail'!$A$4:$A$269,'Apr11-Mar12 Billed-RETAIL'!$B64,'Data-Retail'!$D$4:$D$269,'Apr11-Mar12 Billed-RETAIL'!$C64)</f>
        <v>0</v>
      </c>
      <c r="K64" s="222"/>
      <c r="L64" s="223">
        <f>VLOOKUP($C64,'Retail Rates'!$B$7:$M$35,5,FALSE)</f>
        <v>30</v>
      </c>
      <c r="M64" s="223">
        <f>VLOOKUP($C64,'Retail Rates'!$B$7:$M$35,6,FALSE)</f>
        <v>170</v>
      </c>
      <c r="N64" s="224">
        <f>VLOOKUP($C64,'Retail Rates'!$B$7:$M$35,7,FALSE)</f>
        <v>0.18722</v>
      </c>
      <c r="O64" s="224">
        <f>VLOOKUP($C64,'Retail Rates'!$B$7:$M$35,8,FALSE)</f>
        <v>0.13722000000000001</v>
      </c>
      <c r="P64" s="224">
        <f>VLOOKUP($B64,'GSC-DSM Factors'!$A$1:$B$46,2,FALSE)</f>
        <v>0.5605</v>
      </c>
      <c r="Q64" s="223">
        <f>VLOOKUP($C64,'Retail Rates'!$B$7:$M$35,9,FALSE)</f>
        <v>0</v>
      </c>
      <c r="R64" s="224">
        <f>VLOOKUP($C64,'Retail Rates'!$B$7:$M$35,10,FALSE)</f>
        <v>0</v>
      </c>
      <c r="S64" s="223">
        <f>VLOOKUP($C64,'Retail Rates'!$B$7:$M$35,11,FALSE)</f>
        <v>0</v>
      </c>
      <c r="T64" s="223"/>
      <c r="U64" s="225">
        <f t="shared" si="49"/>
        <v>570</v>
      </c>
      <c r="V64" s="225"/>
      <c r="W64" s="225">
        <f>+H64*M64</f>
        <v>0</v>
      </c>
      <c r="X64" s="225">
        <f t="shared" si="52"/>
        <v>67.024760000000001</v>
      </c>
      <c r="Y64" s="225">
        <f t="shared" si="53"/>
        <v>0</v>
      </c>
      <c r="Z64" s="225">
        <f>SUM(I64:J64)*P64</f>
        <v>200.65899999999999</v>
      </c>
      <c r="AA64" s="225"/>
      <c r="AB64" s="225"/>
      <c r="AC64" s="225"/>
      <c r="AD64" s="225"/>
      <c r="AE64" s="244">
        <f>SUMIFS(Adjustments!H$5:H$684,Adjustments!$B$5:$B$684,'Apr11-Mar12 Billed-RETAIL'!$B64,Adjustments!$C$5:$C$684,'Apr11-Mar12 Billed-RETAIL'!$C64)</f>
        <v>0</v>
      </c>
      <c r="AF64" s="244">
        <f>SUMIFS(Adjustments!I$5:I$684,Adjustments!$B$5:$B$684,'Apr11-Mar12 Billed-RETAIL'!$B64,Adjustments!$C$5:$C$684,'Apr11-Mar12 Billed-RETAIL'!$C64)</f>
        <v>0</v>
      </c>
      <c r="AG64" s="238">
        <f>SUMIFS(Adjustments!J$5:J$684,Adjustments!$B$5:$B$684,'Apr11-Mar12 Billed-RETAIL'!$B64,Adjustments!$C$5:$C$684,'Apr11-Mar12 Billed-RETAIL'!$C64)</f>
        <v>0</v>
      </c>
      <c r="AH64" s="238">
        <f>SUMIFS(Adjustments!K$5:K$684,Adjustments!$B$5:$B$684,'Apr11-Mar12 Billed-RETAIL'!$B64,Adjustments!$C$5:$C$684,'Apr11-Mar12 Billed-RETAIL'!$C64)</f>
        <v>0</v>
      </c>
      <c r="AI64" s="238">
        <f>SUMIFS(Adjustments!L$5:L$684,Adjustments!$B$5:$B$684,'Apr11-Mar12 Billed-RETAIL'!$B64,Adjustments!$C$5:$C$684,'Apr11-Mar12 Billed-RETAIL'!$C64)</f>
        <v>0</v>
      </c>
      <c r="AJ64" s="238">
        <f>SUMIFS(Adjustments!M$5:M$684,Adjustments!$B$5:$B$684,'Apr11-Mar12 Billed-RETAIL'!$B64,Adjustments!$C$5:$C$684,'Apr11-Mar12 Billed-RETAIL'!$C64)</f>
        <v>0</v>
      </c>
      <c r="AK64" s="238">
        <f>SUMIFS(Adjustments!N$5:N$684,Adjustments!$B$5:$B$684,'Apr11-Mar12 Billed-RETAIL'!$B64,Adjustments!$C$5:$C$684,'Apr11-Mar12 Billed-RETAIL'!$C64)</f>
        <v>0</v>
      </c>
      <c r="AL64" s="238">
        <f>SUMIFS(Adjustments!O$5:O$684,Adjustments!$B$5:$B$684,'Apr11-Mar12 Billed-RETAIL'!$B64,Adjustments!$C$5:$C$684,'Apr11-Mar12 Billed-RETAIL'!$C64)</f>
        <v>0</v>
      </c>
      <c r="AM64" s="238">
        <f>SUMIFS(Adjustments!P$5:P$684,Adjustments!$B$5:$B$684,'Apr11-Mar12 Billed-RETAIL'!$B64,Adjustments!$C$5:$C$684,'Apr11-Mar12 Billed-RETAIL'!$C64)</f>
        <v>0</v>
      </c>
      <c r="AN64" s="225">
        <f t="shared" si="51"/>
        <v>570</v>
      </c>
      <c r="AO64" s="225">
        <f t="shared" si="44"/>
        <v>0</v>
      </c>
      <c r="AP64" s="225">
        <f t="shared" si="45"/>
        <v>67.024760000000001</v>
      </c>
      <c r="AQ64" s="225">
        <f t="shared" si="46"/>
        <v>0</v>
      </c>
      <c r="AR64" s="232">
        <f ca="1">SUMIF('SBR Sep11'!$D$4:$S$90,'Apr11-Mar12 Billed-RETAIL'!$C64,'SBR Sep11'!$N$4:$N$90)</f>
        <v>200.66</v>
      </c>
      <c r="AS64" s="232">
        <f ca="1">SUMIF('SBR Sep11'!$D$4:$S$90,'Apr11-Mar12 Billed-RETAIL'!$C64,'SBR Sep11'!$M$4:$M$90)</f>
        <v>0.33999999999999997</v>
      </c>
      <c r="AT64" s="232">
        <f ca="1">SUMIF('SBR Sep11'!$D$4:$S$90,'Apr11-Mar12 Billed-RETAIL'!$C64,'SBR Sep11'!$O$4:$O$90)</f>
        <v>0</v>
      </c>
      <c r="AU64" s="225">
        <f t="shared" si="47"/>
        <v>0</v>
      </c>
      <c r="AV64" s="225"/>
      <c r="AW64" s="232">
        <f t="shared" ca="1" si="56"/>
        <v>838.02</v>
      </c>
      <c r="AX64" s="232">
        <f t="shared" ca="1" si="50"/>
        <v>838.02</v>
      </c>
      <c r="AY64" s="233">
        <f t="shared" ca="1" si="55"/>
        <v>1</v>
      </c>
      <c r="AZ64" s="232">
        <f ca="1">SUMIF('SBR Sep11'!$D$4:$S$90,'Apr11-Mar12 Billed-RETAIL'!$C64,'SBR Sep11'!$M$4:$M$90)</f>
        <v>0.33999999999999997</v>
      </c>
      <c r="BA64" s="232">
        <f ca="1">SUMIF('SBR Sep11'!$D$4:$S$90,'Apr11-Mar12 Billed-RETAIL'!$C64,'SBR Sep11'!$N$4:$N$90)</f>
        <v>200.66</v>
      </c>
      <c r="BB64" s="232">
        <f ca="1">SUMIF('SBR Sep11'!$D$4:$S$90,'Apr11-Mar12 Billed-RETAIL'!$C64,'SBR Sep11'!$O$4:$O$90)</f>
        <v>0</v>
      </c>
      <c r="BC64" s="232">
        <f ca="1">SUMIF('SBR Sep11'!$D$4:$S$90,'Apr11-Mar12 Billed-RETAIL'!$C64,'SBR Sep11'!$Q$4:$Q$90)</f>
        <v>0</v>
      </c>
      <c r="BD64" s="232">
        <f ca="1">SUMIF('SBR Sep11'!$D$4:$S$90,'Apr11-Mar12 Billed-RETAIL'!$C64,'SBR Sep11'!$K$4:$K$90)</f>
        <v>570</v>
      </c>
      <c r="BE64" s="232">
        <f ca="1">SUMIF('SBR Sep11'!$D$4:$S$90,'Apr11-Mar12 Billed-RETAIL'!$C64,'SBR Sep11'!$L$4:$L$90)</f>
        <v>67.02</v>
      </c>
      <c r="BF64" s="232"/>
    </row>
    <row r="65" spans="1:58" ht="15" x14ac:dyDescent="0.25">
      <c r="A65" s="196">
        <f t="shared" si="15"/>
        <v>60</v>
      </c>
      <c r="B65" s="211">
        <v>40787</v>
      </c>
      <c r="C65" s="211" t="str">
        <f>+'Retail Rates'!B15</f>
        <v>LGUMG861</v>
      </c>
      <c r="D65" s="197" t="str">
        <f t="shared" si="54"/>
        <v>861</v>
      </c>
      <c r="E65" s="197" t="str">
        <f>VLOOKUP(C65,'Retail Rates'!$B$7:$D$35,3,FALSE)</f>
        <v>CGS</v>
      </c>
      <c r="F65" s="222"/>
      <c r="G65" s="222">
        <f>SUMIFS(Adjustments!F$5:F$151,Adjustments!$B$5:$B$151,'Apr11-Mar12 Billed-RETAIL'!$B65,Adjustments!$C$5:$C$151,'Apr11-Mar12 Billed-RETAIL'!$C65)</f>
        <v>620</v>
      </c>
      <c r="H65" s="222">
        <f>SUMIFS(Adjustments!G$5:G$151,Adjustments!$B$5:$B$151,'Apr11-Mar12 Billed-RETAIL'!$B65,Adjustments!$C$5:$C$151,'Apr11-Mar12 Billed-RETAIL'!$C65)</f>
        <v>0</v>
      </c>
      <c r="I65" s="222">
        <f>SUMIFS('Data-Retail'!$H$4:$H$269,'Data-Retail'!$A$4:$A$269,'Apr11-Mar12 Billed-RETAIL'!$B65,'Data-Retail'!$D$4:$D$269,'Apr11-Mar12 Billed-RETAIL'!$C65)</f>
        <v>613</v>
      </c>
      <c r="J65" s="222">
        <f>SUMIFS('Data-Retail'!$I$4:$I$269,'Data-Retail'!$A$4:$A$269,'Apr11-Mar12 Billed-RETAIL'!$B65,'Data-Retail'!$D$4:$D$269,'Apr11-Mar12 Billed-RETAIL'!$C65)</f>
        <v>0</v>
      </c>
      <c r="K65" s="222"/>
      <c r="L65" s="223">
        <f>VLOOKUP($C65,'Retail Rates'!$B$7:$M$35,5,FALSE)</f>
        <v>30</v>
      </c>
      <c r="M65" s="223">
        <f>VLOOKUP($C65,'Retail Rates'!$B$7:$M$35,6,FALSE)</f>
        <v>170</v>
      </c>
      <c r="N65" s="224">
        <f>VLOOKUP($C65,'Retail Rates'!$B$7:$M$35,7,FALSE)</f>
        <v>0.18722</v>
      </c>
      <c r="O65" s="224">
        <f>VLOOKUP($C65,'Retail Rates'!$B$7:$M$35,8,FALSE)</f>
        <v>0.13722000000000001</v>
      </c>
      <c r="P65" s="224">
        <f>VLOOKUP($B65,'GSC-DSM Factors'!$A$1:$B$46,2,FALSE)</f>
        <v>0.5605</v>
      </c>
      <c r="Q65" s="223">
        <f>VLOOKUP($C65,'Retail Rates'!$B$7:$M$35,9,FALSE)</f>
        <v>0</v>
      </c>
      <c r="R65" s="224">
        <f>VLOOKUP($C65,'Retail Rates'!$B$7:$M$35,10,FALSE)</f>
        <v>0</v>
      </c>
      <c r="S65" s="223">
        <f>VLOOKUP($C65,'Retail Rates'!$B$7:$M$35,11,FALSE)</f>
        <v>0</v>
      </c>
      <c r="T65" s="223"/>
      <c r="U65" s="225">
        <f t="shared" si="49"/>
        <v>18600</v>
      </c>
      <c r="V65" s="225"/>
      <c r="W65" s="225">
        <f>+H65*M65</f>
        <v>0</v>
      </c>
      <c r="X65" s="225">
        <f t="shared" si="52"/>
        <v>114.76586</v>
      </c>
      <c r="Y65" s="225">
        <f t="shared" si="53"/>
        <v>0</v>
      </c>
      <c r="Z65" s="225">
        <f>SUM(I65:J65)*P65</f>
        <v>343.5865</v>
      </c>
      <c r="AA65" s="225"/>
      <c r="AB65" s="225"/>
      <c r="AC65" s="225"/>
      <c r="AD65" s="225"/>
      <c r="AE65" s="244">
        <f>SUMIFS(Adjustments!H$5:H$684,Adjustments!$B$5:$B$684,'Apr11-Mar12 Billed-RETAIL'!$B65,Adjustments!$C$5:$C$684,'Apr11-Mar12 Billed-RETAIL'!$C65)</f>
        <v>0</v>
      </c>
      <c r="AF65" s="244">
        <f>SUMIFS(Adjustments!I$5:I$684,Adjustments!$B$5:$B$684,'Apr11-Mar12 Billed-RETAIL'!$B65,Adjustments!$C$5:$C$684,'Apr11-Mar12 Billed-RETAIL'!$C65)</f>
        <v>0</v>
      </c>
      <c r="AG65" s="238">
        <f>SUMIFS(Adjustments!J$5:J$684,Adjustments!$B$5:$B$684,'Apr11-Mar12 Billed-RETAIL'!$B65,Adjustments!$C$5:$C$684,'Apr11-Mar12 Billed-RETAIL'!$C65)</f>
        <v>0</v>
      </c>
      <c r="AH65" s="238">
        <f>SUMIFS(Adjustments!K$5:K$684,Adjustments!$B$5:$B$684,'Apr11-Mar12 Billed-RETAIL'!$B65,Adjustments!$C$5:$C$684,'Apr11-Mar12 Billed-RETAIL'!$C65)</f>
        <v>0</v>
      </c>
      <c r="AI65" s="238">
        <f>SUMIFS(Adjustments!L$5:L$684,Adjustments!$B$5:$B$684,'Apr11-Mar12 Billed-RETAIL'!$B65,Adjustments!$C$5:$C$684,'Apr11-Mar12 Billed-RETAIL'!$C65)</f>
        <v>1.61</v>
      </c>
      <c r="AJ65" s="238">
        <f>SUMIFS(Adjustments!M$5:M$684,Adjustments!$B$5:$B$684,'Apr11-Mar12 Billed-RETAIL'!$B65,Adjustments!$C$5:$C$684,'Apr11-Mar12 Billed-RETAIL'!$C65)</f>
        <v>0</v>
      </c>
      <c r="AK65" s="238">
        <f>SUMIFS(Adjustments!N$5:N$684,Adjustments!$B$5:$B$684,'Apr11-Mar12 Billed-RETAIL'!$B65,Adjustments!$C$5:$C$684,'Apr11-Mar12 Billed-RETAIL'!$C65)</f>
        <v>0</v>
      </c>
      <c r="AL65" s="238">
        <f>SUMIFS(Adjustments!O$5:O$684,Adjustments!$B$5:$B$684,'Apr11-Mar12 Billed-RETAIL'!$B65,Adjustments!$C$5:$C$684,'Apr11-Mar12 Billed-RETAIL'!$C65)</f>
        <v>0</v>
      </c>
      <c r="AM65" s="238">
        <f>SUMIFS(Adjustments!P$5:P$684,Adjustments!$B$5:$B$684,'Apr11-Mar12 Billed-RETAIL'!$B65,Adjustments!$C$5:$C$684,'Apr11-Mar12 Billed-RETAIL'!$C65)</f>
        <v>0</v>
      </c>
      <c r="AN65" s="225">
        <f t="shared" si="51"/>
        <v>18600</v>
      </c>
      <c r="AO65" s="225">
        <f t="shared" si="44"/>
        <v>0</v>
      </c>
      <c r="AP65" s="225">
        <f t="shared" si="45"/>
        <v>116.37586</v>
      </c>
      <c r="AQ65" s="225">
        <f t="shared" si="46"/>
        <v>0</v>
      </c>
      <c r="AR65" s="232">
        <f ca="1">SUMIF('SBR Sep11'!$D$4:$S$90,'Apr11-Mar12 Billed-RETAIL'!$C65,'SBR Sep11'!$N$4:$N$90)</f>
        <v>343.28</v>
      </c>
      <c r="AS65" s="232">
        <f ca="1">SUMIF('SBR Sep11'!$D$4:$S$90,'Apr11-Mar12 Billed-RETAIL'!$C65,'SBR Sep11'!$M$4:$M$90)</f>
        <v>0</v>
      </c>
      <c r="AT65" s="232">
        <f ca="1">SUMIF('SBR Sep11'!$D$4:$S$90,'Apr11-Mar12 Billed-RETAIL'!$C65,'SBR Sep11'!$O$4:$O$90)</f>
        <v>0</v>
      </c>
      <c r="AU65" s="225">
        <f t="shared" si="47"/>
        <v>0</v>
      </c>
      <c r="AV65" s="225"/>
      <c r="AW65" s="232">
        <f t="shared" ca="1" si="56"/>
        <v>19059.66</v>
      </c>
      <c r="AX65" s="232">
        <f t="shared" ca="1" si="50"/>
        <v>19059.66</v>
      </c>
      <c r="AY65" s="233">
        <f t="shared" ca="1" si="55"/>
        <v>1</v>
      </c>
      <c r="AZ65" s="232">
        <f ca="1">SUMIF('SBR Sep11'!$D$4:$S$90,'Apr11-Mar12 Billed-RETAIL'!$C65,'SBR Sep11'!$M$4:$M$90)</f>
        <v>0</v>
      </c>
      <c r="BA65" s="232">
        <f ca="1">SUMIF('SBR Sep11'!$D$4:$S$90,'Apr11-Mar12 Billed-RETAIL'!$C65,'SBR Sep11'!$N$4:$N$90)</f>
        <v>343.28</v>
      </c>
      <c r="BB65" s="232">
        <f ca="1">SUMIF('SBR Sep11'!$D$4:$S$90,'Apr11-Mar12 Billed-RETAIL'!$C65,'SBR Sep11'!$O$4:$O$90)</f>
        <v>0</v>
      </c>
      <c r="BC65" s="232">
        <f ca="1">SUMIF('SBR Sep11'!$D$4:$S$90,'Apr11-Mar12 Billed-RETAIL'!$C65,'SBR Sep11'!$Q$4:$Q$90)</f>
        <v>0</v>
      </c>
      <c r="BD65" s="232">
        <f ca="1">SUMIF('SBR Sep11'!$D$4:$S$90,'Apr11-Mar12 Billed-RETAIL'!$C65,'SBR Sep11'!$K$4:$K$90)</f>
        <v>18600</v>
      </c>
      <c r="BE65" s="232">
        <f ca="1">SUMIF('SBR Sep11'!$D$4:$S$90,'Apr11-Mar12 Billed-RETAIL'!$C65,'SBR Sep11'!$L$4:$L$90)</f>
        <v>116.38</v>
      </c>
      <c r="BF65" s="232"/>
    </row>
    <row r="66" spans="1:58" ht="15" customHeight="1" x14ac:dyDescent="0.25">
      <c r="A66" s="196">
        <f t="shared" si="15"/>
        <v>61</v>
      </c>
      <c r="B66" s="211">
        <v>40787</v>
      </c>
      <c r="C66" s="211" t="str">
        <f>+'Retail Rates'!B18</f>
        <v>LGCMG875</v>
      </c>
      <c r="D66" s="197" t="str">
        <f t="shared" si="54"/>
        <v>875</v>
      </c>
      <c r="E66" s="197" t="str">
        <f>VLOOKUP(C66,'Retail Rates'!$B$7:$D$35,3,FALSE)</f>
        <v>DGGS-C</v>
      </c>
      <c r="F66" s="222">
        <f>SUMIFS('Data-Retail'!$G$4:$G$269,'Data-Retail'!$A$4:$A$269,'Apr11-Mar12 Billed-RETAIL'!$B66,'Data-Retail'!$D$4:$D$269,'Apr11-Mar12 Billed-RETAIL'!$C66)</f>
        <v>0</v>
      </c>
      <c r="G66" s="222"/>
      <c r="H66" s="222"/>
      <c r="I66" s="222">
        <f>SUMIFS('Data-Retail'!$H$4:$H$269,'Data-Retail'!$A$4:$A$269,'Apr11-Mar12 Billed-RETAIL'!$B66,'Data-Retail'!$D$4:$D$269,'Apr11-Mar12 Billed-RETAIL'!$C66)</f>
        <v>0</v>
      </c>
      <c r="J66" s="222">
        <f>SUMIFS('Data-Retail'!$I$4:$I$269,'Data-Retail'!$A$4:$A$269,'Apr11-Mar12 Billed-RETAIL'!$B66,'Data-Retail'!$D$4:$D$269,'Apr11-Mar12 Billed-RETAIL'!$C66)</f>
        <v>0</v>
      </c>
      <c r="K66" s="222"/>
      <c r="L66" s="223">
        <f>VLOOKUP($C66,'Retail Rates'!$B$7:$M$35,5,FALSE)</f>
        <v>30</v>
      </c>
      <c r="M66" s="223">
        <f>VLOOKUP($C66,'Retail Rates'!$B$7:$M$35,6,FALSE)</f>
        <v>170</v>
      </c>
      <c r="N66" s="224">
        <f>VLOOKUP($C66,'Retail Rates'!$B$7:$M$35,7,FALSE)</f>
        <v>2.7439999999999999E-2</v>
      </c>
      <c r="O66" s="224">
        <f>VLOOKUP($C66,'Retail Rates'!$B$7:$M$35,8,FALSE)</f>
        <v>0</v>
      </c>
      <c r="P66" s="224">
        <f>VLOOKUP($B66,'GSC-DSM Factors'!$A$1:$B$46,2,FALSE)</f>
        <v>0.5605</v>
      </c>
      <c r="Q66" s="223">
        <f>VLOOKUP($C66,'Retail Rates'!$B$7:$M$35,9,FALSE)</f>
        <v>0</v>
      </c>
      <c r="R66" s="224">
        <f>VLOOKUP($C66,'Retail Rates'!$B$7:$M$35,10,FALSE)</f>
        <v>0</v>
      </c>
      <c r="S66" s="223">
        <f>VLOOKUP($C66,'Retail Rates'!$B$7:$M$35,11,FALSE)</f>
        <v>1.0109999999999999</v>
      </c>
      <c r="T66" s="223"/>
      <c r="U66" s="225">
        <f t="shared" si="49"/>
        <v>0</v>
      </c>
      <c r="V66" s="225"/>
      <c r="W66" s="225"/>
      <c r="X66" s="225">
        <f t="shared" si="52"/>
        <v>0</v>
      </c>
      <c r="Y66" s="225">
        <f t="shared" si="53"/>
        <v>0</v>
      </c>
      <c r="Z66" s="225">
        <f t="shared" ref="Z66:Z71" si="57">SUM(I66:J66)*P66</f>
        <v>0</v>
      </c>
      <c r="AA66" s="225"/>
      <c r="AB66" s="225"/>
      <c r="AC66" s="225"/>
      <c r="AD66" s="225"/>
      <c r="AE66" s="244">
        <f>SUMIFS(Adjustments!H$5:H$684,Adjustments!$B$5:$B$684,'Apr11-Mar12 Billed-RETAIL'!$B66,Adjustments!$C$5:$C$684,'Apr11-Mar12 Billed-RETAIL'!$C66)</f>
        <v>0</v>
      </c>
      <c r="AF66" s="244">
        <f>SUMIFS(Adjustments!I$5:I$684,Adjustments!$B$5:$B$684,'Apr11-Mar12 Billed-RETAIL'!$B66,Adjustments!$C$5:$C$684,'Apr11-Mar12 Billed-RETAIL'!$C66)</f>
        <v>0</v>
      </c>
      <c r="AG66" s="238">
        <f>SUMIFS(Adjustments!J$5:J$684,Adjustments!$B$5:$B$684,'Apr11-Mar12 Billed-RETAIL'!$B66,Adjustments!$C$5:$C$684,'Apr11-Mar12 Billed-RETAIL'!$C66)</f>
        <v>0</v>
      </c>
      <c r="AH66" s="238">
        <f>SUMIFS(Adjustments!K$5:K$684,Adjustments!$B$5:$B$684,'Apr11-Mar12 Billed-RETAIL'!$B66,Adjustments!$C$5:$C$684,'Apr11-Mar12 Billed-RETAIL'!$C66)</f>
        <v>0</v>
      </c>
      <c r="AI66" s="238">
        <f>SUMIFS(Adjustments!L$5:L$684,Adjustments!$B$5:$B$684,'Apr11-Mar12 Billed-RETAIL'!$B66,Adjustments!$C$5:$C$684,'Apr11-Mar12 Billed-RETAIL'!$C66)</f>
        <v>0</v>
      </c>
      <c r="AJ66" s="238">
        <f>SUMIFS(Adjustments!M$5:M$684,Adjustments!$B$5:$B$684,'Apr11-Mar12 Billed-RETAIL'!$B66,Adjustments!$C$5:$C$684,'Apr11-Mar12 Billed-RETAIL'!$C66)</f>
        <v>0</v>
      </c>
      <c r="AK66" s="238">
        <f>SUMIFS(Adjustments!N$5:N$684,Adjustments!$B$5:$B$684,'Apr11-Mar12 Billed-RETAIL'!$B66,Adjustments!$C$5:$C$684,'Apr11-Mar12 Billed-RETAIL'!$C66)</f>
        <v>0</v>
      </c>
      <c r="AL66" s="238">
        <f>SUMIFS(Adjustments!O$5:O$684,Adjustments!$B$5:$B$684,'Apr11-Mar12 Billed-RETAIL'!$B66,Adjustments!$C$5:$C$684,'Apr11-Mar12 Billed-RETAIL'!$C66)</f>
        <v>0</v>
      </c>
      <c r="AM66" s="238">
        <f>SUMIFS(Adjustments!P$5:P$684,Adjustments!$B$5:$B$684,'Apr11-Mar12 Billed-RETAIL'!$B66,Adjustments!$C$5:$C$684,'Apr11-Mar12 Billed-RETAIL'!$C66)</f>
        <v>0</v>
      </c>
      <c r="AN66" s="225">
        <f t="shared" si="51"/>
        <v>0</v>
      </c>
      <c r="AO66" s="225">
        <f t="shared" si="44"/>
        <v>0</v>
      </c>
      <c r="AP66" s="225">
        <f t="shared" si="45"/>
        <v>0</v>
      </c>
      <c r="AQ66" s="225">
        <f t="shared" si="46"/>
        <v>0</v>
      </c>
      <c r="AR66" s="232">
        <f ca="1">SUMIF('SBR Sep11'!$D$4:$S$90,'Apr11-Mar12 Billed-RETAIL'!$C66,'SBR Sep11'!$N$4:$N$90)</f>
        <v>0</v>
      </c>
      <c r="AS66" s="232">
        <f ca="1">SUMIF('SBR Sep11'!$D$4:$S$90,'Apr11-Mar12 Billed-RETAIL'!$C66,'SBR Sep11'!$M$4:$M$90)</f>
        <v>0</v>
      </c>
      <c r="AT66" s="232">
        <f ca="1">SUMIF('SBR Sep11'!$D$4:$S$90,'Apr11-Mar12 Billed-RETAIL'!$C66,'SBR Sep11'!$O$4:$O$90)</f>
        <v>0</v>
      </c>
      <c r="AU66" s="225">
        <f t="shared" si="47"/>
        <v>0</v>
      </c>
      <c r="AV66" s="225"/>
      <c r="AW66" s="232">
        <f t="shared" ca="1" si="56"/>
        <v>0</v>
      </c>
      <c r="AX66" s="232">
        <f t="shared" ca="1" si="50"/>
        <v>0</v>
      </c>
      <c r="AY66" s="233">
        <v>1</v>
      </c>
      <c r="AZ66" s="232">
        <f ca="1">SUMIF('SBR Sep11'!$D$4:$S$90,'Apr11-Mar12 Billed-RETAIL'!$C66,'SBR Sep11'!$M$4:$M$90)</f>
        <v>0</v>
      </c>
      <c r="BA66" s="232">
        <f ca="1">SUMIF('SBR Sep11'!$D$4:$S$90,'Apr11-Mar12 Billed-RETAIL'!$C66,'SBR Sep11'!$N$4:$N$90)</f>
        <v>0</v>
      </c>
      <c r="BB66" s="232">
        <f ca="1">SUMIF('SBR Sep11'!$D$4:$S$90,'Apr11-Mar12 Billed-RETAIL'!$C66,'SBR Sep11'!$O$4:$O$90)</f>
        <v>0</v>
      </c>
      <c r="BC66" s="232">
        <f ca="1">SUMIF('SBR Sep11'!$D$4:$S$90,'Apr11-Mar12 Billed-RETAIL'!$C66,'SBR Sep11'!$Q$4:$Q$90)</f>
        <v>0</v>
      </c>
      <c r="BD66" s="232">
        <f ca="1">SUMIF('SBR Sep11'!$D$4:$S$90,'Apr11-Mar12 Billed-RETAIL'!$C66,'SBR Sep11'!$K$4:$K$90)</f>
        <v>0</v>
      </c>
      <c r="BE66" s="232">
        <f ca="1">SUMIF('SBR Sep11'!$D$4:$S$90,'Apr11-Mar12 Billed-RETAIL'!$C66,'SBR Sep11'!$L$4:$L$90)</f>
        <v>0</v>
      </c>
      <c r="BF66" s="232"/>
    </row>
    <row r="67" spans="1:58" ht="15" customHeight="1" x14ac:dyDescent="0.25">
      <c r="A67" s="196">
        <f t="shared" si="15"/>
        <v>62</v>
      </c>
      <c r="B67" s="211">
        <v>40787</v>
      </c>
      <c r="C67" s="211" t="str">
        <f>+'Retail Rates'!B23</f>
        <v>LGING855</v>
      </c>
      <c r="D67" s="197" t="str">
        <f t="shared" si="54"/>
        <v>855</v>
      </c>
      <c r="E67" s="197" t="str">
        <f>VLOOKUP(C67,'Retail Rates'!$B$7:$D$35,3,FALSE)</f>
        <v>IGS</v>
      </c>
      <c r="F67" s="222"/>
      <c r="G67" s="222">
        <f>SUMIFS(Adjustments!F$5:F$151,Adjustments!$B$5:$B$151,'Apr11-Mar12 Billed-RETAIL'!$B67,Adjustments!$C$5:$C$151,'Apr11-Mar12 Billed-RETAIL'!$C67)</f>
        <v>113</v>
      </c>
      <c r="H67" s="222">
        <f>SUMIFS(Adjustments!G$5:G$151,Adjustments!$B$5:$B$151,'Apr11-Mar12 Billed-RETAIL'!$B67,Adjustments!$C$5:$C$151,'Apr11-Mar12 Billed-RETAIL'!$C67)</f>
        <v>101</v>
      </c>
      <c r="I67" s="222">
        <f>SUMIFS('Data-Retail'!$H$4:$H$269,'Data-Retail'!$A$4:$A$269,'Apr11-Mar12 Billed-RETAIL'!$B67,'Data-Retail'!$D$4:$D$269,'Apr11-Mar12 Billed-RETAIL'!$C67)</f>
        <v>54460</v>
      </c>
      <c r="J67" s="222">
        <f>SUMIFS('Data-Retail'!$I$4:$I$269,'Data-Retail'!$A$4:$A$269,'Apr11-Mar12 Billed-RETAIL'!$B67,'Data-Retail'!$D$4:$D$269,'Apr11-Mar12 Billed-RETAIL'!$C67)</f>
        <v>376088</v>
      </c>
      <c r="K67" s="222"/>
      <c r="L67" s="223">
        <f>VLOOKUP($C67,'Retail Rates'!$B$7:$M$35,5,FALSE)</f>
        <v>30</v>
      </c>
      <c r="M67" s="223">
        <f>VLOOKUP($C67,'Retail Rates'!$B$7:$M$35,6,FALSE)</f>
        <v>170</v>
      </c>
      <c r="N67" s="224">
        <f>VLOOKUP($C67,'Retail Rates'!$B$7:$M$35,7,FALSE)</f>
        <v>0.19022</v>
      </c>
      <c r="O67" s="224">
        <f>VLOOKUP($C67,'Retail Rates'!$B$7:$M$35,8,FALSE)</f>
        <v>0.14022000000000001</v>
      </c>
      <c r="P67" s="224">
        <f>VLOOKUP($B67,'GSC-DSM Factors'!$A$1:$B$46,2,FALSE)</f>
        <v>0.5605</v>
      </c>
      <c r="Q67" s="223">
        <f>VLOOKUP($C67,'Retail Rates'!$B$7:$M$35,9,FALSE)</f>
        <v>0</v>
      </c>
      <c r="R67" s="224">
        <f>VLOOKUP($C67,'Retail Rates'!$B$7:$M$35,10,FALSE)</f>
        <v>0</v>
      </c>
      <c r="S67" s="223">
        <f>VLOOKUP($C67,'Retail Rates'!$B$7:$M$35,11,FALSE)</f>
        <v>0</v>
      </c>
      <c r="T67" s="223"/>
      <c r="U67" s="225">
        <f t="shared" si="49"/>
        <v>3390</v>
      </c>
      <c r="V67" s="225"/>
      <c r="W67" s="225">
        <f>+H67*M67</f>
        <v>17170</v>
      </c>
      <c r="X67" s="225">
        <f>+I67*N67</f>
        <v>10359.3812</v>
      </c>
      <c r="Y67" s="225">
        <f t="shared" si="53"/>
        <v>52735.059360000007</v>
      </c>
      <c r="Z67" s="225">
        <f t="shared" si="57"/>
        <v>241322.15400000001</v>
      </c>
      <c r="AA67" s="225"/>
      <c r="AB67" s="225"/>
      <c r="AC67" s="225"/>
      <c r="AD67" s="225"/>
      <c r="AE67" s="244">
        <f>SUMIFS(Adjustments!H$5:H$684,Adjustments!$B$5:$B$684,'Apr11-Mar12 Billed-RETAIL'!$B67,Adjustments!$C$5:$C$684,'Apr11-Mar12 Billed-RETAIL'!$C67)</f>
        <v>0</v>
      </c>
      <c r="AF67" s="244">
        <f>SUMIFS(Adjustments!I$5:I$684,Adjustments!$B$5:$B$684,'Apr11-Mar12 Billed-RETAIL'!$B67,Adjustments!$C$5:$C$684,'Apr11-Mar12 Billed-RETAIL'!$C67)</f>
        <v>0</v>
      </c>
      <c r="AG67" s="238">
        <f>SUMIFS(Adjustments!J$5:J$684,Adjustments!$B$5:$B$684,'Apr11-Mar12 Billed-RETAIL'!$B67,Adjustments!$C$5:$C$684,'Apr11-Mar12 Billed-RETAIL'!$C67)</f>
        <v>-26</v>
      </c>
      <c r="AH67" s="238">
        <f>SUMIFS(Adjustments!K$5:K$684,Adjustments!$B$5:$B$684,'Apr11-Mar12 Billed-RETAIL'!$B67,Adjustments!$C$5:$C$684,'Apr11-Mar12 Billed-RETAIL'!$C67)</f>
        <v>0</v>
      </c>
      <c r="AI67" s="238">
        <f>SUMIFS(Adjustments!L$5:L$684,Adjustments!$B$5:$B$684,'Apr11-Mar12 Billed-RETAIL'!$B67,Adjustments!$C$5:$C$684,'Apr11-Mar12 Billed-RETAIL'!$C67)</f>
        <v>0</v>
      </c>
      <c r="AJ67" s="238">
        <f>SUMIFS(Adjustments!M$5:M$684,Adjustments!$B$5:$B$684,'Apr11-Mar12 Billed-RETAIL'!$B67,Adjustments!$C$5:$C$684,'Apr11-Mar12 Billed-RETAIL'!$C67)</f>
        <v>0</v>
      </c>
      <c r="AK67" s="238">
        <f>SUMIFS(Adjustments!N$5:N$684,Adjustments!$B$5:$B$684,'Apr11-Mar12 Billed-RETAIL'!$B67,Adjustments!$C$5:$C$684,'Apr11-Mar12 Billed-RETAIL'!$C67)</f>
        <v>0</v>
      </c>
      <c r="AL67" s="238">
        <f>SUMIFS(Adjustments!O$5:O$684,Adjustments!$B$5:$B$684,'Apr11-Mar12 Billed-RETAIL'!$B67,Adjustments!$C$5:$C$684,'Apr11-Mar12 Billed-RETAIL'!$C67)</f>
        <v>0</v>
      </c>
      <c r="AM67" s="238">
        <f>SUMIFS(Adjustments!P$5:P$684,Adjustments!$B$5:$B$684,'Apr11-Mar12 Billed-RETAIL'!$B67,Adjustments!$C$5:$C$684,'Apr11-Mar12 Billed-RETAIL'!$C67)</f>
        <v>0</v>
      </c>
      <c r="AN67" s="225">
        <f t="shared" si="51"/>
        <v>3364</v>
      </c>
      <c r="AO67" s="225">
        <f t="shared" si="44"/>
        <v>17170</v>
      </c>
      <c r="AP67" s="225">
        <f t="shared" si="45"/>
        <v>10359.3812</v>
      </c>
      <c r="AQ67" s="225">
        <f t="shared" si="46"/>
        <v>52735.059360000007</v>
      </c>
      <c r="AR67" s="232">
        <f ca="1">SUMIF('SBR Sep11'!$D$4:$S$90,'Apr11-Mar12 Billed-RETAIL'!$C67,'SBR Sep11'!$N$4:$N$90)</f>
        <v>241321.77</v>
      </c>
      <c r="AS67" s="232">
        <f ca="1">SUMIF('SBR Sep11'!$D$4:$S$90,'Apr11-Mar12 Billed-RETAIL'!$C67,'SBR Sep11'!$M$4:$M$90)</f>
        <v>0</v>
      </c>
      <c r="AT67" s="232">
        <f ca="1">SUMIF('SBR Sep11'!$D$4:$S$90,'Apr11-Mar12 Billed-RETAIL'!$C67,'SBR Sep11'!$O$4:$O$90)</f>
        <v>0</v>
      </c>
      <c r="AU67" s="225">
        <f t="shared" si="47"/>
        <v>0</v>
      </c>
      <c r="AV67" s="225"/>
      <c r="AW67" s="232">
        <f t="shared" ca="1" si="56"/>
        <v>324950.21000000002</v>
      </c>
      <c r="AX67" s="232">
        <f t="shared" ca="1" si="50"/>
        <v>324950.19</v>
      </c>
      <c r="AY67" s="233">
        <f t="shared" ca="1" si="55"/>
        <v>1</v>
      </c>
      <c r="AZ67" s="232">
        <f ca="1">SUMIF('SBR Sep11'!$D$4:$S$90,'Apr11-Mar12 Billed-RETAIL'!$C67,'SBR Sep11'!$M$4:$M$90)</f>
        <v>0</v>
      </c>
      <c r="BA67" s="232">
        <f ca="1">SUMIF('SBR Sep11'!$D$4:$S$90,'Apr11-Mar12 Billed-RETAIL'!$C67,'SBR Sep11'!$N$4:$N$90)</f>
        <v>241321.77</v>
      </c>
      <c r="BB67" s="232">
        <f ca="1">SUMIF('SBR Sep11'!$D$4:$S$90,'Apr11-Mar12 Billed-RETAIL'!$C67,'SBR Sep11'!$O$4:$O$90)</f>
        <v>0</v>
      </c>
      <c r="BC67" s="232">
        <f ca="1">SUMIF('SBR Sep11'!$D$4:$S$90,'Apr11-Mar12 Billed-RETAIL'!$C67,'SBR Sep11'!$Q$4:$Q$90)</f>
        <v>0</v>
      </c>
      <c r="BD67" s="232">
        <f ca="1">SUMIF('SBR Sep11'!$D$4:$S$90,'Apr11-Mar12 Billed-RETAIL'!$C67,'SBR Sep11'!$K$4:$K$90)</f>
        <v>20534</v>
      </c>
      <c r="BE67" s="232">
        <f ca="1">SUMIF('SBR Sep11'!$D$4:$S$90,'Apr11-Mar12 Billed-RETAIL'!$C67,'SBR Sep11'!$L$4:$L$90)</f>
        <v>63094.420000000006</v>
      </c>
      <c r="BF67" s="232"/>
    </row>
    <row r="68" spans="1:58" ht="15" customHeight="1" x14ac:dyDescent="0.25">
      <c r="A68" s="196">
        <f t="shared" si="15"/>
        <v>63</v>
      </c>
      <c r="B68" s="211">
        <v>40787</v>
      </c>
      <c r="C68" s="211" t="str">
        <f>+'Retail Rates'!B26</f>
        <v>LGRSG811</v>
      </c>
      <c r="D68" s="197" t="str">
        <f t="shared" si="54"/>
        <v>811</v>
      </c>
      <c r="E68" s="197" t="str">
        <f>VLOOKUP(C68,'Retail Rates'!$B$7:$D$35,3,FALSE)</f>
        <v>RGS</v>
      </c>
      <c r="F68" s="222">
        <f>SUMIFS('Data-Retail'!$G$4:$G$269,'Data-Retail'!$A$4:$A$269,'Apr11-Mar12 Billed-RETAIL'!$B68,'Data-Retail'!$D$4:$D$269,'Apr11-Mar12 Billed-RETAIL'!$C68)</f>
        <v>291014</v>
      </c>
      <c r="G68" s="222"/>
      <c r="H68" s="222"/>
      <c r="I68" s="222">
        <f>SUMIFS('Data-Retail'!$H$4:$H$269,'Data-Retail'!$A$4:$A$269,'Apr11-Mar12 Billed-RETAIL'!$B68,'Data-Retail'!$D$4:$D$269,'Apr11-Mar12 Billed-RETAIL'!$C68)</f>
        <v>3922439</v>
      </c>
      <c r="J68" s="222">
        <f>SUMIFS('Data-Retail'!$I$4:$I$269,'Data-Retail'!$A$4:$A$269,'Apr11-Mar12 Billed-RETAIL'!$B68,'Data-Retail'!$D$4:$D$269,'Apr11-Mar12 Billed-RETAIL'!$C68)</f>
        <v>0</v>
      </c>
      <c r="K68" s="222"/>
      <c r="L68" s="223">
        <f>VLOOKUP($C68,'Retail Rates'!$B$7:$M$35,5,FALSE)</f>
        <v>12.5</v>
      </c>
      <c r="M68" s="223">
        <f>VLOOKUP($C68,'Retail Rates'!$B$7:$M$35,6,FALSE)</f>
        <v>0</v>
      </c>
      <c r="N68" s="224">
        <f>VLOOKUP($C68,'Retail Rates'!$B$7:$M$35,7,FALSE)</f>
        <v>0.22395999999999999</v>
      </c>
      <c r="O68" s="224">
        <f>VLOOKUP($C68,'Retail Rates'!$B$7:$M$35,8,FALSE)</f>
        <v>0</v>
      </c>
      <c r="P68" s="224">
        <f>VLOOKUP($B68,'GSC-DSM Factors'!$A$1:$B$46,2,FALSE)</f>
        <v>0.5605</v>
      </c>
      <c r="Q68" s="223">
        <f>VLOOKUP($C68,'Retail Rates'!$B$7:$M$35,9,FALSE)</f>
        <v>0</v>
      </c>
      <c r="R68" s="224">
        <f>VLOOKUP($C68,'Retail Rates'!$B$7:$M$35,10,FALSE)</f>
        <v>0</v>
      </c>
      <c r="S68" s="223">
        <f>VLOOKUP($C68,'Retail Rates'!$B$7:$M$35,11,FALSE)</f>
        <v>0</v>
      </c>
      <c r="T68" s="223"/>
      <c r="U68" s="225">
        <f t="shared" si="49"/>
        <v>3637675</v>
      </c>
      <c r="V68" s="225"/>
      <c r="W68" s="225"/>
      <c r="X68" s="225">
        <f>+I68*N68</f>
        <v>878469.43843999994</v>
      </c>
      <c r="Y68" s="225">
        <f t="shared" si="53"/>
        <v>0</v>
      </c>
      <c r="Z68" s="225">
        <f t="shared" si="57"/>
        <v>2198527.0595</v>
      </c>
      <c r="AA68" s="225"/>
      <c r="AB68" s="225"/>
      <c r="AC68" s="225"/>
      <c r="AD68" s="225"/>
      <c r="AE68" s="244">
        <f>SUMIFS(Adjustments!H$5:H$684,Adjustments!$B$5:$B$684,'Apr11-Mar12 Billed-RETAIL'!$B68,Adjustments!$C$5:$C$684,'Apr11-Mar12 Billed-RETAIL'!$C68)</f>
        <v>-435</v>
      </c>
      <c r="AF68" s="244">
        <f>SUMIFS(Adjustments!I$5:I$684,Adjustments!$B$5:$B$684,'Apr11-Mar12 Billed-RETAIL'!$B68,Adjustments!$C$5:$C$684,'Apr11-Mar12 Billed-RETAIL'!$C68)</f>
        <v>0</v>
      </c>
      <c r="AG68" s="238">
        <f>SUMIFS(Adjustments!J$5:J$684,Adjustments!$B$5:$B$684,'Apr11-Mar12 Billed-RETAIL'!$B68,Adjustments!$C$5:$C$684,'Apr11-Mar12 Billed-RETAIL'!$C68)</f>
        <v>10.3</v>
      </c>
      <c r="AH68" s="238">
        <f>SUMIFS(Adjustments!K$5:K$684,Adjustments!$B$5:$B$684,'Apr11-Mar12 Billed-RETAIL'!$B68,Adjustments!$C$5:$C$684,'Apr11-Mar12 Billed-RETAIL'!$C68)</f>
        <v>0</v>
      </c>
      <c r="AI68" s="238">
        <f>SUMIFS(Adjustments!L$5:L$684,Adjustments!$B$5:$B$684,'Apr11-Mar12 Billed-RETAIL'!$B68,Adjustments!$C$5:$C$684,'Apr11-Mar12 Billed-RETAIL'!$C68)</f>
        <v>59.89</v>
      </c>
      <c r="AJ68" s="238">
        <f>SUMIFS(Adjustments!M$5:M$684,Adjustments!$B$5:$B$684,'Apr11-Mar12 Billed-RETAIL'!$B68,Adjustments!$C$5:$C$684,'Apr11-Mar12 Billed-RETAIL'!$C68)</f>
        <v>0</v>
      </c>
      <c r="AK68" s="238">
        <f>SUMIFS(Adjustments!N$5:N$684,Adjustments!$B$5:$B$684,'Apr11-Mar12 Billed-RETAIL'!$B68,Adjustments!$C$5:$C$684,'Apr11-Mar12 Billed-RETAIL'!$C68)</f>
        <v>0</v>
      </c>
      <c r="AL68" s="238">
        <f>SUMIFS(Adjustments!O$5:O$684,Adjustments!$B$5:$B$684,'Apr11-Mar12 Billed-RETAIL'!$B68,Adjustments!$C$5:$C$684,'Apr11-Mar12 Billed-RETAIL'!$C68)</f>
        <v>0</v>
      </c>
      <c r="AM68" s="238">
        <f>SUMIFS(Adjustments!P$5:P$684,Adjustments!$B$5:$B$684,'Apr11-Mar12 Billed-RETAIL'!$B68,Adjustments!$C$5:$C$684,'Apr11-Mar12 Billed-RETAIL'!$C68)</f>
        <v>0</v>
      </c>
      <c r="AN68" s="225">
        <f t="shared" si="51"/>
        <v>3632247.8</v>
      </c>
      <c r="AO68" s="225">
        <f t="shared" si="44"/>
        <v>0</v>
      </c>
      <c r="AP68" s="225">
        <f t="shared" si="45"/>
        <v>878529.32843999995</v>
      </c>
      <c r="AQ68" s="225">
        <f t="shared" si="46"/>
        <v>0</v>
      </c>
      <c r="AR68" s="232">
        <f ca="1">SUMIF('SBR Sep11'!$D$4:$S$90,'Apr11-Mar12 Billed-RETAIL'!$C68,'SBR Sep11'!$N$4:$N$90)</f>
        <v>2198447.7699999996</v>
      </c>
      <c r="AS68" s="232">
        <f ca="1">SUMIF('SBR Sep11'!$D$4:$S$90,'Apr11-Mar12 Billed-RETAIL'!$C68,'SBR Sep11'!$M$4:$M$90)</f>
        <v>74069.260000000009</v>
      </c>
      <c r="AT68" s="232">
        <f ca="1">SUMIF('SBR Sep11'!$D$4:$S$90,'Apr11-Mar12 Billed-RETAIL'!$C68,'SBR Sep11'!$O$4:$O$90)</f>
        <v>-105.94</v>
      </c>
      <c r="AU68" s="225">
        <f t="shared" si="47"/>
        <v>0</v>
      </c>
      <c r="AV68" s="225"/>
      <c r="AW68" s="232">
        <f t="shared" ca="1" si="56"/>
        <v>6783188.2199999997</v>
      </c>
      <c r="AX68" s="232">
        <f t="shared" ca="1" si="50"/>
        <v>6783188.2199999997</v>
      </c>
      <c r="AY68" s="233">
        <f t="shared" ca="1" si="55"/>
        <v>1</v>
      </c>
      <c r="AZ68" s="232">
        <f ca="1">SUMIF('SBR Sep11'!$D$4:$S$90,'Apr11-Mar12 Billed-RETAIL'!$C68,'SBR Sep11'!$M$4:$M$90)</f>
        <v>74069.260000000009</v>
      </c>
      <c r="BA68" s="232">
        <f ca="1">SUMIF('SBR Sep11'!$D$4:$S$90,'Apr11-Mar12 Billed-RETAIL'!$C68,'SBR Sep11'!$N$4:$N$90)</f>
        <v>2198447.7699999996</v>
      </c>
      <c r="BB68" s="232">
        <f ca="1">SUMIF('SBR Sep11'!$D$4:$S$90,'Apr11-Mar12 Billed-RETAIL'!$C68,'SBR Sep11'!$O$4:$O$90)</f>
        <v>-105.94</v>
      </c>
      <c r="BC68" s="232">
        <f ca="1">SUMIF('SBR Sep11'!$D$4:$S$90,'Apr11-Mar12 Billed-RETAIL'!$C68,'SBR Sep11'!$Q$4:$Q$90)</f>
        <v>44089.799999999996</v>
      </c>
      <c r="BD68" s="232">
        <f ca="1">SUMIF('SBR Sep11'!$D$4:$S$90,'Apr11-Mar12 Billed-RETAIL'!$C68,'SBR Sep11'!$K$4:$K$90)</f>
        <v>3632247.8</v>
      </c>
      <c r="BE68" s="232">
        <f ca="1">SUMIF('SBR Sep11'!$D$4:$S$90,'Apr11-Mar12 Billed-RETAIL'!$C68,'SBR Sep11'!$L$4:$L$90)</f>
        <v>878529.33</v>
      </c>
      <c r="BF68" s="232"/>
    </row>
    <row r="69" spans="1:58" ht="15" customHeight="1" x14ac:dyDescent="0.25">
      <c r="A69" s="196">
        <f t="shared" si="15"/>
        <v>64</v>
      </c>
      <c r="B69" s="211">
        <v>40787</v>
      </c>
      <c r="C69" s="211" t="str">
        <f>+'Retail Rates'!B27</f>
        <v>LGRSG811S1</v>
      </c>
      <c r="D69" s="197" t="str">
        <f t="shared" si="54"/>
        <v>811</v>
      </c>
      <c r="E69" s="197" t="str">
        <f>VLOOKUP(C69,'Retail Rates'!$B$7:$D$35,3,FALSE)</f>
        <v>RGS</v>
      </c>
      <c r="F69" s="222">
        <f>SUMIFS('Data-Retail'!$G$4:$G$269,'Data-Retail'!$A$4:$A$269,'Apr11-Mar12 Billed-RETAIL'!$B69,'Data-Retail'!$D$4:$D$269,'Apr11-Mar12 Billed-RETAIL'!$C69)</f>
        <v>1</v>
      </c>
      <c r="G69" s="222"/>
      <c r="H69" s="222"/>
      <c r="I69" s="222">
        <f>SUMIFS('Data-Retail'!$H$4:$H$269,'Data-Retail'!$A$4:$A$269,'Apr11-Mar12 Billed-RETAIL'!$B69,'Data-Retail'!$D$4:$D$269,'Apr11-Mar12 Billed-RETAIL'!$C69)</f>
        <v>170</v>
      </c>
      <c r="J69" s="222">
        <f>SUMIFS('Data-Retail'!$I$4:$I$269,'Data-Retail'!$A$4:$A$269,'Apr11-Mar12 Billed-RETAIL'!$B69,'Data-Retail'!$D$4:$D$269,'Apr11-Mar12 Billed-RETAIL'!$C69)</f>
        <v>0</v>
      </c>
      <c r="K69" s="222"/>
      <c r="L69" s="223">
        <f>VLOOKUP($C69,'Retail Rates'!$B$7:$M$35,5,FALSE)</f>
        <v>12.5</v>
      </c>
      <c r="M69" s="223">
        <f>VLOOKUP($C69,'Retail Rates'!$B$7:$M$35,6,FALSE)</f>
        <v>0</v>
      </c>
      <c r="N69" s="224">
        <f>VLOOKUP($C69,'Retail Rates'!$B$7:$M$35,7,FALSE)</f>
        <v>0.22395999999999999</v>
      </c>
      <c r="O69" s="224">
        <f>VLOOKUP($C69,'Retail Rates'!$B$7:$M$35,8,FALSE)</f>
        <v>0</v>
      </c>
      <c r="P69" s="224">
        <f>VLOOKUP($B69,'GSC-DSM Factors'!$A$1:$B$46,2,FALSE)</f>
        <v>0.5605</v>
      </c>
      <c r="Q69" s="223">
        <f>VLOOKUP($C69,'Retail Rates'!$B$7:$M$35,9,FALSE)</f>
        <v>0</v>
      </c>
      <c r="R69" s="224">
        <f>VLOOKUP($C69,'Retail Rates'!$B$7:$M$35,10,FALSE)</f>
        <v>0</v>
      </c>
      <c r="S69" s="223">
        <f>VLOOKUP($C69,'Retail Rates'!$B$7:$M$35,11,FALSE)</f>
        <v>0</v>
      </c>
      <c r="T69" s="223"/>
      <c r="U69" s="225">
        <f t="shared" si="49"/>
        <v>12.5</v>
      </c>
      <c r="V69" s="225"/>
      <c r="W69" s="225"/>
      <c r="X69" s="225">
        <f>+I69*N69</f>
        <v>38.0732</v>
      </c>
      <c r="Y69" s="225">
        <f t="shared" si="53"/>
        <v>0</v>
      </c>
      <c r="Z69" s="225">
        <f t="shared" si="57"/>
        <v>95.284999999999997</v>
      </c>
      <c r="AA69" s="225"/>
      <c r="AB69" s="225"/>
      <c r="AC69" s="225"/>
      <c r="AD69" s="225"/>
      <c r="AE69" s="244">
        <f>SUMIFS(Adjustments!H$5:H$684,Adjustments!$B$5:$B$684,'Apr11-Mar12 Billed-RETAIL'!$B69,Adjustments!$C$5:$C$684,'Apr11-Mar12 Billed-RETAIL'!$C69)</f>
        <v>0</v>
      </c>
      <c r="AF69" s="244">
        <f>SUMIFS(Adjustments!I$5:I$684,Adjustments!$B$5:$B$684,'Apr11-Mar12 Billed-RETAIL'!$B69,Adjustments!$C$5:$C$684,'Apr11-Mar12 Billed-RETAIL'!$C69)</f>
        <v>0</v>
      </c>
      <c r="AG69" s="238">
        <f>SUMIFS(Adjustments!J$5:J$684,Adjustments!$B$5:$B$684,'Apr11-Mar12 Billed-RETAIL'!$B69,Adjustments!$C$5:$C$684,'Apr11-Mar12 Billed-RETAIL'!$C69)</f>
        <v>-12</v>
      </c>
      <c r="AH69" s="238">
        <f>SUMIFS(Adjustments!K$5:K$684,Adjustments!$B$5:$B$684,'Apr11-Mar12 Billed-RETAIL'!$B69,Adjustments!$C$5:$C$684,'Apr11-Mar12 Billed-RETAIL'!$C69)</f>
        <v>0</v>
      </c>
      <c r="AI69" s="238">
        <f>SUMIFS(Adjustments!L$5:L$684,Adjustments!$B$5:$B$684,'Apr11-Mar12 Billed-RETAIL'!$B69,Adjustments!$C$5:$C$684,'Apr11-Mar12 Billed-RETAIL'!$C69)</f>
        <v>-45.74</v>
      </c>
      <c r="AJ69" s="238">
        <f>SUMIFS(Adjustments!M$5:M$684,Adjustments!$B$5:$B$684,'Apr11-Mar12 Billed-RETAIL'!$B69,Adjustments!$C$5:$C$684,'Apr11-Mar12 Billed-RETAIL'!$C69)</f>
        <v>0</v>
      </c>
      <c r="AK69" s="238">
        <f>SUMIFS(Adjustments!N$5:N$684,Adjustments!$B$5:$B$684,'Apr11-Mar12 Billed-RETAIL'!$B69,Adjustments!$C$5:$C$684,'Apr11-Mar12 Billed-RETAIL'!$C69)</f>
        <v>0</v>
      </c>
      <c r="AL69" s="238">
        <f>SUMIFS(Adjustments!O$5:O$684,Adjustments!$B$5:$B$684,'Apr11-Mar12 Billed-RETAIL'!$B69,Adjustments!$C$5:$C$684,'Apr11-Mar12 Billed-RETAIL'!$C69)</f>
        <v>0</v>
      </c>
      <c r="AM69" s="238">
        <f>SUMIFS(Adjustments!P$5:P$684,Adjustments!$B$5:$B$684,'Apr11-Mar12 Billed-RETAIL'!$B69,Adjustments!$C$5:$C$684,'Apr11-Mar12 Billed-RETAIL'!$C69)</f>
        <v>0</v>
      </c>
      <c r="AN69" s="225">
        <f t="shared" si="51"/>
        <v>0.5</v>
      </c>
      <c r="AO69" s="225">
        <f t="shared" si="44"/>
        <v>0</v>
      </c>
      <c r="AP69" s="225">
        <f t="shared" si="45"/>
        <v>-7.6668000000000021</v>
      </c>
      <c r="AQ69" s="225">
        <f t="shared" si="46"/>
        <v>0</v>
      </c>
      <c r="AR69" s="232">
        <f ca="1">SUMIF('SBR Sep11'!$D$4:$S$90,'Apr11-Mar12 Billed-RETAIL'!$C69,'SBR Sep11'!$N$4:$N$90)</f>
        <v>95.29</v>
      </c>
      <c r="AS69" s="232">
        <f ca="1">SUMIF('SBR Sep11'!$D$4:$S$90,'Apr11-Mar12 Billed-RETAIL'!$C69,'SBR Sep11'!$M$4:$M$90)</f>
        <v>0</v>
      </c>
      <c r="AT69" s="232">
        <f ca="1">SUMIF('SBR Sep11'!$D$4:$S$90,'Apr11-Mar12 Billed-RETAIL'!$C69,'SBR Sep11'!$O$4:$O$90)</f>
        <v>0</v>
      </c>
      <c r="AU69" s="225">
        <f t="shared" si="47"/>
        <v>0</v>
      </c>
      <c r="AV69" s="225"/>
      <c r="AW69" s="232">
        <f t="shared" ca="1" si="56"/>
        <v>88.12</v>
      </c>
      <c r="AX69" s="232">
        <f t="shared" ca="1" si="50"/>
        <v>88.12</v>
      </c>
      <c r="AY69" s="233">
        <f t="shared" ca="1" si="55"/>
        <v>1</v>
      </c>
      <c r="AZ69" s="232">
        <f ca="1">SUMIF('SBR Sep11'!$D$4:$S$90,'Apr11-Mar12 Billed-RETAIL'!$C69,'SBR Sep11'!$M$4:$M$90)</f>
        <v>0</v>
      </c>
      <c r="BA69" s="232">
        <f ca="1">SUMIF('SBR Sep11'!$D$4:$S$90,'Apr11-Mar12 Billed-RETAIL'!$C69,'SBR Sep11'!$N$4:$N$90)</f>
        <v>95.29</v>
      </c>
      <c r="BB69" s="232">
        <f ca="1">SUMIF('SBR Sep11'!$D$4:$S$90,'Apr11-Mar12 Billed-RETAIL'!$C69,'SBR Sep11'!$O$4:$O$90)</f>
        <v>0</v>
      </c>
      <c r="BC69" s="232">
        <f ca="1">SUMIF('SBR Sep11'!$D$4:$S$90,'Apr11-Mar12 Billed-RETAIL'!$C69,'SBR Sep11'!$Q$4:$Q$90)</f>
        <v>0</v>
      </c>
      <c r="BD69" s="232">
        <f ca="1">SUMIF('SBR Sep11'!$D$4:$S$90,'Apr11-Mar12 Billed-RETAIL'!$C69,'SBR Sep11'!$K$4:$K$90)</f>
        <v>0.5</v>
      </c>
      <c r="BE69" s="232">
        <f ca="1">SUMIF('SBR Sep11'!$D$4:$S$90,'Apr11-Mar12 Billed-RETAIL'!$C69,'SBR Sep11'!$L$4:$L$90)</f>
        <v>-7.67</v>
      </c>
      <c r="BF69" s="232"/>
    </row>
    <row r="70" spans="1:58" ht="15" customHeight="1" x14ac:dyDescent="0.25">
      <c r="A70" s="196">
        <f t="shared" si="15"/>
        <v>65</v>
      </c>
      <c r="B70" s="211">
        <v>40787</v>
      </c>
      <c r="C70" s="211" t="str">
        <f>+'Retail Rates'!B28</f>
        <v>LGRSG840</v>
      </c>
      <c r="D70" s="197" t="str">
        <f t="shared" si="54"/>
        <v>840</v>
      </c>
      <c r="E70" s="197" t="str">
        <f>VLOOKUP(C70,'Retail Rates'!$B$7:$D$35,3,FALSE)</f>
        <v>RGS</v>
      </c>
      <c r="F70" s="222">
        <f>SUMIFS('Data-Retail'!$G$4:$G$269,'Data-Retail'!$A$4:$A$269,'Apr11-Mar12 Billed-RETAIL'!$B70,'Data-Retail'!$D$4:$D$269,'Apr11-Mar12 Billed-RETAIL'!$C70)</f>
        <v>4</v>
      </c>
      <c r="G70" s="222"/>
      <c r="H70" s="222"/>
      <c r="I70" s="222">
        <f>SUMIFS('Data-Retail'!$H$4:$H$269,'Data-Retail'!$A$4:$A$269,'Apr11-Mar12 Billed-RETAIL'!$B70,'Data-Retail'!$D$4:$D$269,'Apr11-Mar12 Billed-RETAIL'!$C70)</f>
        <v>355</v>
      </c>
      <c r="J70" s="222">
        <f>SUMIFS('Data-Retail'!$I$4:$I$269,'Data-Retail'!$A$4:$A$269,'Apr11-Mar12 Billed-RETAIL'!$B70,'Data-Retail'!$D$4:$D$269,'Apr11-Mar12 Billed-RETAIL'!$C70)</f>
        <v>0</v>
      </c>
      <c r="K70" s="222"/>
      <c r="L70" s="223">
        <f>VLOOKUP($C70,'Retail Rates'!$B$7:$M$35,5,FALSE)</f>
        <v>12.5</v>
      </c>
      <c r="M70" s="223">
        <f>VLOOKUP($C70,'Retail Rates'!$B$7:$M$35,6,FALSE)</f>
        <v>0</v>
      </c>
      <c r="N70" s="224">
        <f>VLOOKUP($C70,'Retail Rates'!$B$7:$M$35,7,FALSE)</f>
        <v>0.22395999999999999</v>
      </c>
      <c r="O70" s="224">
        <f>VLOOKUP($C70,'Retail Rates'!$B$7:$M$35,8,FALSE)</f>
        <v>0</v>
      </c>
      <c r="P70" s="224">
        <f>VLOOKUP($B70,'GSC-DSM Factors'!$A$1:$B$46,2,FALSE)</f>
        <v>0.5605</v>
      </c>
      <c r="Q70" s="223">
        <f>VLOOKUP($C70,'Retail Rates'!$B$7:$M$35,9,FALSE)</f>
        <v>0</v>
      </c>
      <c r="R70" s="224">
        <f>VLOOKUP($C70,'Retail Rates'!$B$7:$M$35,10,FALSE)</f>
        <v>0</v>
      </c>
      <c r="S70" s="223">
        <f>VLOOKUP($C70,'Retail Rates'!$B$7:$M$35,11,FALSE)</f>
        <v>0</v>
      </c>
      <c r="T70" s="223"/>
      <c r="U70" s="225">
        <f t="shared" si="49"/>
        <v>50</v>
      </c>
      <c r="V70" s="225"/>
      <c r="W70" s="225"/>
      <c r="X70" s="225">
        <f>+I70*N70</f>
        <v>79.505799999999994</v>
      </c>
      <c r="Y70" s="225">
        <f t="shared" si="53"/>
        <v>0</v>
      </c>
      <c r="Z70" s="225">
        <f t="shared" si="57"/>
        <v>198.97749999999999</v>
      </c>
      <c r="AA70" s="225"/>
      <c r="AB70" s="225"/>
      <c r="AC70" s="225"/>
      <c r="AD70" s="225"/>
      <c r="AE70" s="244">
        <f>SUMIFS(Adjustments!H$5:H$684,Adjustments!$B$5:$B$684,'Apr11-Mar12 Billed-RETAIL'!$B70,Adjustments!$C$5:$C$684,'Apr11-Mar12 Billed-RETAIL'!$C70)</f>
        <v>0</v>
      </c>
      <c r="AF70" s="244">
        <f>SUMIFS(Adjustments!I$5:I$684,Adjustments!$B$5:$B$684,'Apr11-Mar12 Billed-RETAIL'!$B70,Adjustments!$C$5:$C$684,'Apr11-Mar12 Billed-RETAIL'!$C70)</f>
        <v>0</v>
      </c>
      <c r="AG70" s="238">
        <f>SUMIFS(Adjustments!J$5:J$684,Adjustments!$B$5:$B$684,'Apr11-Mar12 Billed-RETAIL'!$B70,Adjustments!$C$5:$C$684,'Apr11-Mar12 Billed-RETAIL'!$C70)</f>
        <v>0</v>
      </c>
      <c r="AH70" s="238">
        <f>SUMIFS(Adjustments!K$5:K$684,Adjustments!$B$5:$B$684,'Apr11-Mar12 Billed-RETAIL'!$B70,Adjustments!$C$5:$C$684,'Apr11-Mar12 Billed-RETAIL'!$C70)</f>
        <v>0</v>
      </c>
      <c r="AI70" s="238">
        <f>SUMIFS(Adjustments!L$5:L$684,Adjustments!$B$5:$B$684,'Apr11-Mar12 Billed-RETAIL'!$B70,Adjustments!$C$5:$C$684,'Apr11-Mar12 Billed-RETAIL'!$C70)</f>
        <v>-0.01</v>
      </c>
      <c r="AJ70" s="238">
        <f>SUMIFS(Adjustments!M$5:M$684,Adjustments!$B$5:$B$684,'Apr11-Mar12 Billed-RETAIL'!$B70,Adjustments!$C$5:$C$684,'Apr11-Mar12 Billed-RETAIL'!$C70)</f>
        <v>0</v>
      </c>
      <c r="AK70" s="238">
        <f>SUMIFS(Adjustments!N$5:N$684,Adjustments!$B$5:$B$684,'Apr11-Mar12 Billed-RETAIL'!$B70,Adjustments!$C$5:$C$684,'Apr11-Mar12 Billed-RETAIL'!$C70)</f>
        <v>0</v>
      </c>
      <c r="AL70" s="238">
        <f>SUMIFS(Adjustments!O$5:O$684,Adjustments!$B$5:$B$684,'Apr11-Mar12 Billed-RETAIL'!$B70,Adjustments!$C$5:$C$684,'Apr11-Mar12 Billed-RETAIL'!$C70)</f>
        <v>0</v>
      </c>
      <c r="AM70" s="238">
        <f>SUMIFS(Adjustments!P$5:P$684,Adjustments!$B$5:$B$684,'Apr11-Mar12 Billed-RETAIL'!$B70,Adjustments!$C$5:$C$684,'Apr11-Mar12 Billed-RETAIL'!$C70)</f>
        <v>0</v>
      </c>
      <c r="AN70" s="225">
        <f t="shared" si="51"/>
        <v>50</v>
      </c>
      <c r="AO70" s="225">
        <f t="shared" si="44"/>
        <v>0</v>
      </c>
      <c r="AP70" s="225">
        <f t="shared" si="45"/>
        <v>79.495799999999988</v>
      </c>
      <c r="AQ70" s="225">
        <f t="shared" si="46"/>
        <v>0</v>
      </c>
      <c r="AR70" s="232">
        <f ca="1">SUMIF('SBR Sep11'!$D$4:$S$90,'Apr11-Mar12 Billed-RETAIL'!$C70,'SBR Sep11'!$N$4:$N$90)</f>
        <v>198.97</v>
      </c>
      <c r="AS70" s="232">
        <f ca="1">SUMIF('SBR Sep11'!$D$4:$S$90,'Apr11-Mar12 Billed-RETAIL'!$C70,'SBR Sep11'!$M$4:$M$90)</f>
        <v>6.7</v>
      </c>
      <c r="AT70" s="232">
        <f ca="1">SUMIF('SBR Sep11'!$D$4:$S$90,'Apr11-Mar12 Billed-RETAIL'!$C70,'SBR Sep11'!$O$4:$O$90)</f>
        <v>0</v>
      </c>
      <c r="AU70" s="225">
        <f t="shared" si="47"/>
        <v>0</v>
      </c>
      <c r="AV70" s="225"/>
      <c r="AW70" s="232">
        <f t="shared" ca="1" si="56"/>
        <v>335.17</v>
      </c>
      <c r="AX70" s="232">
        <f t="shared" ca="1" si="50"/>
        <v>335.16999999999996</v>
      </c>
      <c r="AY70" s="233">
        <f t="shared" ca="1" si="55"/>
        <v>1</v>
      </c>
      <c r="AZ70" s="232">
        <f ca="1">SUMIF('SBR Sep11'!$D$4:$S$90,'Apr11-Mar12 Billed-RETAIL'!$C70,'SBR Sep11'!$M$4:$M$90)</f>
        <v>6.7</v>
      </c>
      <c r="BA70" s="232">
        <f ca="1">SUMIF('SBR Sep11'!$D$4:$S$90,'Apr11-Mar12 Billed-RETAIL'!$C70,'SBR Sep11'!$N$4:$N$90)</f>
        <v>198.97</v>
      </c>
      <c r="BB70" s="232">
        <f ca="1">SUMIF('SBR Sep11'!$D$4:$S$90,'Apr11-Mar12 Billed-RETAIL'!$C70,'SBR Sep11'!$O$4:$O$90)</f>
        <v>0</v>
      </c>
      <c r="BC70" s="232">
        <f ca="1">SUMIF('SBR Sep11'!$D$4:$S$90,'Apr11-Mar12 Billed-RETAIL'!$C70,'SBR Sep11'!$Q$4:$Q$90)</f>
        <v>0</v>
      </c>
      <c r="BD70" s="232">
        <f ca="1">SUMIF('SBR Sep11'!$D$4:$S$90,'Apr11-Mar12 Billed-RETAIL'!$C70,'SBR Sep11'!$K$4:$K$90)</f>
        <v>50</v>
      </c>
      <c r="BE70" s="232">
        <f ca="1">SUMIF('SBR Sep11'!$D$4:$S$90,'Apr11-Mar12 Billed-RETAIL'!$C70,'SBR Sep11'!$L$4:$L$90)</f>
        <v>79.5</v>
      </c>
      <c r="BF70" s="232"/>
    </row>
    <row r="71" spans="1:58" ht="15" customHeight="1" x14ac:dyDescent="0.25">
      <c r="A71" s="196">
        <f t="shared" si="15"/>
        <v>66</v>
      </c>
      <c r="B71" s="211">
        <v>40787</v>
      </c>
      <c r="C71" s="211" t="str">
        <f>+'Retail Rates'!B29</f>
        <v>LGUMG830</v>
      </c>
      <c r="D71" s="197" t="str">
        <f t="shared" si="54"/>
        <v>830</v>
      </c>
      <c r="E71" s="197" t="str">
        <f>VLOOKUP(C71,'Retail Rates'!$B$7:$D$35,3,FALSE)</f>
        <v>RGS</v>
      </c>
      <c r="F71" s="222">
        <f>SUMIFS('Data-Retail'!$G$4:$G$269,'Data-Retail'!$A$4:$A$269,'Apr11-Mar12 Billed-RETAIL'!$B71,'Data-Retail'!$D$4:$D$269,'Apr11-Mar12 Billed-RETAIL'!$C71)</f>
        <v>1</v>
      </c>
      <c r="G71" s="222"/>
      <c r="H71" s="222"/>
      <c r="I71" s="222">
        <f>SUMIFS('Data-Retail'!$H$4:$H$269,'Data-Retail'!$A$4:$A$269,'Apr11-Mar12 Billed-RETAIL'!$B71,'Data-Retail'!$D$4:$D$269,'Apr11-Mar12 Billed-RETAIL'!$C71)</f>
        <v>32</v>
      </c>
      <c r="J71" s="222">
        <f>SUMIFS('Data-Retail'!$I$4:$I$269,'Data-Retail'!$A$4:$A$269,'Apr11-Mar12 Billed-RETAIL'!$B71,'Data-Retail'!$D$4:$D$269,'Apr11-Mar12 Billed-RETAIL'!$C71)</f>
        <v>0</v>
      </c>
      <c r="K71" s="222"/>
      <c r="L71" s="223">
        <f>VLOOKUP($C71,'Retail Rates'!$B$7:$M$35,5,FALSE)</f>
        <v>12.5</v>
      </c>
      <c r="M71" s="223">
        <f>VLOOKUP($C71,'Retail Rates'!$B$7:$M$35,6,FALSE)</f>
        <v>0</v>
      </c>
      <c r="N71" s="224">
        <f>VLOOKUP($C71,'Retail Rates'!$B$7:$M$35,7,FALSE)</f>
        <v>0.22395999999999999</v>
      </c>
      <c r="O71" s="224">
        <f>VLOOKUP($C71,'Retail Rates'!$B$7:$M$35,8,FALSE)</f>
        <v>0</v>
      </c>
      <c r="P71" s="224">
        <f>VLOOKUP($B71,'GSC-DSM Factors'!$A$1:$B$46,2,FALSE)</f>
        <v>0.5605</v>
      </c>
      <c r="Q71" s="223">
        <f>VLOOKUP($C71,'Retail Rates'!$B$7:$M$35,9,FALSE)</f>
        <v>0</v>
      </c>
      <c r="R71" s="224">
        <f>VLOOKUP($C71,'Retail Rates'!$B$7:$M$35,10,FALSE)</f>
        <v>0</v>
      </c>
      <c r="S71" s="223">
        <f>VLOOKUP($C71,'Retail Rates'!$B$7:$M$35,11,FALSE)</f>
        <v>0</v>
      </c>
      <c r="T71" s="223"/>
      <c r="U71" s="225">
        <f t="shared" si="49"/>
        <v>12.5</v>
      </c>
      <c r="V71" s="225"/>
      <c r="W71" s="225"/>
      <c r="X71" s="225">
        <f>+I71*N71</f>
        <v>7.1667199999999998</v>
      </c>
      <c r="Y71" s="225">
        <f t="shared" si="53"/>
        <v>0</v>
      </c>
      <c r="Z71" s="225">
        <f t="shared" si="57"/>
        <v>17.936</v>
      </c>
      <c r="AA71" s="225"/>
      <c r="AB71" s="225"/>
      <c r="AC71" s="225"/>
      <c r="AD71" s="225"/>
      <c r="AE71" s="244">
        <f>SUMIFS(Adjustments!H$5:H$684,Adjustments!$B$5:$B$684,'Apr11-Mar12 Billed-RETAIL'!$B71,Adjustments!$C$5:$C$684,'Apr11-Mar12 Billed-RETAIL'!$C71)</f>
        <v>1</v>
      </c>
      <c r="AF71" s="244">
        <f>SUMIFS(Adjustments!I$5:I$684,Adjustments!$B$5:$B$684,'Apr11-Mar12 Billed-RETAIL'!$B71,Adjustments!$C$5:$C$684,'Apr11-Mar12 Billed-RETAIL'!$C71)</f>
        <v>0</v>
      </c>
      <c r="AG71" s="238">
        <f>SUMIFS(Adjustments!J$5:J$684,Adjustments!$B$5:$B$684,'Apr11-Mar12 Billed-RETAIL'!$B71,Adjustments!$C$5:$C$684,'Apr11-Mar12 Billed-RETAIL'!$C71)</f>
        <v>0</v>
      </c>
      <c r="AH71" s="238">
        <f>SUMIFS(Adjustments!K$5:K$684,Adjustments!$B$5:$B$684,'Apr11-Mar12 Billed-RETAIL'!$B71,Adjustments!$C$5:$C$684,'Apr11-Mar12 Billed-RETAIL'!$C71)</f>
        <v>0</v>
      </c>
      <c r="AI71" s="238">
        <f>SUMIFS(Adjustments!L$5:L$684,Adjustments!$B$5:$B$684,'Apr11-Mar12 Billed-RETAIL'!$B71,Adjustments!$C$5:$C$684,'Apr11-Mar12 Billed-RETAIL'!$C71)</f>
        <v>0</v>
      </c>
      <c r="AJ71" s="238">
        <f>SUMIFS(Adjustments!M$5:M$684,Adjustments!$B$5:$B$684,'Apr11-Mar12 Billed-RETAIL'!$B71,Adjustments!$C$5:$C$684,'Apr11-Mar12 Billed-RETAIL'!$C71)</f>
        <v>0</v>
      </c>
      <c r="AK71" s="238">
        <f>SUMIFS(Adjustments!N$5:N$684,Adjustments!$B$5:$B$684,'Apr11-Mar12 Billed-RETAIL'!$B71,Adjustments!$C$5:$C$684,'Apr11-Mar12 Billed-RETAIL'!$C71)</f>
        <v>0</v>
      </c>
      <c r="AL71" s="238">
        <f>SUMIFS(Adjustments!O$5:O$684,Adjustments!$B$5:$B$684,'Apr11-Mar12 Billed-RETAIL'!$B71,Adjustments!$C$5:$C$684,'Apr11-Mar12 Billed-RETAIL'!$C71)</f>
        <v>0</v>
      </c>
      <c r="AM71" s="238">
        <f>SUMIFS(Adjustments!P$5:P$684,Adjustments!$B$5:$B$684,'Apr11-Mar12 Billed-RETAIL'!$B71,Adjustments!$C$5:$C$684,'Apr11-Mar12 Billed-RETAIL'!$C71)</f>
        <v>0</v>
      </c>
      <c r="AN71" s="225">
        <f t="shared" si="51"/>
        <v>25</v>
      </c>
      <c r="AO71" s="225">
        <f t="shared" si="44"/>
        <v>0</v>
      </c>
      <c r="AP71" s="225">
        <f t="shared" si="45"/>
        <v>7.1667199999999998</v>
      </c>
      <c r="AQ71" s="225">
        <f t="shared" si="46"/>
        <v>0</v>
      </c>
      <c r="AR71" s="232">
        <f ca="1">SUMIF('SBR Sep11'!$D$4:$S$90,'Apr11-Mar12 Billed-RETAIL'!$C71,'SBR Sep11'!$N$4:$N$90)</f>
        <v>17.940000000000001</v>
      </c>
      <c r="AS71" s="232">
        <f ca="1">SUMIF('SBR Sep11'!$D$4:$S$90,'Apr11-Mar12 Billed-RETAIL'!$C71,'SBR Sep11'!$M$4:$M$90)</f>
        <v>0.6</v>
      </c>
      <c r="AT71" s="232">
        <f ca="1">SUMIF('SBR Sep11'!$D$4:$S$90,'Apr11-Mar12 Billed-RETAIL'!$C71,'SBR Sep11'!$O$4:$O$90)</f>
        <v>0</v>
      </c>
      <c r="AU71" s="225">
        <f t="shared" si="47"/>
        <v>0</v>
      </c>
      <c r="AV71" s="225"/>
      <c r="AW71" s="232">
        <f t="shared" ca="1" si="56"/>
        <v>50.71</v>
      </c>
      <c r="AX71" s="232">
        <f t="shared" ca="1" si="50"/>
        <v>50.710000000000008</v>
      </c>
      <c r="AY71" s="233">
        <f t="shared" ca="1" si="55"/>
        <v>1</v>
      </c>
      <c r="AZ71" s="232">
        <f ca="1">SUMIF('SBR Sep11'!$D$4:$S$90,'Apr11-Mar12 Billed-RETAIL'!$C71,'SBR Sep11'!$M$4:$M$90)</f>
        <v>0.6</v>
      </c>
      <c r="BA71" s="232">
        <f ca="1">SUMIF('SBR Sep11'!$D$4:$S$90,'Apr11-Mar12 Billed-RETAIL'!$C71,'SBR Sep11'!$N$4:$N$90)</f>
        <v>17.940000000000001</v>
      </c>
      <c r="BB71" s="232">
        <f ca="1">SUMIF('SBR Sep11'!$D$4:$S$90,'Apr11-Mar12 Billed-RETAIL'!$C71,'SBR Sep11'!$O$4:$O$90)</f>
        <v>0</v>
      </c>
      <c r="BC71" s="232">
        <f ca="1">SUMIF('SBR Sep11'!$D$4:$S$90,'Apr11-Mar12 Billed-RETAIL'!$C71,'SBR Sep11'!$Q$4:$Q$90)</f>
        <v>0</v>
      </c>
      <c r="BD71" s="232">
        <f ca="1">SUMIF('SBR Sep11'!$D$4:$S$90,'Apr11-Mar12 Billed-RETAIL'!$C71,'SBR Sep11'!$K$4:$K$90)</f>
        <v>25</v>
      </c>
      <c r="BE71" s="232">
        <f ca="1">SUMIF('SBR Sep11'!$D$4:$S$90,'Apr11-Mar12 Billed-RETAIL'!$C71,'SBR Sep11'!$L$4:$L$90)</f>
        <v>7.17</v>
      </c>
      <c r="BF71" s="232"/>
    </row>
    <row r="72" spans="1:58" ht="15" customHeight="1" x14ac:dyDescent="0.25">
      <c r="A72" s="196">
        <f t="shared" ref="A72:A135" si="58">+A71+1</f>
        <v>67</v>
      </c>
      <c r="B72" s="211">
        <v>40817</v>
      </c>
      <c r="C72" s="211" t="str">
        <f>+'Retail Rates'!B7</f>
        <v>LGCMG865</v>
      </c>
      <c r="D72" s="197" t="str">
        <f t="shared" si="54"/>
        <v>865</v>
      </c>
      <c r="E72" s="197" t="str">
        <f>VLOOKUP(C72,'Retail Rates'!$B$7:$D$35,3,FALSE)</f>
        <v>AAGS-C</v>
      </c>
      <c r="F72" s="222">
        <f>SUMIFS('Data-Retail'!$G$4:$G$269,'Data-Retail'!$A$4:$A$269,'Apr11-Mar12 Billed-RETAIL'!$B72,'Data-Retail'!$D$4:$D$269,'Apr11-Mar12 Billed-RETAIL'!$C72)</f>
        <v>5</v>
      </c>
      <c r="G72" s="222"/>
      <c r="H72" s="222"/>
      <c r="I72" s="222">
        <f>SUMIFS('Data-Retail'!$H$4:$H$269,'Data-Retail'!$A$4:$A$269,'Apr11-Mar12 Billed-RETAIL'!$B72,'Data-Retail'!$D$4:$D$269,'Apr11-Mar12 Billed-RETAIL'!$C72)</f>
        <v>88595</v>
      </c>
      <c r="J72" s="222">
        <f>SUMIFS('Data-Retail'!$I$4:$I$269,'Data-Retail'!$A$4:$A$269,'Apr11-Mar12 Billed-RETAIL'!$B72,'Data-Retail'!$D$4:$D$269,'Apr11-Mar12 Billed-RETAIL'!$C72)</f>
        <v>0</v>
      </c>
      <c r="K72" s="222"/>
      <c r="L72" s="223">
        <f>VLOOKUP($C72,'Retail Rates'!$B$7:$M$35,5,FALSE)</f>
        <v>275</v>
      </c>
      <c r="M72" s="223">
        <f>VLOOKUP($C72,'Retail Rates'!$B$7:$M$35,6,FALSE)</f>
        <v>0</v>
      </c>
      <c r="N72" s="224">
        <f>VLOOKUP($C72,'Retail Rates'!$B$7:$M$35,7,FALSE)</f>
        <v>5.2519999999999997E-2</v>
      </c>
      <c r="O72" s="224">
        <f>VLOOKUP($C72,'Retail Rates'!$B$7:$M$35,8,FALSE)</f>
        <v>0</v>
      </c>
      <c r="P72" s="224">
        <f>VLOOKUP($B72,'GSC-DSM Factors'!$A$1:$B$46,2,FALSE)</f>
        <v>0.5605</v>
      </c>
      <c r="Q72" s="223">
        <f>VLOOKUP($C72,'Retail Rates'!$B$7:$M$35,9,FALSE)</f>
        <v>0</v>
      </c>
      <c r="R72" s="224">
        <f>VLOOKUP($C72,'Retail Rates'!$B$7:$M$35,10,FALSE)</f>
        <v>0</v>
      </c>
      <c r="S72" s="223">
        <f>VLOOKUP($C72,'Retail Rates'!$B$7:$M$35,11,FALSE)</f>
        <v>0</v>
      </c>
      <c r="T72" s="223"/>
      <c r="U72" s="225">
        <f t="shared" si="49"/>
        <v>1375</v>
      </c>
      <c r="V72" s="225"/>
      <c r="W72" s="225"/>
      <c r="X72" s="225">
        <f t="shared" ref="X72:X77" si="59">+I72*N72</f>
        <v>4653.0093999999999</v>
      </c>
      <c r="Y72" s="225">
        <f t="shared" si="53"/>
        <v>0</v>
      </c>
      <c r="Z72" s="225">
        <f>SUM(I72:J72)*P72</f>
        <v>49657.497499999998</v>
      </c>
      <c r="AA72" s="225"/>
      <c r="AB72" s="225"/>
      <c r="AC72" s="225"/>
      <c r="AD72" s="225"/>
      <c r="AE72" s="244">
        <f>SUMIFS(Adjustments!H$5:H$684,Adjustments!$B$5:$B$684,'Apr11-Mar12 Billed-RETAIL'!$B72,Adjustments!$C$5:$C$684,'Apr11-Mar12 Billed-RETAIL'!$C72)</f>
        <v>0</v>
      </c>
      <c r="AF72" s="244">
        <f>SUMIFS(Adjustments!I$5:I$684,Adjustments!$B$5:$B$684,'Apr11-Mar12 Billed-RETAIL'!$B72,Adjustments!$C$5:$C$684,'Apr11-Mar12 Billed-RETAIL'!$C72)</f>
        <v>0</v>
      </c>
      <c r="AG72" s="238">
        <f>SUMIFS(Adjustments!J$5:J$684,Adjustments!$B$5:$B$684,'Apr11-Mar12 Billed-RETAIL'!$B72,Adjustments!$C$5:$C$684,'Apr11-Mar12 Billed-RETAIL'!$C72)</f>
        <v>0</v>
      </c>
      <c r="AH72" s="238">
        <f>SUMIFS(Adjustments!K$5:K$684,Adjustments!$B$5:$B$684,'Apr11-Mar12 Billed-RETAIL'!$B72,Adjustments!$C$5:$C$684,'Apr11-Mar12 Billed-RETAIL'!$C72)</f>
        <v>0</v>
      </c>
      <c r="AI72" s="238">
        <f>SUMIFS(Adjustments!L$5:L$684,Adjustments!$B$5:$B$684,'Apr11-Mar12 Billed-RETAIL'!$B72,Adjustments!$C$5:$C$684,'Apr11-Mar12 Billed-RETAIL'!$C72)</f>
        <v>0</v>
      </c>
      <c r="AJ72" s="238">
        <f>SUMIFS(Adjustments!M$5:M$684,Adjustments!$B$5:$B$684,'Apr11-Mar12 Billed-RETAIL'!$B72,Adjustments!$C$5:$C$684,'Apr11-Mar12 Billed-RETAIL'!$C72)</f>
        <v>0</v>
      </c>
      <c r="AK72" s="238">
        <f>SUMIFS(Adjustments!N$5:N$684,Adjustments!$B$5:$B$684,'Apr11-Mar12 Billed-RETAIL'!$B72,Adjustments!$C$5:$C$684,'Apr11-Mar12 Billed-RETAIL'!$C72)</f>
        <v>0</v>
      </c>
      <c r="AL72" s="238">
        <f>SUMIFS(Adjustments!O$5:O$684,Adjustments!$B$5:$B$684,'Apr11-Mar12 Billed-RETAIL'!$B72,Adjustments!$C$5:$C$684,'Apr11-Mar12 Billed-RETAIL'!$C72)</f>
        <v>0</v>
      </c>
      <c r="AM72" s="238">
        <f>SUMIFS(Adjustments!P$5:P$684,Adjustments!$B$5:$B$684,'Apr11-Mar12 Billed-RETAIL'!$B72,Adjustments!$C$5:$C$684,'Apr11-Mar12 Billed-RETAIL'!$C72)</f>
        <v>0</v>
      </c>
      <c r="AN72" s="225">
        <f t="shared" si="51"/>
        <v>1375</v>
      </c>
      <c r="AO72" s="225">
        <f t="shared" si="44"/>
        <v>0</v>
      </c>
      <c r="AP72" s="225">
        <f t="shared" si="45"/>
        <v>4653.0093999999999</v>
      </c>
      <c r="AQ72" s="225">
        <f t="shared" si="46"/>
        <v>0</v>
      </c>
      <c r="AR72" s="232">
        <f ca="1">SUMIF('SBR Oct11'!$D$4:$S$90,'Apr11-Mar12 Billed-RETAIL'!$C72,'SBR Oct11'!$N$4:$N$90)</f>
        <v>49657.490000000005</v>
      </c>
      <c r="AS72" s="232">
        <f ca="1">SUMIF('SBR Oct11'!$D$4:$S$90,'Apr11-Mar12 Billed-RETAIL'!$C72,'SBR Oct11'!$M$4:$M$90)</f>
        <v>85.05</v>
      </c>
      <c r="AT72" s="232">
        <f ca="1">SUMIF('SBR Oct11'!$D$4:$S$90,'Apr11-Mar12 Billed-RETAIL'!$C72,'SBR Oct11'!$O$4:$O$90)</f>
        <v>0</v>
      </c>
      <c r="AU72" s="225">
        <f t="shared" si="47"/>
        <v>0</v>
      </c>
      <c r="AV72" s="225"/>
      <c r="AW72" s="232">
        <f t="shared" ca="1" si="56"/>
        <v>55770.55</v>
      </c>
      <c r="AX72" s="232">
        <f t="shared" ca="1" si="50"/>
        <v>55770.540000000008</v>
      </c>
      <c r="AY72" s="233">
        <f ca="1">IF(AX72=0,0,ROUND(AX72/AW72,6))</f>
        <v>1</v>
      </c>
      <c r="AZ72" s="232">
        <f ca="1">SUMIF('SBR Oct11'!$D$4:$S$90,'Apr11-Mar12 Billed-RETAIL'!$C72,'SBR Oct11'!$M$4:$M$90)</f>
        <v>85.05</v>
      </c>
      <c r="BA72" s="232">
        <f ca="1">SUMIF('SBR Oct11'!$D$4:$S$90,'Apr11-Mar12 Billed-RETAIL'!$C72,'SBR Oct11'!$N$4:$N$90)</f>
        <v>49657.490000000005</v>
      </c>
      <c r="BB72" s="232">
        <f ca="1">SUMIF('SBR Oct11'!$D$4:$S$90,'Apr11-Mar12 Billed-RETAIL'!$C72,'SBR Oct11'!$O$4:$O$90)</f>
        <v>0</v>
      </c>
      <c r="BC72" s="232">
        <f ca="1">SUMIF('SBR Oct11'!$D$4:$S$90,'Apr11-Mar12 Billed-RETAIL'!$C72,'SBR Oct11'!$Q$4:$Q$90)</f>
        <v>0</v>
      </c>
      <c r="BD72" s="232">
        <f ca="1">SUMIF('SBR Oct11'!$D$4:$S$90,'Apr11-Mar12 Billed-RETAIL'!$C72,'SBR Oct11'!$K$4:$K$90)</f>
        <v>1375</v>
      </c>
      <c r="BE72" s="232">
        <f ca="1">SUMIF('SBR Oct11'!$D$4:$S$90,'Apr11-Mar12 Billed-RETAIL'!$C72,'SBR Oct11'!$L$4:$L$90)</f>
        <v>4653</v>
      </c>
      <c r="BF72" s="232"/>
    </row>
    <row r="73" spans="1:58" ht="15" customHeight="1" x14ac:dyDescent="0.25">
      <c r="A73" s="196">
        <f t="shared" si="58"/>
        <v>68</v>
      </c>
      <c r="B73" s="211">
        <v>40817</v>
      </c>
      <c r="C73" s="211" t="str">
        <f>+'Retail Rates'!B10</f>
        <v>LGING866</v>
      </c>
      <c r="D73" s="197" t="str">
        <f t="shared" ref="D73:D83" si="60">MID(C73,6,3)</f>
        <v>866</v>
      </c>
      <c r="E73" s="197" t="str">
        <f>VLOOKUP(C73,'Retail Rates'!$B$7:$D$35,3,FALSE)</f>
        <v>AAGS-I</v>
      </c>
      <c r="F73" s="222">
        <f>SUMIFS('Data-Retail'!$G$4:$G$269,'Data-Retail'!$A$4:$A$269,'Apr11-Mar12 Billed-RETAIL'!$B73,'Data-Retail'!$D$4:$D$269,'Apr11-Mar12 Billed-RETAIL'!$C73)</f>
        <v>9</v>
      </c>
      <c r="G73" s="222"/>
      <c r="H73" s="222"/>
      <c r="I73" s="222">
        <f>SUMIFS('Data-Retail'!$H$4:$H$269,'Data-Retail'!$A$4:$A$269,'Apr11-Mar12 Billed-RETAIL'!$B73,'Data-Retail'!$D$4:$D$269,'Apr11-Mar12 Billed-RETAIL'!$C73)</f>
        <v>167968</v>
      </c>
      <c r="J73" s="222">
        <f>SUMIFS('Data-Retail'!$I$4:$I$269,'Data-Retail'!$A$4:$A$269,'Apr11-Mar12 Billed-RETAIL'!$B73,'Data-Retail'!$D$4:$D$269,'Apr11-Mar12 Billed-RETAIL'!$C73)</f>
        <v>0</v>
      </c>
      <c r="K73" s="222"/>
      <c r="L73" s="223">
        <f>VLOOKUP($C73,'Retail Rates'!$B$7:$M$35,5,FALSE)</f>
        <v>275</v>
      </c>
      <c r="M73" s="223">
        <f>VLOOKUP($C73,'Retail Rates'!$B$7:$M$35,6,FALSE)</f>
        <v>0</v>
      </c>
      <c r="N73" s="224">
        <f>VLOOKUP($C73,'Retail Rates'!$B$7:$M$35,7,FALSE)</f>
        <v>5.2519999999999997E-2</v>
      </c>
      <c r="O73" s="224">
        <f>VLOOKUP($C73,'Retail Rates'!$B$7:$M$35,8,FALSE)</f>
        <v>0</v>
      </c>
      <c r="P73" s="224">
        <f>VLOOKUP($B73,'GSC-DSM Factors'!$A$1:$B$46,2,FALSE)</f>
        <v>0.5605</v>
      </c>
      <c r="Q73" s="223">
        <f>VLOOKUP($C73,'Retail Rates'!$B$7:$M$35,9,FALSE)</f>
        <v>0</v>
      </c>
      <c r="R73" s="224">
        <f>VLOOKUP($C73,'Retail Rates'!$B$7:$M$35,10,FALSE)</f>
        <v>0</v>
      </c>
      <c r="S73" s="223">
        <f>VLOOKUP($C73,'Retail Rates'!$B$7:$M$35,11,FALSE)</f>
        <v>0</v>
      </c>
      <c r="T73" s="223"/>
      <c r="U73" s="225">
        <f t="shared" si="49"/>
        <v>2475</v>
      </c>
      <c r="V73" s="225"/>
      <c r="W73" s="225"/>
      <c r="X73" s="225">
        <f t="shared" si="59"/>
        <v>8821.6793600000001</v>
      </c>
      <c r="Y73" s="225">
        <f t="shared" si="53"/>
        <v>0</v>
      </c>
      <c r="Z73" s="225">
        <f>SUM(I73:J73)*P73</f>
        <v>94146.063999999998</v>
      </c>
      <c r="AA73" s="225"/>
      <c r="AB73" s="225"/>
      <c r="AC73" s="225"/>
      <c r="AD73" s="225"/>
      <c r="AE73" s="244">
        <f>SUMIFS(Adjustments!H$5:H$684,Adjustments!$B$5:$B$684,'Apr11-Mar12 Billed-RETAIL'!$B73,Adjustments!$C$5:$C$684,'Apr11-Mar12 Billed-RETAIL'!$C73)</f>
        <v>0</v>
      </c>
      <c r="AF73" s="244">
        <f>SUMIFS(Adjustments!I$5:I$684,Adjustments!$B$5:$B$684,'Apr11-Mar12 Billed-RETAIL'!$B73,Adjustments!$C$5:$C$684,'Apr11-Mar12 Billed-RETAIL'!$C73)</f>
        <v>0</v>
      </c>
      <c r="AG73" s="238">
        <f>SUMIFS(Adjustments!J$5:J$684,Adjustments!$B$5:$B$684,'Apr11-Mar12 Billed-RETAIL'!$B73,Adjustments!$C$5:$C$684,'Apr11-Mar12 Billed-RETAIL'!$C73)</f>
        <v>0</v>
      </c>
      <c r="AH73" s="238">
        <f>SUMIFS(Adjustments!K$5:K$684,Adjustments!$B$5:$B$684,'Apr11-Mar12 Billed-RETAIL'!$B73,Adjustments!$C$5:$C$684,'Apr11-Mar12 Billed-RETAIL'!$C73)</f>
        <v>0</v>
      </c>
      <c r="AI73" s="238">
        <f>SUMIFS(Adjustments!L$5:L$684,Adjustments!$B$5:$B$684,'Apr11-Mar12 Billed-RETAIL'!$B73,Adjustments!$C$5:$C$684,'Apr11-Mar12 Billed-RETAIL'!$C73)</f>
        <v>0</v>
      </c>
      <c r="AJ73" s="238">
        <f>SUMIFS(Adjustments!M$5:M$684,Adjustments!$B$5:$B$684,'Apr11-Mar12 Billed-RETAIL'!$B73,Adjustments!$C$5:$C$684,'Apr11-Mar12 Billed-RETAIL'!$C73)</f>
        <v>0</v>
      </c>
      <c r="AK73" s="238">
        <f>SUMIFS(Adjustments!N$5:N$684,Adjustments!$B$5:$B$684,'Apr11-Mar12 Billed-RETAIL'!$B73,Adjustments!$C$5:$C$684,'Apr11-Mar12 Billed-RETAIL'!$C73)</f>
        <v>0</v>
      </c>
      <c r="AL73" s="238">
        <f>SUMIFS(Adjustments!O$5:O$684,Adjustments!$B$5:$B$684,'Apr11-Mar12 Billed-RETAIL'!$B73,Adjustments!$C$5:$C$684,'Apr11-Mar12 Billed-RETAIL'!$C73)</f>
        <v>0</v>
      </c>
      <c r="AM73" s="238">
        <f>SUMIFS(Adjustments!P$5:P$684,Adjustments!$B$5:$B$684,'Apr11-Mar12 Billed-RETAIL'!$B73,Adjustments!$C$5:$C$684,'Apr11-Mar12 Billed-RETAIL'!$C73)</f>
        <v>0</v>
      </c>
      <c r="AN73" s="225">
        <f t="shared" si="51"/>
        <v>2475</v>
      </c>
      <c r="AO73" s="225">
        <f t="shared" si="44"/>
        <v>0</v>
      </c>
      <c r="AP73" s="225">
        <f t="shared" si="45"/>
        <v>8821.6793600000001</v>
      </c>
      <c r="AQ73" s="225">
        <f t="shared" si="46"/>
        <v>0</v>
      </c>
      <c r="AR73" s="232">
        <f ca="1">SUMIF('SBR Oct11'!$D$4:$S$90,'Apr11-Mar12 Billed-RETAIL'!$C73,'SBR Oct11'!$N$4:$N$90)</f>
        <v>94146.06</v>
      </c>
      <c r="AS73" s="232">
        <f ca="1">SUMIF('SBR Oct11'!$D$4:$S$90,'Apr11-Mar12 Billed-RETAIL'!$C73,'SBR Oct11'!$M$4:$M$90)</f>
        <v>0</v>
      </c>
      <c r="AT73" s="232">
        <f ca="1">SUMIF('SBR Oct11'!$D$4:$S$90,'Apr11-Mar12 Billed-RETAIL'!$C73,'SBR Oct11'!$O$4:$O$90)</f>
        <v>0</v>
      </c>
      <c r="AU73" s="225">
        <f t="shared" si="47"/>
        <v>0</v>
      </c>
      <c r="AV73" s="225"/>
      <c r="AW73" s="232">
        <f t="shared" ca="1" si="56"/>
        <v>105442.74</v>
      </c>
      <c r="AX73" s="232">
        <f t="shared" ca="1" si="50"/>
        <v>105442.75</v>
      </c>
      <c r="AY73" s="233">
        <f t="shared" ref="AY73:AY82" ca="1" si="61">IF(AX73=0,0,ROUND(AX73/AW73,6))</f>
        <v>1</v>
      </c>
      <c r="AZ73" s="232">
        <f ca="1">SUMIF('SBR Oct11'!$D$4:$S$90,'Apr11-Mar12 Billed-RETAIL'!$C73,'SBR Oct11'!$M$4:$M$90)</f>
        <v>0</v>
      </c>
      <c r="BA73" s="232">
        <f ca="1">SUMIF('SBR Oct11'!$D$4:$S$90,'Apr11-Mar12 Billed-RETAIL'!$C73,'SBR Oct11'!$N$4:$N$90)</f>
        <v>94146.06</v>
      </c>
      <c r="BB73" s="232">
        <f ca="1">SUMIF('SBR Oct11'!$D$4:$S$90,'Apr11-Mar12 Billed-RETAIL'!$C73,'SBR Oct11'!$O$4:$O$90)</f>
        <v>0</v>
      </c>
      <c r="BC73" s="232">
        <f ca="1">SUMIF('SBR Oct11'!$D$4:$S$90,'Apr11-Mar12 Billed-RETAIL'!$C73,'SBR Oct11'!$Q$4:$Q$90)</f>
        <v>0</v>
      </c>
      <c r="BD73" s="232">
        <f ca="1">SUMIF('SBR Oct11'!$D$4:$S$90,'Apr11-Mar12 Billed-RETAIL'!$C73,'SBR Oct11'!$K$4:$K$90)</f>
        <v>2475</v>
      </c>
      <c r="BE73" s="232">
        <f ca="1">SUMIF('SBR Oct11'!$D$4:$S$90,'Apr11-Mar12 Billed-RETAIL'!$C73,'SBR Oct11'!$L$4:$L$90)</f>
        <v>8821.6899999999987</v>
      </c>
      <c r="BF73" s="232"/>
    </row>
    <row r="74" spans="1:58" ht="15" x14ac:dyDescent="0.25">
      <c r="A74" s="196">
        <f t="shared" si="58"/>
        <v>69</v>
      </c>
      <c r="B74" s="211">
        <v>40817</v>
      </c>
      <c r="C74" s="211" t="str">
        <f>+'Retail Rates'!B13</f>
        <v>LGCMG851</v>
      </c>
      <c r="D74" s="197" t="str">
        <f t="shared" si="60"/>
        <v>851</v>
      </c>
      <c r="E74" s="197" t="str">
        <f>VLOOKUP(C74,'Retail Rates'!$B$7:$D$35,3,FALSE)</f>
        <v>CGS</v>
      </c>
      <c r="F74" s="222"/>
      <c r="G74" s="222">
        <f>SUMIFS(Adjustments!F$5:F$151,Adjustments!$B$5:$B$151,'Apr11-Mar12 Billed-RETAIL'!$B74,Adjustments!$C$5:$C$151,'Apr11-Mar12 Billed-RETAIL'!$C74)</f>
        <v>23724</v>
      </c>
      <c r="H74" s="222">
        <f>SUMIFS(Adjustments!G$5:G$151,Adjustments!$B$5:$B$151,'Apr11-Mar12 Billed-RETAIL'!$B74,Adjustments!$C$5:$C$151,'Apr11-Mar12 Billed-RETAIL'!$C74)</f>
        <v>1042</v>
      </c>
      <c r="I74" s="222">
        <f>SUMIFS('Data-Retail'!$H$4:$H$269,'Data-Retail'!$A$4:$A$269,'Apr11-Mar12 Billed-RETAIL'!$B74,'Data-Retail'!$D$4:$D$269,'Apr11-Mar12 Billed-RETAIL'!$C74)</f>
        <v>2375180</v>
      </c>
      <c r="J74" s="222">
        <f>SUMIFS('Data-Retail'!$I$4:$I$269,'Data-Retail'!$A$4:$A$269,'Apr11-Mar12 Billed-RETAIL'!$B74,'Data-Retail'!$D$4:$D$269,'Apr11-Mar12 Billed-RETAIL'!$C74)</f>
        <v>1363703</v>
      </c>
      <c r="K74" s="222"/>
      <c r="L74" s="223">
        <f>VLOOKUP($C74,'Retail Rates'!$B$7:$M$35,5,FALSE)</f>
        <v>30</v>
      </c>
      <c r="M74" s="223">
        <f>VLOOKUP($C74,'Retail Rates'!$B$7:$M$35,6,FALSE)</f>
        <v>170</v>
      </c>
      <c r="N74" s="224">
        <f>VLOOKUP($C74,'Retail Rates'!$B$7:$M$35,7,FALSE)</f>
        <v>0.18722</v>
      </c>
      <c r="O74" s="224">
        <f>VLOOKUP($C74,'Retail Rates'!$B$7:$M$35,8,FALSE)</f>
        <v>0.13722000000000001</v>
      </c>
      <c r="P74" s="224">
        <f>VLOOKUP($B74,'GSC-DSM Factors'!$A$1:$B$46,2,FALSE)</f>
        <v>0.5605</v>
      </c>
      <c r="Q74" s="223">
        <f>VLOOKUP($C74,'Retail Rates'!$B$7:$M$35,9,FALSE)</f>
        <v>0</v>
      </c>
      <c r="R74" s="224">
        <f>VLOOKUP($C74,'Retail Rates'!$B$7:$M$35,10,FALSE)</f>
        <v>0</v>
      </c>
      <c r="S74" s="223">
        <f>VLOOKUP($C74,'Retail Rates'!$B$7:$M$35,11,FALSE)</f>
        <v>0</v>
      </c>
      <c r="T74" s="223"/>
      <c r="U74" s="225">
        <f t="shared" si="49"/>
        <v>711720</v>
      </c>
      <c r="V74" s="225"/>
      <c r="W74" s="225">
        <f>+H74*M74</f>
        <v>177140</v>
      </c>
      <c r="X74" s="225">
        <f t="shared" si="59"/>
        <v>444681.19959999999</v>
      </c>
      <c r="Y74" s="225">
        <f t="shared" si="53"/>
        <v>187127.32566</v>
      </c>
      <c r="Z74" s="225">
        <f>SUM(I74:J74)*P74</f>
        <v>2095643.9214999999</v>
      </c>
      <c r="AA74" s="225"/>
      <c r="AB74" s="225"/>
      <c r="AC74" s="225"/>
      <c r="AD74" s="225"/>
      <c r="AE74" s="244">
        <f>SUMIFS(Adjustments!H$5:H$684,Adjustments!$B$5:$B$684,'Apr11-Mar12 Billed-RETAIL'!$B74,Adjustments!$C$5:$C$684,'Apr11-Mar12 Billed-RETAIL'!$C74)</f>
        <v>0</v>
      </c>
      <c r="AF74" s="244">
        <f>SUMIFS(Adjustments!I$5:I$684,Adjustments!$B$5:$B$684,'Apr11-Mar12 Billed-RETAIL'!$B74,Adjustments!$C$5:$C$684,'Apr11-Mar12 Billed-RETAIL'!$C74)</f>
        <v>0</v>
      </c>
      <c r="AG74" s="238">
        <f>SUMIFS(Adjustments!J$5:J$684,Adjustments!$B$5:$B$684,'Apr11-Mar12 Billed-RETAIL'!$B74,Adjustments!$C$5:$C$684,'Apr11-Mar12 Billed-RETAIL'!$C74)</f>
        <v>-165.27</v>
      </c>
      <c r="AH74" s="238">
        <f>SUMIFS(Adjustments!K$5:K$684,Adjustments!$B$5:$B$684,'Apr11-Mar12 Billed-RETAIL'!$B74,Adjustments!$C$5:$C$684,'Apr11-Mar12 Billed-RETAIL'!$C74)</f>
        <v>67.989999999999995</v>
      </c>
      <c r="AI74" s="238">
        <f>SUMIFS(Adjustments!L$5:L$684,Adjustments!$B$5:$B$684,'Apr11-Mar12 Billed-RETAIL'!$B74,Adjustments!$C$5:$C$684,'Apr11-Mar12 Billed-RETAIL'!$C74)</f>
        <v>-59.87</v>
      </c>
      <c r="AJ74" s="238">
        <f>SUMIFS(Adjustments!M$5:M$684,Adjustments!$B$5:$B$684,'Apr11-Mar12 Billed-RETAIL'!$B74,Adjustments!$C$5:$C$684,'Apr11-Mar12 Billed-RETAIL'!$C74)</f>
        <v>0</v>
      </c>
      <c r="AK74" s="238">
        <f>SUMIFS(Adjustments!N$5:N$684,Adjustments!$B$5:$B$684,'Apr11-Mar12 Billed-RETAIL'!$B74,Adjustments!$C$5:$C$684,'Apr11-Mar12 Billed-RETAIL'!$C74)</f>
        <v>0</v>
      </c>
      <c r="AL74" s="238">
        <f>SUMIFS(Adjustments!O$5:O$684,Adjustments!$B$5:$B$684,'Apr11-Mar12 Billed-RETAIL'!$B74,Adjustments!$C$5:$C$684,'Apr11-Mar12 Billed-RETAIL'!$C74)</f>
        <v>0</v>
      </c>
      <c r="AM74" s="238">
        <f>SUMIFS(Adjustments!P$5:P$684,Adjustments!$B$5:$B$684,'Apr11-Mar12 Billed-RETAIL'!$B74,Adjustments!$C$5:$C$684,'Apr11-Mar12 Billed-RETAIL'!$C74)</f>
        <v>0</v>
      </c>
      <c r="AN74" s="225">
        <f t="shared" si="51"/>
        <v>711554.73</v>
      </c>
      <c r="AO74" s="225">
        <f t="shared" si="44"/>
        <v>177207.99</v>
      </c>
      <c r="AP74" s="225">
        <f t="shared" si="45"/>
        <v>444621.3296</v>
      </c>
      <c r="AQ74" s="225">
        <f t="shared" si="46"/>
        <v>187127.32566</v>
      </c>
      <c r="AR74" s="232">
        <f ca="1">SUMIF('SBR Oct11'!$D$4:$S$90,'Apr11-Mar12 Billed-RETAIL'!$C74,'SBR Oct11'!$N$4:$N$90)</f>
        <v>2095350.76</v>
      </c>
      <c r="AS74" s="232">
        <f ca="1">SUMIF('SBR Oct11'!$D$4:$S$90,'Apr11-Mar12 Billed-RETAIL'!$C74,'SBR Oct11'!$M$4:$M$90)</f>
        <v>3583.93</v>
      </c>
      <c r="AT74" s="232">
        <f ca="1">SUMIF('SBR Oct11'!$D$4:$S$90,'Apr11-Mar12 Billed-RETAIL'!$C74,'SBR Oct11'!$O$4:$O$90)</f>
        <v>-30.110000000000003</v>
      </c>
      <c r="AU74" s="225">
        <f t="shared" si="47"/>
        <v>0</v>
      </c>
      <c r="AV74" s="225"/>
      <c r="AW74" s="232">
        <f t="shared" ca="1" si="56"/>
        <v>3619415.96</v>
      </c>
      <c r="AX74" s="232">
        <f t="shared" ca="1" si="50"/>
        <v>3619415.96</v>
      </c>
      <c r="AY74" s="233">
        <f t="shared" ca="1" si="61"/>
        <v>1</v>
      </c>
      <c r="AZ74" s="232">
        <f ca="1">SUMIF('SBR Oct11'!$D$4:$S$90,'Apr11-Mar12 Billed-RETAIL'!$C74,'SBR Oct11'!$M$4:$M$90)</f>
        <v>3583.93</v>
      </c>
      <c r="BA74" s="232">
        <f ca="1">SUMIF('SBR Oct11'!$D$4:$S$90,'Apr11-Mar12 Billed-RETAIL'!$C74,'SBR Oct11'!$N$4:$N$90)</f>
        <v>2095350.76</v>
      </c>
      <c r="BB74" s="232">
        <f ca="1">SUMIF('SBR Oct11'!$D$4:$S$90,'Apr11-Mar12 Billed-RETAIL'!$C74,'SBR Oct11'!$O$4:$O$90)</f>
        <v>-30.110000000000003</v>
      </c>
      <c r="BC74" s="232">
        <f ca="1">SUMIF('SBR Oct11'!$D$4:$S$90,'Apr11-Mar12 Billed-RETAIL'!$C74,'SBR Oct11'!$Q$4:$Q$90)</f>
        <v>0</v>
      </c>
      <c r="BD74" s="232">
        <f ca="1">SUMIF('SBR Oct11'!$D$4:$S$90,'Apr11-Mar12 Billed-RETAIL'!$C74,'SBR Oct11'!$K$4:$K$90)</f>
        <v>888762.72000000009</v>
      </c>
      <c r="BE74" s="232">
        <f ca="1">SUMIF('SBR Oct11'!$D$4:$S$90,'Apr11-Mar12 Billed-RETAIL'!$C74,'SBR Oct11'!$L$4:$L$90)</f>
        <v>631748.65999999992</v>
      </c>
      <c r="BF74" s="232"/>
    </row>
    <row r="75" spans="1:58" ht="15" x14ac:dyDescent="0.25">
      <c r="A75" s="196">
        <f t="shared" si="58"/>
        <v>70</v>
      </c>
      <c r="B75" s="211">
        <v>40817</v>
      </c>
      <c r="C75" s="211" t="str">
        <f>+'Retail Rates'!B14</f>
        <v>LGUMG860</v>
      </c>
      <c r="D75" s="197" t="str">
        <f t="shared" si="60"/>
        <v>860</v>
      </c>
      <c r="E75" s="197" t="str">
        <f>VLOOKUP(C75,'Retail Rates'!$B$7:$D$35,3,FALSE)</f>
        <v>CGS</v>
      </c>
      <c r="F75" s="222"/>
      <c r="G75" s="222">
        <f>SUMIFS(Adjustments!F$5:F$151,Adjustments!$B$5:$B$151,'Apr11-Mar12 Billed-RETAIL'!$B75,Adjustments!$C$5:$C$151,'Apr11-Mar12 Billed-RETAIL'!$C75)</f>
        <v>19</v>
      </c>
      <c r="H75" s="222">
        <f>SUMIFS(Adjustments!G$5:G$151,Adjustments!$B$5:$B$151,'Apr11-Mar12 Billed-RETAIL'!$B75,Adjustments!$C$5:$C$151,'Apr11-Mar12 Billed-RETAIL'!$C75)</f>
        <v>0</v>
      </c>
      <c r="I75" s="222">
        <f>SUMIFS('Data-Retail'!$H$4:$H$269,'Data-Retail'!$A$4:$A$269,'Apr11-Mar12 Billed-RETAIL'!$B75,'Data-Retail'!$D$4:$D$269,'Apr11-Mar12 Billed-RETAIL'!$C75)</f>
        <v>358</v>
      </c>
      <c r="J75" s="222">
        <f>SUMIFS('Data-Retail'!$I$4:$I$269,'Data-Retail'!$A$4:$A$269,'Apr11-Mar12 Billed-RETAIL'!$B75,'Data-Retail'!$D$4:$D$269,'Apr11-Mar12 Billed-RETAIL'!$C75)</f>
        <v>0</v>
      </c>
      <c r="K75" s="222"/>
      <c r="L75" s="223">
        <f>VLOOKUP($C75,'Retail Rates'!$B$7:$M$35,5,FALSE)</f>
        <v>30</v>
      </c>
      <c r="M75" s="223">
        <f>VLOOKUP($C75,'Retail Rates'!$B$7:$M$35,6,FALSE)</f>
        <v>170</v>
      </c>
      <c r="N75" s="224">
        <f>VLOOKUP($C75,'Retail Rates'!$B$7:$M$35,7,FALSE)</f>
        <v>0.18722</v>
      </c>
      <c r="O75" s="224">
        <f>VLOOKUP($C75,'Retail Rates'!$B$7:$M$35,8,FALSE)</f>
        <v>0.13722000000000001</v>
      </c>
      <c r="P75" s="224">
        <f>VLOOKUP($B75,'GSC-DSM Factors'!$A$1:$B$46,2,FALSE)</f>
        <v>0.5605</v>
      </c>
      <c r="Q75" s="223">
        <f>VLOOKUP($C75,'Retail Rates'!$B$7:$M$35,9,FALSE)</f>
        <v>0</v>
      </c>
      <c r="R75" s="224">
        <f>VLOOKUP($C75,'Retail Rates'!$B$7:$M$35,10,FALSE)</f>
        <v>0</v>
      </c>
      <c r="S75" s="223">
        <f>VLOOKUP($C75,'Retail Rates'!$B$7:$M$35,11,FALSE)</f>
        <v>0</v>
      </c>
      <c r="T75" s="223"/>
      <c r="U75" s="225">
        <f t="shared" si="49"/>
        <v>570</v>
      </c>
      <c r="V75" s="225"/>
      <c r="W75" s="225">
        <f>+H75*M75</f>
        <v>0</v>
      </c>
      <c r="X75" s="225">
        <f t="shared" si="59"/>
        <v>67.024760000000001</v>
      </c>
      <c r="Y75" s="225">
        <f t="shared" si="53"/>
        <v>0</v>
      </c>
      <c r="Z75" s="225">
        <f>SUM(I75:J75)*P75</f>
        <v>200.65899999999999</v>
      </c>
      <c r="AA75" s="225"/>
      <c r="AB75" s="225"/>
      <c r="AC75" s="225"/>
      <c r="AD75" s="225"/>
      <c r="AE75" s="244">
        <f>SUMIFS(Adjustments!H$5:H$684,Adjustments!$B$5:$B$684,'Apr11-Mar12 Billed-RETAIL'!$B75,Adjustments!$C$5:$C$684,'Apr11-Mar12 Billed-RETAIL'!$C75)</f>
        <v>0</v>
      </c>
      <c r="AF75" s="244">
        <f>SUMIFS(Adjustments!I$5:I$684,Adjustments!$B$5:$B$684,'Apr11-Mar12 Billed-RETAIL'!$B75,Adjustments!$C$5:$C$684,'Apr11-Mar12 Billed-RETAIL'!$C75)</f>
        <v>0</v>
      </c>
      <c r="AG75" s="238">
        <f>SUMIFS(Adjustments!J$5:J$684,Adjustments!$B$5:$B$684,'Apr11-Mar12 Billed-RETAIL'!$B75,Adjustments!$C$5:$C$684,'Apr11-Mar12 Billed-RETAIL'!$C75)</f>
        <v>0</v>
      </c>
      <c r="AH75" s="238">
        <f>SUMIFS(Adjustments!K$5:K$684,Adjustments!$B$5:$B$684,'Apr11-Mar12 Billed-RETAIL'!$B75,Adjustments!$C$5:$C$684,'Apr11-Mar12 Billed-RETAIL'!$C75)</f>
        <v>0</v>
      </c>
      <c r="AI75" s="238">
        <f>SUMIFS(Adjustments!L$5:L$684,Adjustments!$B$5:$B$684,'Apr11-Mar12 Billed-RETAIL'!$B75,Adjustments!$C$5:$C$684,'Apr11-Mar12 Billed-RETAIL'!$C75)</f>
        <v>0</v>
      </c>
      <c r="AJ75" s="238">
        <f>SUMIFS(Adjustments!M$5:M$684,Adjustments!$B$5:$B$684,'Apr11-Mar12 Billed-RETAIL'!$B75,Adjustments!$C$5:$C$684,'Apr11-Mar12 Billed-RETAIL'!$C75)</f>
        <v>0</v>
      </c>
      <c r="AK75" s="238">
        <f>SUMIFS(Adjustments!N$5:N$684,Adjustments!$B$5:$B$684,'Apr11-Mar12 Billed-RETAIL'!$B75,Adjustments!$C$5:$C$684,'Apr11-Mar12 Billed-RETAIL'!$C75)</f>
        <v>0</v>
      </c>
      <c r="AL75" s="238">
        <f>SUMIFS(Adjustments!O$5:O$684,Adjustments!$B$5:$B$684,'Apr11-Mar12 Billed-RETAIL'!$B75,Adjustments!$C$5:$C$684,'Apr11-Mar12 Billed-RETAIL'!$C75)</f>
        <v>0</v>
      </c>
      <c r="AM75" s="238">
        <f>SUMIFS(Adjustments!P$5:P$684,Adjustments!$B$5:$B$684,'Apr11-Mar12 Billed-RETAIL'!$B75,Adjustments!$C$5:$C$684,'Apr11-Mar12 Billed-RETAIL'!$C75)</f>
        <v>0</v>
      </c>
      <c r="AN75" s="225">
        <f t="shared" si="51"/>
        <v>570</v>
      </c>
      <c r="AO75" s="225">
        <f t="shared" ref="AO75:AO98" si="62">+W75+AH75</f>
        <v>0</v>
      </c>
      <c r="AP75" s="225">
        <f t="shared" ref="AP75:AP98" si="63">+X75+AI75</f>
        <v>67.024760000000001</v>
      </c>
      <c r="AQ75" s="225">
        <f t="shared" ref="AQ75:AQ98" si="64">+Y75+AJ75</f>
        <v>0</v>
      </c>
      <c r="AR75" s="232">
        <f ca="1">SUMIF('SBR Oct11'!$D$4:$S$90,'Apr11-Mar12 Billed-RETAIL'!$C75,'SBR Oct11'!$N$4:$N$90)</f>
        <v>200.66</v>
      </c>
      <c r="AS75" s="232">
        <f ca="1">SUMIF('SBR Oct11'!$D$4:$S$90,'Apr11-Mar12 Billed-RETAIL'!$C75,'SBR Oct11'!$M$4:$M$90)</f>
        <v>0.33999999999999997</v>
      </c>
      <c r="AT75" s="232">
        <f ca="1">SUMIF('SBR Oct11'!$D$4:$S$90,'Apr11-Mar12 Billed-RETAIL'!$C75,'SBR Oct11'!$O$4:$O$90)</f>
        <v>0</v>
      </c>
      <c r="AU75" s="225">
        <f t="shared" ref="AU75:AU98" si="65">+AC75+AM75</f>
        <v>0</v>
      </c>
      <c r="AV75" s="225"/>
      <c r="AW75" s="232">
        <f t="shared" ca="1" si="56"/>
        <v>838.02</v>
      </c>
      <c r="AX75" s="232">
        <f t="shared" ca="1" si="50"/>
        <v>838.02</v>
      </c>
      <c r="AY75" s="233">
        <f t="shared" ca="1" si="61"/>
        <v>1</v>
      </c>
      <c r="AZ75" s="232">
        <f ca="1">SUMIF('SBR Oct11'!$D$4:$S$90,'Apr11-Mar12 Billed-RETAIL'!$C75,'SBR Oct11'!$M$4:$M$90)</f>
        <v>0.33999999999999997</v>
      </c>
      <c r="BA75" s="232">
        <f ca="1">SUMIF('SBR Oct11'!$D$4:$S$90,'Apr11-Mar12 Billed-RETAIL'!$C75,'SBR Oct11'!$N$4:$N$90)</f>
        <v>200.66</v>
      </c>
      <c r="BB75" s="232">
        <f ca="1">SUMIF('SBR Oct11'!$D$4:$S$90,'Apr11-Mar12 Billed-RETAIL'!$C75,'SBR Oct11'!$O$4:$O$90)</f>
        <v>0</v>
      </c>
      <c r="BC75" s="232">
        <f ca="1">SUMIF('SBR Oct11'!$D$4:$S$90,'Apr11-Mar12 Billed-RETAIL'!$C75,'SBR Oct11'!$Q$4:$Q$90)</f>
        <v>0</v>
      </c>
      <c r="BD75" s="232">
        <f ca="1">SUMIF('SBR Oct11'!$D$4:$S$90,'Apr11-Mar12 Billed-RETAIL'!$C75,'SBR Oct11'!$K$4:$K$90)</f>
        <v>570</v>
      </c>
      <c r="BE75" s="232">
        <f ca="1">SUMIF('SBR Oct11'!$D$4:$S$90,'Apr11-Mar12 Billed-RETAIL'!$C75,'SBR Oct11'!$L$4:$L$90)</f>
        <v>67.02</v>
      </c>
      <c r="BF75" s="232"/>
    </row>
    <row r="76" spans="1:58" ht="15" x14ac:dyDescent="0.25">
      <c r="A76" s="196">
        <f t="shared" si="58"/>
        <v>71</v>
      </c>
      <c r="B76" s="211">
        <v>40817</v>
      </c>
      <c r="C76" s="211" t="str">
        <f>+'Retail Rates'!B15</f>
        <v>LGUMG861</v>
      </c>
      <c r="D76" s="197" t="str">
        <f t="shared" si="60"/>
        <v>861</v>
      </c>
      <c r="E76" s="197" t="str">
        <f>VLOOKUP(C76,'Retail Rates'!$B$7:$D$35,3,FALSE)</f>
        <v>CGS</v>
      </c>
      <c r="F76" s="222"/>
      <c r="G76" s="222">
        <f>SUMIFS(Adjustments!F$5:F$151,Adjustments!$B$5:$B$151,'Apr11-Mar12 Billed-RETAIL'!$B76,Adjustments!$C$5:$C$151,'Apr11-Mar12 Billed-RETAIL'!$C76)</f>
        <v>620</v>
      </c>
      <c r="H76" s="222">
        <f>SUMIFS(Adjustments!G$5:G$151,Adjustments!$B$5:$B$151,'Apr11-Mar12 Billed-RETAIL'!$B76,Adjustments!$C$5:$C$151,'Apr11-Mar12 Billed-RETAIL'!$C76)</f>
        <v>0</v>
      </c>
      <c r="I76" s="222">
        <f>SUMIFS('Data-Retail'!$H$4:$H$269,'Data-Retail'!$A$4:$A$269,'Apr11-Mar12 Billed-RETAIL'!$B76,'Data-Retail'!$D$4:$D$269,'Apr11-Mar12 Billed-RETAIL'!$C76)</f>
        <v>613</v>
      </c>
      <c r="J76" s="222">
        <f>SUMIFS('Data-Retail'!$I$4:$I$269,'Data-Retail'!$A$4:$A$269,'Apr11-Mar12 Billed-RETAIL'!$B76,'Data-Retail'!$D$4:$D$269,'Apr11-Mar12 Billed-RETAIL'!$C76)</f>
        <v>0</v>
      </c>
      <c r="K76" s="222"/>
      <c r="L76" s="223">
        <f>VLOOKUP($C76,'Retail Rates'!$B$7:$M$35,5,FALSE)</f>
        <v>30</v>
      </c>
      <c r="M76" s="223">
        <f>VLOOKUP($C76,'Retail Rates'!$B$7:$M$35,6,FALSE)</f>
        <v>170</v>
      </c>
      <c r="N76" s="224">
        <f>VLOOKUP($C76,'Retail Rates'!$B$7:$M$35,7,FALSE)</f>
        <v>0.18722</v>
      </c>
      <c r="O76" s="224">
        <f>VLOOKUP($C76,'Retail Rates'!$B$7:$M$35,8,FALSE)</f>
        <v>0.13722000000000001</v>
      </c>
      <c r="P76" s="224">
        <f>VLOOKUP($B76,'GSC-DSM Factors'!$A$1:$B$46,2,FALSE)</f>
        <v>0.5605</v>
      </c>
      <c r="Q76" s="223">
        <f>VLOOKUP($C76,'Retail Rates'!$B$7:$M$35,9,FALSE)</f>
        <v>0</v>
      </c>
      <c r="R76" s="224">
        <f>VLOOKUP($C76,'Retail Rates'!$B$7:$M$35,10,FALSE)</f>
        <v>0</v>
      </c>
      <c r="S76" s="223">
        <f>VLOOKUP($C76,'Retail Rates'!$B$7:$M$35,11,FALSE)</f>
        <v>0</v>
      </c>
      <c r="T76" s="223"/>
      <c r="U76" s="225">
        <f t="shared" si="49"/>
        <v>18600</v>
      </c>
      <c r="V76" s="225"/>
      <c r="W76" s="225">
        <f>+H76*M76</f>
        <v>0</v>
      </c>
      <c r="X76" s="225">
        <f t="shared" si="59"/>
        <v>114.76586</v>
      </c>
      <c r="Y76" s="225">
        <f t="shared" si="53"/>
        <v>0</v>
      </c>
      <c r="Z76" s="225">
        <f>SUM(I76:J76)*P76</f>
        <v>343.5865</v>
      </c>
      <c r="AA76" s="225"/>
      <c r="AB76" s="225"/>
      <c r="AC76" s="225"/>
      <c r="AD76" s="225"/>
      <c r="AE76" s="244">
        <f>SUMIFS(Adjustments!H$5:H$684,Adjustments!$B$5:$B$684,'Apr11-Mar12 Billed-RETAIL'!$B76,Adjustments!$C$5:$C$684,'Apr11-Mar12 Billed-RETAIL'!$C76)</f>
        <v>0</v>
      </c>
      <c r="AF76" s="244">
        <f>SUMIFS(Adjustments!I$5:I$684,Adjustments!$B$5:$B$684,'Apr11-Mar12 Billed-RETAIL'!$B76,Adjustments!$C$5:$C$684,'Apr11-Mar12 Billed-RETAIL'!$C76)</f>
        <v>0</v>
      </c>
      <c r="AG76" s="238">
        <f>SUMIFS(Adjustments!J$5:J$684,Adjustments!$B$5:$B$684,'Apr11-Mar12 Billed-RETAIL'!$B76,Adjustments!$C$5:$C$684,'Apr11-Mar12 Billed-RETAIL'!$C76)</f>
        <v>0</v>
      </c>
      <c r="AH76" s="238">
        <f>SUMIFS(Adjustments!K$5:K$684,Adjustments!$B$5:$B$684,'Apr11-Mar12 Billed-RETAIL'!$B76,Adjustments!$C$5:$C$684,'Apr11-Mar12 Billed-RETAIL'!$C76)</f>
        <v>0</v>
      </c>
      <c r="AI76" s="238">
        <f>SUMIFS(Adjustments!L$5:L$684,Adjustments!$B$5:$B$684,'Apr11-Mar12 Billed-RETAIL'!$B76,Adjustments!$C$5:$C$684,'Apr11-Mar12 Billed-RETAIL'!$C76)</f>
        <v>1.61</v>
      </c>
      <c r="AJ76" s="238">
        <f>SUMIFS(Adjustments!M$5:M$684,Adjustments!$B$5:$B$684,'Apr11-Mar12 Billed-RETAIL'!$B76,Adjustments!$C$5:$C$684,'Apr11-Mar12 Billed-RETAIL'!$C76)</f>
        <v>0</v>
      </c>
      <c r="AK76" s="238">
        <f>SUMIFS(Adjustments!N$5:N$684,Adjustments!$B$5:$B$684,'Apr11-Mar12 Billed-RETAIL'!$B76,Adjustments!$C$5:$C$684,'Apr11-Mar12 Billed-RETAIL'!$C76)</f>
        <v>0</v>
      </c>
      <c r="AL76" s="238">
        <f>SUMIFS(Adjustments!O$5:O$684,Adjustments!$B$5:$B$684,'Apr11-Mar12 Billed-RETAIL'!$B76,Adjustments!$C$5:$C$684,'Apr11-Mar12 Billed-RETAIL'!$C76)</f>
        <v>0</v>
      </c>
      <c r="AM76" s="238">
        <f>SUMIFS(Adjustments!P$5:P$684,Adjustments!$B$5:$B$684,'Apr11-Mar12 Billed-RETAIL'!$B76,Adjustments!$C$5:$C$684,'Apr11-Mar12 Billed-RETAIL'!$C76)</f>
        <v>0</v>
      </c>
      <c r="AN76" s="225">
        <f t="shared" si="51"/>
        <v>18600</v>
      </c>
      <c r="AO76" s="225">
        <f t="shared" si="62"/>
        <v>0</v>
      </c>
      <c r="AP76" s="225">
        <f t="shared" si="63"/>
        <v>116.37586</v>
      </c>
      <c r="AQ76" s="225">
        <f t="shared" si="64"/>
        <v>0</v>
      </c>
      <c r="AR76" s="232">
        <f ca="1">SUMIF('SBR Oct11'!$D$4:$S$90,'Apr11-Mar12 Billed-RETAIL'!$C76,'SBR Oct11'!$N$4:$N$90)</f>
        <v>343.28</v>
      </c>
      <c r="AS76" s="232">
        <f ca="1">SUMIF('SBR Oct11'!$D$4:$S$90,'Apr11-Mar12 Billed-RETAIL'!$C76,'SBR Oct11'!$M$4:$M$90)</f>
        <v>0</v>
      </c>
      <c r="AT76" s="232">
        <f ca="1">SUMIF('SBR Oct11'!$D$4:$S$90,'Apr11-Mar12 Billed-RETAIL'!$C76,'SBR Oct11'!$O$4:$O$90)</f>
        <v>0</v>
      </c>
      <c r="AU76" s="225">
        <f t="shared" si="65"/>
        <v>0</v>
      </c>
      <c r="AV76" s="225"/>
      <c r="AW76" s="232">
        <f t="shared" ca="1" si="56"/>
        <v>19059.66</v>
      </c>
      <c r="AX76" s="232">
        <f t="shared" ca="1" si="50"/>
        <v>19059.66</v>
      </c>
      <c r="AY76" s="233">
        <f t="shared" ca="1" si="61"/>
        <v>1</v>
      </c>
      <c r="AZ76" s="232">
        <f ca="1">SUMIF('SBR Oct11'!$D$4:$S$90,'Apr11-Mar12 Billed-RETAIL'!$C76,'SBR Oct11'!$M$4:$M$90)</f>
        <v>0</v>
      </c>
      <c r="BA76" s="232">
        <f ca="1">SUMIF('SBR Oct11'!$D$4:$S$90,'Apr11-Mar12 Billed-RETAIL'!$C76,'SBR Oct11'!$N$4:$N$90)</f>
        <v>343.28</v>
      </c>
      <c r="BB76" s="232">
        <f ca="1">SUMIF('SBR Oct11'!$D$4:$S$90,'Apr11-Mar12 Billed-RETAIL'!$C76,'SBR Oct11'!$O$4:$O$90)</f>
        <v>0</v>
      </c>
      <c r="BC76" s="232">
        <f ca="1">SUMIF('SBR Oct11'!$D$4:$S$90,'Apr11-Mar12 Billed-RETAIL'!$C76,'SBR Oct11'!$Q$4:$Q$90)</f>
        <v>0</v>
      </c>
      <c r="BD76" s="232">
        <f ca="1">SUMIF('SBR Oct11'!$D$4:$S$90,'Apr11-Mar12 Billed-RETAIL'!$C76,'SBR Oct11'!$K$4:$K$90)</f>
        <v>18600</v>
      </c>
      <c r="BE76" s="232">
        <f ca="1">SUMIF('SBR Oct11'!$D$4:$S$90,'Apr11-Mar12 Billed-RETAIL'!$C76,'SBR Oct11'!$L$4:$L$90)</f>
        <v>116.38</v>
      </c>
      <c r="BF76" s="232"/>
    </row>
    <row r="77" spans="1:58" ht="15" customHeight="1" x14ac:dyDescent="0.25">
      <c r="A77" s="196">
        <f t="shared" si="58"/>
        <v>72</v>
      </c>
      <c r="B77" s="211">
        <v>40817</v>
      </c>
      <c r="C77" s="211" t="str">
        <f>+'Retail Rates'!B18</f>
        <v>LGCMG875</v>
      </c>
      <c r="D77" s="197" t="str">
        <f t="shared" si="60"/>
        <v>875</v>
      </c>
      <c r="E77" s="197" t="str">
        <f>VLOOKUP(C77,'Retail Rates'!$B$7:$D$35,3,FALSE)</f>
        <v>DGGS-C</v>
      </c>
      <c r="F77" s="222">
        <f>SUMIFS('Data-Retail'!$G$4:$G$269,'Data-Retail'!$A$4:$A$269,'Apr11-Mar12 Billed-RETAIL'!$B77,'Data-Retail'!$D$4:$D$269,'Apr11-Mar12 Billed-RETAIL'!$C77)</f>
        <v>0</v>
      </c>
      <c r="G77" s="222"/>
      <c r="H77" s="222"/>
      <c r="I77" s="222">
        <f>SUMIFS('Data-Retail'!$H$4:$H$269,'Data-Retail'!$A$4:$A$269,'Apr11-Mar12 Billed-RETAIL'!$B77,'Data-Retail'!$D$4:$D$269,'Apr11-Mar12 Billed-RETAIL'!$C77)</f>
        <v>0</v>
      </c>
      <c r="J77" s="222">
        <f>SUMIFS('Data-Retail'!$I$4:$I$269,'Data-Retail'!$A$4:$A$269,'Apr11-Mar12 Billed-RETAIL'!$B77,'Data-Retail'!$D$4:$D$269,'Apr11-Mar12 Billed-RETAIL'!$C77)</f>
        <v>0</v>
      </c>
      <c r="K77" s="222"/>
      <c r="L77" s="223">
        <f>VLOOKUP($C77,'Retail Rates'!$B$7:$M$35,5,FALSE)</f>
        <v>30</v>
      </c>
      <c r="M77" s="223">
        <f>VLOOKUP($C77,'Retail Rates'!$B$7:$M$35,6,FALSE)</f>
        <v>170</v>
      </c>
      <c r="N77" s="224">
        <f>VLOOKUP($C77,'Retail Rates'!$B$7:$M$35,7,FALSE)</f>
        <v>2.7439999999999999E-2</v>
      </c>
      <c r="O77" s="224">
        <f>VLOOKUP($C77,'Retail Rates'!$B$7:$M$35,8,FALSE)</f>
        <v>0</v>
      </c>
      <c r="P77" s="224">
        <f>VLOOKUP($B77,'GSC-DSM Factors'!$A$1:$B$46,2,FALSE)</f>
        <v>0.5605</v>
      </c>
      <c r="Q77" s="223">
        <f>VLOOKUP($C77,'Retail Rates'!$B$7:$M$35,9,FALSE)</f>
        <v>0</v>
      </c>
      <c r="R77" s="224">
        <f>VLOOKUP($C77,'Retail Rates'!$B$7:$M$35,10,FALSE)</f>
        <v>0</v>
      </c>
      <c r="S77" s="223">
        <f>VLOOKUP($C77,'Retail Rates'!$B$7:$M$35,11,FALSE)</f>
        <v>1.0109999999999999</v>
      </c>
      <c r="T77" s="223"/>
      <c r="U77" s="225">
        <f t="shared" si="49"/>
        <v>0</v>
      </c>
      <c r="V77" s="225"/>
      <c r="W77" s="225"/>
      <c r="X77" s="225">
        <f t="shared" si="59"/>
        <v>0</v>
      </c>
      <c r="Y77" s="225">
        <f t="shared" si="53"/>
        <v>0</v>
      </c>
      <c r="Z77" s="225">
        <f t="shared" ref="Z77:Z82" si="66">SUM(I77:J77)*P77</f>
        <v>0</v>
      </c>
      <c r="AA77" s="225"/>
      <c r="AB77" s="225"/>
      <c r="AC77" s="225"/>
      <c r="AD77" s="225"/>
      <c r="AE77" s="244">
        <f>SUMIFS(Adjustments!H$5:H$684,Adjustments!$B$5:$B$684,'Apr11-Mar12 Billed-RETAIL'!$B77,Adjustments!$C$5:$C$684,'Apr11-Mar12 Billed-RETAIL'!$C77)</f>
        <v>0</v>
      </c>
      <c r="AF77" s="244">
        <f>SUMIFS(Adjustments!I$5:I$684,Adjustments!$B$5:$B$684,'Apr11-Mar12 Billed-RETAIL'!$B77,Adjustments!$C$5:$C$684,'Apr11-Mar12 Billed-RETAIL'!$C77)</f>
        <v>0</v>
      </c>
      <c r="AG77" s="238">
        <f>SUMIFS(Adjustments!J$5:J$684,Adjustments!$B$5:$B$684,'Apr11-Mar12 Billed-RETAIL'!$B77,Adjustments!$C$5:$C$684,'Apr11-Mar12 Billed-RETAIL'!$C77)</f>
        <v>0</v>
      </c>
      <c r="AH77" s="238">
        <f>SUMIFS(Adjustments!K$5:K$684,Adjustments!$B$5:$B$684,'Apr11-Mar12 Billed-RETAIL'!$B77,Adjustments!$C$5:$C$684,'Apr11-Mar12 Billed-RETAIL'!$C77)</f>
        <v>0</v>
      </c>
      <c r="AI77" s="238">
        <f>SUMIFS(Adjustments!L$5:L$684,Adjustments!$B$5:$B$684,'Apr11-Mar12 Billed-RETAIL'!$B77,Adjustments!$C$5:$C$684,'Apr11-Mar12 Billed-RETAIL'!$C77)</f>
        <v>0</v>
      </c>
      <c r="AJ77" s="238">
        <f>SUMIFS(Adjustments!M$5:M$684,Adjustments!$B$5:$B$684,'Apr11-Mar12 Billed-RETAIL'!$B77,Adjustments!$C$5:$C$684,'Apr11-Mar12 Billed-RETAIL'!$C77)</f>
        <v>0</v>
      </c>
      <c r="AK77" s="238">
        <f>SUMIFS(Adjustments!N$5:N$684,Adjustments!$B$5:$B$684,'Apr11-Mar12 Billed-RETAIL'!$B77,Adjustments!$C$5:$C$684,'Apr11-Mar12 Billed-RETAIL'!$C77)</f>
        <v>0</v>
      </c>
      <c r="AL77" s="238">
        <f>SUMIFS(Adjustments!O$5:O$684,Adjustments!$B$5:$B$684,'Apr11-Mar12 Billed-RETAIL'!$B77,Adjustments!$C$5:$C$684,'Apr11-Mar12 Billed-RETAIL'!$C77)</f>
        <v>0</v>
      </c>
      <c r="AM77" s="238">
        <f>SUMIFS(Adjustments!P$5:P$684,Adjustments!$B$5:$B$684,'Apr11-Mar12 Billed-RETAIL'!$B77,Adjustments!$C$5:$C$684,'Apr11-Mar12 Billed-RETAIL'!$C77)</f>
        <v>0</v>
      </c>
      <c r="AN77" s="225">
        <f t="shared" si="51"/>
        <v>0</v>
      </c>
      <c r="AO77" s="225">
        <f t="shared" si="62"/>
        <v>0</v>
      </c>
      <c r="AP77" s="225">
        <f t="shared" si="63"/>
        <v>0</v>
      </c>
      <c r="AQ77" s="225">
        <f t="shared" si="64"/>
        <v>0</v>
      </c>
      <c r="AR77" s="232">
        <f ca="1">SUMIF('SBR Oct11'!$D$4:$S$90,'Apr11-Mar12 Billed-RETAIL'!$C77,'SBR Oct11'!$N$4:$N$90)</f>
        <v>0</v>
      </c>
      <c r="AS77" s="232">
        <f ca="1">SUMIF('SBR Oct11'!$D$4:$S$90,'Apr11-Mar12 Billed-RETAIL'!$C77,'SBR Oct11'!$M$4:$M$90)</f>
        <v>0</v>
      </c>
      <c r="AT77" s="232">
        <f ca="1">SUMIF('SBR Oct11'!$D$4:$S$90,'Apr11-Mar12 Billed-RETAIL'!$C77,'SBR Oct11'!$O$4:$O$90)</f>
        <v>0</v>
      </c>
      <c r="AU77" s="225">
        <f t="shared" si="65"/>
        <v>0</v>
      </c>
      <c r="AV77" s="225"/>
      <c r="AW77" s="232">
        <f t="shared" ca="1" si="56"/>
        <v>0</v>
      </c>
      <c r="AX77" s="232">
        <f t="shared" ca="1" si="50"/>
        <v>0</v>
      </c>
      <c r="AY77" s="233">
        <v>1</v>
      </c>
      <c r="AZ77" s="232">
        <f ca="1">SUMIF('SBR Oct11'!$D$4:$S$90,'Apr11-Mar12 Billed-RETAIL'!$C77,'SBR Oct11'!$M$4:$M$90)</f>
        <v>0</v>
      </c>
      <c r="BA77" s="232">
        <f ca="1">SUMIF('SBR Oct11'!$D$4:$S$90,'Apr11-Mar12 Billed-RETAIL'!$C77,'SBR Oct11'!$N$4:$N$90)</f>
        <v>0</v>
      </c>
      <c r="BB77" s="232">
        <f ca="1">SUMIF('SBR Oct11'!$D$4:$S$90,'Apr11-Mar12 Billed-RETAIL'!$C77,'SBR Oct11'!$O$4:$O$90)</f>
        <v>0</v>
      </c>
      <c r="BC77" s="232">
        <f ca="1">SUMIF('SBR Oct11'!$D$4:$S$90,'Apr11-Mar12 Billed-RETAIL'!$C77,'SBR Oct11'!$Q$4:$Q$90)</f>
        <v>0</v>
      </c>
      <c r="BD77" s="232">
        <f ca="1">SUMIF('SBR Oct11'!$D$4:$S$90,'Apr11-Mar12 Billed-RETAIL'!$C77,'SBR Oct11'!$K$4:$K$90)</f>
        <v>0</v>
      </c>
      <c r="BE77" s="232">
        <f ca="1">SUMIF('SBR Oct11'!$D$4:$S$90,'Apr11-Mar12 Billed-RETAIL'!$C77,'SBR Oct11'!$L$4:$L$90)</f>
        <v>0</v>
      </c>
      <c r="BF77" s="232"/>
    </row>
    <row r="78" spans="1:58" ht="15" customHeight="1" x14ac:dyDescent="0.25">
      <c r="A78" s="196">
        <f t="shared" si="58"/>
        <v>73</v>
      </c>
      <c r="B78" s="211">
        <v>40817</v>
      </c>
      <c r="C78" s="211" t="str">
        <f>+'Retail Rates'!B23</f>
        <v>LGING855</v>
      </c>
      <c r="D78" s="197" t="str">
        <f t="shared" si="60"/>
        <v>855</v>
      </c>
      <c r="E78" s="197" t="str">
        <f>VLOOKUP(C78,'Retail Rates'!$B$7:$D$35,3,FALSE)</f>
        <v>IGS</v>
      </c>
      <c r="F78" s="222"/>
      <c r="G78" s="222">
        <f>SUMIFS(Adjustments!F$5:F$151,Adjustments!$B$5:$B$151,'Apr11-Mar12 Billed-RETAIL'!$B78,Adjustments!$C$5:$C$151,'Apr11-Mar12 Billed-RETAIL'!$C78)</f>
        <v>115</v>
      </c>
      <c r="H78" s="222">
        <f>SUMIFS(Adjustments!G$5:G$151,Adjustments!$B$5:$B$151,'Apr11-Mar12 Billed-RETAIL'!$B78,Adjustments!$C$5:$C$151,'Apr11-Mar12 Billed-RETAIL'!$C78)</f>
        <v>101</v>
      </c>
      <c r="I78" s="222">
        <f>SUMIFS('Data-Retail'!$H$4:$H$269,'Data-Retail'!$A$4:$A$269,'Apr11-Mar12 Billed-RETAIL'!$B78,'Data-Retail'!$D$4:$D$269,'Apr11-Mar12 Billed-RETAIL'!$C78)</f>
        <v>75755</v>
      </c>
      <c r="J78" s="222">
        <f>SUMIFS('Data-Retail'!$I$4:$I$269,'Data-Retail'!$A$4:$A$269,'Apr11-Mar12 Billed-RETAIL'!$B78,'Data-Retail'!$D$4:$D$269,'Apr11-Mar12 Billed-RETAIL'!$C78)</f>
        <v>420298</v>
      </c>
      <c r="K78" s="222"/>
      <c r="L78" s="223">
        <f>VLOOKUP($C78,'Retail Rates'!$B$7:$M$35,5,FALSE)</f>
        <v>30</v>
      </c>
      <c r="M78" s="223">
        <f>VLOOKUP($C78,'Retail Rates'!$B$7:$M$35,6,FALSE)</f>
        <v>170</v>
      </c>
      <c r="N78" s="224">
        <f>VLOOKUP($C78,'Retail Rates'!$B$7:$M$35,7,FALSE)</f>
        <v>0.19022</v>
      </c>
      <c r="O78" s="224">
        <f>VLOOKUP($C78,'Retail Rates'!$B$7:$M$35,8,FALSE)</f>
        <v>0.14022000000000001</v>
      </c>
      <c r="P78" s="224">
        <f>VLOOKUP($B78,'GSC-DSM Factors'!$A$1:$B$46,2,FALSE)</f>
        <v>0.5605</v>
      </c>
      <c r="Q78" s="223">
        <f>VLOOKUP($C78,'Retail Rates'!$B$7:$M$35,9,FALSE)</f>
        <v>0</v>
      </c>
      <c r="R78" s="224">
        <f>VLOOKUP($C78,'Retail Rates'!$B$7:$M$35,10,FALSE)</f>
        <v>0</v>
      </c>
      <c r="S78" s="223">
        <f>VLOOKUP($C78,'Retail Rates'!$B$7:$M$35,11,FALSE)</f>
        <v>0</v>
      </c>
      <c r="T78" s="223"/>
      <c r="U78" s="225">
        <f t="shared" si="49"/>
        <v>3450</v>
      </c>
      <c r="V78" s="225"/>
      <c r="W78" s="225">
        <f>+H78*M78</f>
        <v>17170</v>
      </c>
      <c r="X78" s="225">
        <f>+I78*N78</f>
        <v>14410.116099999999</v>
      </c>
      <c r="Y78" s="225">
        <f t="shared" si="53"/>
        <v>58934.185560000005</v>
      </c>
      <c r="Z78" s="225">
        <f t="shared" si="66"/>
        <v>278037.70649999997</v>
      </c>
      <c r="AA78" s="225"/>
      <c r="AB78" s="225"/>
      <c r="AC78" s="225"/>
      <c r="AD78" s="225"/>
      <c r="AE78" s="244">
        <f>SUMIFS(Adjustments!H$5:H$684,Adjustments!$B$5:$B$684,'Apr11-Mar12 Billed-RETAIL'!$B78,Adjustments!$C$5:$C$684,'Apr11-Mar12 Billed-RETAIL'!$C78)</f>
        <v>0</v>
      </c>
      <c r="AF78" s="244">
        <f>SUMIFS(Adjustments!I$5:I$684,Adjustments!$B$5:$B$684,'Apr11-Mar12 Billed-RETAIL'!$B78,Adjustments!$C$5:$C$684,'Apr11-Mar12 Billed-RETAIL'!$C78)</f>
        <v>0</v>
      </c>
      <c r="AG78" s="238">
        <f>SUMIFS(Adjustments!J$5:J$684,Adjustments!$B$5:$B$684,'Apr11-Mar12 Billed-RETAIL'!$B78,Adjustments!$C$5:$C$684,'Apr11-Mar12 Billed-RETAIL'!$C78)</f>
        <v>0</v>
      </c>
      <c r="AH78" s="238">
        <f>SUMIFS(Adjustments!K$5:K$684,Adjustments!$B$5:$B$684,'Apr11-Mar12 Billed-RETAIL'!$B78,Adjustments!$C$5:$C$684,'Apr11-Mar12 Billed-RETAIL'!$C78)</f>
        <v>0</v>
      </c>
      <c r="AI78" s="238">
        <f>SUMIFS(Adjustments!L$5:L$684,Adjustments!$B$5:$B$684,'Apr11-Mar12 Billed-RETAIL'!$B78,Adjustments!$C$5:$C$684,'Apr11-Mar12 Billed-RETAIL'!$C78)</f>
        <v>0</v>
      </c>
      <c r="AJ78" s="238">
        <f>SUMIFS(Adjustments!M$5:M$684,Adjustments!$B$5:$B$684,'Apr11-Mar12 Billed-RETAIL'!$B78,Adjustments!$C$5:$C$684,'Apr11-Mar12 Billed-RETAIL'!$C78)</f>
        <v>0</v>
      </c>
      <c r="AK78" s="238">
        <f>SUMIFS(Adjustments!N$5:N$684,Adjustments!$B$5:$B$684,'Apr11-Mar12 Billed-RETAIL'!$B78,Adjustments!$C$5:$C$684,'Apr11-Mar12 Billed-RETAIL'!$C78)</f>
        <v>0</v>
      </c>
      <c r="AL78" s="238">
        <f>SUMIFS(Adjustments!O$5:O$684,Adjustments!$B$5:$B$684,'Apr11-Mar12 Billed-RETAIL'!$B78,Adjustments!$C$5:$C$684,'Apr11-Mar12 Billed-RETAIL'!$C78)</f>
        <v>0</v>
      </c>
      <c r="AM78" s="238">
        <f>SUMIFS(Adjustments!P$5:P$684,Adjustments!$B$5:$B$684,'Apr11-Mar12 Billed-RETAIL'!$B78,Adjustments!$C$5:$C$684,'Apr11-Mar12 Billed-RETAIL'!$C78)</f>
        <v>0</v>
      </c>
      <c r="AN78" s="225">
        <f t="shared" si="51"/>
        <v>3450</v>
      </c>
      <c r="AO78" s="225">
        <f t="shared" si="62"/>
        <v>17170</v>
      </c>
      <c r="AP78" s="225">
        <f t="shared" si="63"/>
        <v>14410.116099999999</v>
      </c>
      <c r="AQ78" s="225">
        <f t="shared" si="64"/>
        <v>58934.185560000005</v>
      </c>
      <c r="AR78" s="232">
        <f ca="1">SUMIF('SBR Oct11'!$D$4:$S$90,'Apr11-Mar12 Billed-RETAIL'!$C78,'SBR Oct11'!$N$4:$N$90)</f>
        <v>278040.38</v>
      </c>
      <c r="AS78" s="232">
        <f ca="1">SUMIF('SBR Oct11'!$D$4:$S$90,'Apr11-Mar12 Billed-RETAIL'!$C78,'SBR Oct11'!$M$4:$M$90)</f>
        <v>0</v>
      </c>
      <c r="AT78" s="232">
        <f ca="1">SUMIF('SBR Oct11'!$D$4:$S$90,'Apr11-Mar12 Billed-RETAIL'!$C78,'SBR Oct11'!$O$4:$O$90)</f>
        <v>0</v>
      </c>
      <c r="AU78" s="225">
        <f t="shared" si="65"/>
        <v>0</v>
      </c>
      <c r="AV78" s="225"/>
      <c r="AW78" s="232">
        <f t="shared" ca="1" si="56"/>
        <v>372004.68</v>
      </c>
      <c r="AX78" s="232">
        <f t="shared" ca="1" si="50"/>
        <v>372004.68</v>
      </c>
      <c r="AY78" s="233">
        <f t="shared" ca="1" si="61"/>
        <v>1</v>
      </c>
      <c r="AZ78" s="232">
        <f ca="1">SUMIF('SBR Oct11'!$D$4:$S$90,'Apr11-Mar12 Billed-RETAIL'!$C78,'SBR Oct11'!$M$4:$M$90)</f>
        <v>0</v>
      </c>
      <c r="BA78" s="232">
        <f ca="1">SUMIF('SBR Oct11'!$D$4:$S$90,'Apr11-Mar12 Billed-RETAIL'!$C78,'SBR Oct11'!$N$4:$N$90)</f>
        <v>278040.38</v>
      </c>
      <c r="BB78" s="232">
        <f ca="1">SUMIF('SBR Oct11'!$D$4:$S$90,'Apr11-Mar12 Billed-RETAIL'!$C78,'SBR Oct11'!$O$4:$O$90)</f>
        <v>0</v>
      </c>
      <c r="BC78" s="232">
        <f ca="1">SUMIF('SBR Oct11'!$D$4:$S$90,'Apr11-Mar12 Billed-RETAIL'!$C78,'SBR Oct11'!$Q$4:$Q$90)</f>
        <v>0</v>
      </c>
      <c r="BD78" s="232">
        <f ca="1">SUMIF('SBR Oct11'!$D$4:$S$90,'Apr11-Mar12 Billed-RETAIL'!$C78,'SBR Oct11'!$K$4:$K$90)</f>
        <v>20620</v>
      </c>
      <c r="BE78" s="232">
        <f ca="1">SUMIF('SBR Oct11'!$D$4:$S$90,'Apr11-Mar12 Billed-RETAIL'!$C78,'SBR Oct11'!$L$4:$L$90)</f>
        <v>73344.3</v>
      </c>
      <c r="BF78" s="232"/>
    </row>
    <row r="79" spans="1:58" ht="15" customHeight="1" x14ac:dyDescent="0.25">
      <c r="A79" s="196">
        <f t="shared" si="58"/>
        <v>74</v>
      </c>
      <c r="B79" s="211">
        <v>40817</v>
      </c>
      <c r="C79" s="211" t="str">
        <f>+'Retail Rates'!B26</f>
        <v>LGRSG811</v>
      </c>
      <c r="D79" s="197" t="str">
        <f t="shared" si="60"/>
        <v>811</v>
      </c>
      <c r="E79" s="197" t="str">
        <f>VLOOKUP(C79,'Retail Rates'!$B$7:$D$35,3,FALSE)</f>
        <v>RGS</v>
      </c>
      <c r="F79" s="222">
        <f>SUMIFS('Data-Retail'!$G$4:$G$269,'Data-Retail'!$A$4:$A$269,'Apr11-Mar12 Billed-RETAIL'!$B79,'Data-Retail'!$D$4:$D$269,'Apr11-Mar12 Billed-RETAIL'!$C79)</f>
        <v>290965</v>
      </c>
      <c r="G79" s="222"/>
      <c r="H79" s="222"/>
      <c r="I79" s="222">
        <f>SUMIFS('Data-Retail'!$H$4:$H$269,'Data-Retail'!$A$4:$A$269,'Apr11-Mar12 Billed-RETAIL'!$B79,'Data-Retail'!$D$4:$D$269,'Apr11-Mar12 Billed-RETAIL'!$C79)</f>
        <v>5743591</v>
      </c>
      <c r="J79" s="222">
        <f>SUMIFS('Data-Retail'!$I$4:$I$269,'Data-Retail'!$A$4:$A$269,'Apr11-Mar12 Billed-RETAIL'!$B79,'Data-Retail'!$D$4:$D$269,'Apr11-Mar12 Billed-RETAIL'!$C79)</f>
        <v>0</v>
      </c>
      <c r="K79" s="222"/>
      <c r="L79" s="223">
        <f>VLOOKUP($C79,'Retail Rates'!$B$7:$M$35,5,FALSE)</f>
        <v>12.5</v>
      </c>
      <c r="M79" s="223">
        <f>VLOOKUP($C79,'Retail Rates'!$B$7:$M$35,6,FALSE)</f>
        <v>0</v>
      </c>
      <c r="N79" s="224">
        <f>VLOOKUP($C79,'Retail Rates'!$B$7:$M$35,7,FALSE)</f>
        <v>0.22395999999999999</v>
      </c>
      <c r="O79" s="224">
        <f>VLOOKUP($C79,'Retail Rates'!$B$7:$M$35,8,FALSE)</f>
        <v>0</v>
      </c>
      <c r="P79" s="224">
        <f>VLOOKUP($B79,'GSC-DSM Factors'!$A$1:$B$46,2,FALSE)</f>
        <v>0.5605</v>
      </c>
      <c r="Q79" s="223">
        <f>VLOOKUP($C79,'Retail Rates'!$B$7:$M$35,9,FALSE)</f>
        <v>0</v>
      </c>
      <c r="R79" s="224">
        <f>VLOOKUP($C79,'Retail Rates'!$B$7:$M$35,10,FALSE)</f>
        <v>0</v>
      </c>
      <c r="S79" s="223">
        <f>VLOOKUP($C79,'Retail Rates'!$B$7:$M$35,11,FALSE)</f>
        <v>0</v>
      </c>
      <c r="T79" s="223"/>
      <c r="U79" s="225">
        <f t="shared" ref="U79:U104" si="67">(+F79*L79)+(G79*L79)</f>
        <v>3637062.5</v>
      </c>
      <c r="V79" s="225"/>
      <c r="W79" s="225"/>
      <c r="X79" s="225">
        <f>+I79*N79</f>
        <v>1286334.6403599998</v>
      </c>
      <c r="Y79" s="225">
        <f t="shared" si="53"/>
        <v>0</v>
      </c>
      <c r="Z79" s="225">
        <f t="shared" si="66"/>
        <v>3219282.7555</v>
      </c>
      <c r="AA79" s="225"/>
      <c r="AB79" s="225"/>
      <c r="AC79" s="225"/>
      <c r="AD79" s="225"/>
      <c r="AE79" s="244">
        <f>SUMIFS(Adjustments!H$5:H$684,Adjustments!$B$5:$B$684,'Apr11-Mar12 Billed-RETAIL'!$B79,Adjustments!$C$5:$C$684,'Apr11-Mar12 Billed-RETAIL'!$C79)</f>
        <v>-894</v>
      </c>
      <c r="AF79" s="244">
        <f>SUMIFS(Adjustments!I$5:I$684,Adjustments!$B$5:$B$684,'Apr11-Mar12 Billed-RETAIL'!$B79,Adjustments!$C$5:$C$684,'Apr11-Mar12 Billed-RETAIL'!$C79)</f>
        <v>0</v>
      </c>
      <c r="AG79" s="238">
        <f>SUMIFS(Adjustments!J$5:J$684,Adjustments!$B$5:$B$684,'Apr11-Mar12 Billed-RETAIL'!$B79,Adjustments!$C$5:$C$684,'Apr11-Mar12 Billed-RETAIL'!$C79)</f>
        <v>-59.66</v>
      </c>
      <c r="AH79" s="238">
        <f>SUMIFS(Adjustments!K$5:K$684,Adjustments!$B$5:$B$684,'Apr11-Mar12 Billed-RETAIL'!$B79,Adjustments!$C$5:$C$684,'Apr11-Mar12 Billed-RETAIL'!$C79)</f>
        <v>0</v>
      </c>
      <c r="AI79" s="238">
        <f>SUMIFS(Adjustments!L$5:L$684,Adjustments!$B$5:$B$684,'Apr11-Mar12 Billed-RETAIL'!$B79,Adjustments!$C$5:$C$684,'Apr11-Mar12 Billed-RETAIL'!$C79)</f>
        <v>74.11</v>
      </c>
      <c r="AJ79" s="238">
        <f>SUMIFS(Adjustments!M$5:M$684,Adjustments!$B$5:$B$684,'Apr11-Mar12 Billed-RETAIL'!$B79,Adjustments!$C$5:$C$684,'Apr11-Mar12 Billed-RETAIL'!$C79)</f>
        <v>0</v>
      </c>
      <c r="AK79" s="238">
        <f>SUMIFS(Adjustments!N$5:N$684,Adjustments!$B$5:$B$684,'Apr11-Mar12 Billed-RETAIL'!$B79,Adjustments!$C$5:$C$684,'Apr11-Mar12 Billed-RETAIL'!$C79)</f>
        <v>0</v>
      </c>
      <c r="AL79" s="238">
        <f>SUMIFS(Adjustments!O$5:O$684,Adjustments!$B$5:$B$684,'Apr11-Mar12 Billed-RETAIL'!$B79,Adjustments!$C$5:$C$684,'Apr11-Mar12 Billed-RETAIL'!$C79)</f>
        <v>0</v>
      </c>
      <c r="AM79" s="238">
        <f>SUMIFS(Adjustments!P$5:P$684,Adjustments!$B$5:$B$684,'Apr11-Mar12 Billed-RETAIL'!$B79,Adjustments!$C$5:$C$684,'Apr11-Mar12 Billed-RETAIL'!$C79)</f>
        <v>0</v>
      </c>
      <c r="AN79" s="225">
        <f t="shared" si="51"/>
        <v>3625827.84</v>
      </c>
      <c r="AO79" s="225">
        <f t="shared" si="62"/>
        <v>0</v>
      </c>
      <c r="AP79" s="225">
        <f t="shared" si="63"/>
        <v>1286408.7503599999</v>
      </c>
      <c r="AQ79" s="225">
        <f t="shared" si="64"/>
        <v>0</v>
      </c>
      <c r="AR79" s="232">
        <f ca="1">SUMIF('SBR Oct11'!$D$4:$S$90,'Apr11-Mar12 Billed-RETAIL'!$C79,'SBR Oct11'!$N$4:$N$90)</f>
        <v>3219479.9200000004</v>
      </c>
      <c r="AS79" s="232">
        <f ca="1">SUMIF('SBR Oct11'!$D$4:$S$90,'Apr11-Mar12 Billed-RETAIL'!$C79,'SBR Oct11'!$M$4:$M$90)</f>
        <v>108449.91</v>
      </c>
      <c r="AT79" s="232">
        <f ca="1">SUMIF('SBR Oct11'!$D$4:$S$90,'Apr11-Mar12 Billed-RETAIL'!$C79,'SBR Oct11'!$O$4:$O$90)</f>
        <v>-47.24</v>
      </c>
      <c r="AU79" s="225">
        <f t="shared" si="65"/>
        <v>0</v>
      </c>
      <c r="AV79" s="225"/>
      <c r="AW79" s="232">
        <f t="shared" ca="1" si="56"/>
        <v>8240119.1799999997</v>
      </c>
      <c r="AX79" s="232">
        <f t="shared" ref="AX79:AX104" ca="1" si="68">SUM(AZ79:BF79)-BC79</f>
        <v>8240119.1800000006</v>
      </c>
      <c r="AY79" s="233">
        <f t="shared" ca="1" si="61"/>
        <v>1</v>
      </c>
      <c r="AZ79" s="232">
        <f ca="1">SUMIF('SBR Oct11'!$D$4:$S$90,'Apr11-Mar12 Billed-RETAIL'!$C79,'SBR Oct11'!$M$4:$M$90)</f>
        <v>108449.91</v>
      </c>
      <c r="BA79" s="232">
        <f ca="1">SUMIF('SBR Oct11'!$D$4:$S$90,'Apr11-Mar12 Billed-RETAIL'!$C79,'SBR Oct11'!$N$4:$N$90)</f>
        <v>3219479.9200000004</v>
      </c>
      <c r="BB79" s="232">
        <f ca="1">SUMIF('SBR Oct11'!$D$4:$S$90,'Apr11-Mar12 Billed-RETAIL'!$C79,'SBR Oct11'!$O$4:$O$90)</f>
        <v>-47.24</v>
      </c>
      <c r="BC79" s="232">
        <f ca="1">SUMIF('SBR Oct11'!$D$4:$S$90,'Apr11-Mar12 Billed-RETAIL'!$C79,'SBR Oct11'!$Q$4:$Q$90)</f>
        <v>44003.1</v>
      </c>
      <c r="BD79" s="232">
        <f ca="1">SUMIF('SBR Oct11'!$D$4:$S$90,'Apr11-Mar12 Billed-RETAIL'!$C79,'SBR Oct11'!$K$4:$K$90)</f>
        <v>3625827.84</v>
      </c>
      <c r="BE79" s="232">
        <f ca="1">SUMIF('SBR Oct11'!$D$4:$S$90,'Apr11-Mar12 Billed-RETAIL'!$C79,'SBR Oct11'!$L$4:$L$90)</f>
        <v>1286408.75</v>
      </c>
      <c r="BF79" s="232"/>
    </row>
    <row r="80" spans="1:58" ht="15" customHeight="1" x14ac:dyDescent="0.25">
      <c r="A80" s="196">
        <f t="shared" si="58"/>
        <v>75</v>
      </c>
      <c r="B80" s="211">
        <v>40817</v>
      </c>
      <c r="C80" s="211" t="str">
        <f>+'Retail Rates'!B27</f>
        <v>LGRSG811S1</v>
      </c>
      <c r="D80" s="197" t="str">
        <f t="shared" si="60"/>
        <v>811</v>
      </c>
      <c r="E80" s="197" t="str">
        <f>VLOOKUP(C80,'Retail Rates'!$B$7:$D$35,3,FALSE)</f>
        <v>RGS</v>
      </c>
      <c r="F80" s="222">
        <f>SUMIFS('Data-Retail'!$G$4:$G$269,'Data-Retail'!$A$4:$A$269,'Apr11-Mar12 Billed-RETAIL'!$B80,'Data-Retail'!$D$4:$D$269,'Apr11-Mar12 Billed-RETAIL'!$C80)</f>
        <v>1</v>
      </c>
      <c r="G80" s="222"/>
      <c r="H80" s="222"/>
      <c r="I80" s="222">
        <f>SUMIFS('Data-Retail'!$H$4:$H$269,'Data-Retail'!$A$4:$A$269,'Apr11-Mar12 Billed-RETAIL'!$B80,'Data-Retail'!$D$4:$D$269,'Apr11-Mar12 Billed-RETAIL'!$C80)</f>
        <v>622</v>
      </c>
      <c r="J80" s="222">
        <f>SUMIFS('Data-Retail'!$I$4:$I$269,'Data-Retail'!$A$4:$A$269,'Apr11-Mar12 Billed-RETAIL'!$B80,'Data-Retail'!$D$4:$D$269,'Apr11-Mar12 Billed-RETAIL'!$C80)</f>
        <v>0</v>
      </c>
      <c r="K80" s="222"/>
      <c r="L80" s="223">
        <f>VLOOKUP($C80,'Retail Rates'!$B$7:$M$35,5,FALSE)</f>
        <v>12.5</v>
      </c>
      <c r="M80" s="223">
        <f>VLOOKUP($C80,'Retail Rates'!$B$7:$M$35,6,FALSE)</f>
        <v>0</v>
      </c>
      <c r="N80" s="224">
        <f>VLOOKUP($C80,'Retail Rates'!$B$7:$M$35,7,FALSE)</f>
        <v>0.22395999999999999</v>
      </c>
      <c r="O80" s="224">
        <f>VLOOKUP($C80,'Retail Rates'!$B$7:$M$35,8,FALSE)</f>
        <v>0</v>
      </c>
      <c r="P80" s="224">
        <f>VLOOKUP($B80,'GSC-DSM Factors'!$A$1:$B$46,2,FALSE)</f>
        <v>0.5605</v>
      </c>
      <c r="Q80" s="223">
        <f>VLOOKUP($C80,'Retail Rates'!$B$7:$M$35,9,FALSE)</f>
        <v>0</v>
      </c>
      <c r="R80" s="224">
        <f>VLOOKUP($C80,'Retail Rates'!$B$7:$M$35,10,FALSE)</f>
        <v>0</v>
      </c>
      <c r="S80" s="223">
        <f>VLOOKUP($C80,'Retail Rates'!$B$7:$M$35,11,FALSE)</f>
        <v>0</v>
      </c>
      <c r="T80" s="223"/>
      <c r="U80" s="225">
        <f t="shared" si="67"/>
        <v>12.5</v>
      </c>
      <c r="V80" s="225"/>
      <c r="W80" s="225"/>
      <c r="X80" s="225">
        <f>+I80*N80</f>
        <v>139.30312000000001</v>
      </c>
      <c r="Y80" s="225">
        <f t="shared" si="53"/>
        <v>0</v>
      </c>
      <c r="Z80" s="225">
        <f t="shared" si="66"/>
        <v>348.63099999999997</v>
      </c>
      <c r="AA80" s="225"/>
      <c r="AB80" s="225"/>
      <c r="AC80" s="225"/>
      <c r="AD80" s="225"/>
      <c r="AE80" s="244">
        <f>SUMIFS(Adjustments!H$5:H$684,Adjustments!$B$5:$B$684,'Apr11-Mar12 Billed-RETAIL'!$B80,Adjustments!$C$5:$C$684,'Apr11-Mar12 Billed-RETAIL'!$C80)</f>
        <v>0</v>
      </c>
      <c r="AF80" s="244">
        <f>SUMIFS(Adjustments!I$5:I$684,Adjustments!$B$5:$B$684,'Apr11-Mar12 Billed-RETAIL'!$B80,Adjustments!$C$5:$C$684,'Apr11-Mar12 Billed-RETAIL'!$C80)</f>
        <v>0</v>
      </c>
      <c r="AG80" s="238">
        <f>SUMIFS(Adjustments!J$5:J$684,Adjustments!$B$5:$B$684,'Apr11-Mar12 Billed-RETAIL'!$B80,Adjustments!$C$5:$C$684,'Apr11-Mar12 Billed-RETAIL'!$C80)</f>
        <v>-12</v>
      </c>
      <c r="AH80" s="238">
        <f>SUMIFS(Adjustments!K$5:K$684,Adjustments!$B$5:$B$684,'Apr11-Mar12 Billed-RETAIL'!$B80,Adjustments!$C$5:$C$684,'Apr11-Mar12 Billed-RETAIL'!$C80)</f>
        <v>0</v>
      </c>
      <c r="AI80" s="238">
        <f>SUMIFS(Adjustments!L$5:L$684,Adjustments!$B$5:$B$684,'Apr11-Mar12 Billed-RETAIL'!$B80,Adjustments!$C$5:$C$684,'Apr11-Mar12 Billed-RETAIL'!$C80)</f>
        <v>-167.36</v>
      </c>
      <c r="AJ80" s="238">
        <f>SUMIFS(Adjustments!M$5:M$684,Adjustments!$B$5:$B$684,'Apr11-Mar12 Billed-RETAIL'!$B80,Adjustments!$C$5:$C$684,'Apr11-Mar12 Billed-RETAIL'!$C80)</f>
        <v>0</v>
      </c>
      <c r="AK80" s="238">
        <f>SUMIFS(Adjustments!N$5:N$684,Adjustments!$B$5:$B$684,'Apr11-Mar12 Billed-RETAIL'!$B80,Adjustments!$C$5:$C$684,'Apr11-Mar12 Billed-RETAIL'!$C80)</f>
        <v>0</v>
      </c>
      <c r="AL80" s="238">
        <f>SUMIFS(Adjustments!O$5:O$684,Adjustments!$B$5:$B$684,'Apr11-Mar12 Billed-RETAIL'!$B80,Adjustments!$C$5:$C$684,'Apr11-Mar12 Billed-RETAIL'!$C80)</f>
        <v>0</v>
      </c>
      <c r="AM80" s="238">
        <f>SUMIFS(Adjustments!P$5:P$684,Adjustments!$B$5:$B$684,'Apr11-Mar12 Billed-RETAIL'!$B80,Adjustments!$C$5:$C$684,'Apr11-Mar12 Billed-RETAIL'!$C80)</f>
        <v>0</v>
      </c>
      <c r="AN80" s="225">
        <f t="shared" si="51"/>
        <v>0.5</v>
      </c>
      <c r="AO80" s="225">
        <f t="shared" si="62"/>
        <v>0</v>
      </c>
      <c r="AP80" s="225">
        <f t="shared" si="63"/>
        <v>-28.056880000000007</v>
      </c>
      <c r="AQ80" s="225">
        <f t="shared" si="64"/>
        <v>0</v>
      </c>
      <c r="AR80" s="232">
        <f ca="1">SUMIF('SBR Oct11'!$D$4:$S$90,'Apr11-Mar12 Billed-RETAIL'!$C80,'SBR Oct11'!$N$4:$N$90)</f>
        <v>348.63</v>
      </c>
      <c r="AS80" s="232">
        <f ca="1">SUMIF('SBR Oct11'!$D$4:$S$90,'Apr11-Mar12 Billed-RETAIL'!$C80,'SBR Oct11'!$M$4:$M$90)</f>
        <v>0</v>
      </c>
      <c r="AT80" s="232">
        <f ca="1">SUMIF('SBR Oct11'!$D$4:$S$90,'Apr11-Mar12 Billed-RETAIL'!$C80,'SBR Oct11'!$O$4:$O$90)</f>
        <v>0</v>
      </c>
      <c r="AU80" s="225">
        <f t="shared" si="65"/>
        <v>0</v>
      </c>
      <c r="AV80" s="225"/>
      <c r="AW80" s="232">
        <f t="shared" ca="1" si="56"/>
        <v>321.07</v>
      </c>
      <c r="AX80" s="232">
        <f t="shared" ca="1" si="68"/>
        <v>321.07</v>
      </c>
      <c r="AY80" s="233">
        <f t="shared" ca="1" si="61"/>
        <v>1</v>
      </c>
      <c r="AZ80" s="232">
        <f ca="1">SUMIF('SBR Oct11'!$D$4:$S$90,'Apr11-Mar12 Billed-RETAIL'!$C80,'SBR Oct11'!$M$4:$M$90)</f>
        <v>0</v>
      </c>
      <c r="BA80" s="232">
        <f ca="1">SUMIF('SBR Oct11'!$D$4:$S$90,'Apr11-Mar12 Billed-RETAIL'!$C80,'SBR Oct11'!$N$4:$N$90)</f>
        <v>348.63</v>
      </c>
      <c r="BB80" s="232">
        <f ca="1">SUMIF('SBR Oct11'!$D$4:$S$90,'Apr11-Mar12 Billed-RETAIL'!$C80,'SBR Oct11'!$O$4:$O$90)</f>
        <v>0</v>
      </c>
      <c r="BC80" s="232">
        <f ca="1">SUMIF('SBR Oct11'!$D$4:$S$90,'Apr11-Mar12 Billed-RETAIL'!$C80,'SBR Oct11'!$Q$4:$Q$90)</f>
        <v>0</v>
      </c>
      <c r="BD80" s="232">
        <f ca="1">SUMIF('SBR Oct11'!$D$4:$S$90,'Apr11-Mar12 Billed-RETAIL'!$C80,'SBR Oct11'!$K$4:$K$90)</f>
        <v>0.5</v>
      </c>
      <c r="BE80" s="232">
        <f ca="1">SUMIF('SBR Oct11'!$D$4:$S$90,'Apr11-Mar12 Billed-RETAIL'!$C80,'SBR Oct11'!$L$4:$L$90)</f>
        <v>-28.06</v>
      </c>
      <c r="BF80" s="232"/>
    </row>
    <row r="81" spans="1:58" ht="15" customHeight="1" x14ac:dyDescent="0.25">
      <c r="A81" s="196">
        <f t="shared" si="58"/>
        <v>76</v>
      </c>
      <c r="B81" s="211">
        <v>40817</v>
      </c>
      <c r="C81" s="211" t="str">
        <f>+'Retail Rates'!B28</f>
        <v>LGRSG840</v>
      </c>
      <c r="D81" s="197" t="str">
        <f t="shared" si="60"/>
        <v>840</v>
      </c>
      <c r="E81" s="197" t="str">
        <f>VLOOKUP(C81,'Retail Rates'!$B$7:$D$35,3,FALSE)</f>
        <v>RGS</v>
      </c>
      <c r="F81" s="222">
        <f>SUMIFS('Data-Retail'!$G$4:$G$269,'Data-Retail'!$A$4:$A$269,'Apr11-Mar12 Billed-RETAIL'!$B81,'Data-Retail'!$D$4:$D$269,'Apr11-Mar12 Billed-RETAIL'!$C81)</f>
        <v>4</v>
      </c>
      <c r="G81" s="222"/>
      <c r="H81" s="222"/>
      <c r="I81" s="222">
        <f>SUMIFS('Data-Retail'!$H$4:$H$269,'Data-Retail'!$A$4:$A$269,'Apr11-Mar12 Billed-RETAIL'!$B81,'Data-Retail'!$D$4:$D$269,'Apr11-Mar12 Billed-RETAIL'!$C81)</f>
        <v>383</v>
      </c>
      <c r="J81" s="222">
        <f>SUMIFS('Data-Retail'!$I$4:$I$269,'Data-Retail'!$A$4:$A$269,'Apr11-Mar12 Billed-RETAIL'!$B81,'Data-Retail'!$D$4:$D$269,'Apr11-Mar12 Billed-RETAIL'!$C81)</f>
        <v>0</v>
      </c>
      <c r="K81" s="222"/>
      <c r="L81" s="223">
        <f>VLOOKUP($C81,'Retail Rates'!$B$7:$M$35,5,FALSE)</f>
        <v>12.5</v>
      </c>
      <c r="M81" s="223">
        <f>VLOOKUP($C81,'Retail Rates'!$B$7:$M$35,6,FALSE)</f>
        <v>0</v>
      </c>
      <c r="N81" s="224">
        <f>VLOOKUP($C81,'Retail Rates'!$B$7:$M$35,7,FALSE)</f>
        <v>0.22395999999999999</v>
      </c>
      <c r="O81" s="224">
        <f>VLOOKUP($C81,'Retail Rates'!$B$7:$M$35,8,FALSE)</f>
        <v>0</v>
      </c>
      <c r="P81" s="224">
        <f>VLOOKUP($B81,'GSC-DSM Factors'!$A$1:$B$46,2,FALSE)</f>
        <v>0.5605</v>
      </c>
      <c r="Q81" s="223">
        <f>VLOOKUP($C81,'Retail Rates'!$B$7:$M$35,9,FALSE)</f>
        <v>0</v>
      </c>
      <c r="R81" s="224">
        <f>VLOOKUP($C81,'Retail Rates'!$B$7:$M$35,10,FALSE)</f>
        <v>0</v>
      </c>
      <c r="S81" s="223">
        <f>VLOOKUP($C81,'Retail Rates'!$B$7:$M$35,11,FALSE)</f>
        <v>0</v>
      </c>
      <c r="T81" s="223"/>
      <c r="U81" s="225">
        <f t="shared" si="67"/>
        <v>50</v>
      </c>
      <c r="V81" s="225"/>
      <c r="W81" s="225"/>
      <c r="X81" s="225">
        <f>+I81*N81</f>
        <v>85.776679999999999</v>
      </c>
      <c r="Y81" s="225">
        <f t="shared" si="53"/>
        <v>0</v>
      </c>
      <c r="Z81" s="225">
        <f t="shared" si="66"/>
        <v>214.67150000000001</v>
      </c>
      <c r="AA81" s="225"/>
      <c r="AB81" s="225"/>
      <c r="AC81" s="225"/>
      <c r="AD81" s="225"/>
      <c r="AE81" s="244">
        <f>SUMIFS(Adjustments!H$5:H$684,Adjustments!$B$5:$B$684,'Apr11-Mar12 Billed-RETAIL'!$B81,Adjustments!$C$5:$C$684,'Apr11-Mar12 Billed-RETAIL'!$C81)</f>
        <v>0</v>
      </c>
      <c r="AF81" s="244">
        <f>SUMIFS(Adjustments!I$5:I$684,Adjustments!$B$5:$B$684,'Apr11-Mar12 Billed-RETAIL'!$B81,Adjustments!$C$5:$C$684,'Apr11-Mar12 Billed-RETAIL'!$C81)</f>
        <v>0</v>
      </c>
      <c r="AG81" s="238">
        <f>SUMIFS(Adjustments!J$5:J$684,Adjustments!$B$5:$B$684,'Apr11-Mar12 Billed-RETAIL'!$B81,Adjustments!$C$5:$C$684,'Apr11-Mar12 Billed-RETAIL'!$C81)</f>
        <v>0</v>
      </c>
      <c r="AH81" s="238">
        <f>SUMIFS(Adjustments!K$5:K$684,Adjustments!$B$5:$B$684,'Apr11-Mar12 Billed-RETAIL'!$B81,Adjustments!$C$5:$C$684,'Apr11-Mar12 Billed-RETAIL'!$C81)</f>
        <v>0</v>
      </c>
      <c r="AI81" s="238">
        <f>SUMIFS(Adjustments!L$5:L$684,Adjustments!$B$5:$B$684,'Apr11-Mar12 Billed-RETAIL'!$B81,Adjustments!$C$5:$C$684,'Apr11-Mar12 Billed-RETAIL'!$C81)</f>
        <v>-0.01</v>
      </c>
      <c r="AJ81" s="238">
        <f>SUMIFS(Adjustments!M$5:M$684,Adjustments!$B$5:$B$684,'Apr11-Mar12 Billed-RETAIL'!$B81,Adjustments!$C$5:$C$684,'Apr11-Mar12 Billed-RETAIL'!$C81)</f>
        <v>0</v>
      </c>
      <c r="AK81" s="238">
        <f>SUMIFS(Adjustments!N$5:N$684,Adjustments!$B$5:$B$684,'Apr11-Mar12 Billed-RETAIL'!$B81,Adjustments!$C$5:$C$684,'Apr11-Mar12 Billed-RETAIL'!$C81)</f>
        <v>0</v>
      </c>
      <c r="AL81" s="238">
        <f>SUMIFS(Adjustments!O$5:O$684,Adjustments!$B$5:$B$684,'Apr11-Mar12 Billed-RETAIL'!$B81,Adjustments!$C$5:$C$684,'Apr11-Mar12 Billed-RETAIL'!$C81)</f>
        <v>0</v>
      </c>
      <c r="AM81" s="238">
        <f>SUMIFS(Adjustments!P$5:P$684,Adjustments!$B$5:$B$684,'Apr11-Mar12 Billed-RETAIL'!$B81,Adjustments!$C$5:$C$684,'Apr11-Mar12 Billed-RETAIL'!$C81)</f>
        <v>0</v>
      </c>
      <c r="AN81" s="225">
        <f t="shared" si="51"/>
        <v>50</v>
      </c>
      <c r="AO81" s="225">
        <f t="shared" si="62"/>
        <v>0</v>
      </c>
      <c r="AP81" s="225">
        <f t="shared" si="63"/>
        <v>85.766679999999994</v>
      </c>
      <c r="AQ81" s="225">
        <f t="shared" si="64"/>
        <v>0</v>
      </c>
      <c r="AR81" s="232">
        <f ca="1">SUMIF('SBR Oct11'!$D$4:$S$90,'Apr11-Mar12 Billed-RETAIL'!$C81,'SBR Oct11'!$N$4:$N$90)</f>
        <v>214.68</v>
      </c>
      <c r="AS81" s="232">
        <f ca="1">SUMIF('SBR Oct11'!$D$4:$S$90,'Apr11-Mar12 Billed-RETAIL'!$C81,'SBR Oct11'!$M$4:$M$90)</f>
        <v>7.2299999999999995</v>
      </c>
      <c r="AT81" s="232">
        <f ca="1">SUMIF('SBR Oct11'!$D$4:$S$90,'Apr11-Mar12 Billed-RETAIL'!$C81,'SBR Oct11'!$O$4:$O$90)</f>
        <v>0</v>
      </c>
      <c r="AU81" s="225">
        <f t="shared" si="65"/>
        <v>0</v>
      </c>
      <c r="AV81" s="225"/>
      <c r="AW81" s="232">
        <f t="shared" ca="1" si="56"/>
        <v>357.68</v>
      </c>
      <c r="AX81" s="232">
        <f t="shared" ca="1" si="68"/>
        <v>357.67999999999995</v>
      </c>
      <c r="AY81" s="233">
        <f t="shared" ca="1" si="61"/>
        <v>1</v>
      </c>
      <c r="AZ81" s="232">
        <f ca="1">SUMIF('SBR Oct11'!$D$4:$S$90,'Apr11-Mar12 Billed-RETAIL'!$C81,'SBR Oct11'!$M$4:$M$90)</f>
        <v>7.2299999999999995</v>
      </c>
      <c r="BA81" s="232">
        <f ca="1">SUMIF('SBR Oct11'!$D$4:$S$90,'Apr11-Mar12 Billed-RETAIL'!$C81,'SBR Oct11'!$N$4:$N$90)</f>
        <v>214.68</v>
      </c>
      <c r="BB81" s="232">
        <f ca="1">SUMIF('SBR Oct11'!$D$4:$S$90,'Apr11-Mar12 Billed-RETAIL'!$C81,'SBR Oct11'!$O$4:$O$90)</f>
        <v>0</v>
      </c>
      <c r="BC81" s="232">
        <f ca="1">SUMIF('SBR Oct11'!$D$4:$S$90,'Apr11-Mar12 Billed-RETAIL'!$C81,'SBR Oct11'!$Q$4:$Q$90)</f>
        <v>0</v>
      </c>
      <c r="BD81" s="232">
        <f ca="1">SUMIF('SBR Oct11'!$D$4:$S$90,'Apr11-Mar12 Billed-RETAIL'!$C81,'SBR Oct11'!$K$4:$K$90)</f>
        <v>50</v>
      </c>
      <c r="BE81" s="232">
        <f ca="1">SUMIF('SBR Oct11'!$D$4:$S$90,'Apr11-Mar12 Billed-RETAIL'!$C81,'SBR Oct11'!$L$4:$L$90)</f>
        <v>85.77</v>
      </c>
      <c r="BF81" s="232"/>
    </row>
    <row r="82" spans="1:58" ht="15" customHeight="1" x14ac:dyDescent="0.25">
      <c r="A82" s="196">
        <f t="shared" si="58"/>
        <v>77</v>
      </c>
      <c r="B82" s="211">
        <v>40817</v>
      </c>
      <c r="C82" s="211" t="str">
        <f>+'Retail Rates'!B29</f>
        <v>LGUMG830</v>
      </c>
      <c r="D82" s="197" t="str">
        <f t="shared" si="60"/>
        <v>830</v>
      </c>
      <c r="E82" s="197" t="str">
        <f>VLOOKUP(C82,'Retail Rates'!$B$7:$D$35,3,FALSE)</f>
        <v>RGS</v>
      </c>
      <c r="F82" s="222">
        <f>SUMIFS('Data-Retail'!$G$4:$G$269,'Data-Retail'!$A$4:$A$269,'Apr11-Mar12 Billed-RETAIL'!$B82,'Data-Retail'!$D$4:$D$269,'Apr11-Mar12 Billed-RETAIL'!$C82)</f>
        <v>1</v>
      </c>
      <c r="G82" s="222"/>
      <c r="H82" s="222"/>
      <c r="I82" s="222">
        <f>SUMIFS('Data-Retail'!$H$4:$H$269,'Data-Retail'!$A$4:$A$269,'Apr11-Mar12 Billed-RETAIL'!$B82,'Data-Retail'!$D$4:$D$269,'Apr11-Mar12 Billed-RETAIL'!$C82)</f>
        <v>32</v>
      </c>
      <c r="J82" s="222">
        <f>SUMIFS('Data-Retail'!$I$4:$I$269,'Data-Retail'!$A$4:$A$269,'Apr11-Mar12 Billed-RETAIL'!$B82,'Data-Retail'!$D$4:$D$269,'Apr11-Mar12 Billed-RETAIL'!$C82)</f>
        <v>0</v>
      </c>
      <c r="K82" s="222"/>
      <c r="L82" s="223">
        <f>VLOOKUP($C82,'Retail Rates'!$B$7:$M$35,5,FALSE)</f>
        <v>12.5</v>
      </c>
      <c r="M82" s="223">
        <f>VLOOKUP($C82,'Retail Rates'!$B$7:$M$35,6,FALSE)</f>
        <v>0</v>
      </c>
      <c r="N82" s="224">
        <f>VLOOKUP($C82,'Retail Rates'!$B$7:$M$35,7,FALSE)</f>
        <v>0.22395999999999999</v>
      </c>
      <c r="O82" s="224">
        <f>VLOOKUP($C82,'Retail Rates'!$B$7:$M$35,8,FALSE)</f>
        <v>0</v>
      </c>
      <c r="P82" s="224">
        <f>VLOOKUP($B82,'GSC-DSM Factors'!$A$1:$B$46,2,FALSE)</f>
        <v>0.5605</v>
      </c>
      <c r="Q82" s="223">
        <f>VLOOKUP($C82,'Retail Rates'!$B$7:$M$35,9,FALSE)</f>
        <v>0</v>
      </c>
      <c r="R82" s="224">
        <f>VLOOKUP($C82,'Retail Rates'!$B$7:$M$35,10,FALSE)</f>
        <v>0</v>
      </c>
      <c r="S82" s="223">
        <f>VLOOKUP($C82,'Retail Rates'!$B$7:$M$35,11,FALSE)</f>
        <v>0</v>
      </c>
      <c r="T82" s="223"/>
      <c r="U82" s="225">
        <f t="shared" si="67"/>
        <v>12.5</v>
      </c>
      <c r="V82" s="225"/>
      <c r="W82" s="225"/>
      <c r="X82" s="225">
        <f>+I82*N82</f>
        <v>7.1667199999999998</v>
      </c>
      <c r="Y82" s="225">
        <f t="shared" si="53"/>
        <v>0</v>
      </c>
      <c r="Z82" s="225">
        <f t="shared" si="66"/>
        <v>17.936</v>
      </c>
      <c r="AA82" s="225"/>
      <c r="AB82" s="225"/>
      <c r="AC82" s="225"/>
      <c r="AD82" s="225"/>
      <c r="AE82" s="244">
        <f>SUMIFS(Adjustments!H$5:H$684,Adjustments!$B$5:$B$684,'Apr11-Mar12 Billed-RETAIL'!$B82,Adjustments!$C$5:$C$684,'Apr11-Mar12 Billed-RETAIL'!$C82)</f>
        <v>1</v>
      </c>
      <c r="AF82" s="244">
        <f>SUMIFS(Adjustments!I$5:I$684,Adjustments!$B$5:$B$684,'Apr11-Mar12 Billed-RETAIL'!$B82,Adjustments!$C$5:$C$684,'Apr11-Mar12 Billed-RETAIL'!$C82)</f>
        <v>0</v>
      </c>
      <c r="AG82" s="238">
        <f>SUMIFS(Adjustments!J$5:J$684,Adjustments!$B$5:$B$684,'Apr11-Mar12 Billed-RETAIL'!$B82,Adjustments!$C$5:$C$684,'Apr11-Mar12 Billed-RETAIL'!$C82)</f>
        <v>0</v>
      </c>
      <c r="AH82" s="238">
        <f>SUMIFS(Adjustments!K$5:K$684,Adjustments!$B$5:$B$684,'Apr11-Mar12 Billed-RETAIL'!$B82,Adjustments!$C$5:$C$684,'Apr11-Mar12 Billed-RETAIL'!$C82)</f>
        <v>0</v>
      </c>
      <c r="AI82" s="238">
        <f>SUMIFS(Adjustments!L$5:L$684,Adjustments!$B$5:$B$684,'Apr11-Mar12 Billed-RETAIL'!$B82,Adjustments!$C$5:$C$684,'Apr11-Mar12 Billed-RETAIL'!$C82)</f>
        <v>0</v>
      </c>
      <c r="AJ82" s="238">
        <f>SUMIFS(Adjustments!M$5:M$684,Adjustments!$B$5:$B$684,'Apr11-Mar12 Billed-RETAIL'!$B82,Adjustments!$C$5:$C$684,'Apr11-Mar12 Billed-RETAIL'!$C82)</f>
        <v>0</v>
      </c>
      <c r="AK82" s="238">
        <f>SUMIFS(Adjustments!N$5:N$684,Adjustments!$B$5:$B$684,'Apr11-Mar12 Billed-RETAIL'!$B82,Adjustments!$C$5:$C$684,'Apr11-Mar12 Billed-RETAIL'!$C82)</f>
        <v>0</v>
      </c>
      <c r="AL82" s="238">
        <f>SUMIFS(Adjustments!O$5:O$684,Adjustments!$B$5:$B$684,'Apr11-Mar12 Billed-RETAIL'!$B82,Adjustments!$C$5:$C$684,'Apr11-Mar12 Billed-RETAIL'!$C82)</f>
        <v>0</v>
      </c>
      <c r="AM82" s="238">
        <f>SUMIFS(Adjustments!P$5:P$684,Adjustments!$B$5:$B$684,'Apr11-Mar12 Billed-RETAIL'!$B82,Adjustments!$C$5:$C$684,'Apr11-Mar12 Billed-RETAIL'!$C82)</f>
        <v>0</v>
      </c>
      <c r="AN82" s="225">
        <f t="shared" si="51"/>
        <v>25</v>
      </c>
      <c r="AO82" s="225">
        <f t="shared" si="62"/>
        <v>0</v>
      </c>
      <c r="AP82" s="225">
        <f t="shared" si="63"/>
        <v>7.1667199999999998</v>
      </c>
      <c r="AQ82" s="225">
        <f t="shared" si="64"/>
        <v>0</v>
      </c>
      <c r="AR82" s="232">
        <f ca="1">SUMIF('SBR Oct11'!$D$4:$S$90,'Apr11-Mar12 Billed-RETAIL'!$C82,'SBR Oct11'!$N$4:$N$90)</f>
        <v>17.940000000000001</v>
      </c>
      <c r="AS82" s="232">
        <f ca="1">SUMIF('SBR Oct11'!$D$4:$S$90,'Apr11-Mar12 Billed-RETAIL'!$C82,'SBR Oct11'!$M$4:$M$90)</f>
        <v>0.6</v>
      </c>
      <c r="AT82" s="232">
        <f ca="1">SUMIF('SBR Oct11'!$D$4:$S$90,'Apr11-Mar12 Billed-RETAIL'!$C82,'SBR Oct11'!$O$4:$O$90)</f>
        <v>0</v>
      </c>
      <c r="AU82" s="225">
        <f t="shared" si="65"/>
        <v>0</v>
      </c>
      <c r="AV82" s="225"/>
      <c r="AW82" s="232">
        <f t="shared" ca="1" si="56"/>
        <v>50.71</v>
      </c>
      <c r="AX82" s="232">
        <f t="shared" ca="1" si="68"/>
        <v>50.710000000000008</v>
      </c>
      <c r="AY82" s="233">
        <f t="shared" ca="1" si="61"/>
        <v>1</v>
      </c>
      <c r="AZ82" s="232">
        <f ca="1">SUMIF('SBR Oct11'!$D$4:$S$90,'Apr11-Mar12 Billed-RETAIL'!$C82,'SBR Oct11'!$M$4:$M$90)</f>
        <v>0.6</v>
      </c>
      <c r="BA82" s="232">
        <f ca="1">SUMIF('SBR Oct11'!$D$4:$S$90,'Apr11-Mar12 Billed-RETAIL'!$C82,'SBR Oct11'!$N$4:$N$90)</f>
        <v>17.940000000000001</v>
      </c>
      <c r="BB82" s="232">
        <f ca="1">SUMIF('SBR Oct11'!$D$4:$S$90,'Apr11-Mar12 Billed-RETAIL'!$C82,'SBR Oct11'!$O$4:$O$90)</f>
        <v>0</v>
      </c>
      <c r="BC82" s="232">
        <f ca="1">SUMIF('SBR Oct11'!$D$4:$S$90,'Apr11-Mar12 Billed-RETAIL'!$C82,'SBR Oct11'!$Q$4:$Q$90)</f>
        <v>0</v>
      </c>
      <c r="BD82" s="232">
        <f ca="1">SUMIF('SBR Oct11'!$D$4:$S$90,'Apr11-Mar12 Billed-RETAIL'!$C82,'SBR Oct11'!$K$4:$K$90)</f>
        <v>25</v>
      </c>
      <c r="BE82" s="232">
        <f ca="1">SUMIF('SBR Oct11'!$D$4:$S$90,'Apr11-Mar12 Billed-RETAIL'!$C82,'SBR Oct11'!$L$4:$L$90)</f>
        <v>7.17</v>
      </c>
      <c r="BF82" s="232"/>
    </row>
    <row r="83" spans="1:58" ht="15" customHeight="1" x14ac:dyDescent="0.25">
      <c r="A83" s="196">
        <f t="shared" si="58"/>
        <v>78</v>
      </c>
      <c r="B83" s="211">
        <v>40848</v>
      </c>
      <c r="C83" s="211" t="str">
        <f>+'Retail Rates'!B7</f>
        <v>LGCMG865</v>
      </c>
      <c r="D83" s="197" t="str">
        <f t="shared" si="60"/>
        <v>865</v>
      </c>
      <c r="E83" s="197" t="str">
        <f>VLOOKUP(C83,'Retail Rates'!$B$7:$D$35,3,FALSE)</f>
        <v>AAGS-C</v>
      </c>
      <c r="F83" s="222">
        <f>SUMIFS('Data-Retail'!$G$4:$G$269,'Data-Retail'!$A$4:$A$269,'Apr11-Mar12 Billed-RETAIL'!$B83,'Data-Retail'!$D$4:$D$269,'Apr11-Mar12 Billed-RETAIL'!$C83)</f>
        <v>5</v>
      </c>
      <c r="G83" s="222"/>
      <c r="H83" s="222"/>
      <c r="I83" s="222">
        <f>SUMIFS('Data-Retail'!$H$4:$H$269,'Data-Retail'!$A$4:$A$269,'Apr11-Mar12 Billed-RETAIL'!$B83,'Data-Retail'!$D$4:$D$269,'Apr11-Mar12 Billed-RETAIL'!$C83)</f>
        <v>432445</v>
      </c>
      <c r="J83" s="222">
        <f>SUMIFS('Data-Retail'!$I$4:$I$269,'Data-Retail'!$A$4:$A$269,'Apr11-Mar12 Billed-RETAIL'!$B83,'Data-Retail'!$D$4:$D$269,'Apr11-Mar12 Billed-RETAIL'!$C83)</f>
        <v>0</v>
      </c>
      <c r="K83" s="222"/>
      <c r="L83" s="223">
        <f>VLOOKUP($C83,'Retail Rates'!$B$7:$M$35,5,FALSE)</f>
        <v>275</v>
      </c>
      <c r="M83" s="223">
        <f>VLOOKUP($C83,'Retail Rates'!$B$7:$M$35,6,FALSE)</f>
        <v>0</v>
      </c>
      <c r="N83" s="224">
        <f>VLOOKUP($C83,'Retail Rates'!$B$7:$M$35,7,FALSE)</f>
        <v>5.2519999999999997E-2</v>
      </c>
      <c r="O83" s="224">
        <f>VLOOKUP($C83,'Retail Rates'!$B$7:$M$35,8,FALSE)</f>
        <v>0</v>
      </c>
      <c r="P83" s="224">
        <f>VLOOKUP($B83,'GSC-DSM Factors'!$A$1:$B$46,2,FALSE)</f>
        <v>0.51601999999999992</v>
      </c>
      <c r="Q83" s="223">
        <f>VLOOKUP($C83,'Retail Rates'!$B$7:$M$35,9,FALSE)</f>
        <v>0</v>
      </c>
      <c r="R83" s="224">
        <f>VLOOKUP($C83,'Retail Rates'!$B$7:$M$35,10,FALSE)</f>
        <v>0</v>
      </c>
      <c r="S83" s="223">
        <f>VLOOKUP($C83,'Retail Rates'!$B$7:$M$35,11,FALSE)</f>
        <v>0</v>
      </c>
      <c r="T83" s="223"/>
      <c r="U83" s="225">
        <f t="shared" si="67"/>
        <v>1375</v>
      </c>
      <c r="V83" s="225"/>
      <c r="W83" s="225"/>
      <c r="X83" s="225">
        <f t="shared" ref="X83:X88" si="69">+I83*N83</f>
        <v>22712.011399999999</v>
      </c>
      <c r="Y83" s="225">
        <f t="shared" si="53"/>
        <v>0</v>
      </c>
      <c r="Z83" s="225">
        <f>SUM(I83:J83)*P83</f>
        <v>223150.26889999997</v>
      </c>
      <c r="AA83" s="225"/>
      <c r="AB83" s="225"/>
      <c r="AC83" s="225"/>
      <c r="AD83" s="225"/>
      <c r="AE83" s="244">
        <f>SUMIFS(Adjustments!H$5:H$684,Adjustments!$B$5:$B$684,'Apr11-Mar12 Billed-RETAIL'!$B83,Adjustments!$C$5:$C$684,'Apr11-Mar12 Billed-RETAIL'!$C83)</f>
        <v>4</v>
      </c>
      <c r="AF83" s="244">
        <f>SUMIFS(Adjustments!I$5:I$684,Adjustments!$B$5:$B$684,'Apr11-Mar12 Billed-RETAIL'!$B83,Adjustments!$C$5:$C$684,'Apr11-Mar12 Billed-RETAIL'!$C83)</f>
        <v>0</v>
      </c>
      <c r="AG83" s="238">
        <f>SUMIFS(Adjustments!J$5:J$684,Adjustments!$B$5:$B$684,'Apr11-Mar12 Billed-RETAIL'!$B83,Adjustments!$C$5:$C$684,'Apr11-Mar12 Billed-RETAIL'!$C83)</f>
        <v>27.51</v>
      </c>
      <c r="AH83" s="238">
        <f>SUMIFS(Adjustments!K$5:K$684,Adjustments!$B$5:$B$684,'Apr11-Mar12 Billed-RETAIL'!$B83,Adjustments!$C$5:$C$684,'Apr11-Mar12 Billed-RETAIL'!$C83)</f>
        <v>0</v>
      </c>
      <c r="AI83" s="238">
        <f>SUMIFS(Adjustments!L$5:L$684,Adjustments!$B$5:$B$684,'Apr11-Mar12 Billed-RETAIL'!$B83,Adjustments!$C$5:$C$684,'Apr11-Mar12 Billed-RETAIL'!$C83)</f>
        <v>0</v>
      </c>
      <c r="AJ83" s="238">
        <f>SUMIFS(Adjustments!M$5:M$684,Adjustments!$B$5:$B$684,'Apr11-Mar12 Billed-RETAIL'!$B83,Adjustments!$C$5:$C$684,'Apr11-Mar12 Billed-RETAIL'!$C83)</f>
        <v>0</v>
      </c>
      <c r="AK83" s="238">
        <f>SUMIFS(Adjustments!N$5:N$684,Adjustments!$B$5:$B$684,'Apr11-Mar12 Billed-RETAIL'!$B83,Adjustments!$C$5:$C$684,'Apr11-Mar12 Billed-RETAIL'!$C83)</f>
        <v>0</v>
      </c>
      <c r="AL83" s="238">
        <f>SUMIFS(Adjustments!O$5:O$684,Adjustments!$B$5:$B$684,'Apr11-Mar12 Billed-RETAIL'!$B83,Adjustments!$C$5:$C$684,'Apr11-Mar12 Billed-RETAIL'!$C83)</f>
        <v>0</v>
      </c>
      <c r="AM83" s="238">
        <f>SUMIFS(Adjustments!P$5:P$684,Adjustments!$B$5:$B$684,'Apr11-Mar12 Billed-RETAIL'!$B83,Adjustments!$C$5:$C$684,'Apr11-Mar12 Billed-RETAIL'!$C83)</f>
        <v>0</v>
      </c>
      <c r="AN83" s="225">
        <f t="shared" ref="AN83:AN105" si="70">+U83+AG83+(AE83*L83)</f>
        <v>2502.5100000000002</v>
      </c>
      <c r="AO83" s="225">
        <f t="shared" si="62"/>
        <v>0</v>
      </c>
      <c r="AP83" s="225">
        <f t="shared" si="63"/>
        <v>22712.011399999999</v>
      </c>
      <c r="AQ83" s="225">
        <f t="shared" si="64"/>
        <v>0</v>
      </c>
      <c r="AR83" s="232">
        <f ca="1">SUMIF('SBR Nov11'!$D$4:$S$90,'Apr11-Mar12 Billed-RETAIL'!$C83,'SBR Nov11'!$N$4:$N$90)</f>
        <v>239601.62</v>
      </c>
      <c r="AS83" s="232">
        <f ca="1">SUMIF('SBR Nov11'!$D$4:$S$90,'Apr11-Mar12 Billed-RETAIL'!$C83,'SBR Nov11'!$M$4:$M$90)</f>
        <v>415.14</v>
      </c>
      <c r="AT83" s="232">
        <f ca="1">SUMIF('SBR Nov11'!$D$4:$S$90,'Apr11-Mar12 Billed-RETAIL'!$C83,'SBR Nov11'!$O$4:$O$90)</f>
        <v>0</v>
      </c>
      <c r="AU83" s="225">
        <f t="shared" si="65"/>
        <v>0</v>
      </c>
      <c r="AV83" s="225"/>
      <c r="AW83" s="232">
        <f t="shared" ca="1" si="56"/>
        <v>265231.28000000003</v>
      </c>
      <c r="AX83" s="232">
        <f t="shared" ca="1" si="68"/>
        <v>265231.28000000003</v>
      </c>
      <c r="AY83" s="233">
        <f ca="1">IF(AX83=0,0,ROUND(AX83/AW83,6))</f>
        <v>1</v>
      </c>
      <c r="AZ83" s="232">
        <f ca="1">SUMIF('SBR Nov11'!$D$4:$S$90,'Apr11-Mar12 Billed-RETAIL'!$C83,'SBR Nov11'!$M$4:$M$90)</f>
        <v>415.14</v>
      </c>
      <c r="BA83" s="232">
        <f ca="1">SUMIF('SBR Nov11'!$D$4:$S$90,'Apr11-Mar12 Billed-RETAIL'!$C83,'SBR Nov11'!$N$4:$N$90)</f>
        <v>239601.62</v>
      </c>
      <c r="BB83" s="232">
        <f ca="1">SUMIF('SBR Nov11'!$D$4:$S$90,'Apr11-Mar12 Billed-RETAIL'!$C83,'SBR Nov11'!$O$4:$O$90)</f>
        <v>0</v>
      </c>
      <c r="BC83" s="232">
        <f ca="1">SUMIF('SBR Nov11'!$D$4:$S$90,'Apr11-Mar12 Billed-RETAIL'!$C83,'SBR Nov11'!$Q$4:$Q$90)</f>
        <v>0</v>
      </c>
      <c r="BD83" s="232">
        <f ca="1">SUMIF('SBR Nov11'!$D$4:$S$90,'Apr11-Mar12 Billed-RETAIL'!$C83,'SBR Nov11'!$K$4:$K$90)</f>
        <v>2502.5100000000002</v>
      </c>
      <c r="BE83" s="232">
        <f ca="1">SUMIF('SBR Nov11'!$D$4:$S$90,'Apr11-Mar12 Billed-RETAIL'!$C83,'SBR Nov11'!$L$4:$L$90)</f>
        <v>22712.01</v>
      </c>
      <c r="BF83" s="232"/>
    </row>
    <row r="84" spans="1:58" ht="15" customHeight="1" x14ac:dyDescent="0.25">
      <c r="A84" s="196">
        <f t="shared" si="58"/>
        <v>79</v>
      </c>
      <c r="B84" s="211">
        <v>40848</v>
      </c>
      <c r="C84" s="211" t="str">
        <f>+'Retail Rates'!B10</f>
        <v>LGING866</v>
      </c>
      <c r="D84" s="197" t="str">
        <f t="shared" ref="D84:D94" si="71">MID(C84,6,3)</f>
        <v>866</v>
      </c>
      <c r="E84" s="197" t="str">
        <f>VLOOKUP(C84,'Retail Rates'!$B$7:$D$35,3,FALSE)</f>
        <v>AAGS-I</v>
      </c>
      <c r="F84" s="222">
        <f>SUMIFS('Data-Retail'!$G$4:$G$269,'Data-Retail'!$A$4:$A$269,'Apr11-Mar12 Billed-RETAIL'!$B84,'Data-Retail'!$D$4:$D$269,'Apr11-Mar12 Billed-RETAIL'!$C84)</f>
        <v>7</v>
      </c>
      <c r="G84" s="222"/>
      <c r="H84" s="222"/>
      <c r="I84" s="222">
        <f>SUMIFS('Data-Retail'!$H$4:$H$269,'Data-Retail'!$A$4:$A$269,'Apr11-Mar12 Billed-RETAIL'!$B84,'Data-Retail'!$D$4:$D$269,'Apr11-Mar12 Billed-RETAIL'!$C84)</f>
        <v>138515</v>
      </c>
      <c r="J84" s="222">
        <f>SUMIFS('Data-Retail'!$I$4:$I$269,'Data-Retail'!$A$4:$A$269,'Apr11-Mar12 Billed-RETAIL'!$B84,'Data-Retail'!$D$4:$D$269,'Apr11-Mar12 Billed-RETAIL'!$C84)</f>
        <v>0</v>
      </c>
      <c r="K84" s="222"/>
      <c r="L84" s="223">
        <f>VLOOKUP($C84,'Retail Rates'!$B$7:$M$35,5,FALSE)</f>
        <v>275</v>
      </c>
      <c r="M84" s="223">
        <f>VLOOKUP($C84,'Retail Rates'!$B$7:$M$35,6,FALSE)</f>
        <v>0</v>
      </c>
      <c r="N84" s="224">
        <f>VLOOKUP($C84,'Retail Rates'!$B$7:$M$35,7,FALSE)</f>
        <v>5.2519999999999997E-2</v>
      </c>
      <c r="O84" s="224">
        <f>VLOOKUP($C84,'Retail Rates'!$B$7:$M$35,8,FALSE)</f>
        <v>0</v>
      </c>
      <c r="P84" s="224">
        <f>VLOOKUP($B84,'GSC-DSM Factors'!$A$1:$B$46,2,FALSE)</f>
        <v>0.51601999999999992</v>
      </c>
      <c r="Q84" s="223">
        <f>VLOOKUP($C84,'Retail Rates'!$B$7:$M$35,9,FALSE)</f>
        <v>0</v>
      </c>
      <c r="R84" s="224">
        <f>VLOOKUP($C84,'Retail Rates'!$B$7:$M$35,10,FALSE)</f>
        <v>0</v>
      </c>
      <c r="S84" s="223">
        <f>VLOOKUP($C84,'Retail Rates'!$B$7:$M$35,11,FALSE)</f>
        <v>0</v>
      </c>
      <c r="T84" s="223"/>
      <c r="U84" s="225">
        <f t="shared" si="67"/>
        <v>1925</v>
      </c>
      <c r="V84" s="225"/>
      <c r="W84" s="225"/>
      <c r="X84" s="225">
        <f t="shared" si="69"/>
        <v>7274.8077999999996</v>
      </c>
      <c r="Y84" s="225">
        <f t="shared" ref="Y84:Y107" si="72">+J84*O84</f>
        <v>0</v>
      </c>
      <c r="Z84" s="225">
        <f>SUM(I84:J84)*P84</f>
        <v>71476.510299999994</v>
      </c>
      <c r="AA84" s="225"/>
      <c r="AB84" s="225"/>
      <c r="AC84" s="225"/>
      <c r="AD84" s="225"/>
      <c r="AE84" s="244">
        <f>SUMIFS(Adjustments!H$5:H$684,Adjustments!$B$5:$B$684,'Apr11-Mar12 Billed-RETAIL'!$B84,Adjustments!$C$5:$C$684,'Apr11-Mar12 Billed-RETAIL'!$C84)</f>
        <v>1</v>
      </c>
      <c r="AF84" s="244">
        <f>SUMIFS(Adjustments!I$5:I$684,Adjustments!$B$5:$B$684,'Apr11-Mar12 Billed-RETAIL'!$B84,Adjustments!$C$5:$C$684,'Apr11-Mar12 Billed-RETAIL'!$C84)</f>
        <v>0</v>
      </c>
      <c r="AG84" s="238">
        <f>SUMIFS(Adjustments!J$5:J$684,Adjustments!$B$5:$B$684,'Apr11-Mar12 Billed-RETAIL'!$B84,Adjustments!$C$5:$C$684,'Apr11-Mar12 Billed-RETAIL'!$C84)</f>
        <v>0</v>
      </c>
      <c r="AH84" s="238">
        <f>SUMIFS(Adjustments!K$5:K$684,Adjustments!$B$5:$B$684,'Apr11-Mar12 Billed-RETAIL'!$B84,Adjustments!$C$5:$C$684,'Apr11-Mar12 Billed-RETAIL'!$C84)</f>
        <v>0</v>
      </c>
      <c r="AI84" s="238">
        <f>SUMIFS(Adjustments!L$5:L$684,Adjustments!$B$5:$B$684,'Apr11-Mar12 Billed-RETAIL'!$B84,Adjustments!$C$5:$C$684,'Apr11-Mar12 Billed-RETAIL'!$C84)</f>
        <v>0</v>
      </c>
      <c r="AJ84" s="238">
        <f>SUMIFS(Adjustments!M$5:M$684,Adjustments!$B$5:$B$684,'Apr11-Mar12 Billed-RETAIL'!$B84,Adjustments!$C$5:$C$684,'Apr11-Mar12 Billed-RETAIL'!$C84)</f>
        <v>0</v>
      </c>
      <c r="AK84" s="238">
        <f>SUMIFS(Adjustments!N$5:N$684,Adjustments!$B$5:$B$684,'Apr11-Mar12 Billed-RETAIL'!$B84,Adjustments!$C$5:$C$684,'Apr11-Mar12 Billed-RETAIL'!$C84)</f>
        <v>0</v>
      </c>
      <c r="AL84" s="238">
        <f>SUMIFS(Adjustments!O$5:O$684,Adjustments!$B$5:$B$684,'Apr11-Mar12 Billed-RETAIL'!$B84,Adjustments!$C$5:$C$684,'Apr11-Mar12 Billed-RETAIL'!$C84)</f>
        <v>0</v>
      </c>
      <c r="AM84" s="238">
        <f>SUMIFS(Adjustments!P$5:P$684,Adjustments!$B$5:$B$684,'Apr11-Mar12 Billed-RETAIL'!$B84,Adjustments!$C$5:$C$684,'Apr11-Mar12 Billed-RETAIL'!$C84)</f>
        <v>0</v>
      </c>
      <c r="AN84" s="225">
        <f t="shared" si="70"/>
        <v>2200</v>
      </c>
      <c r="AO84" s="225">
        <f t="shared" si="62"/>
        <v>0</v>
      </c>
      <c r="AP84" s="225">
        <f t="shared" si="63"/>
        <v>7274.8077999999996</v>
      </c>
      <c r="AQ84" s="225">
        <f t="shared" si="64"/>
        <v>0</v>
      </c>
      <c r="AR84" s="232">
        <f ca="1">SUMIF('SBR Nov11'!$D$4:$S$90,'Apr11-Mar12 Billed-RETAIL'!$C84,'SBR Nov11'!$N$4:$N$90)</f>
        <v>72991.819999999992</v>
      </c>
      <c r="AS84" s="232">
        <f ca="1">SUMIF('SBR Nov11'!$D$4:$S$90,'Apr11-Mar12 Billed-RETAIL'!$C84,'SBR Nov11'!$M$4:$M$90)</f>
        <v>0</v>
      </c>
      <c r="AT84" s="232">
        <f ca="1">SUMIF('SBR Nov11'!$D$4:$S$90,'Apr11-Mar12 Billed-RETAIL'!$C84,'SBR Nov11'!$O$4:$O$90)</f>
        <v>0</v>
      </c>
      <c r="AU84" s="225">
        <f t="shared" si="65"/>
        <v>0</v>
      </c>
      <c r="AV84" s="225"/>
      <c r="AW84" s="232">
        <f t="shared" ca="1" si="56"/>
        <v>82466.63</v>
      </c>
      <c r="AX84" s="232">
        <f t="shared" ca="1" si="68"/>
        <v>82466.62999999999</v>
      </c>
      <c r="AY84" s="233">
        <f t="shared" ref="AY84:AY104" ca="1" si="73">IF(AX84=0,0,ROUND(AX84/AW84,6))</f>
        <v>1</v>
      </c>
      <c r="AZ84" s="232">
        <f ca="1">SUMIF('SBR Nov11'!$D$4:$S$90,'Apr11-Mar12 Billed-RETAIL'!$C84,'SBR Nov11'!$M$4:$M$90)</f>
        <v>0</v>
      </c>
      <c r="BA84" s="232">
        <f ca="1">SUMIF('SBR Nov11'!$D$4:$S$90,'Apr11-Mar12 Billed-RETAIL'!$C84,'SBR Nov11'!$N$4:$N$90)</f>
        <v>72991.819999999992</v>
      </c>
      <c r="BB84" s="232">
        <f ca="1">SUMIF('SBR Nov11'!$D$4:$S$90,'Apr11-Mar12 Billed-RETAIL'!$C84,'SBR Nov11'!$O$4:$O$90)</f>
        <v>0</v>
      </c>
      <c r="BC84" s="232">
        <f ca="1">SUMIF('SBR Nov11'!$D$4:$S$90,'Apr11-Mar12 Billed-RETAIL'!$C84,'SBR Nov11'!$Q$4:$Q$90)</f>
        <v>0</v>
      </c>
      <c r="BD84" s="232">
        <f ca="1">SUMIF('SBR Nov11'!$D$4:$S$90,'Apr11-Mar12 Billed-RETAIL'!$C84,'SBR Nov11'!$K$4:$K$90)</f>
        <v>2200</v>
      </c>
      <c r="BE84" s="232">
        <f ca="1">SUMIF('SBR Nov11'!$D$4:$S$90,'Apr11-Mar12 Billed-RETAIL'!$C84,'SBR Nov11'!$L$4:$L$90)</f>
        <v>7274.8099999999995</v>
      </c>
      <c r="BF84" s="232"/>
    </row>
    <row r="85" spans="1:58" ht="15" x14ac:dyDescent="0.25">
      <c r="A85" s="196">
        <f t="shared" si="58"/>
        <v>80</v>
      </c>
      <c r="B85" s="211">
        <v>40848</v>
      </c>
      <c r="C85" s="211" t="str">
        <f>+'Retail Rates'!B13</f>
        <v>LGCMG851</v>
      </c>
      <c r="D85" s="197" t="str">
        <f t="shared" si="71"/>
        <v>851</v>
      </c>
      <c r="E85" s="197" t="str">
        <f>VLOOKUP(C85,'Retail Rates'!$B$7:$D$35,3,FALSE)</f>
        <v>CGS</v>
      </c>
      <c r="F85" s="222"/>
      <c r="G85" s="222">
        <f>SUMIFS(Adjustments!F$5:F$151,Adjustments!$B$5:$B$151,'Apr11-Mar12 Billed-RETAIL'!$B85,Adjustments!$C$5:$C$151,'Apr11-Mar12 Billed-RETAIL'!$C85)</f>
        <v>23209</v>
      </c>
      <c r="H85" s="222">
        <f>SUMIFS(Adjustments!G$5:G$151,Adjustments!$B$5:$B$151,'Apr11-Mar12 Billed-RETAIL'!$B85,Adjustments!$C$5:$C$151,'Apr11-Mar12 Billed-RETAIL'!$C85)</f>
        <v>1029</v>
      </c>
      <c r="I85" s="222">
        <f>SUMIFS('Data-Retail'!$H$4:$H$269,'Data-Retail'!$A$4:$A$269,'Apr11-Mar12 Billed-RETAIL'!$B85,'Data-Retail'!$D$4:$D$269,'Apr11-Mar12 Billed-RETAIL'!$C85)</f>
        <v>6194883</v>
      </c>
      <c r="J85" s="222">
        <f>SUMIFS('Data-Retail'!$I$4:$I$269,'Data-Retail'!$A$4:$A$269,'Apr11-Mar12 Billed-RETAIL'!$B85,'Data-Retail'!$D$4:$D$269,'Apr11-Mar12 Billed-RETAIL'!$C85)</f>
        <v>-282589</v>
      </c>
      <c r="K85" s="222"/>
      <c r="L85" s="223">
        <f>VLOOKUP($C85,'Retail Rates'!$B$7:$M$35,5,FALSE)</f>
        <v>30</v>
      </c>
      <c r="M85" s="223">
        <f>VLOOKUP($C85,'Retail Rates'!$B$7:$M$35,6,FALSE)</f>
        <v>170</v>
      </c>
      <c r="N85" s="224">
        <f>VLOOKUP($C85,'Retail Rates'!$B$7:$M$35,7,FALSE)</f>
        <v>0.18722</v>
      </c>
      <c r="O85" s="224">
        <f>VLOOKUP($C85,'Retail Rates'!$B$7:$M$35,8,FALSE)</f>
        <v>0.13722000000000001</v>
      </c>
      <c r="P85" s="224">
        <f>VLOOKUP($B85,'GSC-DSM Factors'!$A$1:$B$46,2,FALSE)</f>
        <v>0.51601999999999992</v>
      </c>
      <c r="Q85" s="223">
        <f>VLOOKUP($C85,'Retail Rates'!$B$7:$M$35,9,FALSE)</f>
        <v>0</v>
      </c>
      <c r="R85" s="224">
        <f>VLOOKUP($C85,'Retail Rates'!$B$7:$M$35,10,FALSE)</f>
        <v>0</v>
      </c>
      <c r="S85" s="223">
        <f>VLOOKUP($C85,'Retail Rates'!$B$7:$M$35,11,FALSE)</f>
        <v>0</v>
      </c>
      <c r="T85" s="223"/>
      <c r="U85" s="225">
        <f t="shared" si="67"/>
        <v>696270</v>
      </c>
      <c r="V85" s="225"/>
      <c r="W85" s="225">
        <f>+H85*M85</f>
        <v>174930</v>
      </c>
      <c r="X85" s="225">
        <f t="shared" si="69"/>
        <v>1159805.99526</v>
      </c>
      <c r="Y85" s="225">
        <f t="shared" si="72"/>
        <v>-38776.862580000001</v>
      </c>
      <c r="Z85" s="225">
        <f>SUM(I85:J85)*P85</f>
        <v>3050861.9498799997</v>
      </c>
      <c r="AA85" s="225"/>
      <c r="AB85" s="225"/>
      <c r="AC85" s="225"/>
      <c r="AD85" s="225"/>
      <c r="AE85" s="244">
        <f>SUMIFS(Adjustments!H$5:H$684,Adjustments!$B$5:$B$684,'Apr11-Mar12 Billed-RETAIL'!$B85,Adjustments!$C$5:$C$684,'Apr11-Mar12 Billed-RETAIL'!$C85)</f>
        <v>0</v>
      </c>
      <c r="AF85" s="244">
        <f>SUMIFS(Adjustments!I$5:I$684,Adjustments!$B$5:$B$684,'Apr11-Mar12 Billed-RETAIL'!$B85,Adjustments!$C$5:$C$684,'Apr11-Mar12 Billed-RETAIL'!$C85)</f>
        <v>0</v>
      </c>
      <c r="AG85" s="238">
        <f>SUMIFS(Adjustments!J$5:J$684,Adjustments!$B$5:$B$684,'Apr11-Mar12 Billed-RETAIL'!$B85,Adjustments!$C$5:$C$684,'Apr11-Mar12 Billed-RETAIL'!$C85)</f>
        <v>175.21</v>
      </c>
      <c r="AH85" s="238">
        <f>SUMIFS(Adjustments!K$5:K$684,Adjustments!$B$5:$B$684,'Apr11-Mar12 Billed-RETAIL'!$B85,Adjustments!$C$5:$C$684,'Apr11-Mar12 Billed-RETAIL'!$C85)</f>
        <v>102</v>
      </c>
      <c r="AI85" s="238">
        <f>SUMIFS(Adjustments!L$5:L$684,Adjustments!$B$5:$B$684,'Apr11-Mar12 Billed-RETAIL'!$B85,Adjustments!$C$5:$C$684,'Apr11-Mar12 Billed-RETAIL'!$C85)</f>
        <v>-17.829999999999998</v>
      </c>
      <c r="AJ85" s="238">
        <f>SUMIFS(Adjustments!M$5:M$684,Adjustments!$B$5:$B$684,'Apr11-Mar12 Billed-RETAIL'!$B85,Adjustments!$C$5:$C$684,'Apr11-Mar12 Billed-RETAIL'!$C85)</f>
        <v>0</v>
      </c>
      <c r="AK85" s="238">
        <f>SUMIFS(Adjustments!N$5:N$684,Adjustments!$B$5:$B$684,'Apr11-Mar12 Billed-RETAIL'!$B85,Adjustments!$C$5:$C$684,'Apr11-Mar12 Billed-RETAIL'!$C85)</f>
        <v>0</v>
      </c>
      <c r="AL85" s="238">
        <f>SUMIFS(Adjustments!O$5:O$684,Adjustments!$B$5:$B$684,'Apr11-Mar12 Billed-RETAIL'!$B85,Adjustments!$C$5:$C$684,'Apr11-Mar12 Billed-RETAIL'!$C85)</f>
        <v>0</v>
      </c>
      <c r="AM85" s="238">
        <f>SUMIFS(Adjustments!P$5:P$684,Adjustments!$B$5:$B$684,'Apr11-Mar12 Billed-RETAIL'!$B85,Adjustments!$C$5:$C$684,'Apr11-Mar12 Billed-RETAIL'!$C85)</f>
        <v>0</v>
      </c>
      <c r="AN85" s="225">
        <f t="shared" si="70"/>
        <v>696445.21</v>
      </c>
      <c r="AO85" s="225">
        <f t="shared" si="62"/>
        <v>175032</v>
      </c>
      <c r="AP85" s="225">
        <f t="shared" si="63"/>
        <v>1159788.1652599999</v>
      </c>
      <c r="AQ85" s="225">
        <f t="shared" si="64"/>
        <v>-38776.862580000001</v>
      </c>
      <c r="AR85" s="232">
        <f ca="1">SUMIF('SBR Nov11'!$D$4:$S$90,'Apr11-Mar12 Billed-RETAIL'!$C85,'SBR Nov11'!$N$4:$N$90)</f>
        <v>3172685.4299999997</v>
      </c>
      <c r="AS85" s="232">
        <f ca="1">SUMIF('SBR Nov11'!$D$4:$S$90,'Apr11-Mar12 Billed-RETAIL'!$C85,'SBR Nov11'!$M$4:$M$90)</f>
        <v>5671.6</v>
      </c>
      <c r="AT85" s="232">
        <f ca="1">SUMIF('SBR Nov11'!$D$4:$S$90,'Apr11-Mar12 Billed-RETAIL'!$C85,'SBR Nov11'!$O$4:$O$90)</f>
        <v>71006.350000000006</v>
      </c>
      <c r="AU85" s="225">
        <f t="shared" si="65"/>
        <v>0</v>
      </c>
      <c r="AV85" s="225"/>
      <c r="AW85" s="232">
        <f t="shared" ca="1" si="56"/>
        <v>5241851.8899999997</v>
      </c>
      <c r="AX85" s="232">
        <f t="shared" ca="1" si="68"/>
        <v>5241851.8899999997</v>
      </c>
      <c r="AY85" s="233">
        <f t="shared" ca="1" si="73"/>
        <v>1</v>
      </c>
      <c r="AZ85" s="232">
        <f ca="1">SUMIF('SBR Nov11'!$D$4:$S$90,'Apr11-Mar12 Billed-RETAIL'!$C85,'SBR Nov11'!$M$4:$M$90)</f>
        <v>5671.6</v>
      </c>
      <c r="BA85" s="232">
        <f ca="1">SUMIF('SBR Nov11'!$D$4:$S$90,'Apr11-Mar12 Billed-RETAIL'!$C85,'SBR Nov11'!$N$4:$N$90)</f>
        <v>3172685.4299999997</v>
      </c>
      <c r="BB85" s="232">
        <f ca="1">SUMIF('SBR Nov11'!$D$4:$S$90,'Apr11-Mar12 Billed-RETAIL'!$C85,'SBR Nov11'!$O$4:$O$90)</f>
        <v>71006.350000000006</v>
      </c>
      <c r="BC85" s="232">
        <f ca="1">SUMIF('SBR Nov11'!$D$4:$S$90,'Apr11-Mar12 Billed-RETAIL'!$C85,'SBR Nov11'!$Q$4:$Q$90)</f>
        <v>0</v>
      </c>
      <c r="BD85" s="232">
        <f ca="1">SUMIF('SBR Nov11'!$D$4:$S$90,'Apr11-Mar12 Billed-RETAIL'!$C85,'SBR Nov11'!$K$4:$K$90)</f>
        <v>871477.21</v>
      </c>
      <c r="BE85" s="232">
        <f ca="1">SUMIF('SBR Nov11'!$D$4:$S$90,'Apr11-Mar12 Billed-RETAIL'!$C85,'SBR Nov11'!$L$4:$L$90)</f>
        <v>1121011.3</v>
      </c>
      <c r="BF85" s="232"/>
    </row>
    <row r="86" spans="1:58" ht="15" x14ac:dyDescent="0.25">
      <c r="A86" s="196">
        <f t="shared" si="58"/>
        <v>81</v>
      </c>
      <c r="B86" s="211">
        <v>40848</v>
      </c>
      <c r="C86" s="211" t="str">
        <f>+'Retail Rates'!B14</f>
        <v>LGUMG860</v>
      </c>
      <c r="D86" s="197" t="str">
        <f t="shared" si="71"/>
        <v>860</v>
      </c>
      <c r="E86" s="197" t="str">
        <f>VLOOKUP(C86,'Retail Rates'!$B$7:$D$35,3,FALSE)</f>
        <v>CGS</v>
      </c>
      <c r="F86" s="222"/>
      <c r="G86" s="222">
        <f>SUMIFS(Adjustments!F$5:F$151,Adjustments!$B$5:$B$151,'Apr11-Mar12 Billed-RETAIL'!$B86,Adjustments!$C$5:$C$151,'Apr11-Mar12 Billed-RETAIL'!$C86)</f>
        <v>19</v>
      </c>
      <c r="H86" s="222">
        <f>SUMIFS(Adjustments!G$5:G$151,Adjustments!$B$5:$B$151,'Apr11-Mar12 Billed-RETAIL'!$B86,Adjustments!$C$5:$C$151,'Apr11-Mar12 Billed-RETAIL'!$C86)</f>
        <v>0</v>
      </c>
      <c r="I86" s="222">
        <f>SUMIFS('Data-Retail'!$H$4:$H$269,'Data-Retail'!$A$4:$A$269,'Apr11-Mar12 Billed-RETAIL'!$B86,'Data-Retail'!$D$4:$D$269,'Apr11-Mar12 Billed-RETAIL'!$C86)</f>
        <v>358</v>
      </c>
      <c r="J86" s="222">
        <f>SUMIFS('Data-Retail'!$I$4:$I$269,'Data-Retail'!$A$4:$A$269,'Apr11-Mar12 Billed-RETAIL'!$B86,'Data-Retail'!$D$4:$D$269,'Apr11-Mar12 Billed-RETAIL'!$C86)</f>
        <v>0</v>
      </c>
      <c r="K86" s="222"/>
      <c r="L86" s="223">
        <f>VLOOKUP($C86,'Retail Rates'!$B$7:$M$35,5,FALSE)</f>
        <v>30</v>
      </c>
      <c r="M86" s="223">
        <f>VLOOKUP($C86,'Retail Rates'!$B$7:$M$35,6,FALSE)</f>
        <v>170</v>
      </c>
      <c r="N86" s="224">
        <f>VLOOKUP($C86,'Retail Rates'!$B$7:$M$35,7,FALSE)</f>
        <v>0.18722</v>
      </c>
      <c r="O86" s="224">
        <f>VLOOKUP($C86,'Retail Rates'!$B$7:$M$35,8,FALSE)</f>
        <v>0.13722000000000001</v>
      </c>
      <c r="P86" s="224">
        <f>VLOOKUP($B86,'GSC-DSM Factors'!$A$1:$B$46,2,FALSE)</f>
        <v>0.51601999999999992</v>
      </c>
      <c r="Q86" s="223">
        <f>VLOOKUP($C86,'Retail Rates'!$B$7:$M$35,9,FALSE)</f>
        <v>0</v>
      </c>
      <c r="R86" s="224">
        <f>VLOOKUP($C86,'Retail Rates'!$B$7:$M$35,10,FALSE)</f>
        <v>0</v>
      </c>
      <c r="S86" s="223">
        <f>VLOOKUP($C86,'Retail Rates'!$B$7:$M$35,11,FALSE)</f>
        <v>0</v>
      </c>
      <c r="T86" s="223"/>
      <c r="U86" s="225">
        <f t="shared" si="67"/>
        <v>570</v>
      </c>
      <c r="V86" s="225"/>
      <c r="W86" s="225">
        <f>+H86*M86</f>
        <v>0</v>
      </c>
      <c r="X86" s="225">
        <f t="shared" si="69"/>
        <v>67.024760000000001</v>
      </c>
      <c r="Y86" s="225">
        <f t="shared" si="72"/>
        <v>0</v>
      </c>
      <c r="Z86" s="225">
        <f>SUM(I86:J86)*P86</f>
        <v>184.73515999999998</v>
      </c>
      <c r="AA86" s="225"/>
      <c r="AB86" s="225"/>
      <c r="AC86" s="225"/>
      <c r="AD86" s="225"/>
      <c r="AE86" s="244">
        <f>SUMIFS(Adjustments!H$5:H$684,Adjustments!$B$5:$B$684,'Apr11-Mar12 Billed-RETAIL'!$B86,Adjustments!$C$5:$C$684,'Apr11-Mar12 Billed-RETAIL'!$C86)</f>
        <v>0</v>
      </c>
      <c r="AF86" s="244">
        <f>SUMIFS(Adjustments!I$5:I$684,Adjustments!$B$5:$B$684,'Apr11-Mar12 Billed-RETAIL'!$B86,Adjustments!$C$5:$C$684,'Apr11-Mar12 Billed-RETAIL'!$C86)</f>
        <v>0</v>
      </c>
      <c r="AG86" s="238">
        <f>SUMIFS(Adjustments!J$5:J$684,Adjustments!$B$5:$B$684,'Apr11-Mar12 Billed-RETAIL'!$B86,Adjustments!$C$5:$C$684,'Apr11-Mar12 Billed-RETAIL'!$C86)</f>
        <v>0</v>
      </c>
      <c r="AH86" s="238">
        <f>SUMIFS(Adjustments!K$5:K$684,Adjustments!$B$5:$B$684,'Apr11-Mar12 Billed-RETAIL'!$B86,Adjustments!$C$5:$C$684,'Apr11-Mar12 Billed-RETAIL'!$C86)</f>
        <v>0</v>
      </c>
      <c r="AI86" s="238">
        <f>SUMIFS(Adjustments!L$5:L$684,Adjustments!$B$5:$B$684,'Apr11-Mar12 Billed-RETAIL'!$B86,Adjustments!$C$5:$C$684,'Apr11-Mar12 Billed-RETAIL'!$C86)</f>
        <v>0</v>
      </c>
      <c r="AJ86" s="238">
        <f>SUMIFS(Adjustments!M$5:M$684,Adjustments!$B$5:$B$684,'Apr11-Mar12 Billed-RETAIL'!$B86,Adjustments!$C$5:$C$684,'Apr11-Mar12 Billed-RETAIL'!$C86)</f>
        <v>0</v>
      </c>
      <c r="AK86" s="238">
        <f>SUMIFS(Adjustments!N$5:N$684,Adjustments!$B$5:$B$684,'Apr11-Mar12 Billed-RETAIL'!$B86,Adjustments!$C$5:$C$684,'Apr11-Mar12 Billed-RETAIL'!$C86)</f>
        <v>0</v>
      </c>
      <c r="AL86" s="238">
        <f>SUMIFS(Adjustments!O$5:O$684,Adjustments!$B$5:$B$684,'Apr11-Mar12 Billed-RETAIL'!$B86,Adjustments!$C$5:$C$684,'Apr11-Mar12 Billed-RETAIL'!$C86)</f>
        <v>0</v>
      </c>
      <c r="AM86" s="238">
        <f>SUMIFS(Adjustments!P$5:P$684,Adjustments!$B$5:$B$684,'Apr11-Mar12 Billed-RETAIL'!$B86,Adjustments!$C$5:$C$684,'Apr11-Mar12 Billed-RETAIL'!$C86)</f>
        <v>0</v>
      </c>
      <c r="AN86" s="225">
        <f t="shared" si="70"/>
        <v>570</v>
      </c>
      <c r="AO86" s="225">
        <f t="shared" si="62"/>
        <v>0</v>
      </c>
      <c r="AP86" s="225">
        <f t="shared" si="63"/>
        <v>67.024760000000001</v>
      </c>
      <c r="AQ86" s="225">
        <f t="shared" si="64"/>
        <v>0</v>
      </c>
      <c r="AR86" s="232">
        <f ca="1">SUMIF('SBR Nov11'!$D$4:$S$90,'Apr11-Mar12 Billed-RETAIL'!$C86,'SBR Nov11'!$N$4:$N$90)</f>
        <v>188.83</v>
      </c>
      <c r="AS86" s="232">
        <f ca="1">SUMIF('SBR Nov11'!$D$4:$S$90,'Apr11-Mar12 Billed-RETAIL'!$C86,'SBR Nov11'!$M$4:$M$90)</f>
        <v>0.33999999999999997</v>
      </c>
      <c r="AT86" s="232">
        <f ca="1">SUMIF('SBR Nov11'!$D$4:$S$90,'Apr11-Mar12 Billed-RETAIL'!$C86,'SBR Nov11'!$O$4:$O$90)</f>
        <v>0</v>
      </c>
      <c r="AU86" s="225">
        <f t="shared" si="65"/>
        <v>0</v>
      </c>
      <c r="AV86" s="225"/>
      <c r="AW86" s="232">
        <f t="shared" ref="AW86:AW109" ca="1" si="74">ROUND(SUM(AN86:AV86),2)</f>
        <v>826.19</v>
      </c>
      <c r="AX86" s="232">
        <f t="shared" ca="1" si="68"/>
        <v>826.19</v>
      </c>
      <c r="AY86" s="233">
        <f t="shared" ca="1" si="73"/>
        <v>1</v>
      </c>
      <c r="AZ86" s="232">
        <f ca="1">SUMIF('SBR Nov11'!$D$4:$S$90,'Apr11-Mar12 Billed-RETAIL'!$C86,'SBR Nov11'!$M$4:$M$90)</f>
        <v>0.33999999999999997</v>
      </c>
      <c r="BA86" s="232">
        <f ca="1">SUMIF('SBR Nov11'!$D$4:$S$90,'Apr11-Mar12 Billed-RETAIL'!$C86,'SBR Nov11'!$N$4:$N$90)</f>
        <v>188.83</v>
      </c>
      <c r="BB86" s="232">
        <f ca="1">SUMIF('SBR Nov11'!$D$4:$S$90,'Apr11-Mar12 Billed-RETAIL'!$C86,'SBR Nov11'!$O$4:$O$90)</f>
        <v>0</v>
      </c>
      <c r="BC86" s="232">
        <f ca="1">SUMIF('SBR Nov11'!$D$4:$S$90,'Apr11-Mar12 Billed-RETAIL'!$C86,'SBR Nov11'!$Q$4:$Q$90)</f>
        <v>0</v>
      </c>
      <c r="BD86" s="232">
        <f ca="1">SUMIF('SBR Nov11'!$D$4:$S$90,'Apr11-Mar12 Billed-RETAIL'!$C86,'SBR Nov11'!$K$4:$K$90)</f>
        <v>570</v>
      </c>
      <c r="BE86" s="232">
        <f ca="1">SUMIF('SBR Nov11'!$D$4:$S$90,'Apr11-Mar12 Billed-RETAIL'!$C86,'SBR Nov11'!$L$4:$L$90)</f>
        <v>67.02</v>
      </c>
      <c r="BF86" s="232"/>
    </row>
    <row r="87" spans="1:58" ht="15" x14ac:dyDescent="0.25">
      <c r="A87" s="196">
        <f t="shared" si="58"/>
        <v>82</v>
      </c>
      <c r="B87" s="211">
        <v>40848</v>
      </c>
      <c r="C87" s="211" t="str">
        <f>+'Retail Rates'!B15</f>
        <v>LGUMG861</v>
      </c>
      <c r="D87" s="197" t="str">
        <f t="shared" si="71"/>
        <v>861</v>
      </c>
      <c r="E87" s="197" t="str">
        <f>VLOOKUP(C87,'Retail Rates'!$B$7:$D$35,3,FALSE)</f>
        <v>CGS</v>
      </c>
      <c r="F87" s="222"/>
      <c r="G87" s="222">
        <f>SUMIFS(Adjustments!F$5:F$151,Adjustments!$B$5:$B$151,'Apr11-Mar12 Billed-RETAIL'!$B87,Adjustments!$C$5:$C$151,'Apr11-Mar12 Billed-RETAIL'!$C87)</f>
        <v>620</v>
      </c>
      <c r="H87" s="222">
        <f>SUMIFS(Adjustments!G$5:G$151,Adjustments!$B$5:$B$151,'Apr11-Mar12 Billed-RETAIL'!$B87,Adjustments!$C$5:$C$151,'Apr11-Mar12 Billed-RETAIL'!$C87)</f>
        <v>0</v>
      </c>
      <c r="I87" s="222">
        <f>SUMIFS('Data-Retail'!$H$4:$H$269,'Data-Retail'!$A$4:$A$269,'Apr11-Mar12 Billed-RETAIL'!$B87,'Data-Retail'!$D$4:$D$269,'Apr11-Mar12 Billed-RETAIL'!$C87)</f>
        <v>613</v>
      </c>
      <c r="J87" s="222">
        <f>SUMIFS('Data-Retail'!$I$4:$I$269,'Data-Retail'!$A$4:$A$269,'Apr11-Mar12 Billed-RETAIL'!$B87,'Data-Retail'!$D$4:$D$269,'Apr11-Mar12 Billed-RETAIL'!$C87)</f>
        <v>0</v>
      </c>
      <c r="K87" s="222"/>
      <c r="L87" s="223">
        <f>VLOOKUP($C87,'Retail Rates'!$B$7:$M$35,5,FALSE)</f>
        <v>30</v>
      </c>
      <c r="M87" s="223">
        <f>VLOOKUP($C87,'Retail Rates'!$B$7:$M$35,6,FALSE)</f>
        <v>170</v>
      </c>
      <c r="N87" s="224">
        <f>VLOOKUP($C87,'Retail Rates'!$B$7:$M$35,7,FALSE)</f>
        <v>0.18722</v>
      </c>
      <c r="O87" s="224">
        <f>VLOOKUP($C87,'Retail Rates'!$B$7:$M$35,8,FALSE)</f>
        <v>0.13722000000000001</v>
      </c>
      <c r="P87" s="224">
        <f>VLOOKUP($B87,'GSC-DSM Factors'!$A$1:$B$46,2,FALSE)</f>
        <v>0.51601999999999992</v>
      </c>
      <c r="Q87" s="223">
        <f>VLOOKUP($C87,'Retail Rates'!$B$7:$M$35,9,FALSE)</f>
        <v>0</v>
      </c>
      <c r="R87" s="224">
        <f>VLOOKUP($C87,'Retail Rates'!$B$7:$M$35,10,FALSE)</f>
        <v>0</v>
      </c>
      <c r="S87" s="223">
        <f>VLOOKUP($C87,'Retail Rates'!$B$7:$M$35,11,FALSE)</f>
        <v>0</v>
      </c>
      <c r="T87" s="223"/>
      <c r="U87" s="225">
        <f t="shared" si="67"/>
        <v>18600</v>
      </c>
      <c r="V87" s="225"/>
      <c r="W87" s="225">
        <f>+H87*M87</f>
        <v>0</v>
      </c>
      <c r="X87" s="225">
        <f t="shared" si="69"/>
        <v>114.76586</v>
      </c>
      <c r="Y87" s="225">
        <f t="shared" si="72"/>
        <v>0</v>
      </c>
      <c r="Z87" s="225">
        <f>SUM(I87:J87)*P87</f>
        <v>316.32025999999996</v>
      </c>
      <c r="AA87" s="225"/>
      <c r="AB87" s="225"/>
      <c r="AC87" s="225"/>
      <c r="AD87" s="225"/>
      <c r="AE87" s="244">
        <f>SUMIFS(Adjustments!H$5:H$684,Adjustments!$B$5:$B$684,'Apr11-Mar12 Billed-RETAIL'!$B87,Adjustments!$C$5:$C$684,'Apr11-Mar12 Billed-RETAIL'!$C87)</f>
        <v>0</v>
      </c>
      <c r="AF87" s="244">
        <f>SUMIFS(Adjustments!I$5:I$684,Adjustments!$B$5:$B$684,'Apr11-Mar12 Billed-RETAIL'!$B87,Adjustments!$C$5:$C$684,'Apr11-Mar12 Billed-RETAIL'!$C87)</f>
        <v>0</v>
      </c>
      <c r="AG87" s="238">
        <f>SUMIFS(Adjustments!J$5:J$684,Adjustments!$B$5:$B$684,'Apr11-Mar12 Billed-RETAIL'!$B87,Adjustments!$C$5:$C$684,'Apr11-Mar12 Billed-RETAIL'!$C87)</f>
        <v>0</v>
      </c>
      <c r="AH87" s="238">
        <f>SUMIFS(Adjustments!K$5:K$684,Adjustments!$B$5:$B$684,'Apr11-Mar12 Billed-RETAIL'!$B87,Adjustments!$C$5:$C$684,'Apr11-Mar12 Billed-RETAIL'!$C87)</f>
        <v>0</v>
      </c>
      <c r="AI87" s="238">
        <f>SUMIFS(Adjustments!L$5:L$684,Adjustments!$B$5:$B$684,'Apr11-Mar12 Billed-RETAIL'!$B87,Adjustments!$C$5:$C$684,'Apr11-Mar12 Billed-RETAIL'!$C87)</f>
        <v>1.61</v>
      </c>
      <c r="AJ87" s="238">
        <f>SUMIFS(Adjustments!M$5:M$684,Adjustments!$B$5:$B$684,'Apr11-Mar12 Billed-RETAIL'!$B87,Adjustments!$C$5:$C$684,'Apr11-Mar12 Billed-RETAIL'!$C87)</f>
        <v>0</v>
      </c>
      <c r="AK87" s="238">
        <f>SUMIFS(Adjustments!N$5:N$684,Adjustments!$B$5:$B$684,'Apr11-Mar12 Billed-RETAIL'!$B87,Adjustments!$C$5:$C$684,'Apr11-Mar12 Billed-RETAIL'!$C87)</f>
        <v>0</v>
      </c>
      <c r="AL87" s="238">
        <f>SUMIFS(Adjustments!O$5:O$684,Adjustments!$B$5:$B$684,'Apr11-Mar12 Billed-RETAIL'!$B87,Adjustments!$C$5:$C$684,'Apr11-Mar12 Billed-RETAIL'!$C87)</f>
        <v>0</v>
      </c>
      <c r="AM87" s="238">
        <f>SUMIFS(Adjustments!P$5:P$684,Adjustments!$B$5:$B$684,'Apr11-Mar12 Billed-RETAIL'!$B87,Adjustments!$C$5:$C$684,'Apr11-Mar12 Billed-RETAIL'!$C87)</f>
        <v>0</v>
      </c>
      <c r="AN87" s="225">
        <f t="shared" si="70"/>
        <v>18600</v>
      </c>
      <c r="AO87" s="225">
        <f t="shared" si="62"/>
        <v>0</v>
      </c>
      <c r="AP87" s="225">
        <f t="shared" si="63"/>
        <v>116.37586</v>
      </c>
      <c r="AQ87" s="225">
        <f t="shared" si="64"/>
        <v>0</v>
      </c>
      <c r="AR87" s="232">
        <f ca="1">SUMIF('SBR Nov11'!$D$4:$S$90,'Apr11-Mar12 Billed-RETAIL'!$C87,'SBR Nov11'!$N$4:$N$90)</f>
        <v>334.05</v>
      </c>
      <c r="AS87" s="232">
        <f ca="1">SUMIF('SBR Nov11'!$D$4:$S$90,'Apr11-Mar12 Billed-RETAIL'!$C87,'SBR Nov11'!$M$4:$M$90)</f>
        <v>0</v>
      </c>
      <c r="AT87" s="232">
        <f ca="1">SUMIF('SBR Nov11'!$D$4:$S$90,'Apr11-Mar12 Billed-RETAIL'!$C87,'SBR Nov11'!$O$4:$O$90)</f>
        <v>0</v>
      </c>
      <c r="AU87" s="225">
        <f t="shared" si="65"/>
        <v>0</v>
      </c>
      <c r="AV87" s="225"/>
      <c r="AW87" s="232">
        <f t="shared" ca="1" si="74"/>
        <v>19050.43</v>
      </c>
      <c r="AX87" s="232">
        <f t="shared" ca="1" si="68"/>
        <v>19050.43</v>
      </c>
      <c r="AY87" s="233">
        <f t="shared" ca="1" si="73"/>
        <v>1</v>
      </c>
      <c r="AZ87" s="232">
        <f ca="1">SUMIF('SBR Nov11'!$D$4:$S$90,'Apr11-Mar12 Billed-RETAIL'!$C87,'SBR Nov11'!$M$4:$M$90)</f>
        <v>0</v>
      </c>
      <c r="BA87" s="232">
        <f ca="1">SUMIF('SBR Nov11'!$D$4:$S$90,'Apr11-Mar12 Billed-RETAIL'!$C87,'SBR Nov11'!$N$4:$N$90)</f>
        <v>334.05</v>
      </c>
      <c r="BB87" s="232">
        <f ca="1">SUMIF('SBR Nov11'!$D$4:$S$90,'Apr11-Mar12 Billed-RETAIL'!$C87,'SBR Nov11'!$O$4:$O$90)</f>
        <v>0</v>
      </c>
      <c r="BC87" s="232">
        <f ca="1">SUMIF('SBR Nov11'!$D$4:$S$90,'Apr11-Mar12 Billed-RETAIL'!$C87,'SBR Nov11'!$Q$4:$Q$90)</f>
        <v>0</v>
      </c>
      <c r="BD87" s="232">
        <f ca="1">SUMIF('SBR Nov11'!$D$4:$S$90,'Apr11-Mar12 Billed-RETAIL'!$C87,'SBR Nov11'!$K$4:$K$90)</f>
        <v>18600</v>
      </c>
      <c r="BE87" s="232">
        <f ca="1">SUMIF('SBR Nov11'!$D$4:$S$90,'Apr11-Mar12 Billed-RETAIL'!$C87,'SBR Nov11'!$L$4:$L$90)</f>
        <v>116.38</v>
      </c>
      <c r="BF87" s="232"/>
    </row>
    <row r="88" spans="1:58" ht="15" customHeight="1" x14ac:dyDescent="0.25">
      <c r="A88" s="196">
        <f t="shared" si="58"/>
        <v>83</v>
      </c>
      <c r="B88" s="211">
        <v>40848</v>
      </c>
      <c r="C88" s="211" t="str">
        <f>+'Retail Rates'!B18</f>
        <v>LGCMG875</v>
      </c>
      <c r="D88" s="197" t="str">
        <f t="shared" si="71"/>
        <v>875</v>
      </c>
      <c r="E88" s="197" t="str">
        <f>VLOOKUP(C88,'Retail Rates'!$B$7:$D$35,3,FALSE)</f>
        <v>DGGS-C</v>
      </c>
      <c r="F88" s="222">
        <f>SUMIFS('Data-Retail'!$G$4:$G$269,'Data-Retail'!$A$4:$A$269,'Apr11-Mar12 Billed-RETAIL'!$B88,'Data-Retail'!$D$4:$D$269,'Apr11-Mar12 Billed-RETAIL'!$C88)</f>
        <v>0</v>
      </c>
      <c r="G88" s="222"/>
      <c r="H88" s="222"/>
      <c r="I88" s="222">
        <f>SUMIFS('Data-Retail'!$H$4:$H$269,'Data-Retail'!$A$4:$A$269,'Apr11-Mar12 Billed-RETAIL'!$B88,'Data-Retail'!$D$4:$D$269,'Apr11-Mar12 Billed-RETAIL'!$C88)</f>
        <v>0</v>
      </c>
      <c r="J88" s="222">
        <f>SUMIFS('Data-Retail'!$I$4:$I$269,'Data-Retail'!$A$4:$A$269,'Apr11-Mar12 Billed-RETAIL'!$B88,'Data-Retail'!$D$4:$D$269,'Apr11-Mar12 Billed-RETAIL'!$C88)</f>
        <v>0</v>
      </c>
      <c r="K88" s="222"/>
      <c r="L88" s="223">
        <f>VLOOKUP($C88,'Retail Rates'!$B$7:$M$35,5,FALSE)</f>
        <v>30</v>
      </c>
      <c r="M88" s="223">
        <f>VLOOKUP($C88,'Retail Rates'!$B$7:$M$35,6,FALSE)</f>
        <v>170</v>
      </c>
      <c r="N88" s="224">
        <f>VLOOKUP($C88,'Retail Rates'!$B$7:$M$35,7,FALSE)</f>
        <v>2.7439999999999999E-2</v>
      </c>
      <c r="O88" s="224">
        <f>VLOOKUP($C88,'Retail Rates'!$B$7:$M$35,8,FALSE)</f>
        <v>0</v>
      </c>
      <c r="P88" s="224">
        <f>VLOOKUP($B88,'GSC-DSM Factors'!$A$1:$B$46,2,FALSE)</f>
        <v>0.51601999999999992</v>
      </c>
      <c r="Q88" s="223">
        <f>VLOOKUP($C88,'Retail Rates'!$B$7:$M$35,9,FALSE)</f>
        <v>0</v>
      </c>
      <c r="R88" s="224">
        <f>VLOOKUP($C88,'Retail Rates'!$B$7:$M$35,10,FALSE)</f>
        <v>0</v>
      </c>
      <c r="S88" s="223">
        <f>VLOOKUP($C88,'Retail Rates'!$B$7:$M$35,11,FALSE)</f>
        <v>1.0109999999999999</v>
      </c>
      <c r="T88" s="223"/>
      <c r="U88" s="225">
        <f t="shared" si="67"/>
        <v>0</v>
      </c>
      <c r="V88" s="225"/>
      <c r="W88" s="225"/>
      <c r="X88" s="225">
        <f t="shared" si="69"/>
        <v>0</v>
      </c>
      <c r="Y88" s="225">
        <f t="shared" si="72"/>
        <v>0</v>
      </c>
      <c r="Z88" s="225">
        <f t="shared" ref="Z88:Z93" si="75">SUM(I88:J88)*P88</f>
        <v>0</v>
      </c>
      <c r="AA88" s="225"/>
      <c r="AB88" s="225"/>
      <c r="AC88" s="225"/>
      <c r="AD88" s="225"/>
      <c r="AE88" s="244">
        <f>SUMIFS(Adjustments!H$5:H$684,Adjustments!$B$5:$B$684,'Apr11-Mar12 Billed-RETAIL'!$B88,Adjustments!$C$5:$C$684,'Apr11-Mar12 Billed-RETAIL'!$C88)</f>
        <v>0</v>
      </c>
      <c r="AF88" s="244">
        <f>SUMIFS(Adjustments!I$5:I$684,Adjustments!$B$5:$B$684,'Apr11-Mar12 Billed-RETAIL'!$B88,Adjustments!$C$5:$C$684,'Apr11-Mar12 Billed-RETAIL'!$C88)</f>
        <v>0</v>
      </c>
      <c r="AG88" s="238">
        <f>SUMIFS(Adjustments!J$5:J$684,Adjustments!$B$5:$B$684,'Apr11-Mar12 Billed-RETAIL'!$B88,Adjustments!$C$5:$C$684,'Apr11-Mar12 Billed-RETAIL'!$C88)</f>
        <v>0</v>
      </c>
      <c r="AH88" s="238">
        <f>SUMIFS(Adjustments!K$5:K$684,Adjustments!$B$5:$B$684,'Apr11-Mar12 Billed-RETAIL'!$B88,Adjustments!$C$5:$C$684,'Apr11-Mar12 Billed-RETAIL'!$C88)</f>
        <v>0</v>
      </c>
      <c r="AI88" s="238">
        <f>SUMIFS(Adjustments!L$5:L$684,Adjustments!$B$5:$B$684,'Apr11-Mar12 Billed-RETAIL'!$B88,Adjustments!$C$5:$C$684,'Apr11-Mar12 Billed-RETAIL'!$C88)</f>
        <v>0</v>
      </c>
      <c r="AJ88" s="238">
        <f>SUMIFS(Adjustments!M$5:M$684,Adjustments!$B$5:$B$684,'Apr11-Mar12 Billed-RETAIL'!$B88,Adjustments!$C$5:$C$684,'Apr11-Mar12 Billed-RETAIL'!$C88)</f>
        <v>0</v>
      </c>
      <c r="AK88" s="238">
        <f>SUMIFS(Adjustments!N$5:N$684,Adjustments!$B$5:$B$684,'Apr11-Mar12 Billed-RETAIL'!$B88,Adjustments!$C$5:$C$684,'Apr11-Mar12 Billed-RETAIL'!$C88)</f>
        <v>0</v>
      </c>
      <c r="AL88" s="238">
        <f>SUMIFS(Adjustments!O$5:O$684,Adjustments!$B$5:$B$684,'Apr11-Mar12 Billed-RETAIL'!$B88,Adjustments!$C$5:$C$684,'Apr11-Mar12 Billed-RETAIL'!$C88)</f>
        <v>0</v>
      </c>
      <c r="AM88" s="238">
        <f>SUMIFS(Adjustments!P$5:P$684,Adjustments!$B$5:$B$684,'Apr11-Mar12 Billed-RETAIL'!$B88,Adjustments!$C$5:$C$684,'Apr11-Mar12 Billed-RETAIL'!$C88)</f>
        <v>0</v>
      </c>
      <c r="AN88" s="225">
        <f t="shared" si="70"/>
        <v>0</v>
      </c>
      <c r="AO88" s="225">
        <f t="shared" si="62"/>
        <v>0</v>
      </c>
      <c r="AP88" s="225">
        <f t="shared" si="63"/>
        <v>0</v>
      </c>
      <c r="AQ88" s="225">
        <f t="shared" si="64"/>
        <v>0</v>
      </c>
      <c r="AR88" s="232">
        <f ca="1">SUMIF('SBR Nov11'!$D$4:$S$90,'Apr11-Mar12 Billed-RETAIL'!$C88,'SBR Nov11'!$N$4:$N$90)</f>
        <v>0</v>
      </c>
      <c r="AS88" s="232">
        <f ca="1">SUMIF('SBR Nov11'!$D$4:$S$90,'Apr11-Mar12 Billed-RETAIL'!$C88,'SBR Nov11'!$M$4:$M$90)</f>
        <v>0</v>
      </c>
      <c r="AT88" s="232">
        <f ca="1">SUMIF('SBR Nov11'!$D$4:$S$90,'Apr11-Mar12 Billed-RETAIL'!$C88,'SBR Nov11'!$O$4:$O$90)</f>
        <v>0</v>
      </c>
      <c r="AU88" s="225">
        <f t="shared" si="65"/>
        <v>0</v>
      </c>
      <c r="AV88" s="225"/>
      <c r="AW88" s="232">
        <f t="shared" ca="1" si="74"/>
        <v>0</v>
      </c>
      <c r="AX88" s="232">
        <f t="shared" ca="1" si="68"/>
        <v>0</v>
      </c>
      <c r="AY88" s="233">
        <v>1</v>
      </c>
      <c r="AZ88" s="232">
        <f ca="1">SUMIF('SBR Nov11'!$D$4:$S$90,'Apr11-Mar12 Billed-RETAIL'!$C88,'SBR Nov11'!$M$4:$M$90)</f>
        <v>0</v>
      </c>
      <c r="BA88" s="232">
        <f ca="1">SUMIF('SBR Nov11'!$D$4:$S$90,'Apr11-Mar12 Billed-RETAIL'!$C88,'SBR Nov11'!$N$4:$N$90)</f>
        <v>0</v>
      </c>
      <c r="BB88" s="232">
        <f ca="1">SUMIF('SBR Nov11'!$D$4:$S$90,'Apr11-Mar12 Billed-RETAIL'!$C88,'SBR Nov11'!$O$4:$O$90)</f>
        <v>0</v>
      </c>
      <c r="BC88" s="232">
        <f ca="1">SUMIF('SBR Nov11'!$D$4:$S$90,'Apr11-Mar12 Billed-RETAIL'!$C88,'SBR Nov11'!$Q$4:$Q$90)</f>
        <v>0</v>
      </c>
      <c r="BD88" s="232">
        <f ca="1">SUMIF('SBR Nov11'!$D$4:$S$90,'Apr11-Mar12 Billed-RETAIL'!$C88,'SBR Nov11'!$K$4:$K$90)</f>
        <v>0</v>
      </c>
      <c r="BE88" s="232">
        <f ca="1">SUMIF('SBR Nov11'!$D$4:$S$90,'Apr11-Mar12 Billed-RETAIL'!$C88,'SBR Nov11'!$L$4:$L$90)</f>
        <v>0</v>
      </c>
      <c r="BF88" s="232"/>
    </row>
    <row r="89" spans="1:58" ht="15" customHeight="1" x14ac:dyDescent="0.25">
      <c r="A89" s="196">
        <f t="shared" si="58"/>
        <v>84</v>
      </c>
      <c r="B89" s="211">
        <v>40848</v>
      </c>
      <c r="C89" s="211" t="str">
        <f>+'Retail Rates'!B23</f>
        <v>LGING855</v>
      </c>
      <c r="D89" s="197" t="str">
        <f t="shared" si="71"/>
        <v>855</v>
      </c>
      <c r="E89" s="197" t="str">
        <f>VLOOKUP(C89,'Retail Rates'!$B$7:$D$35,3,FALSE)</f>
        <v>IGS</v>
      </c>
      <c r="F89" s="222"/>
      <c r="G89" s="222">
        <f>SUMIFS(Adjustments!F$5:F$151,Adjustments!$B$5:$B$151,'Apr11-Mar12 Billed-RETAIL'!$B89,Adjustments!$C$5:$C$151,'Apr11-Mar12 Billed-RETAIL'!$C89)</f>
        <v>113</v>
      </c>
      <c r="H89" s="222">
        <f>SUMIFS(Adjustments!G$5:G$151,Adjustments!$B$5:$B$151,'Apr11-Mar12 Billed-RETAIL'!$B89,Adjustments!$C$5:$C$151,'Apr11-Mar12 Billed-RETAIL'!$C89)</f>
        <v>105</v>
      </c>
      <c r="I89" s="222">
        <f>SUMIFS('Data-Retail'!$H$4:$H$269,'Data-Retail'!$A$4:$A$269,'Apr11-Mar12 Billed-RETAIL'!$B89,'Data-Retail'!$D$4:$D$269,'Apr11-Mar12 Billed-RETAIL'!$C89)</f>
        <v>597061</v>
      </c>
      <c r="J89" s="222">
        <f>SUMIFS('Data-Retail'!$I$4:$I$269,'Data-Retail'!$A$4:$A$269,'Apr11-Mar12 Billed-RETAIL'!$B89,'Data-Retail'!$D$4:$D$269,'Apr11-Mar12 Billed-RETAIL'!$C89)</f>
        <v>31236</v>
      </c>
      <c r="K89" s="222"/>
      <c r="L89" s="223">
        <f>VLOOKUP($C89,'Retail Rates'!$B$7:$M$35,5,FALSE)</f>
        <v>30</v>
      </c>
      <c r="M89" s="223">
        <f>VLOOKUP($C89,'Retail Rates'!$B$7:$M$35,6,FALSE)</f>
        <v>170</v>
      </c>
      <c r="N89" s="224">
        <f>VLOOKUP($C89,'Retail Rates'!$B$7:$M$35,7,FALSE)</f>
        <v>0.19022</v>
      </c>
      <c r="O89" s="224">
        <f>VLOOKUP($C89,'Retail Rates'!$B$7:$M$35,8,FALSE)</f>
        <v>0.14022000000000001</v>
      </c>
      <c r="P89" s="224">
        <f>VLOOKUP($B89,'GSC-DSM Factors'!$A$1:$B$46,2,FALSE)</f>
        <v>0.51601999999999992</v>
      </c>
      <c r="Q89" s="223">
        <f>VLOOKUP($C89,'Retail Rates'!$B$7:$M$35,9,FALSE)</f>
        <v>0</v>
      </c>
      <c r="R89" s="224">
        <f>VLOOKUP($C89,'Retail Rates'!$B$7:$M$35,10,FALSE)</f>
        <v>0</v>
      </c>
      <c r="S89" s="223">
        <f>VLOOKUP($C89,'Retail Rates'!$B$7:$M$35,11,FALSE)</f>
        <v>0</v>
      </c>
      <c r="T89" s="223"/>
      <c r="U89" s="225">
        <f t="shared" si="67"/>
        <v>3390</v>
      </c>
      <c r="V89" s="225"/>
      <c r="W89" s="225">
        <f>+H89*M89</f>
        <v>17850</v>
      </c>
      <c r="X89" s="225">
        <f>+I89*N89</f>
        <v>113572.94342</v>
      </c>
      <c r="Y89" s="225">
        <f t="shared" si="72"/>
        <v>4379.9119200000005</v>
      </c>
      <c r="Z89" s="225">
        <f t="shared" si="75"/>
        <v>324213.81793999998</v>
      </c>
      <c r="AA89" s="225"/>
      <c r="AB89" s="225"/>
      <c r="AC89" s="225"/>
      <c r="AD89" s="225"/>
      <c r="AE89" s="244">
        <f>SUMIFS(Adjustments!H$5:H$684,Adjustments!$B$5:$B$684,'Apr11-Mar12 Billed-RETAIL'!$B89,Adjustments!$C$5:$C$684,'Apr11-Mar12 Billed-RETAIL'!$C89)</f>
        <v>0</v>
      </c>
      <c r="AF89" s="244">
        <f>SUMIFS(Adjustments!I$5:I$684,Adjustments!$B$5:$B$684,'Apr11-Mar12 Billed-RETAIL'!$B89,Adjustments!$C$5:$C$684,'Apr11-Mar12 Billed-RETAIL'!$C89)</f>
        <v>0</v>
      </c>
      <c r="AG89" s="238">
        <f>SUMIFS(Adjustments!J$5:J$684,Adjustments!$B$5:$B$684,'Apr11-Mar12 Billed-RETAIL'!$B89,Adjustments!$C$5:$C$684,'Apr11-Mar12 Billed-RETAIL'!$C89)</f>
        <v>0</v>
      </c>
      <c r="AH89" s="238">
        <f>SUMIFS(Adjustments!K$5:K$684,Adjustments!$B$5:$B$684,'Apr11-Mar12 Billed-RETAIL'!$B89,Adjustments!$C$5:$C$684,'Apr11-Mar12 Billed-RETAIL'!$C89)</f>
        <v>34</v>
      </c>
      <c r="AI89" s="238">
        <f>SUMIFS(Adjustments!L$5:L$684,Adjustments!$B$5:$B$684,'Apr11-Mar12 Billed-RETAIL'!$B89,Adjustments!$C$5:$C$684,'Apr11-Mar12 Billed-RETAIL'!$C89)</f>
        <v>0</v>
      </c>
      <c r="AJ89" s="238">
        <f>SUMIFS(Adjustments!M$5:M$684,Adjustments!$B$5:$B$684,'Apr11-Mar12 Billed-RETAIL'!$B89,Adjustments!$C$5:$C$684,'Apr11-Mar12 Billed-RETAIL'!$C89)</f>
        <v>0</v>
      </c>
      <c r="AK89" s="238">
        <f>SUMIFS(Adjustments!N$5:N$684,Adjustments!$B$5:$B$684,'Apr11-Mar12 Billed-RETAIL'!$B89,Adjustments!$C$5:$C$684,'Apr11-Mar12 Billed-RETAIL'!$C89)</f>
        <v>0</v>
      </c>
      <c r="AL89" s="238">
        <f>SUMIFS(Adjustments!O$5:O$684,Adjustments!$B$5:$B$684,'Apr11-Mar12 Billed-RETAIL'!$B89,Adjustments!$C$5:$C$684,'Apr11-Mar12 Billed-RETAIL'!$C89)</f>
        <v>0</v>
      </c>
      <c r="AM89" s="238">
        <f>SUMIFS(Adjustments!P$5:P$684,Adjustments!$B$5:$B$684,'Apr11-Mar12 Billed-RETAIL'!$B89,Adjustments!$C$5:$C$684,'Apr11-Mar12 Billed-RETAIL'!$C89)</f>
        <v>0</v>
      </c>
      <c r="AN89" s="225">
        <f t="shared" si="70"/>
        <v>3390</v>
      </c>
      <c r="AO89" s="225">
        <f t="shared" si="62"/>
        <v>17884</v>
      </c>
      <c r="AP89" s="225">
        <f t="shared" si="63"/>
        <v>113572.94342</v>
      </c>
      <c r="AQ89" s="225">
        <f t="shared" si="64"/>
        <v>4379.9119200000005</v>
      </c>
      <c r="AR89" s="232">
        <f ca="1">SUMIF('SBR Nov11'!$D$4:$S$90,'Apr11-Mar12 Billed-RETAIL'!$C89,'SBR Nov11'!$N$4:$N$90)</f>
        <v>336212.32</v>
      </c>
      <c r="AS89" s="232">
        <f ca="1">SUMIF('SBR Nov11'!$D$4:$S$90,'Apr11-Mar12 Billed-RETAIL'!$C89,'SBR Nov11'!$M$4:$M$90)</f>
        <v>0</v>
      </c>
      <c r="AT89" s="232">
        <f ca="1">SUMIF('SBR Nov11'!$D$4:$S$90,'Apr11-Mar12 Billed-RETAIL'!$C89,'SBR Nov11'!$O$4:$O$90)</f>
        <v>0</v>
      </c>
      <c r="AU89" s="225">
        <f t="shared" si="65"/>
        <v>0</v>
      </c>
      <c r="AV89" s="225"/>
      <c r="AW89" s="232">
        <f t="shared" ca="1" si="74"/>
        <v>475439.18</v>
      </c>
      <c r="AX89" s="232">
        <f t="shared" ca="1" si="68"/>
        <v>475439.17</v>
      </c>
      <c r="AY89" s="233">
        <f t="shared" ca="1" si="73"/>
        <v>1</v>
      </c>
      <c r="AZ89" s="232">
        <f ca="1">SUMIF('SBR Nov11'!$D$4:$S$90,'Apr11-Mar12 Billed-RETAIL'!$C89,'SBR Nov11'!$M$4:$M$90)</f>
        <v>0</v>
      </c>
      <c r="BA89" s="232">
        <f ca="1">SUMIF('SBR Nov11'!$D$4:$S$90,'Apr11-Mar12 Billed-RETAIL'!$C89,'SBR Nov11'!$N$4:$N$90)</f>
        <v>336212.32</v>
      </c>
      <c r="BB89" s="232">
        <f ca="1">SUMIF('SBR Nov11'!$D$4:$S$90,'Apr11-Mar12 Billed-RETAIL'!$C89,'SBR Nov11'!$O$4:$O$90)</f>
        <v>0</v>
      </c>
      <c r="BC89" s="232">
        <f ca="1">SUMIF('SBR Nov11'!$D$4:$S$90,'Apr11-Mar12 Billed-RETAIL'!$C89,'SBR Nov11'!$Q$4:$Q$90)</f>
        <v>0</v>
      </c>
      <c r="BD89" s="232">
        <f ca="1">SUMIF('SBR Nov11'!$D$4:$S$90,'Apr11-Mar12 Billed-RETAIL'!$C89,'SBR Nov11'!$K$4:$K$90)</f>
        <v>21274</v>
      </c>
      <c r="BE89" s="232">
        <f ca="1">SUMIF('SBR Nov11'!$D$4:$S$90,'Apr11-Mar12 Billed-RETAIL'!$C89,'SBR Nov11'!$L$4:$L$90)</f>
        <v>117952.84999999999</v>
      </c>
      <c r="BF89" s="232"/>
    </row>
    <row r="90" spans="1:58" ht="15" customHeight="1" x14ac:dyDescent="0.25">
      <c r="A90" s="196">
        <f t="shared" si="58"/>
        <v>85</v>
      </c>
      <c r="B90" s="211">
        <v>40848</v>
      </c>
      <c r="C90" s="211" t="str">
        <f>+'Retail Rates'!B26</f>
        <v>LGRSG811</v>
      </c>
      <c r="D90" s="197" t="str">
        <f t="shared" si="71"/>
        <v>811</v>
      </c>
      <c r="E90" s="197" t="str">
        <f>VLOOKUP(C90,'Retail Rates'!$B$7:$D$35,3,FALSE)</f>
        <v>RGS</v>
      </c>
      <c r="F90" s="222">
        <f>SUMIFS('Data-Retail'!$G$4:$G$269,'Data-Retail'!$A$4:$A$269,'Apr11-Mar12 Billed-RETAIL'!$B90,'Data-Retail'!$D$4:$D$269,'Apr11-Mar12 Billed-RETAIL'!$C90)</f>
        <v>287890</v>
      </c>
      <c r="G90" s="222"/>
      <c r="H90" s="222"/>
      <c r="I90" s="222">
        <f>SUMIFS('Data-Retail'!$H$4:$H$269,'Data-Retail'!$A$4:$A$269,'Apr11-Mar12 Billed-RETAIL'!$B90,'Data-Retail'!$D$4:$D$269,'Apr11-Mar12 Billed-RETAIL'!$C90)</f>
        <v>12982556</v>
      </c>
      <c r="J90" s="222">
        <f>SUMIFS('Data-Retail'!$I$4:$I$269,'Data-Retail'!$A$4:$A$269,'Apr11-Mar12 Billed-RETAIL'!$B90,'Data-Retail'!$D$4:$D$269,'Apr11-Mar12 Billed-RETAIL'!$C90)</f>
        <v>0</v>
      </c>
      <c r="K90" s="222"/>
      <c r="L90" s="223">
        <f>VLOOKUP($C90,'Retail Rates'!$B$7:$M$35,5,FALSE)</f>
        <v>12.5</v>
      </c>
      <c r="M90" s="223">
        <f>VLOOKUP($C90,'Retail Rates'!$B$7:$M$35,6,FALSE)</f>
        <v>0</v>
      </c>
      <c r="N90" s="224">
        <f>VLOOKUP($C90,'Retail Rates'!$B$7:$M$35,7,FALSE)</f>
        <v>0.22395999999999999</v>
      </c>
      <c r="O90" s="224">
        <f>VLOOKUP($C90,'Retail Rates'!$B$7:$M$35,8,FALSE)</f>
        <v>0</v>
      </c>
      <c r="P90" s="224">
        <f>VLOOKUP($B90,'GSC-DSM Factors'!$A$1:$B$46,2,FALSE)</f>
        <v>0.51601999999999992</v>
      </c>
      <c r="Q90" s="223">
        <f>VLOOKUP($C90,'Retail Rates'!$B$7:$M$35,9,FALSE)</f>
        <v>0</v>
      </c>
      <c r="R90" s="224">
        <f>VLOOKUP($C90,'Retail Rates'!$B$7:$M$35,10,FALSE)</f>
        <v>0</v>
      </c>
      <c r="S90" s="223">
        <f>VLOOKUP($C90,'Retail Rates'!$B$7:$M$35,11,FALSE)</f>
        <v>0</v>
      </c>
      <c r="T90" s="223"/>
      <c r="U90" s="225">
        <f t="shared" si="67"/>
        <v>3598625</v>
      </c>
      <c r="V90" s="225"/>
      <c r="W90" s="225"/>
      <c r="X90" s="225">
        <f>+I90*N90</f>
        <v>2907573.2417600001</v>
      </c>
      <c r="Y90" s="225">
        <f t="shared" si="72"/>
        <v>0</v>
      </c>
      <c r="Z90" s="225">
        <f t="shared" si="75"/>
        <v>6699258.5471199993</v>
      </c>
      <c r="AA90" s="225"/>
      <c r="AB90" s="225"/>
      <c r="AC90" s="225"/>
      <c r="AD90" s="225"/>
      <c r="AE90" s="244">
        <f>SUMIFS(Adjustments!H$5:H$684,Adjustments!$B$5:$B$684,'Apr11-Mar12 Billed-RETAIL'!$B90,Adjustments!$C$5:$C$684,'Apr11-Mar12 Billed-RETAIL'!$C90)</f>
        <v>-906</v>
      </c>
      <c r="AF90" s="244">
        <f>SUMIFS(Adjustments!I$5:I$684,Adjustments!$B$5:$B$684,'Apr11-Mar12 Billed-RETAIL'!$B90,Adjustments!$C$5:$C$684,'Apr11-Mar12 Billed-RETAIL'!$C90)</f>
        <v>0</v>
      </c>
      <c r="AG90" s="238">
        <f>SUMIFS(Adjustments!J$5:J$684,Adjustments!$B$5:$B$684,'Apr11-Mar12 Billed-RETAIL'!$B90,Adjustments!$C$5:$C$684,'Apr11-Mar12 Billed-RETAIL'!$C90)</f>
        <v>8.59</v>
      </c>
      <c r="AH90" s="238">
        <f>SUMIFS(Adjustments!K$5:K$684,Adjustments!$B$5:$B$684,'Apr11-Mar12 Billed-RETAIL'!$B90,Adjustments!$C$5:$C$684,'Apr11-Mar12 Billed-RETAIL'!$C90)</f>
        <v>0</v>
      </c>
      <c r="AI90" s="238">
        <f>SUMIFS(Adjustments!L$5:L$684,Adjustments!$B$5:$B$684,'Apr11-Mar12 Billed-RETAIL'!$B90,Adjustments!$C$5:$C$684,'Apr11-Mar12 Billed-RETAIL'!$C90)</f>
        <v>10.55</v>
      </c>
      <c r="AJ90" s="238">
        <f>SUMIFS(Adjustments!M$5:M$684,Adjustments!$B$5:$B$684,'Apr11-Mar12 Billed-RETAIL'!$B90,Adjustments!$C$5:$C$684,'Apr11-Mar12 Billed-RETAIL'!$C90)</f>
        <v>0</v>
      </c>
      <c r="AK90" s="238">
        <f>SUMIFS(Adjustments!N$5:N$684,Adjustments!$B$5:$B$684,'Apr11-Mar12 Billed-RETAIL'!$B90,Adjustments!$C$5:$C$684,'Apr11-Mar12 Billed-RETAIL'!$C90)</f>
        <v>0</v>
      </c>
      <c r="AL90" s="238">
        <f>SUMIFS(Adjustments!O$5:O$684,Adjustments!$B$5:$B$684,'Apr11-Mar12 Billed-RETAIL'!$B90,Adjustments!$C$5:$C$684,'Apr11-Mar12 Billed-RETAIL'!$C90)</f>
        <v>0</v>
      </c>
      <c r="AM90" s="238">
        <f>SUMIFS(Adjustments!P$5:P$684,Adjustments!$B$5:$B$684,'Apr11-Mar12 Billed-RETAIL'!$B90,Adjustments!$C$5:$C$684,'Apr11-Mar12 Billed-RETAIL'!$C90)</f>
        <v>0</v>
      </c>
      <c r="AN90" s="225">
        <f t="shared" si="70"/>
        <v>3587308.59</v>
      </c>
      <c r="AO90" s="225">
        <f t="shared" si="62"/>
        <v>0</v>
      </c>
      <c r="AP90" s="225">
        <f t="shared" si="63"/>
        <v>2907583.7917599999</v>
      </c>
      <c r="AQ90" s="225">
        <f t="shared" si="64"/>
        <v>0</v>
      </c>
      <c r="AR90" s="232">
        <f ca="1">SUMIF('SBR Nov11'!$D$4:$S$90,'Apr11-Mar12 Billed-RETAIL'!$C90,'SBR Nov11'!$N$4:$N$90)</f>
        <v>6981728.2800000003</v>
      </c>
      <c r="AS90" s="232">
        <f ca="1">SUMIF('SBR Nov11'!$D$4:$S$90,'Apr11-Mar12 Billed-RETAIL'!$C90,'SBR Nov11'!$M$4:$M$90)</f>
        <v>244983.37</v>
      </c>
      <c r="AT90" s="232">
        <f ca="1">SUMIF('SBR Nov11'!$D$4:$S$90,'Apr11-Mar12 Billed-RETAIL'!$C90,'SBR Nov11'!$O$4:$O$90)</f>
        <v>186083.57</v>
      </c>
      <c r="AU90" s="225">
        <f t="shared" si="65"/>
        <v>0</v>
      </c>
      <c r="AV90" s="225"/>
      <c r="AW90" s="232">
        <f t="shared" ca="1" si="74"/>
        <v>13907687.6</v>
      </c>
      <c r="AX90" s="232">
        <f t="shared" ca="1" si="68"/>
        <v>13907687.6</v>
      </c>
      <c r="AY90" s="233">
        <f t="shared" ca="1" si="73"/>
        <v>1</v>
      </c>
      <c r="AZ90" s="232">
        <f ca="1">SUMIF('SBR Nov11'!$D$4:$S$90,'Apr11-Mar12 Billed-RETAIL'!$C90,'SBR Nov11'!$M$4:$M$90)</f>
        <v>244983.37</v>
      </c>
      <c r="BA90" s="232">
        <f ca="1">SUMIF('SBR Nov11'!$D$4:$S$90,'Apr11-Mar12 Billed-RETAIL'!$C90,'SBR Nov11'!$N$4:$N$90)</f>
        <v>6981728.2800000003</v>
      </c>
      <c r="BB90" s="232">
        <f ca="1">SUMIF('SBR Nov11'!$D$4:$S$90,'Apr11-Mar12 Billed-RETAIL'!$C90,'SBR Nov11'!$O$4:$O$90)</f>
        <v>186083.57</v>
      </c>
      <c r="BC90" s="232">
        <f ca="1">SUMIF('SBR Nov11'!$D$4:$S$90,'Apr11-Mar12 Billed-RETAIL'!$C90,'SBR Nov11'!$Q$4:$Q$90)</f>
        <v>43452.9</v>
      </c>
      <c r="BD90" s="232">
        <f ca="1">SUMIF('SBR Nov11'!$D$4:$S$90,'Apr11-Mar12 Billed-RETAIL'!$C90,'SBR Nov11'!$K$4:$K$90)</f>
        <v>3587308.59</v>
      </c>
      <c r="BE90" s="232">
        <f ca="1">SUMIF('SBR Nov11'!$D$4:$S$90,'Apr11-Mar12 Billed-RETAIL'!$C90,'SBR Nov11'!$L$4:$L$90)</f>
        <v>2907583.79</v>
      </c>
      <c r="BF90" s="232"/>
    </row>
    <row r="91" spans="1:58" ht="15" customHeight="1" x14ac:dyDescent="0.25">
      <c r="A91" s="196">
        <f t="shared" si="58"/>
        <v>86</v>
      </c>
      <c r="B91" s="211">
        <v>40848</v>
      </c>
      <c r="C91" s="211" t="str">
        <f>+'Retail Rates'!B27</f>
        <v>LGRSG811S1</v>
      </c>
      <c r="D91" s="197" t="str">
        <f t="shared" si="71"/>
        <v>811</v>
      </c>
      <c r="E91" s="197" t="str">
        <f>VLOOKUP(C91,'Retail Rates'!$B$7:$D$35,3,FALSE)</f>
        <v>RGS</v>
      </c>
      <c r="F91" s="222">
        <f>SUMIFS('Data-Retail'!$G$4:$G$269,'Data-Retail'!$A$4:$A$269,'Apr11-Mar12 Billed-RETAIL'!$B91,'Data-Retail'!$D$4:$D$269,'Apr11-Mar12 Billed-RETAIL'!$C91)</f>
        <v>1</v>
      </c>
      <c r="G91" s="222"/>
      <c r="H91" s="222"/>
      <c r="I91" s="222">
        <f>SUMIFS('Data-Retail'!$H$4:$H$269,'Data-Retail'!$A$4:$A$269,'Apr11-Mar12 Billed-RETAIL'!$B91,'Data-Retail'!$D$4:$D$269,'Apr11-Mar12 Billed-RETAIL'!$C91)</f>
        <v>1720</v>
      </c>
      <c r="J91" s="222">
        <f>SUMIFS('Data-Retail'!$I$4:$I$269,'Data-Retail'!$A$4:$A$269,'Apr11-Mar12 Billed-RETAIL'!$B91,'Data-Retail'!$D$4:$D$269,'Apr11-Mar12 Billed-RETAIL'!$C91)</f>
        <v>0</v>
      </c>
      <c r="K91" s="222"/>
      <c r="L91" s="223">
        <f>VLOOKUP($C91,'Retail Rates'!$B$7:$M$35,5,FALSE)</f>
        <v>12.5</v>
      </c>
      <c r="M91" s="223">
        <f>VLOOKUP($C91,'Retail Rates'!$B$7:$M$35,6,FALSE)</f>
        <v>0</v>
      </c>
      <c r="N91" s="224">
        <f>VLOOKUP($C91,'Retail Rates'!$B$7:$M$35,7,FALSE)</f>
        <v>0.22395999999999999</v>
      </c>
      <c r="O91" s="224">
        <f>VLOOKUP($C91,'Retail Rates'!$B$7:$M$35,8,FALSE)</f>
        <v>0</v>
      </c>
      <c r="P91" s="224">
        <f>VLOOKUP($B91,'GSC-DSM Factors'!$A$1:$B$46,2,FALSE)</f>
        <v>0.51601999999999992</v>
      </c>
      <c r="Q91" s="223">
        <f>VLOOKUP($C91,'Retail Rates'!$B$7:$M$35,9,FALSE)</f>
        <v>0</v>
      </c>
      <c r="R91" s="224">
        <f>VLOOKUP($C91,'Retail Rates'!$B$7:$M$35,10,FALSE)</f>
        <v>0</v>
      </c>
      <c r="S91" s="223">
        <f>VLOOKUP($C91,'Retail Rates'!$B$7:$M$35,11,FALSE)</f>
        <v>0</v>
      </c>
      <c r="T91" s="223"/>
      <c r="U91" s="225">
        <f t="shared" si="67"/>
        <v>12.5</v>
      </c>
      <c r="V91" s="225"/>
      <c r="W91" s="225"/>
      <c r="X91" s="225">
        <f>+I91*N91</f>
        <v>385.21119999999996</v>
      </c>
      <c r="Y91" s="225">
        <f t="shared" si="72"/>
        <v>0</v>
      </c>
      <c r="Z91" s="225">
        <f t="shared" si="75"/>
        <v>887.55439999999987</v>
      </c>
      <c r="AA91" s="225"/>
      <c r="AB91" s="225"/>
      <c r="AC91" s="225"/>
      <c r="AD91" s="225"/>
      <c r="AE91" s="244">
        <f>SUMIFS(Adjustments!H$5:H$684,Adjustments!$B$5:$B$684,'Apr11-Mar12 Billed-RETAIL'!$B91,Adjustments!$C$5:$C$684,'Apr11-Mar12 Billed-RETAIL'!$C91)</f>
        <v>0</v>
      </c>
      <c r="AF91" s="244">
        <f>SUMIFS(Adjustments!I$5:I$684,Adjustments!$B$5:$B$684,'Apr11-Mar12 Billed-RETAIL'!$B91,Adjustments!$C$5:$C$684,'Apr11-Mar12 Billed-RETAIL'!$C91)</f>
        <v>0</v>
      </c>
      <c r="AG91" s="238">
        <f>SUMIFS(Adjustments!J$5:J$684,Adjustments!$B$5:$B$684,'Apr11-Mar12 Billed-RETAIL'!$B91,Adjustments!$C$5:$C$684,'Apr11-Mar12 Billed-RETAIL'!$C91)</f>
        <v>-12</v>
      </c>
      <c r="AH91" s="238">
        <f>SUMIFS(Adjustments!K$5:K$684,Adjustments!$B$5:$B$684,'Apr11-Mar12 Billed-RETAIL'!$B91,Adjustments!$C$5:$C$684,'Apr11-Mar12 Billed-RETAIL'!$C91)</f>
        <v>0</v>
      </c>
      <c r="AI91" s="238">
        <f>SUMIFS(Adjustments!L$5:L$684,Adjustments!$B$5:$B$684,'Apr11-Mar12 Billed-RETAIL'!$B91,Adjustments!$C$5:$C$684,'Apr11-Mar12 Billed-RETAIL'!$C91)</f>
        <v>-462.82</v>
      </c>
      <c r="AJ91" s="238">
        <f>SUMIFS(Adjustments!M$5:M$684,Adjustments!$B$5:$B$684,'Apr11-Mar12 Billed-RETAIL'!$B91,Adjustments!$C$5:$C$684,'Apr11-Mar12 Billed-RETAIL'!$C91)</f>
        <v>0</v>
      </c>
      <c r="AK91" s="238">
        <f>SUMIFS(Adjustments!N$5:N$684,Adjustments!$B$5:$B$684,'Apr11-Mar12 Billed-RETAIL'!$B91,Adjustments!$C$5:$C$684,'Apr11-Mar12 Billed-RETAIL'!$C91)</f>
        <v>0</v>
      </c>
      <c r="AL91" s="238">
        <f>SUMIFS(Adjustments!O$5:O$684,Adjustments!$B$5:$B$684,'Apr11-Mar12 Billed-RETAIL'!$B91,Adjustments!$C$5:$C$684,'Apr11-Mar12 Billed-RETAIL'!$C91)</f>
        <v>0</v>
      </c>
      <c r="AM91" s="238">
        <f>SUMIFS(Adjustments!P$5:P$684,Adjustments!$B$5:$B$684,'Apr11-Mar12 Billed-RETAIL'!$B91,Adjustments!$C$5:$C$684,'Apr11-Mar12 Billed-RETAIL'!$C91)</f>
        <v>0</v>
      </c>
      <c r="AN91" s="225">
        <f t="shared" si="70"/>
        <v>0.5</v>
      </c>
      <c r="AO91" s="225">
        <f t="shared" si="62"/>
        <v>0</v>
      </c>
      <c r="AP91" s="225">
        <f t="shared" si="63"/>
        <v>-77.608800000000031</v>
      </c>
      <c r="AQ91" s="225">
        <f t="shared" si="64"/>
        <v>0</v>
      </c>
      <c r="AR91" s="232">
        <f ca="1">SUMIF('SBR Nov11'!$D$4:$S$90,'Apr11-Mar12 Billed-RETAIL'!$C91,'SBR Nov11'!$N$4:$N$90)</f>
        <v>899.12</v>
      </c>
      <c r="AS91" s="232">
        <f ca="1">SUMIF('SBR Nov11'!$D$4:$S$90,'Apr11-Mar12 Billed-RETAIL'!$C91,'SBR Nov11'!$M$4:$M$90)</f>
        <v>0</v>
      </c>
      <c r="AT91" s="232">
        <f ca="1">SUMIF('SBR Nov11'!$D$4:$S$90,'Apr11-Mar12 Billed-RETAIL'!$C91,'SBR Nov11'!$O$4:$O$90)</f>
        <v>0</v>
      </c>
      <c r="AU91" s="225">
        <f t="shared" si="65"/>
        <v>0</v>
      </c>
      <c r="AV91" s="225"/>
      <c r="AW91" s="232">
        <f t="shared" ca="1" si="74"/>
        <v>822.01</v>
      </c>
      <c r="AX91" s="232">
        <f t="shared" ca="1" si="68"/>
        <v>822.01</v>
      </c>
      <c r="AY91" s="233">
        <f t="shared" ca="1" si="73"/>
        <v>1</v>
      </c>
      <c r="AZ91" s="232">
        <f ca="1">SUMIF('SBR Nov11'!$D$4:$S$90,'Apr11-Mar12 Billed-RETAIL'!$C91,'SBR Nov11'!$M$4:$M$90)</f>
        <v>0</v>
      </c>
      <c r="BA91" s="232">
        <f ca="1">SUMIF('SBR Nov11'!$D$4:$S$90,'Apr11-Mar12 Billed-RETAIL'!$C91,'SBR Nov11'!$N$4:$N$90)</f>
        <v>899.12</v>
      </c>
      <c r="BB91" s="232">
        <f ca="1">SUMIF('SBR Nov11'!$D$4:$S$90,'Apr11-Mar12 Billed-RETAIL'!$C91,'SBR Nov11'!$O$4:$O$90)</f>
        <v>0</v>
      </c>
      <c r="BC91" s="232">
        <f ca="1">SUMIF('SBR Nov11'!$D$4:$S$90,'Apr11-Mar12 Billed-RETAIL'!$C91,'SBR Nov11'!$Q$4:$Q$90)</f>
        <v>0</v>
      </c>
      <c r="BD91" s="232">
        <f ca="1">SUMIF('SBR Nov11'!$D$4:$S$90,'Apr11-Mar12 Billed-RETAIL'!$C91,'SBR Nov11'!$K$4:$K$90)</f>
        <v>0.5</v>
      </c>
      <c r="BE91" s="232">
        <f ca="1">SUMIF('SBR Nov11'!$D$4:$S$90,'Apr11-Mar12 Billed-RETAIL'!$C91,'SBR Nov11'!$L$4:$L$90)</f>
        <v>-77.61</v>
      </c>
      <c r="BF91" s="232"/>
    </row>
    <row r="92" spans="1:58" ht="15" customHeight="1" x14ac:dyDescent="0.25">
      <c r="A92" s="196">
        <f t="shared" si="58"/>
        <v>87</v>
      </c>
      <c r="B92" s="211">
        <v>40848</v>
      </c>
      <c r="C92" s="211" t="str">
        <f>+'Retail Rates'!B28</f>
        <v>LGRSG840</v>
      </c>
      <c r="D92" s="197" t="str">
        <f t="shared" si="71"/>
        <v>840</v>
      </c>
      <c r="E92" s="197" t="str">
        <f>VLOOKUP(C92,'Retail Rates'!$B$7:$D$35,3,FALSE)</f>
        <v>RGS</v>
      </c>
      <c r="F92" s="222">
        <f>SUMIFS('Data-Retail'!$G$4:$G$269,'Data-Retail'!$A$4:$A$269,'Apr11-Mar12 Billed-RETAIL'!$B92,'Data-Retail'!$D$4:$D$269,'Apr11-Mar12 Billed-RETAIL'!$C92)</f>
        <v>4</v>
      </c>
      <c r="G92" s="222"/>
      <c r="H92" s="222"/>
      <c r="I92" s="222">
        <f>SUMIFS('Data-Retail'!$H$4:$H$269,'Data-Retail'!$A$4:$A$269,'Apr11-Mar12 Billed-RETAIL'!$B92,'Data-Retail'!$D$4:$D$269,'Apr11-Mar12 Billed-RETAIL'!$C92)</f>
        <v>698</v>
      </c>
      <c r="J92" s="222">
        <f>SUMIFS('Data-Retail'!$I$4:$I$269,'Data-Retail'!$A$4:$A$269,'Apr11-Mar12 Billed-RETAIL'!$B92,'Data-Retail'!$D$4:$D$269,'Apr11-Mar12 Billed-RETAIL'!$C92)</f>
        <v>0</v>
      </c>
      <c r="K92" s="222"/>
      <c r="L92" s="223">
        <f>VLOOKUP($C92,'Retail Rates'!$B$7:$M$35,5,FALSE)</f>
        <v>12.5</v>
      </c>
      <c r="M92" s="223">
        <f>VLOOKUP($C92,'Retail Rates'!$B$7:$M$35,6,FALSE)</f>
        <v>0</v>
      </c>
      <c r="N92" s="224">
        <f>VLOOKUP($C92,'Retail Rates'!$B$7:$M$35,7,FALSE)</f>
        <v>0.22395999999999999</v>
      </c>
      <c r="O92" s="224">
        <f>VLOOKUP($C92,'Retail Rates'!$B$7:$M$35,8,FALSE)</f>
        <v>0</v>
      </c>
      <c r="P92" s="224">
        <f>VLOOKUP($B92,'GSC-DSM Factors'!$A$1:$B$46,2,FALSE)</f>
        <v>0.51601999999999992</v>
      </c>
      <c r="Q92" s="223">
        <f>VLOOKUP($C92,'Retail Rates'!$B$7:$M$35,9,FALSE)</f>
        <v>0</v>
      </c>
      <c r="R92" s="224">
        <f>VLOOKUP($C92,'Retail Rates'!$B$7:$M$35,10,FALSE)</f>
        <v>0</v>
      </c>
      <c r="S92" s="223">
        <f>VLOOKUP($C92,'Retail Rates'!$B$7:$M$35,11,FALSE)</f>
        <v>0</v>
      </c>
      <c r="T92" s="223"/>
      <c r="U92" s="225">
        <f t="shared" si="67"/>
        <v>50</v>
      </c>
      <c r="V92" s="225"/>
      <c r="W92" s="225"/>
      <c r="X92" s="225">
        <f>+I92*N92</f>
        <v>156.32407999999998</v>
      </c>
      <c r="Y92" s="225">
        <f t="shared" si="72"/>
        <v>0</v>
      </c>
      <c r="Z92" s="225">
        <f t="shared" si="75"/>
        <v>360.18195999999995</v>
      </c>
      <c r="AA92" s="225"/>
      <c r="AB92" s="225"/>
      <c r="AC92" s="225"/>
      <c r="AD92" s="225"/>
      <c r="AE92" s="244">
        <f>SUMIFS(Adjustments!H$5:H$684,Adjustments!$B$5:$B$684,'Apr11-Mar12 Billed-RETAIL'!$B92,Adjustments!$C$5:$C$684,'Apr11-Mar12 Billed-RETAIL'!$C92)</f>
        <v>0</v>
      </c>
      <c r="AF92" s="244">
        <f>SUMIFS(Adjustments!I$5:I$684,Adjustments!$B$5:$B$684,'Apr11-Mar12 Billed-RETAIL'!$B92,Adjustments!$C$5:$C$684,'Apr11-Mar12 Billed-RETAIL'!$C92)</f>
        <v>0</v>
      </c>
      <c r="AG92" s="238">
        <f>SUMIFS(Adjustments!J$5:J$684,Adjustments!$B$5:$B$684,'Apr11-Mar12 Billed-RETAIL'!$B92,Adjustments!$C$5:$C$684,'Apr11-Mar12 Billed-RETAIL'!$C92)</f>
        <v>0</v>
      </c>
      <c r="AH92" s="238">
        <f>SUMIFS(Adjustments!K$5:K$684,Adjustments!$B$5:$B$684,'Apr11-Mar12 Billed-RETAIL'!$B92,Adjustments!$C$5:$C$684,'Apr11-Mar12 Billed-RETAIL'!$C92)</f>
        <v>0</v>
      </c>
      <c r="AI92" s="238">
        <f>SUMIFS(Adjustments!L$5:L$684,Adjustments!$B$5:$B$684,'Apr11-Mar12 Billed-RETAIL'!$B92,Adjustments!$C$5:$C$684,'Apr11-Mar12 Billed-RETAIL'!$C92)</f>
        <v>0.01</v>
      </c>
      <c r="AJ92" s="238">
        <f>SUMIFS(Adjustments!M$5:M$684,Adjustments!$B$5:$B$684,'Apr11-Mar12 Billed-RETAIL'!$B92,Adjustments!$C$5:$C$684,'Apr11-Mar12 Billed-RETAIL'!$C92)</f>
        <v>0</v>
      </c>
      <c r="AK92" s="238">
        <f>SUMIFS(Adjustments!N$5:N$684,Adjustments!$B$5:$B$684,'Apr11-Mar12 Billed-RETAIL'!$B92,Adjustments!$C$5:$C$684,'Apr11-Mar12 Billed-RETAIL'!$C92)</f>
        <v>0</v>
      </c>
      <c r="AL92" s="238">
        <f>SUMIFS(Adjustments!O$5:O$684,Adjustments!$B$5:$B$684,'Apr11-Mar12 Billed-RETAIL'!$B92,Adjustments!$C$5:$C$684,'Apr11-Mar12 Billed-RETAIL'!$C92)</f>
        <v>0</v>
      </c>
      <c r="AM92" s="238">
        <f>SUMIFS(Adjustments!P$5:P$684,Adjustments!$B$5:$B$684,'Apr11-Mar12 Billed-RETAIL'!$B92,Adjustments!$C$5:$C$684,'Apr11-Mar12 Billed-RETAIL'!$C92)</f>
        <v>0</v>
      </c>
      <c r="AN92" s="225">
        <f t="shared" si="70"/>
        <v>50</v>
      </c>
      <c r="AO92" s="225">
        <f t="shared" si="62"/>
        <v>0</v>
      </c>
      <c r="AP92" s="225">
        <f t="shared" si="63"/>
        <v>156.33407999999997</v>
      </c>
      <c r="AQ92" s="225">
        <f t="shared" si="64"/>
        <v>0</v>
      </c>
      <c r="AR92" s="232">
        <f ca="1">SUMIF('SBR Nov11'!$D$4:$S$90,'Apr11-Mar12 Billed-RETAIL'!$C92,'SBR Nov11'!$N$4:$N$90)</f>
        <v>375.12</v>
      </c>
      <c r="AS92" s="232">
        <f ca="1">SUMIF('SBR Nov11'!$D$4:$S$90,'Apr11-Mar12 Billed-RETAIL'!$C92,'SBR Nov11'!$M$4:$M$90)</f>
        <v>13.17</v>
      </c>
      <c r="AT92" s="232">
        <f ca="1">SUMIF('SBR Nov11'!$D$4:$S$90,'Apr11-Mar12 Billed-RETAIL'!$C92,'SBR Nov11'!$O$4:$O$90)</f>
        <v>4.49</v>
      </c>
      <c r="AU92" s="225">
        <f t="shared" si="65"/>
        <v>0</v>
      </c>
      <c r="AV92" s="225"/>
      <c r="AW92" s="232">
        <f t="shared" ca="1" si="74"/>
        <v>599.11</v>
      </c>
      <c r="AX92" s="232">
        <f t="shared" ca="1" si="68"/>
        <v>599.11</v>
      </c>
      <c r="AY92" s="233">
        <f t="shared" ca="1" si="73"/>
        <v>1</v>
      </c>
      <c r="AZ92" s="232">
        <f ca="1">SUMIF('SBR Nov11'!$D$4:$S$90,'Apr11-Mar12 Billed-RETAIL'!$C92,'SBR Nov11'!$M$4:$M$90)</f>
        <v>13.17</v>
      </c>
      <c r="BA92" s="232">
        <f ca="1">SUMIF('SBR Nov11'!$D$4:$S$90,'Apr11-Mar12 Billed-RETAIL'!$C92,'SBR Nov11'!$N$4:$N$90)</f>
        <v>375.12</v>
      </c>
      <c r="BB92" s="232">
        <f ca="1">SUMIF('SBR Nov11'!$D$4:$S$90,'Apr11-Mar12 Billed-RETAIL'!$C92,'SBR Nov11'!$O$4:$O$90)</f>
        <v>4.49</v>
      </c>
      <c r="BC92" s="232">
        <f ca="1">SUMIF('SBR Nov11'!$D$4:$S$90,'Apr11-Mar12 Billed-RETAIL'!$C92,'SBR Nov11'!$Q$4:$Q$90)</f>
        <v>0</v>
      </c>
      <c r="BD92" s="232">
        <f ca="1">SUMIF('SBR Nov11'!$D$4:$S$90,'Apr11-Mar12 Billed-RETAIL'!$C92,'SBR Nov11'!$K$4:$K$90)</f>
        <v>50</v>
      </c>
      <c r="BE92" s="232">
        <f ca="1">SUMIF('SBR Nov11'!$D$4:$S$90,'Apr11-Mar12 Billed-RETAIL'!$C92,'SBR Nov11'!$L$4:$L$90)</f>
        <v>156.32999999999998</v>
      </c>
      <c r="BF92" s="232"/>
    </row>
    <row r="93" spans="1:58" ht="15" customHeight="1" x14ac:dyDescent="0.25">
      <c r="A93" s="196">
        <f t="shared" si="58"/>
        <v>88</v>
      </c>
      <c r="B93" s="211">
        <v>40848</v>
      </c>
      <c r="C93" s="211" t="str">
        <f>+'Retail Rates'!B29</f>
        <v>LGUMG830</v>
      </c>
      <c r="D93" s="197" t="str">
        <f t="shared" si="71"/>
        <v>830</v>
      </c>
      <c r="E93" s="197" t="str">
        <f>VLOOKUP(C93,'Retail Rates'!$B$7:$D$35,3,FALSE)</f>
        <v>RGS</v>
      </c>
      <c r="F93" s="222">
        <f>SUMIFS('Data-Retail'!$G$4:$G$269,'Data-Retail'!$A$4:$A$269,'Apr11-Mar12 Billed-RETAIL'!$B93,'Data-Retail'!$D$4:$D$269,'Apr11-Mar12 Billed-RETAIL'!$C93)</f>
        <v>1</v>
      </c>
      <c r="G93" s="222"/>
      <c r="H93" s="222"/>
      <c r="I93" s="222">
        <f>SUMIFS('Data-Retail'!$H$4:$H$269,'Data-Retail'!$A$4:$A$269,'Apr11-Mar12 Billed-RETAIL'!$B93,'Data-Retail'!$D$4:$D$269,'Apr11-Mar12 Billed-RETAIL'!$C93)</f>
        <v>32</v>
      </c>
      <c r="J93" s="222">
        <f>SUMIFS('Data-Retail'!$I$4:$I$269,'Data-Retail'!$A$4:$A$269,'Apr11-Mar12 Billed-RETAIL'!$B93,'Data-Retail'!$D$4:$D$269,'Apr11-Mar12 Billed-RETAIL'!$C93)</f>
        <v>0</v>
      </c>
      <c r="K93" s="222"/>
      <c r="L93" s="223">
        <f>VLOOKUP($C93,'Retail Rates'!$B$7:$M$35,5,FALSE)</f>
        <v>12.5</v>
      </c>
      <c r="M93" s="223">
        <f>VLOOKUP($C93,'Retail Rates'!$B$7:$M$35,6,FALSE)</f>
        <v>0</v>
      </c>
      <c r="N93" s="224">
        <f>VLOOKUP($C93,'Retail Rates'!$B$7:$M$35,7,FALSE)</f>
        <v>0.22395999999999999</v>
      </c>
      <c r="O93" s="224">
        <f>VLOOKUP($C93,'Retail Rates'!$B$7:$M$35,8,FALSE)</f>
        <v>0</v>
      </c>
      <c r="P93" s="224">
        <f>VLOOKUP($B93,'GSC-DSM Factors'!$A$1:$B$46,2,FALSE)</f>
        <v>0.51601999999999992</v>
      </c>
      <c r="Q93" s="223">
        <f>VLOOKUP($C93,'Retail Rates'!$B$7:$M$35,9,FALSE)</f>
        <v>0</v>
      </c>
      <c r="R93" s="224">
        <f>VLOOKUP($C93,'Retail Rates'!$B$7:$M$35,10,FALSE)</f>
        <v>0</v>
      </c>
      <c r="S93" s="223">
        <f>VLOOKUP($C93,'Retail Rates'!$B$7:$M$35,11,FALSE)</f>
        <v>0</v>
      </c>
      <c r="T93" s="223"/>
      <c r="U93" s="225">
        <f t="shared" si="67"/>
        <v>12.5</v>
      </c>
      <c r="V93" s="225"/>
      <c r="W93" s="225"/>
      <c r="X93" s="225">
        <f>+I93*N93</f>
        <v>7.1667199999999998</v>
      </c>
      <c r="Y93" s="225">
        <f t="shared" si="72"/>
        <v>0</v>
      </c>
      <c r="Z93" s="225">
        <f t="shared" si="75"/>
        <v>16.512639999999998</v>
      </c>
      <c r="AA93" s="225"/>
      <c r="AB93" s="225"/>
      <c r="AC93" s="225"/>
      <c r="AD93" s="225"/>
      <c r="AE93" s="244">
        <f>SUMIFS(Adjustments!H$5:H$684,Adjustments!$B$5:$B$684,'Apr11-Mar12 Billed-RETAIL'!$B93,Adjustments!$C$5:$C$684,'Apr11-Mar12 Billed-RETAIL'!$C93)</f>
        <v>1</v>
      </c>
      <c r="AF93" s="244">
        <f>SUMIFS(Adjustments!I$5:I$684,Adjustments!$B$5:$B$684,'Apr11-Mar12 Billed-RETAIL'!$B93,Adjustments!$C$5:$C$684,'Apr11-Mar12 Billed-RETAIL'!$C93)</f>
        <v>0</v>
      </c>
      <c r="AG93" s="238">
        <f>SUMIFS(Adjustments!J$5:J$684,Adjustments!$B$5:$B$684,'Apr11-Mar12 Billed-RETAIL'!$B93,Adjustments!$C$5:$C$684,'Apr11-Mar12 Billed-RETAIL'!$C93)</f>
        <v>0</v>
      </c>
      <c r="AH93" s="238">
        <f>SUMIFS(Adjustments!K$5:K$684,Adjustments!$B$5:$B$684,'Apr11-Mar12 Billed-RETAIL'!$B93,Adjustments!$C$5:$C$684,'Apr11-Mar12 Billed-RETAIL'!$C93)</f>
        <v>0</v>
      </c>
      <c r="AI93" s="238">
        <f>SUMIFS(Adjustments!L$5:L$684,Adjustments!$B$5:$B$684,'Apr11-Mar12 Billed-RETAIL'!$B93,Adjustments!$C$5:$C$684,'Apr11-Mar12 Billed-RETAIL'!$C93)</f>
        <v>0</v>
      </c>
      <c r="AJ93" s="238">
        <f>SUMIFS(Adjustments!M$5:M$684,Adjustments!$B$5:$B$684,'Apr11-Mar12 Billed-RETAIL'!$B93,Adjustments!$C$5:$C$684,'Apr11-Mar12 Billed-RETAIL'!$C93)</f>
        <v>0</v>
      </c>
      <c r="AK93" s="238">
        <f>SUMIFS(Adjustments!N$5:N$684,Adjustments!$B$5:$B$684,'Apr11-Mar12 Billed-RETAIL'!$B93,Adjustments!$C$5:$C$684,'Apr11-Mar12 Billed-RETAIL'!$C93)</f>
        <v>0</v>
      </c>
      <c r="AL93" s="238">
        <f>SUMIFS(Adjustments!O$5:O$684,Adjustments!$B$5:$B$684,'Apr11-Mar12 Billed-RETAIL'!$B93,Adjustments!$C$5:$C$684,'Apr11-Mar12 Billed-RETAIL'!$C93)</f>
        <v>0</v>
      </c>
      <c r="AM93" s="238">
        <f>SUMIFS(Adjustments!P$5:P$684,Adjustments!$B$5:$B$684,'Apr11-Mar12 Billed-RETAIL'!$B93,Adjustments!$C$5:$C$684,'Apr11-Mar12 Billed-RETAIL'!$C93)</f>
        <v>0</v>
      </c>
      <c r="AN93" s="225">
        <f t="shared" si="70"/>
        <v>25</v>
      </c>
      <c r="AO93" s="225">
        <f t="shared" si="62"/>
        <v>0</v>
      </c>
      <c r="AP93" s="225">
        <f t="shared" si="63"/>
        <v>7.1667199999999998</v>
      </c>
      <c r="AQ93" s="225">
        <f t="shared" si="64"/>
        <v>0</v>
      </c>
      <c r="AR93" s="232">
        <f ca="1">SUMIF('SBR Nov11'!$D$4:$S$90,'Apr11-Mar12 Billed-RETAIL'!$C93,'SBR Nov11'!$N$4:$N$90)</f>
        <v>17.010000000000002</v>
      </c>
      <c r="AS93" s="232">
        <f ca="1">SUMIF('SBR Nov11'!$D$4:$S$90,'Apr11-Mar12 Billed-RETAIL'!$C93,'SBR Nov11'!$M$4:$M$90)</f>
        <v>0.6</v>
      </c>
      <c r="AT93" s="232">
        <f ca="1">SUMIF('SBR Nov11'!$D$4:$S$90,'Apr11-Mar12 Billed-RETAIL'!$C93,'SBR Nov11'!$O$4:$O$90)</f>
        <v>0</v>
      </c>
      <c r="AU93" s="225">
        <f t="shared" si="65"/>
        <v>0</v>
      </c>
      <c r="AV93" s="225"/>
      <c r="AW93" s="232">
        <f t="shared" ca="1" si="74"/>
        <v>49.78</v>
      </c>
      <c r="AX93" s="232">
        <f t="shared" ca="1" si="68"/>
        <v>49.78</v>
      </c>
      <c r="AY93" s="233">
        <f t="shared" ca="1" si="73"/>
        <v>1</v>
      </c>
      <c r="AZ93" s="232">
        <f ca="1">SUMIF('SBR Nov11'!$D$4:$S$90,'Apr11-Mar12 Billed-RETAIL'!$C93,'SBR Nov11'!$M$4:$M$90)</f>
        <v>0.6</v>
      </c>
      <c r="BA93" s="232">
        <f ca="1">SUMIF('SBR Nov11'!$D$4:$S$90,'Apr11-Mar12 Billed-RETAIL'!$C93,'SBR Nov11'!$N$4:$N$90)</f>
        <v>17.010000000000002</v>
      </c>
      <c r="BB93" s="232">
        <f ca="1">SUMIF('SBR Nov11'!$D$4:$S$90,'Apr11-Mar12 Billed-RETAIL'!$C93,'SBR Nov11'!$O$4:$O$90)</f>
        <v>0</v>
      </c>
      <c r="BC93" s="232">
        <f ca="1">SUMIF('SBR Nov11'!$D$4:$S$90,'Apr11-Mar12 Billed-RETAIL'!$C93,'SBR Nov11'!$Q$4:$Q$90)</f>
        <v>0</v>
      </c>
      <c r="BD93" s="232">
        <f ca="1">SUMIF('SBR Nov11'!$D$4:$S$90,'Apr11-Mar12 Billed-RETAIL'!$C93,'SBR Nov11'!$K$4:$K$90)</f>
        <v>25</v>
      </c>
      <c r="BE93" s="232">
        <f ca="1">SUMIF('SBR Nov11'!$D$4:$S$90,'Apr11-Mar12 Billed-RETAIL'!$C93,'SBR Nov11'!$L$4:$L$90)</f>
        <v>7.17</v>
      </c>
      <c r="BF93" s="232"/>
    </row>
    <row r="94" spans="1:58" ht="15" customHeight="1" x14ac:dyDescent="0.25">
      <c r="A94" s="196">
        <f t="shared" si="58"/>
        <v>89</v>
      </c>
      <c r="B94" s="211">
        <v>40878</v>
      </c>
      <c r="C94" s="211" t="str">
        <f>+'Retail Rates'!B7</f>
        <v>LGCMG865</v>
      </c>
      <c r="D94" s="197" t="str">
        <f t="shared" si="71"/>
        <v>865</v>
      </c>
      <c r="E94" s="197" t="str">
        <f>VLOOKUP(C94,'Retail Rates'!$B$7:$D$35,3,FALSE)</f>
        <v>AAGS-C</v>
      </c>
      <c r="F94" s="222">
        <f>SUMIFS('Data-Retail'!$G$4:$G$269,'Data-Retail'!$A$4:$A$269,'Apr11-Mar12 Billed-RETAIL'!$B94,'Data-Retail'!$D$4:$D$269,'Apr11-Mar12 Billed-RETAIL'!$C94)</f>
        <v>1</v>
      </c>
      <c r="G94" s="222"/>
      <c r="H94" s="222"/>
      <c r="I94" s="222">
        <f>SUMIFS('Data-Retail'!$H$4:$H$269,'Data-Retail'!$A$4:$A$269,'Apr11-Mar12 Billed-RETAIL'!$B94,'Data-Retail'!$D$4:$D$269,'Apr11-Mar12 Billed-RETAIL'!$C94)</f>
        <v>111881</v>
      </c>
      <c r="J94" s="222">
        <f>SUMIFS('Data-Retail'!$I$4:$I$269,'Data-Retail'!$A$4:$A$269,'Apr11-Mar12 Billed-RETAIL'!$B94,'Data-Retail'!$D$4:$D$269,'Apr11-Mar12 Billed-RETAIL'!$C94)</f>
        <v>0</v>
      </c>
      <c r="K94" s="222"/>
      <c r="L94" s="223">
        <f>VLOOKUP($C94,'Retail Rates'!$B$7:$M$35,5,FALSE)</f>
        <v>275</v>
      </c>
      <c r="M94" s="223">
        <f>VLOOKUP($C94,'Retail Rates'!$B$7:$M$35,6,FALSE)</f>
        <v>0</v>
      </c>
      <c r="N94" s="224">
        <f>VLOOKUP($C94,'Retail Rates'!$B$7:$M$35,7,FALSE)</f>
        <v>5.2519999999999997E-2</v>
      </c>
      <c r="O94" s="224">
        <f>VLOOKUP($C94,'Retail Rates'!$B$7:$M$35,8,FALSE)</f>
        <v>0</v>
      </c>
      <c r="P94" s="224">
        <f>VLOOKUP($B94,'GSC-DSM Factors'!$A$1:$B$46,2,FALSE)</f>
        <v>0.51601999999999992</v>
      </c>
      <c r="Q94" s="223">
        <f>VLOOKUP($C94,'Retail Rates'!$B$7:$M$35,9,FALSE)</f>
        <v>0</v>
      </c>
      <c r="R94" s="224">
        <f>VLOOKUP($C94,'Retail Rates'!$B$7:$M$35,10,FALSE)</f>
        <v>0</v>
      </c>
      <c r="S94" s="223">
        <f>VLOOKUP($C94,'Retail Rates'!$B$7:$M$35,11,FALSE)</f>
        <v>0</v>
      </c>
      <c r="T94" s="223"/>
      <c r="U94" s="225">
        <f t="shared" si="67"/>
        <v>275</v>
      </c>
      <c r="V94" s="225"/>
      <c r="W94" s="225"/>
      <c r="X94" s="225">
        <f t="shared" ref="X94:X99" si="76">+I94*N94</f>
        <v>5875.9901199999995</v>
      </c>
      <c r="Y94" s="225">
        <f t="shared" si="72"/>
        <v>0</v>
      </c>
      <c r="Z94" s="225">
        <f>SUM(I94:J94)*P94</f>
        <v>57732.83361999999</v>
      </c>
      <c r="AA94" s="225"/>
      <c r="AB94" s="225"/>
      <c r="AC94" s="225"/>
      <c r="AD94" s="225"/>
      <c r="AE94" s="244">
        <f>SUMIFS(Adjustments!H$5:H$684,Adjustments!$B$5:$B$684,'Apr11-Mar12 Billed-RETAIL'!$B94,Adjustments!$C$5:$C$684,'Apr11-Mar12 Billed-RETAIL'!$C94)</f>
        <v>1</v>
      </c>
      <c r="AF94" s="244">
        <f>SUMIFS(Adjustments!I$5:I$684,Adjustments!$B$5:$B$684,'Apr11-Mar12 Billed-RETAIL'!$B94,Adjustments!$C$5:$C$684,'Apr11-Mar12 Billed-RETAIL'!$C94)</f>
        <v>0</v>
      </c>
      <c r="AG94" s="238">
        <f>SUMIFS(Adjustments!J$5:J$684,Adjustments!$B$5:$B$684,'Apr11-Mar12 Billed-RETAIL'!$B94,Adjustments!$C$5:$C$684,'Apr11-Mar12 Billed-RETAIL'!$C94)</f>
        <v>0</v>
      </c>
      <c r="AH94" s="238">
        <f>SUMIFS(Adjustments!K$5:K$684,Adjustments!$B$5:$B$684,'Apr11-Mar12 Billed-RETAIL'!$B94,Adjustments!$C$5:$C$684,'Apr11-Mar12 Billed-RETAIL'!$C94)</f>
        <v>0</v>
      </c>
      <c r="AI94" s="238">
        <f>SUMIFS(Adjustments!L$5:L$684,Adjustments!$B$5:$B$684,'Apr11-Mar12 Billed-RETAIL'!$B94,Adjustments!$C$5:$C$684,'Apr11-Mar12 Billed-RETAIL'!$C94)</f>
        <v>0</v>
      </c>
      <c r="AJ94" s="238">
        <f>SUMIFS(Adjustments!M$5:M$684,Adjustments!$B$5:$B$684,'Apr11-Mar12 Billed-RETAIL'!$B94,Adjustments!$C$5:$C$684,'Apr11-Mar12 Billed-RETAIL'!$C94)</f>
        <v>0</v>
      </c>
      <c r="AK94" s="238">
        <f>SUMIFS(Adjustments!N$5:N$684,Adjustments!$B$5:$B$684,'Apr11-Mar12 Billed-RETAIL'!$B94,Adjustments!$C$5:$C$684,'Apr11-Mar12 Billed-RETAIL'!$C94)</f>
        <v>0</v>
      </c>
      <c r="AL94" s="238">
        <f>SUMIFS(Adjustments!O$5:O$684,Adjustments!$B$5:$B$684,'Apr11-Mar12 Billed-RETAIL'!$B94,Adjustments!$C$5:$C$684,'Apr11-Mar12 Billed-RETAIL'!$C94)</f>
        <v>0</v>
      </c>
      <c r="AM94" s="238">
        <f>SUMIFS(Adjustments!P$5:P$684,Adjustments!$B$5:$B$684,'Apr11-Mar12 Billed-RETAIL'!$B94,Adjustments!$C$5:$C$684,'Apr11-Mar12 Billed-RETAIL'!$C94)</f>
        <v>0</v>
      </c>
      <c r="AN94" s="225">
        <f t="shared" si="70"/>
        <v>550</v>
      </c>
      <c r="AO94" s="225">
        <f t="shared" si="62"/>
        <v>0</v>
      </c>
      <c r="AP94" s="225">
        <f t="shared" si="63"/>
        <v>5875.9901199999995</v>
      </c>
      <c r="AQ94" s="225">
        <f t="shared" si="64"/>
        <v>0</v>
      </c>
      <c r="AR94" s="232">
        <f ca="1">SUMIF('SBR Dec11'!$D$4:$S$90,'Apr11-Mar12 Billed-RETAIL'!$C94,'SBR Dec11'!$N$4:$N$90)</f>
        <v>58192.93</v>
      </c>
      <c r="AS94" s="232">
        <f ca="1">SUMIF('SBR Dec11'!$D$4:$S$90,'Apr11-Mar12 Billed-RETAIL'!$C94,'SBR Dec11'!$M$4:$M$90)</f>
        <v>107.4</v>
      </c>
      <c r="AT94" s="232">
        <f ca="1">SUMIF('SBR Dec11'!$D$4:$S$90,'Apr11-Mar12 Billed-RETAIL'!$C94,'SBR Dec11'!$O$4:$O$90)</f>
        <v>0</v>
      </c>
      <c r="AU94" s="225">
        <f t="shared" si="65"/>
        <v>0</v>
      </c>
      <c r="AV94" s="225"/>
      <c r="AW94" s="232">
        <f t="shared" ca="1" si="74"/>
        <v>64726.32</v>
      </c>
      <c r="AX94" s="232">
        <f t="shared" ca="1" si="68"/>
        <v>64726.32</v>
      </c>
      <c r="AY94" s="233">
        <f t="shared" ca="1" si="73"/>
        <v>1</v>
      </c>
      <c r="AZ94" s="232">
        <f ca="1">SUMIF('SBR Dec11'!$D$4:$S$90,'Apr11-Mar12 Billed-RETAIL'!$C94,'SBR Dec11'!$M$4:$M$90)</f>
        <v>107.4</v>
      </c>
      <c r="BA94" s="232">
        <f ca="1">SUMIF('SBR Dec11'!$D$4:$S$90,'Apr11-Mar12 Billed-RETAIL'!$C94,'SBR Dec11'!$N$4:$N$90)</f>
        <v>58192.93</v>
      </c>
      <c r="BB94" s="232">
        <f ca="1">SUMIF('SBR Dec11'!$D$4:$S$90,'Apr11-Mar12 Billed-RETAIL'!$C94,'SBR Dec11'!$O$4:$O$90)</f>
        <v>0</v>
      </c>
      <c r="BC94" s="232">
        <f ca="1">SUMIF('SBR Dec11'!$D$4:$S$90,'Apr11-Mar12 Billed-RETAIL'!$C94,'SBR Dec11'!$Q$4:$Q$90)</f>
        <v>0</v>
      </c>
      <c r="BD94" s="232">
        <f ca="1">SUMIF('SBR Dec11'!$D$4:$S$90,'Apr11-Mar12 Billed-RETAIL'!$C94,'SBR Dec11'!$K$4:$K$90)</f>
        <v>550</v>
      </c>
      <c r="BE94" s="232">
        <f ca="1">SUMIF('SBR Dec11'!$D$4:$S$90,'Apr11-Mar12 Billed-RETAIL'!$C94,'SBR Dec11'!$L$4:$L$90)</f>
        <v>5875.99</v>
      </c>
      <c r="BF94" s="232"/>
    </row>
    <row r="95" spans="1:58" ht="15" customHeight="1" x14ac:dyDescent="0.25">
      <c r="A95" s="196">
        <f t="shared" si="58"/>
        <v>90</v>
      </c>
      <c r="B95" s="211">
        <v>40878</v>
      </c>
      <c r="C95" s="211" t="str">
        <f>+'Retail Rates'!B10</f>
        <v>LGING866</v>
      </c>
      <c r="D95" s="197" t="str">
        <f t="shared" ref="D95:D107" si="77">MID(C95,6,3)</f>
        <v>866</v>
      </c>
      <c r="E95" s="197" t="str">
        <f>VLOOKUP(C95,'Retail Rates'!$B$7:$D$35,3,FALSE)</f>
        <v>AAGS-I</v>
      </c>
      <c r="F95" s="222">
        <f>SUMIFS('Data-Retail'!$G$4:$G$269,'Data-Retail'!$A$4:$A$269,'Apr11-Mar12 Billed-RETAIL'!$B95,'Data-Retail'!$D$4:$D$269,'Apr11-Mar12 Billed-RETAIL'!$C95)</f>
        <v>13</v>
      </c>
      <c r="G95" s="222"/>
      <c r="H95" s="222"/>
      <c r="I95" s="222">
        <f>SUMIFS('Data-Retail'!$H$4:$H$269,'Data-Retail'!$A$4:$A$269,'Apr11-Mar12 Billed-RETAIL'!$B95,'Data-Retail'!$D$4:$D$269,'Apr11-Mar12 Billed-RETAIL'!$C95)</f>
        <v>259932</v>
      </c>
      <c r="J95" s="222">
        <f>SUMIFS('Data-Retail'!$I$4:$I$269,'Data-Retail'!$A$4:$A$269,'Apr11-Mar12 Billed-RETAIL'!$B95,'Data-Retail'!$D$4:$D$269,'Apr11-Mar12 Billed-RETAIL'!$C95)</f>
        <v>0</v>
      </c>
      <c r="K95" s="222"/>
      <c r="L95" s="223">
        <f>VLOOKUP($C95,'Retail Rates'!$B$7:$M$35,5,FALSE)</f>
        <v>275</v>
      </c>
      <c r="M95" s="223">
        <f>VLOOKUP($C95,'Retail Rates'!$B$7:$M$35,6,FALSE)</f>
        <v>0</v>
      </c>
      <c r="N95" s="224">
        <f>VLOOKUP($C95,'Retail Rates'!$B$7:$M$35,7,FALSE)</f>
        <v>5.2519999999999997E-2</v>
      </c>
      <c r="O95" s="224">
        <f>VLOOKUP($C95,'Retail Rates'!$B$7:$M$35,8,FALSE)</f>
        <v>0</v>
      </c>
      <c r="P95" s="224">
        <f>VLOOKUP($B95,'GSC-DSM Factors'!$A$1:$B$46,2,FALSE)</f>
        <v>0.51601999999999992</v>
      </c>
      <c r="Q95" s="223">
        <f>VLOOKUP($C95,'Retail Rates'!$B$7:$M$35,9,FALSE)</f>
        <v>0</v>
      </c>
      <c r="R95" s="224">
        <f>VLOOKUP($C95,'Retail Rates'!$B$7:$M$35,10,FALSE)</f>
        <v>0</v>
      </c>
      <c r="S95" s="223">
        <f>VLOOKUP($C95,'Retail Rates'!$B$7:$M$35,11,FALSE)</f>
        <v>0</v>
      </c>
      <c r="T95" s="223"/>
      <c r="U95" s="225">
        <f t="shared" si="67"/>
        <v>3575</v>
      </c>
      <c r="V95" s="225"/>
      <c r="W95" s="225"/>
      <c r="X95" s="225">
        <f t="shared" si="76"/>
        <v>13651.628639999999</v>
      </c>
      <c r="Y95" s="225">
        <f t="shared" si="72"/>
        <v>0</v>
      </c>
      <c r="Z95" s="225">
        <f>SUM(I95:J95)*P95</f>
        <v>134130.11063999997</v>
      </c>
      <c r="AA95" s="225"/>
      <c r="AB95" s="225"/>
      <c r="AC95" s="225"/>
      <c r="AD95" s="225"/>
      <c r="AE95" s="244">
        <f>SUMIFS(Adjustments!H$5:H$684,Adjustments!$B$5:$B$684,'Apr11-Mar12 Billed-RETAIL'!$B95,Adjustments!$C$5:$C$684,'Apr11-Mar12 Billed-RETAIL'!$C95)</f>
        <v>2</v>
      </c>
      <c r="AF95" s="244">
        <f>SUMIFS(Adjustments!I$5:I$684,Adjustments!$B$5:$B$684,'Apr11-Mar12 Billed-RETAIL'!$B95,Adjustments!$C$5:$C$684,'Apr11-Mar12 Billed-RETAIL'!$C95)</f>
        <v>0</v>
      </c>
      <c r="AG95" s="238">
        <f>SUMIFS(Adjustments!J$5:J$684,Adjustments!$B$5:$B$684,'Apr11-Mar12 Billed-RETAIL'!$B95,Adjustments!$C$5:$C$684,'Apr11-Mar12 Billed-RETAIL'!$C95)</f>
        <v>0</v>
      </c>
      <c r="AH95" s="238">
        <f>SUMIFS(Adjustments!K$5:K$684,Adjustments!$B$5:$B$684,'Apr11-Mar12 Billed-RETAIL'!$B95,Adjustments!$C$5:$C$684,'Apr11-Mar12 Billed-RETAIL'!$C95)</f>
        <v>0</v>
      </c>
      <c r="AI95" s="238">
        <f>SUMIFS(Adjustments!L$5:L$684,Adjustments!$B$5:$B$684,'Apr11-Mar12 Billed-RETAIL'!$B95,Adjustments!$C$5:$C$684,'Apr11-Mar12 Billed-RETAIL'!$C95)</f>
        <v>0</v>
      </c>
      <c r="AJ95" s="238">
        <f>SUMIFS(Adjustments!M$5:M$684,Adjustments!$B$5:$B$684,'Apr11-Mar12 Billed-RETAIL'!$B95,Adjustments!$C$5:$C$684,'Apr11-Mar12 Billed-RETAIL'!$C95)</f>
        <v>0</v>
      </c>
      <c r="AK95" s="238">
        <f>SUMIFS(Adjustments!N$5:N$684,Adjustments!$B$5:$B$684,'Apr11-Mar12 Billed-RETAIL'!$B95,Adjustments!$C$5:$C$684,'Apr11-Mar12 Billed-RETAIL'!$C95)</f>
        <v>0</v>
      </c>
      <c r="AL95" s="238">
        <f>SUMIFS(Adjustments!O$5:O$684,Adjustments!$B$5:$B$684,'Apr11-Mar12 Billed-RETAIL'!$B95,Adjustments!$C$5:$C$684,'Apr11-Mar12 Billed-RETAIL'!$C95)</f>
        <v>0</v>
      </c>
      <c r="AM95" s="238">
        <f>SUMIFS(Adjustments!P$5:P$684,Adjustments!$B$5:$B$684,'Apr11-Mar12 Billed-RETAIL'!$B95,Adjustments!$C$5:$C$684,'Apr11-Mar12 Billed-RETAIL'!$C95)</f>
        <v>0</v>
      </c>
      <c r="AN95" s="225">
        <f t="shared" si="70"/>
        <v>4125</v>
      </c>
      <c r="AO95" s="225">
        <f t="shared" si="62"/>
        <v>0</v>
      </c>
      <c r="AP95" s="225">
        <f t="shared" si="63"/>
        <v>13651.628639999999</v>
      </c>
      <c r="AQ95" s="225">
        <f t="shared" si="64"/>
        <v>0</v>
      </c>
      <c r="AR95" s="232">
        <f ca="1">SUMIF('SBR Dec11'!$D$4:$S$90,'Apr11-Mar12 Billed-RETAIL'!$C95,'SBR Dec11'!$N$4:$N$90)</f>
        <v>134139.89000000001</v>
      </c>
      <c r="AS95" s="232">
        <f ca="1">SUMIF('SBR Dec11'!$D$4:$S$90,'Apr11-Mar12 Billed-RETAIL'!$C95,'SBR Dec11'!$M$4:$M$90)</f>
        <v>109.94</v>
      </c>
      <c r="AT95" s="232">
        <f ca="1">SUMIF('SBR Dec11'!$D$4:$S$90,'Apr11-Mar12 Billed-RETAIL'!$C95,'SBR Dec11'!$O$4:$O$90)</f>
        <v>0</v>
      </c>
      <c r="AU95" s="225">
        <f t="shared" si="65"/>
        <v>0</v>
      </c>
      <c r="AV95" s="225"/>
      <c r="AW95" s="232">
        <f t="shared" ca="1" si="74"/>
        <v>152026.46</v>
      </c>
      <c r="AX95" s="232">
        <f t="shared" ca="1" si="68"/>
        <v>152026.45000000001</v>
      </c>
      <c r="AY95" s="233">
        <f t="shared" ca="1" si="73"/>
        <v>1</v>
      </c>
      <c r="AZ95" s="232">
        <f ca="1">SUMIF('SBR Dec11'!$D$4:$S$90,'Apr11-Mar12 Billed-RETAIL'!$C95,'SBR Dec11'!$M$4:$M$90)</f>
        <v>109.94</v>
      </c>
      <c r="BA95" s="232">
        <f ca="1">SUMIF('SBR Dec11'!$D$4:$S$90,'Apr11-Mar12 Billed-RETAIL'!$C95,'SBR Dec11'!$N$4:$N$90)</f>
        <v>134139.89000000001</v>
      </c>
      <c r="BB95" s="232">
        <f ca="1">SUMIF('SBR Dec11'!$D$4:$S$90,'Apr11-Mar12 Billed-RETAIL'!$C95,'SBR Dec11'!$O$4:$O$90)</f>
        <v>0</v>
      </c>
      <c r="BC95" s="232">
        <f ca="1">SUMIF('SBR Dec11'!$D$4:$S$90,'Apr11-Mar12 Billed-RETAIL'!$C95,'SBR Dec11'!$Q$4:$Q$90)</f>
        <v>0</v>
      </c>
      <c r="BD95" s="232">
        <f ca="1">SUMIF('SBR Dec11'!$D$4:$S$90,'Apr11-Mar12 Billed-RETAIL'!$C95,'SBR Dec11'!$K$4:$K$90)</f>
        <v>4125</v>
      </c>
      <c r="BE95" s="232">
        <f ca="1">SUMIF('SBR Dec11'!$D$4:$S$90,'Apr11-Mar12 Billed-RETAIL'!$C95,'SBR Dec11'!$L$4:$L$90)</f>
        <v>13651.619999999999</v>
      </c>
      <c r="BF95" s="232"/>
    </row>
    <row r="96" spans="1:58" ht="15" x14ac:dyDescent="0.25">
      <c r="A96" s="196">
        <f t="shared" si="58"/>
        <v>91</v>
      </c>
      <c r="B96" s="211">
        <v>40878</v>
      </c>
      <c r="C96" s="211" t="str">
        <f>+'Retail Rates'!B13</f>
        <v>LGCMG851</v>
      </c>
      <c r="D96" s="197" t="str">
        <f t="shared" si="77"/>
        <v>851</v>
      </c>
      <c r="E96" s="197" t="str">
        <f>VLOOKUP(C96,'Retail Rates'!$B$7:$D$35,3,FALSE)</f>
        <v>CGS</v>
      </c>
      <c r="F96" s="222"/>
      <c r="G96" s="222">
        <f>SUMIFS(Adjustments!F$5:F$151,Adjustments!$B$5:$B$151,'Apr11-Mar12 Billed-RETAIL'!$B96,Adjustments!$C$5:$C$151,'Apr11-Mar12 Billed-RETAIL'!$C96)</f>
        <v>24405</v>
      </c>
      <c r="H96" s="222">
        <f>SUMIFS(Adjustments!G$5:G$151,Adjustments!$B$5:$B$151,'Apr11-Mar12 Billed-RETAIL'!$B96,Adjustments!$C$5:$C$151,'Apr11-Mar12 Billed-RETAIL'!$C96)</f>
        <v>1052</v>
      </c>
      <c r="I96" s="222">
        <f>SUMIFS('Data-Retail'!$H$4:$H$269,'Data-Retail'!$A$4:$A$269,'Apr11-Mar12 Billed-RETAIL'!$B96,'Data-Retail'!$D$4:$D$269,'Apr11-Mar12 Billed-RETAIL'!$C96)</f>
        <v>10776183</v>
      </c>
      <c r="J96" s="222">
        <f>SUMIFS('Data-Retail'!$I$4:$I$269,'Data-Retail'!$A$4:$A$269,'Apr11-Mar12 Billed-RETAIL'!$B96,'Data-Retail'!$D$4:$D$269,'Apr11-Mar12 Billed-RETAIL'!$C96)</f>
        <v>0</v>
      </c>
      <c r="K96" s="222"/>
      <c r="L96" s="223">
        <f>VLOOKUP($C96,'Retail Rates'!$B$7:$M$35,5,FALSE)</f>
        <v>30</v>
      </c>
      <c r="M96" s="223">
        <f>VLOOKUP($C96,'Retail Rates'!$B$7:$M$35,6,FALSE)</f>
        <v>170</v>
      </c>
      <c r="N96" s="224">
        <f>VLOOKUP($C96,'Retail Rates'!$B$7:$M$35,7,FALSE)</f>
        <v>0.18722</v>
      </c>
      <c r="O96" s="224">
        <f>VLOOKUP($C96,'Retail Rates'!$B$7:$M$35,8,FALSE)</f>
        <v>0.13722000000000001</v>
      </c>
      <c r="P96" s="224">
        <f>VLOOKUP($B96,'GSC-DSM Factors'!$A$1:$B$46,2,FALSE)</f>
        <v>0.51601999999999992</v>
      </c>
      <c r="Q96" s="223">
        <f>VLOOKUP($C96,'Retail Rates'!$B$7:$M$35,9,FALSE)</f>
        <v>0</v>
      </c>
      <c r="R96" s="224">
        <f>VLOOKUP($C96,'Retail Rates'!$B$7:$M$35,10,FALSE)</f>
        <v>0</v>
      </c>
      <c r="S96" s="223">
        <f>VLOOKUP($C96,'Retail Rates'!$B$7:$M$35,11,FALSE)</f>
        <v>0</v>
      </c>
      <c r="T96" s="223"/>
      <c r="U96" s="225">
        <f t="shared" si="67"/>
        <v>732150</v>
      </c>
      <c r="V96" s="225"/>
      <c r="W96" s="225">
        <f>+H96*M96</f>
        <v>178840</v>
      </c>
      <c r="X96" s="225">
        <f t="shared" si="76"/>
        <v>2017516.98126</v>
      </c>
      <c r="Y96" s="225">
        <f t="shared" si="72"/>
        <v>0</v>
      </c>
      <c r="Z96" s="225">
        <f>SUM(I96:J96)*P96</f>
        <v>5560725.9516599989</v>
      </c>
      <c r="AA96" s="225"/>
      <c r="AB96" s="225"/>
      <c r="AC96" s="225"/>
      <c r="AD96" s="225"/>
      <c r="AE96" s="244">
        <f>SUMIFS(Adjustments!H$5:H$684,Adjustments!$B$5:$B$684,'Apr11-Mar12 Billed-RETAIL'!$B96,Adjustments!$C$5:$C$684,'Apr11-Mar12 Billed-RETAIL'!$C96)</f>
        <v>0</v>
      </c>
      <c r="AF96" s="244">
        <f>SUMIFS(Adjustments!I$5:I$684,Adjustments!$B$5:$B$684,'Apr11-Mar12 Billed-RETAIL'!$B96,Adjustments!$C$5:$C$684,'Apr11-Mar12 Billed-RETAIL'!$C96)</f>
        <v>0</v>
      </c>
      <c r="AG96" s="238">
        <f>SUMIFS(Adjustments!J$5:J$684,Adjustments!$B$5:$B$684,'Apr11-Mar12 Billed-RETAIL'!$B96,Adjustments!$C$5:$C$684,'Apr11-Mar12 Billed-RETAIL'!$C96)</f>
        <v>-326.7</v>
      </c>
      <c r="AH96" s="238">
        <f>SUMIFS(Adjustments!K$5:K$684,Adjustments!$B$5:$B$684,'Apr11-Mar12 Billed-RETAIL'!$B96,Adjustments!$C$5:$C$684,'Apr11-Mar12 Billed-RETAIL'!$C96)</f>
        <v>51</v>
      </c>
      <c r="AI96" s="238">
        <f>SUMIFS(Adjustments!L$5:L$684,Adjustments!$B$5:$B$684,'Apr11-Mar12 Billed-RETAIL'!$B96,Adjustments!$C$5:$C$684,'Apr11-Mar12 Billed-RETAIL'!$C96)</f>
        <v>-1.74</v>
      </c>
      <c r="AJ96" s="238">
        <f>SUMIFS(Adjustments!M$5:M$684,Adjustments!$B$5:$B$684,'Apr11-Mar12 Billed-RETAIL'!$B96,Adjustments!$C$5:$C$684,'Apr11-Mar12 Billed-RETAIL'!$C96)</f>
        <v>0</v>
      </c>
      <c r="AK96" s="238">
        <f>SUMIFS(Adjustments!N$5:N$684,Adjustments!$B$5:$B$684,'Apr11-Mar12 Billed-RETAIL'!$B96,Adjustments!$C$5:$C$684,'Apr11-Mar12 Billed-RETAIL'!$C96)</f>
        <v>0</v>
      </c>
      <c r="AL96" s="238">
        <f>SUMIFS(Adjustments!O$5:O$684,Adjustments!$B$5:$B$684,'Apr11-Mar12 Billed-RETAIL'!$B96,Adjustments!$C$5:$C$684,'Apr11-Mar12 Billed-RETAIL'!$C96)</f>
        <v>0</v>
      </c>
      <c r="AM96" s="238">
        <f>SUMIFS(Adjustments!P$5:P$684,Adjustments!$B$5:$B$684,'Apr11-Mar12 Billed-RETAIL'!$B96,Adjustments!$C$5:$C$684,'Apr11-Mar12 Billed-RETAIL'!$C96)</f>
        <v>0</v>
      </c>
      <c r="AN96" s="225">
        <f t="shared" si="70"/>
        <v>731823.3</v>
      </c>
      <c r="AO96" s="225">
        <f t="shared" si="62"/>
        <v>178891</v>
      </c>
      <c r="AP96" s="225">
        <f t="shared" si="63"/>
        <v>2017515.24126</v>
      </c>
      <c r="AQ96" s="225">
        <f t="shared" si="64"/>
        <v>0</v>
      </c>
      <c r="AR96" s="232">
        <f ca="1">SUMIF('SBR Dec11'!$D$4:$S$90,'Apr11-Mar12 Billed-RETAIL'!$C96,'SBR Dec11'!$N$4:$N$90)</f>
        <v>5563634.9199999999</v>
      </c>
      <c r="AS96" s="232">
        <f ca="1">SUMIF('SBR Dec11'!$D$4:$S$90,'Apr11-Mar12 Billed-RETAIL'!$C96,'SBR Dec11'!$M$4:$M$90)</f>
        <v>10342.499999999998</v>
      </c>
      <c r="AT96" s="232">
        <f ca="1">SUMIF('SBR Dec11'!$D$4:$S$90,'Apr11-Mar12 Billed-RETAIL'!$C96,'SBR Dec11'!$O$4:$O$90)</f>
        <v>332967.92</v>
      </c>
      <c r="AU96" s="225">
        <f t="shared" si="65"/>
        <v>0</v>
      </c>
      <c r="AV96" s="225"/>
      <c r="AW96" s="232">
        <f t="shared" ca="1" si="74"/>
        <v>8835174.8800000008</v>
      </c>
      <c r="AX96" s="232">
        <f t="shared" ca="1" si="68"/>
        <v>8835174.879999999</v>
      </c>
      <c r="AY96" s="233">
        <f t="shared" ca="1" si="73"/>
        <v>1</v>
      </c>
      <c r="AZ96" s="232">
        <f ca="1">SUMIF('SBR Dec11'!$D$4:$S$90,'Apr11-Mar12 Billed-RETAIL'!$C96,'SBR Dec11'!$M$4:$M$90)</f>
        <v>10342.499999999998</v>
      </c>
      <c r="BA96" s="232">
        <f ca="1">SUMIF('SBR Dec11'!$D$4:$S$90,'Apr11-Mar12 Billed-RETAIL'!$C96,'SBR Dec11'!$N$4:$N$90)</f>
        <v>5563634.9199999999</v>
      </c>
      <c r="BB96" s="232">
        <f ca="1">SUMIF('SBR Dec11'!$D$4:$S$90,'Apr11-Mar12 Billed-RETAIL'!$C96,'SBR Dec11'!$O$4:$O$90)</f>
        <v>332967.92</v>
      </c>
      <c r="BC96" s="232">
        <f ca="1">SUMIF('SBR Dec11'!$D$4:$S$90,'Apr11-Mar12 Billed-RETAIL'!$C96,'SBR Dec11'!$Q$4:$Q$90)</f>
        <v>0</v>
      </c>
      <c r="BD96" s="232">
        <f ca="1">SUMIF('SBR Dec11'!$D$4:$S$90,'Apr11-Mar12 Billed-RETAIL'!$C96,'SBR Dec11'!$K$4:$K$90)</f>
        <v>910714.3</v>
      </c>
      <c r="BE96" s="232">
        <f ca="1">SUMIF('SBR Dec11'!$D$4:$S$90,'Apr11-Mar12 Billed-RETAIL'!$C96,'SBR Dec11'!$L$4:$L$90)</f>
        <v>2017515.2400000002</v>
      </c>
      <c r="BF96" s="232"/>
    </row>
    <row r="97" spans="1:58" ht="15" x14ac:dyDescent="0.25">
      <c r="A97" s="196">
        <f t="shared" si="58"/>
        <v>92</v>
      </c>
      <c r="B97" s="211">
        <v>40878</v>
      </c>
      <c r="C97" s="211" t="str">
        <f>+'Retail Rates'!B14</f>
        <v>LGUMG860</v>
      </c>
      <c r="D97" s="197" t="str">
        <f t="shared" si="77"/>
        <v>860</v>
      </c>
      <c r="E97" s="197" t="str">
        <f>VLOOKUP(C97,'Retail Rates'!$B$7:$D$35,3,FALSE)</f>
        <v>CGS</v>
      </c>
      <c r="F97" s="222"/>
      <c r="G97" s="222">
        <f>SUMIFS(Adjustments!F$5:F$151,Adjustments!$B$5:$B$151,'Apr11-Mar12 Billed-RETAIL'!$B97,Adjustments!$C$5:$C$151,'Apr11-Mar12 Billed-RETAIL'!$C97)</f>
        <v>19</v>
      </c>
      <c r="H97" s="222">
        <f>SUMIFS(Adjustments!G$5:G$151,Adjustments!$B$5:$B$151,'Apr11-Mar12 Billed-RETAIL'!$B97,Adjustments!$C$5:$C$151,'Apr11-Mar12 Billed-RETAIL'!$C97)</f>
        <v>0</v>
      </c>
      <c r="I97" s="222">
        <f>SUMIFS('Data-Retail'!$H$4:$H$269,'Data-Retail'!$A$4:$A$269,'Apr11-Mar12 Billed-RETAIL'!$B97,'Data-Retail'!$D$4:$D$269,'Apr11-Mar12 Billed-RETAIL'!$C97)</f>
        <v>358</v>
      </c>
      <c r="J97" s="222">
        <f>SUMIFS('Data-Retail'!$I$4:$I$269,'Data-Retail'!$A$4:$A$269,'Apr11-Mar12 Billed-RETAIL'!$B97,'Data-Retail'!$D$4:$D$269,'Apr11-Mar12 Billed-RETAIL'!$C97)</f>
        <v>0</v>
      </c>
      <c r="K97" s="222"/>
      <c r="L97" s="223">
        <f>VLOOKUP($C97,'Retail Rates'!$B$7:$M$35,5,FALSE)</f>
        <v>30</v>
      </c>
      <c r="M97" s="223">
        <f>VLOOKUP($C97,'Retail Rates'!$B$7:$M$35,6,FALSE)</f>
        <v>170</v>
      </c>
      <c r="N97" s="224">
        <f>VLOOKUP($C97,'Retail Rates'!$B$7:$M$35,7,FALSE)</f>
        <v>0.18722</v>
      </c>
      <c r="O97" s="224">
        <f>VLOOKUP($C97,'Retail Rates'!$B$7:$M$35,8,FALSE)</f>
        <v>0.13722000000000001</v>
      </c>
      <c r="P97" s="224">
        <f>VLOOKUP($B97,'GSC-DSM Factors'!$A$1:$B$46,2,FALSE)</f>
        <v>0.51601999999999992</v>
      </c>
      <c r="Q97" s="223">
        <f>VLOOKUP($C97,'Retail Rates'!$B$7:$M$35,9,FALSE)</f>
        <v>0</v>
      </c>
      <c r="R97" s="224">
        <f>VLOOKUP($C97,'Retail Rates'!$B$7:$M$35,10,FALSE)</f>
        <v>0</v>
      </c>
      <c r="S97" s="223">
        <f>VLOOKUP($C97,'Retail Rates'!$B$7:$M$35,11,FALSE)</f>
        <v>0</v>
      </c>
      <c r="T97" s="223"/>
      <c r="U97" s="225">
        <f t="shared" si="67"/>
        <v>570</v>
      </c>
      <c r="V97" s="225"/>
      <c r="W97" s="225">
        <f>+H97*M97</f>
        <v>0</v>
      </c>
      <c r="X97" s="225">
        <f t="shared" si="76"/>
        <v>67.024760000000001</v>
      </c>
      <c r="Y97" s="225">
        <f t="shared" si="72"/>
        <v>0</v>
      </c>
      <c r="Z97" s="225">
        <f>SUM(I97:J97)*P97</f>
        <v>184.73515999999998</v>
      </c>
      <c r="AA97" s="225"/>
      <c r="AB97" s="225"/>
      <c r="AC97" s="225"/>
      <c r="AD97" s="225"/>
      <c r="AE97" s="244">
        <f>SUMIFS(Adjustments!H$5:H$684,Adjustments!$B$5:$B$684,'Apr11-Mar12 Billed-RETAIL'!$B97,Adjustments!$C$5:$C$684,'Apr11-Mar12 Billed-RETAIL'!$C97)</f>
        <v>0</v>
      </c>
      <c r="AF97" s="244">
        <f>SUMIFS(Adjustments!I$5:I$684,Adjustments!$B$5:$B$684,'Apr11-Mar12 Billed-RETAIL'!$B97,Adjustments!$C$5:$C$684,'Apr11-Mar12 Billed-RETAIL'!$C97)</f>
        <v>0</v>
      </c>
      <c r="AG97" s="238">
        <f>SUMIFS(Adjustments!J$5:J$684,Adjustments!$B$5:$B$684,'Apr11-Mar12 Billed-RETAIL'!$B97,Adjustments!$C$5:$C$684,'Apr11-Mar12 Billed-RETAIL'!$C97)</f>
        <v>0</v>
      </c>
      <c r="AH97" s="238">
        <f>SUMIFS(Adjustments!K$5:K$684,Adjustments!$B$5:$B$684,'Apr11-Mar12 Billed-RETAIL'!$B97,Adjustments!$C$5:$C$684,'Apr11-Mar12 Billed-RETAIL'!$C97)</f>
        <v>0</v>
      </c>
      <c r="AI97" s="238">
        <f>SUMIFS(Adjustments!L$5:L$684,Adjustments!$B$5:$B$684,'Apr11-Mar12 Billed-RETAIL'!$B97,Adjustments!$C$5:$C$684,'Apr11-Mar12 Billed-RETAIL'!$C97)</f>
        <v>0</v>
      </c>
      <c r="AJ97" s="238">
        <f>SUMIFS(Adjustments!M$5:M$684,Adjustments!$B$5:$B$684,'Apr11-Mar12 Billed-RETAIL'!$B97,Adjustments!$C$5:$C$684,'Apr11-Mar12 Billed-RETAIL'!$C97)</f>
        <v>0</v>
      </c>
      <c r="AK97" s="238">
        <f>SUMIFS(Adjustments!N$5:N$684,Adjustments!$B$5:$B$684,'Apr11-Mar12 Billed-RETAIL'!$B97,Adjustments!$C$5:$C$684,'Apr11-Mar12 Billed-RETAIL'!$C97)</f>
        <v>0</v>
      </c>
      <c r="AL97" s="238">
        <f>SUMIFS(Adjustments!O$5:O$684,Adjustments!$B$5:$B$684,'Apr11-Mar12 Billed-RETAIL'!$B97,Adjustments!$C$5:$C$684,'Apr11-Mar12 Billed-RETAIL'!$C97)</f>
        <v>0</v>
      </c>
      <c r="AM97" s="238">
        <f>SUMIFS(Adjustments!P$5:P$684,Adjustments!$B$5:$B$684,'Apr11-Mar12 Billed-RETAIL'!$B97,Adjustments!$C$5:$C$684,'Apr11-Mar12 Billed-RETAIL'!$C97)</f>
        <v>0</v>
      </c>
      <c r="AN97" s="225">
        <f t="shared" si="70"/>
        <v>570</v>
      </c>
      <c r="AO97" s="225">
        <f t="shared" si="62"/>
        <v>0</v>
      </c>
      <c r="AP97" s="225">
        <f t="shared" si="63"/>
        <v>67.024760000000001</v>
      </c>
      <c r="AQ97" s="225">
        <f t="shared" si="64"/>
        <v>0</v>
      </c>
      <c r="AR97" s="232">
        <f ca="1">SUMIF('SBR Dec11'!$D$4:$S$90,'Apr11-Mar12 Billed-RETAIL'!$C97,'SBR Dec11'!$N$4:$N$90)</f>
        <v>184.74</v>
      </c>
      <c r="AS97" s="232">
        <f ca="1">SUMIF('SBR Dec11'!$D$4:$S$90,'Apr11-Mar12 Billed-RETAIL'!$C97,'SBR Dec11'!$M$4:$M$90)</f>
        <v>0.33999999999999997</v>
      </c>
      <c r="AT97" s="232">
        <f ca="1">SUMIF('SBR Dec11'!$D$4:$S$90,'Apr11-Mar12 Billed-RETAIL'!$C97,'SBR Dec11'!$O$4:$O$90)</f>
        <v>0</v>
      </c>
      <c r="AU97" s="225">
        <f t="shared" si="65"/>
        <v>0</v>
      </c>
      <c r="AV97" s="225"/>
      <c r="AW97" s="232">
        <f t="shared" ca="1" si="74"/>
        <v>822.1</v>
      </c>
      <c r="AX97" s="232">
        <f t="shared" ca="1" si="68"/>
        <v>822.1</v>
      </c>
      <c r="AY97" s="233">
        <f t="shared" ca="1" si="73"/>
        <v>1</v>
      </c>
      <c r="AZ97" s="232">
        <f ca="1">SUMIF('SBR Dec11'!$D$4:$S$90,'Apr11-Mar12 Billed-RETAIL'!$C97,'SBR Dec11'!$M$4:$M$90)</f>
        <v>0.33999999999999997</v>
      </c>
      <c r="BA97" s="232">
        <f ca="1">SUMIF('SBR Dec11'!$D$4:$S$90,'Apr11-Mar12 Billed-RETAIL'!$C97,'SBR Dec11'!$N$4:$N$90)</f>
        <v>184.74</v>
      </c>
      <c r="BB97" s="232">
        <f ca="1">SUMIF('SBR Dec11'!$D$4:$S$90,'Apr11-Mar12 Billed-RETAIL'!$C97,'SBR Dec11'!$O$4:$O$90)</f>
        <v>0</v>
      </c>
      <c r="BC97" s="232">
        <f ca="1">SUMIF('SBR Dec11'!$D$4:$S$90,'Apr11-Mar12 Billed-RETAIL'!$C97,'SBR Dec11'!$Q$4:$Q$90)</f>
        <v>0</v>
      </c>
      <c r="BD97" s="232">
        <f ca="1">SUMIF('SBR Dec11'!$D$4:$S$90,'Apr11-Mar12 Billed-RETAIL'!$C97,'SBR Dec11'!$K$4:$K$90)</f>
        <v>570</v>
      </c>
      <c r="BE97" s="232">
        <f ca="1">SUMIF('SBR Dec11'!$D$4:$S$90,'Apr11-Mar12 Billed-RETAIL'!$C97,'SBR Dec11'!$L$4:$L$90)</f>
        <v>67.02</v>
      </c>
      <c r="BF97" s="232"/>
    </row>
    <row r="98" spans="1:58" ht="15" x14ac:dyDescent="0.25">
      <c r="A98" s="196">
        <f t="shared" si="58"/>
        <v>93</v>
      </c>
      <c r="B98" s="211">
        <v>40878</v>
      </c>
      <c r="C98" s="211" t="str">
        <f>+'Retail Rates'!B15</f>
        <v>LGUMG861</v>
      </c>
      <c r="D98" s="197" t="str">
        <f t="shared" si="77"/>
        <v>861</v>
      </c>
      <c r="E98" s="197" t="str">
        <f>VLOOKUP(C98,'Retail Rates'!$B$7:$D$35,3,FALSE)</f>
        <v>CGS</v>
      </c>
      <c r="F98" s="222"/>
      <c r="G98" s="222">
        <f>SUMIFS(Adjustments!F$5:F$151,Adjustments!$B$5:$B$151,'Apr11-Mar12 Billed-RETAIL'!$B98,Adjustments!$C$5:$C$151,'Apr11-Mar12 Billed-RETAIL'!$C98)</f>
        <v>616</v>
      </c>
      <c r="H98" s="222">
        <f>SUMIFS(Adjustments!G$5:G$151,Adjustments!$B$5:$B$151,'Apr11-Mar12 Billed-RETAIL'!$B98,Adjustments!$C$5:$C$151,'Apr11-Mar12 Billed-RETAIL'!$C98)</f>
        <v>0</v>
      </c>
      <c r="I98" s="222">
        <f>SUMIFS('Data-Retail'!$H$4:$H$269,'Data-Retail'!$A$4:$A$269,'Apr11-Mar12 Billed-RETAIL'!$B98,'Data-Retail'!$D$4:$D$269,'Apr11-Mar12 Billed-RETAIL'!$C98)</f>
        <v>609</v>
      </c>
      <c r="J98" s="222">
        <f>SUMIFS('Data-Retail'!$I$4:$I$269,'Data-Retail'!$A$4:$A$269,'Apr11-Mar12 Billed-RETAIL'!$B98,'Data-Retail'!$D$4:$D$269,'Apr11-Mar12 Billed-RETAIL'!$C98)</f>
        <v>0</v>
      </c>
      <c r="K98" s="222"/>
      <c r="L98" s="223">
        <f>VLOOKUP($C98,'Retail Rates'!$B$7:$M$35,5,FALSE)</f>
        <v>30</v>
      </c>
      <c r="M98" s="223">
        <f>VLOOKUP($C98,'Retail Rates'!$B$7:$M$35,6,FALSE)</f>
        <v>170</v>
      </c>
      <c r="N98" s="224">
        <f>VLOOKUP($C98,'Retail Rates'!$B$7:$M$35,7,FALSE)</f>
        <v>0.18722</v>
      </c>
      <c r="O98" s="224">
        <f>VLOOKUP($C98,'Retail Rates'!$B$7:$M$35,8,FALSE)</f>
        <v>0.13722000000000001</v>
      </c>
      <c r="P98" s="224">
        <f>VLOOKUP($B98,'GSC-DSM Factors'!$A$1:$B$46,2,FALSE)</f>
        <v>0.51601999999999992</v>
      </c>
      <c r="Q98" s="223">
        <f>VLOOKUP($C98,'Retail Rates'!$B$7:$M$35,9,FALSE)</f>
        <v>0</v>
      </c>
      <c r="R98" s="224">
        <f>VLOOKUP($C98,'Retail Rates'!$B$7:$M$35,10,FALSE)</f>
        <v>0</v>
      </c>
      <c r="S98" s="223">
        <f>VLOOKUP($C98,'Retail Rates'!$B$7:$M$35,11,FALSE)</f>
        <v>0</v>
      </c>
      <c r="T98" s="223"/>
      <c r="U98" s="225">
        <f t="shared" si="67"/>
        <v>18480</v>
      </c>
      <c r="V98" s="225"/>
      <c r="W98" s="225">
        <f>+H98*M98</f>
        <v>0</v>
      </c>
      <c r="X98" s="225">
        <f t="shared" si="76"/>
        <v>114.01698</v>
      </c>
      <c r="Y98" s="225">
        <f t="shared" si="72"/>
        <v>0</v>
      </c>
      <c r="Z98" s="225">
        <f>SUM(I98:J98)*P98</f>
        <v>314.25617999999997</v>
      </c>
      <c r="AA98" s="225"/>
      <c r="AB98" s="225"/>
      <c r="AC98" s="225"/>
      <c r="AD98" s="225"/>
      <c r="AE98" s="244">
        <f>SUMIFS(Adjustments!H$5:H$684,Adjustments!$B$5:$B$684,'Apr11-Mar12 Billed-RETAIL'!$B98,Adjustments!$C$5:$C$684,'Apr11-Mar12 Billed-RETAIL'!$C98)</f>
        <v>0</v>
      </c>
      <c r="AF98" s="244">
        <f>SUMIFS(Adjustments!I$5:I$684,Adjustments!$B$5:$B$684,'Apr11-Mar12 Billed-RETAIL'!$B98,Adjustments!$C$5:$C$684,'Apr11-Mar12 Billed-RETAIL'!$C98)</f>
        <v>0</v>
      </c>
      <c r="AG98" s="238">
        <f>SUMIFS(Adjustments!J$5:J$684,Adjustments!$B$5:$B$684,'Apr11-Mar12 Billed-RETAIL'!$B98,Adjustments!$C$5:$C$684,'Apr11-Mar12 Billed-RETAIL'!$C98)</f>
        <v>0</v>
      </c>
      <c r="AH98" s="238">
        <f>SUMIFS(Adjustments!K$5:K$684,Adjustments!$B$5:$B$684,'Apr11-Mar12 Billed-RETAIL'!$B98,Adjustments!$C$5:$C$684,'Apr11-Mar12 Billed-RETAIL'!$C98)</f>
        <v>0</v>
      </c>
      <c r="AI98" s="238">
        <f>SUMIFS(Adjustments!L$5:L$684,Adjustments!$B$5:$B$684,'Apr11-Mar12 Billed-RETAIL'!$B98,Adjustments!$C$5:$C$684,'Apr11-Mar12 Billed-RETAIL'!$C98)</f>
        <v>1.6</v>
      </c>
      <c r="AJ98" s="238">
        <f>SUMIFS(Adjustments!M$5:M$684,Adjustments!$B$5:$B$684,'Apr11-Mar12 Billed-RETAIL'!$B98,Adjustments!$C$5:$C$684,'Apr11-Mar12 Billed-RETAIL'!$C98)</f>
        <v>0</v>
      </c>
      <c r="AK98" s="238">
        <f>SUMIFS(Adjustments!N$5:N$684,Adjustments!$B$5:$B$684,'Apr11-Mar12 Billed-RETAIL'!$B98,Adjustments!$C$5:$C$684,'Apr11-Mar12 Billed-RETAIL'!$C98)</f>
        <v>0</v>
      </c>
      <c r="AL98" s="238">
        <f>SUMIFS(Adjustments!O$5:O$684,Adjustments!$B$5:$B$684,'Apr11-Mar12 Billed-RETAIL'!$B98,Adjustments!$C$5:$C$684,'Apr11-Mar12 Billed-RETAIL'!$C98)</f>
        <v>0</v>
      </c>
      <c r="AM98" s="238">
        <f>SUMIFS(Adjustments!P$5:P$684,Adjustments!$B$5:$B$684,'Apr11-Mar12 Billed-RETAIL'!$B98,Adjustments!$C$5:$C$684,'Apr11-Mar12 Billed-RETAIL'!$C98)</f>
        <v>0</v>
      </c>
      <c r="AN98" s="225">
        <f t="shared" si="70"/>
        <v>18480</v>
      </c>
      <c r="AO98" s="225">
        <f t="shared" si="62"/>
        <v>0</v>
      </c>
      <c r="AP98" s="225">
        <f t="shared" si="63"/>
        <v>115.61698</v>
      </c>
      <c r="AQ98" s="225">
        <f t="shared" si="64"/>
        <v>0</v>
      </c>
      <c r="AR98" s="232">
        <f ca="1">SUMIF('SBR Dec11'!$D$4:$S$90,'Apr11-Mar12 Billed-RETAIL'!$C98,'SBR Dec11'!$N$4:$N$90)</f>
        <v>316.58999999999997</v>
      </c>
      <c r="AS98" s="232">
        <f ca="1">SUMIF('SBR Dec11'!$D$4:$S$90,'Apr11-Mar12 Billed-RETAIL'!$C98,'SBR Dec11'!$M$4:$M$90)</f>
        <v>0</v>
      </c>
      <c r="AT98" s="232">
        <f ca="1">SUMIF('SBR Dec11'!$D$4:$S$90,'Apr11-Mar12 Billed-RETAIL'!$C98,'SBR Dec11'!$O$4:$O$90)</f>
        <v>0</v>
      </c>
      <c r="AU98" s="225">
        <f t="shared" si="65"/>
        <v>0</v>
      </c>
      <c r="AV98" s="225"/>
      <c r="AW98" s="232">
        <f t="shared" ca="1" si="74"/>
        <v>18912.21</v>
      </c>
      <c r="AX98" s="232">
        <f t="shared" ca="1" si="68"/>
        <v>18912.21</v>
      </c>
      <c r="AY98" s="233">
        <f t="shared" ca="1" si="73"/>
        <v>1</v>
      </c>
      <c r="AZ98" s="232">
        <f ca="1">SUMIF('SBR Dec11'!$D$4:$S$90,'Apr11-Mar12 Billed-RETAIL'!$C98,'SBR Dec11'!$M$4:$M$90)</f>
        <v>0</v>
      </c>
      <c r="BA98" s="232">
        <f ca="1">SUMIF('SBR Dec11'!$D$4:$S$90,'Apr11-Mar12 Billed-RETAIL'!$C98,'SBR Dec11'!$N$4:$N$90)</f>
        <v>316.58999999999997</v>
      </c>
      <c r="BB98" s="232">
        <f ca="1">SUMIF('SBR Dec11'!$D$4:$S$90,'Apr11-Mar12 Billed-RETAIL'!$C98,'SBR Dec11'!$O$4:$O$90)</f>
        <v>0</v>
      </c>
      <c r="BC98" s="232">
        <f ca="1">SUMIF('SBR Dec11'!$D$4:$S$90,'Apr11-Mar12 Billed-RETAIL'!$C98,'SBR Dec11'!$Q$4:$Q$90)</f>
        <v>0</v>
      </c>
      <c r="BD98" s="232">
        <f ca="1">SUMIF('SBR Dec11'!$D$4:$S$90,'Apr11-Mar12 Billed-RETAIL'!$C98,'SBR Dec11'!$K$4:$K$90)</f>
        <v>18480</v>
      </c>
      <c r="BE98" s="232">
        <f ca="1">SUMIF('SBR Dec11'!$D$4:$S$90,'Apr11-Mar12 Billed-RETAIL'!$C98,'SBR Dec11'!$L$4:$L$90)</f>
        <v>115.62</v>
      </c>
      <c r="BF98" s="232"/>
    </row>
    <row r="99" spans="1:58" ht="15" customHeight="1" x14ac:dyDescent="0.25">
      <c r="A99" s="196">
        <f t="shared" si="58"/>
        <v>94</v>
      </c>
      <c r="B99" s="211">
        <v>40878</v>
      </c>
      <c r="C99" s="211" t="str">
        <f>+'Retail Rates'!B18</f>
        <v>LGCMG875</v>
      </c>
      <c r="D99" s="197" t="str">
        <f t="shared" si="77"/>
        <v>875</v>
      </c>
      <c r="E99" s="197" t="str">
        <f>VLOOKUP(C99,'Retail Rates'!$B$7:$D$35,3,FALSE)</f>
        <v>DGGS-C</v>
      </c>
      <c r="F99" s="222">
        <f>SUMIFS('Data-Retail'!$G$4:$G$269,'Data-Retail'!$A$4:$A$269,'Apr11-Mar12 Billed-RETAIL'!$B99,'Data-Retail'!$D$4:$D$269,'Apr11-Mar12 Billed-RETAIL'!$C99)</f>
        <v>0</v>
      </c>
      <c r="G99" s="222"/>
      <c r="H99" s="222"/>
      <c r="I99" s="222">
        <f>SUMIFS('Data-Retail'!$H$4:$H$269,'Data-Retail'!$A$4:$A$269,'Apr11-Mar12 Billed-RETAIL'!$B99,'Data-Retail'!$D$4:$D$269,'Apr11-Mar12 Billed-RETAIL'!$C99)</f>
        <v>0</v>
      </c>
      <c r="J99" s="222">
        <f>SUMIFS('Data-Retail'!$I$4:$I$269,'Data-Retail'!$A$4:$A$269,'Apr11-Mar12 Billed-RETAIL'!$B99,'Data-Retail'!$D$4:$D$269,'Apr11-Mar12 Billed-RETAIL'!$C99)</f>
        <v>0</v>
      </c>
      <c r="K99" s="222"/>
      <c r="L99" s="223">
        <f>VLOOKUP($C99,'Retail Rates'!$B$7:$M$35,5,FALSE)</f>
        <v>30</v>
      </c>
      <c r="M99" s="223">
        <f>VLOOKUP($C99,'Retail Rates'!$B$7:$M$35,6,FALSE)</f>
        <v>170</v>
      </c>
      <c r="N99" s="224">
        <f>VLOOKUP($C99,'Retail Rates'!$B$7:$M$35,7,FALSE)</f>
        <v>2.7439999999999999E-2</v>
      </c>
      <c r="O99" s="224">
        <f>VLOOKUP($C99,'Retail Rates'!$B$7:$M$35,8,FALSE)</f>
        <v>0</v>
      </c>
      <c r="P99" s="224">
        <f>VLOOKUP($B99,'GSC-DSM Factors'!$A$1:$B$46,2,FALSE)</f>
        <v>0.51601999999999992</v>
      </c>
      <c r="Q99" s="223">
        <f>VLOOKUP($C99,'Retail Rates'!$B$7:$M$35,9,FALSE)</f>
        <v>0</v>
      </c>
      <c r="R99" s="224">
        <f>VLOOKUP($C99,'Retail Rates'!$B$7:$M$35,10,FALSE)</f>
        <v>0</v>
      </c>
      <c r="S99" s="223">
        <f>VLOOKUP($C99,'Retail Rates'!$B$7:$M$35,11,FALSE)</f>
        <v>1.0109999999999999</v>
      </c>
      <c r="T99" s="223"/>
      <c r="U99" s="225">
        <f t="shared" si="67"/>
        <v>0</v>
      </c>
      <c r="V99" s="225"/>
      <c r="W99" s="225"/>
      <c r="X99" s="225">
        <f t="shared" si="76"/>
        <v>0</v>
      </c>
      <c r="Y99" s="225">
        <f t="shared" si="72"/>
        <v>0</v>
      </c>
      <c r="Z99" s="225">
        <f t="shared" ref="Z99:Z104" si="78">SUM(I99:J99)*P99</f>
        <v>0</v>
      </c>
      <c r="AA99" s="225"/>
      <c r="AB99" s="225"/>
      <c r="AC99" s="225"/>
      <c r="AD99" s="225"/>
      <c r="AE99" s="244">
        <f>SUMIFS(Adjustments!H$5:H$684,Adjustments!$B$5:$B$684,'Apr11-Mar12 Billed-RETAIL'!$B99,Adjustments!$C$5:$C$684,'Apr11-Mar12 Billed-RETAIL'!$C99)</f>
        <v>0</v>
      </c>
      <c r="AF99" s="244">
        <f>SUMIFS(Adjustments!I$5:I$684,Adjustments!$B$5:$B$684,'Apr11-Mar12 Billed-RETAIL'!$B99,Adjustments!$C$5:$C$684,'Apr11-Mar12 Billed-RETAIL'!$C99)</f>
        <v>0</v>
      </c>
      <c r="AG99" s="238">
        <f>SUMIFS(Adjustments!J$5:J$684,Adjustments!$B$5:$B$684,'Apr11-Mar12 Billed-RETAIL'!$B99,Adjustments!$C$5:$C$684,'Apr11-Mar12 Billed-RETAIL'!$C99)</f>
        <v>0</v>
      </c>
      <c r="AH99" s="238">
        <f>SUMIFS(Adjustments!K$5:K$684,Adjustments!$B$5:$B$684,'Apr11-Mar12 Billed-RETAIL'!$B99,Adjustments!$C$5:$C$684,'Apr11-Mar12 Billed-RETAIL'!$C99)</f>
        <v>0</v>
      </c>
      <c r="AI99" s="238">
        <f>SUMIFS(Adjustments!L$5:L$684,Adjustments!$B$5:$B$684,'Apr11-Mar12 Billed-RETAIL'!$B99,Adjustments!$C$5:$C$684,'Apr11-Mar12 Billed-RETAIL'!$C99)</f>
        <v>0</v>
      </c>
      <c r="AJ99" s="238">
        <f>SUMIFS(Adjustments!M$5:M$684,Adjustments!$B$5:$B$684,'Apr11-Mar12 Billed-RETAIL'!$B99,Adjustments!$C$5:$C$684,'Apr11-Mar12 Billed-RETAIL'!$C99)</f>
        <v>0</v>
      </c>
      <c r="AK99" s="238">
        <f>SUMIFS(Adjustments!N$5:N$684,Adjustments!$B$5:$B$684,'Apr11-Mar12 Billed-RETAIL'!$B99,Adjustments!$C$5:$C$684,'Apr11-Mar12 Billed-RETAIL'!$C99)</f>
        <v>0</v>
      </c>
      <c r="AL99" s="238">
        <f>SUMIFS(Adjustments!O$5:O$684,Adjustments!$B$5:$B$684,'Apr11-Mar12 Billed-RETAIL'!$B99,Adjustments!$C$5:$C$684,'Apr11-Mar12 Billed-RETAIL'!$C99)</f>
        <v>0</v>
      </c>
      <c r="AM99" s="238">
        <f>SUMIFS(Adjustments!P$5:P$684,Adjustments!$B$5:$B$684,'Apr11-Mar12 Billed-RETAIL'!$B99,Adjustments!$C$5:$C$684,'Apr11-Mar12 Billed-RETAIL'!$C99)</f>
        <v>0</v>
      </c>
      <c r="AN99" s="225">
        <f t="shared" si="70"/>
        <v>0</v>
      </c>
      <c r="AO99" s="225">
        <f t="shared" ref="AO99:AO120" si="79">+W99+AH99</f>
        <v>0</v>
      </c>
      <c r="AP99" s="225">
        <f t="shared" ref="AP99:AP120" si="80">+X99+AI99</f>
        <v>0</v>
      </c>
      <c r="AQ99" s="225">
        <f t="shared" ref="AQ99:AQ120" si="81">+Y99+AJ99</f>
        <v>0</v>
      </c>
      <c r="AR99" s="232">
        <f ca="1">SUMIF('SBR Dec11'!$D$4:$S$90,'Apr11-Mar12 Billed-RETAIL'!$C99,'SBR Dec11'!$N$4:$N$90)</f>
        <v>0</v>
      </c>
      <c r="AS99" s="232">
        <f ca="1">SUMIF('SBR Dec11'!$D$4:$S$90,'Apr11-Mar12 Billed-RETAIL'!$C99,'SBR Dec11'!$M$4:$M$90)</f>
        <v>0</v>
      </c>
      <c r="AT99" s="232">
        <f ca="1">SUMIF('SBR Dec11'!$D$4:$S$90,'Apr11-Mar12 Billed-RETAIL'!$C99,'SBR Dec11'!$O$4:$O$90)</f>
        <v>0</v>
      </c>
      <c r="AU99" s="225">
        <f t="shared" ref="AU99:AU120" si="82">+AC99+AM99</f>
        <v>0</v>
      </c>
      <c r="AV99" s="225"/>
      <c r="AW99" s="232">
        <f t="shared" ca="1" si="74"/>
        <v>0</v>
      </c>
      <c r="AX99" s="232">
        <f t="shared" ca="1" si="68"/>
        <v>0</v>
      </c>
      <c r="AY99" s="233">
        <v>1</v>
      </c>
      <c r="AZ99" s="232">
        <f ca="1">SUMIF('SBR Dec11'!$D$4:$S$90,'Apr11-Mar12 Billed-RETAIL'!$C99,'SBR Dec11'!$M$4:$M$90)</f>
        <v>0</v>
      </c>
      <c r="BA99" s="232">
        <f ca="1">SUMIF('SBR Dec11'!$D$4:$S$90,'Apr11-Mar12 Billed-RETAIL'!$C99,'SBR Dec11'!$N$4:$N$90)</f>
        <v>0</v>
      </c>
      <c r="BB99" s="232">
        <f ca="1">SUMIF('SBR Dec11'!$D$4:$S$90,'Apr11-Mar12 Billed-RETAIL'!$C99,'SBR Dec11'!$O$4:$O$90)</f>
        <v>0</v>
      </c>
      <c r="BC99" s="232">
        <f ca="1">SUMIF('SBR Dec11'!$D$4:$S$90,'Apr11-Mar12 Billed-RETAIL'!$C99,'SBR Dec11'!$Q$4:$Q$90)</f>
        <v>0</v>
      </c>
      <c r="BD99" s="232">
        <f ca="1">SUMIF('SBR Dec11'!$D$4:$S$90,'Apr11-Mar12 Billed-RETAIL'!$C99,'SBR Dec11'!$K$4:$K$90)</f>
        <v>0</v>
      </c>
      <c r="BE99" s="232">
        <f ca="1">SUMIF('SBR Dec11'!$D$4:$S$90,'Apr11-Mar12 Billed-RETAIL'!$C99,'SBR Dec11'!$L$4:$L$90)</f>
        <v>0</v>
      </c>
      <c r="BF99" s="232"/>
    </row>
    <row r="100" spans="1:58" ht="15" customHeight="1" x14ac:dyDescent="0.25">
      <c r="A100" s="196">
        <f t="shared" si="58"/>
        <v>95</v>
      </c>
      <c r="B100" s="211">
        <v>40878</v>
      </c>
      <c r="C100" s="211" t="str">
        <f>+'Retail Rates'!B23</f>
        <v>LGING855</v>
      </c>
      <c r="D100" s="197" t="str">
        <f t="shared" si="77"/>
        <v>855</v>
      </c>
      <c r="E100" s="197" t="str">
        <f>VLOOKUP(C100,'Retail Rates'!$B$7:$D$35,3,FALSE)</f>
        <v>IGS</v>
      </c>
      <c r="F100" s="222"/>
      <c r="G100" s="222">
        <f>SUMIFS(Adjustments!F$5:F$151,Adjustments!$B$5:$B$151,'Apr11-Mar12 Billed-RETAIL'!$B100,Adjustments!$C$5:$C$151,'Apr11-Mar12 Billed-RETAIL'!$C100)</f>
        <v>107</v>
      </c>
      <c r="H100" s="222">
        <f>SUMIFS(Adjustments!G$5:G$151,Adjustments!$B$5:$B$151,'Apr11-Mar12 Billed-RETAIL'!$B100,Adjustments!$C$5:$C$151,'Apr11-Mar12 Billed-RETAIL'!$C100)</f>
        <v>94</v>
      </c>
      <c r="I100" s="222">
        <f>SUMIFS('Data-Retail'!$H$4:$H$269,'Data-Retail'!$A$4:$A$269,'Apr11-Mar12 Billed-RETAIL'!$B100,'Data-Retail'!$D$4:$D$269,'Apr11-Mar12 Billed-RETAIL'!$C100)</f>
        <v>799442</v>
      </c>
      <c r="J100" s="222">
        <f>SUMIFS('Data-Retail'!$I$4:$I$269,'Data-Retail'!$A$4:$A$269,'Apr11-Mar12 Billed-RETAIL'!$B100,'Data-Retail'!$D$4:$D$269,'Apr11-Mar12 Billed-RETAIL'!$C100)</f>
        <v>0</v>
      </c>
      <c r="K100" s="222"/>
      <c r="L100" s="223">
        <f>VLOOKUP($C100,'Retail Rates'!$B$7:$M$35,5,FALSE)</f>
        <v>30</v>
      </c>
      <c r="M100" s="223">
        <f>VLOOKUP($C100,'Retail Rates'!$B$7:$M$35,6,FALSE)</f>
        <v>170</v>
      </c>
      <c r="N100" s="224">
        <f>VLOOKUP($C100,'Retail Rates'!$B$7:$M$35,7,FALSE)</f>
        <v>0.19022</v>
      </c>
      <c r="O100" s="224">
        <f>VLOOKUP($C100,'Retail Rates'!$B$7:$M$35,8,FALSE)</f>
        <v>0.14022000000000001</v>
      </c>
      <c r="P100" s="224">
        <f>VLOOKUP($B100,'GSC-DSM Factors'!$A$1:$B$46,2,FALSE)</f>
        <v>0.51601999999999992</v>
      </c>
      <c r="Q100" s="223">
        <f>VLOOKUP($C100,'Retail Rates'!$B$7:$M$35,9,FALSE)</f>
        <v>0</v>
      </c>
      <c r="R100" s="224">
        <f>VLOOKUP($C100,'Retail Rates'!$B$7:$M$35,10,FALSE)</f>
        <v>0</v>
      </c>
      <c r="S100" s="223">
        <f>VLOOKUP($C100,'Retail Rates'!$B$7:$M$35,11,FALSE)</f>
        <v>0</v>
      </c>
      <c r="T100" s="223"/>
      <c r="U100" s="225">
        <f t="shared" si="67"/>
        <v>3210</v>
      </c>
      <c r="V100" s="225"/>
      <c r="W100" s="225">
        <f>+H100*M100</f>
        <v>15980</v>
      </c>
      <c r="X100" s="225">
        <f>+I100*N100</f>
        <v>152069.85724000001</v>
      </c>
      <c r="Y100" s="225">
        <f t="shared" si="72"/>
        <v>0</v>
      </c>
      <c r="Z100" s="225">
        <f t="shared" si="78"/>
        <v>412528.06083999993</v>
      </c>
      <c r="AA100" s="225"/>
      <c r="AB100" s="225"/>
      <c r="AC100" s="225"/>
      <c r="AD100" s="225"/>
      <c r="AE100" s="244">
        <f>SUMIFS(Adjustments!H$5:H$684,Adjustments!$B$5:$B$684,'Apr11-Mar12 Billed-RETAIL'!$B100,Adjustments!$C$5:$C$684,'Apr11-Mar12 Billed-RETAIL'!$C100)</f>
        <v>0</v>
      </c>
      <c r="AF100" s="244">
        <f>SUMIFS(Adjustments!I$5:I$684,Adjustments!$B$5:$B$684,'Apr11-Mar12 Billed-RETAIL'!$B100,Adjustments!$C$5:$C$684,'Apr11-Mar12 Billed-RETAIL'!$C100)</f>
        <v>0</v>
      </c>
      <c r="AG100" s="238">
        <f>SUMIFS(Adjustments!J$5:J$684,Adjustments!$B$5:$B$684,'Apr11-Mar12 Billed-RETAIL'!$B100,Adjustments!$C$5:$C$684,'Apr11-Mar12 Billed-RETAIL'!$C100)</f>
        <v>0</v>
      </c>
      <c r="AH100" s="238">
        <f>SUMIFS(Adjustments!K$5:K$684,Adjustments!$B$5:$B$684,'Apr11-Mar12 Billed-RETAIL'!$B100,Adjustments!$C$5:$C$684,'Apr11-Mar12 Billed-RETAIL'!$C100)</f>
        <v>0</v>
      </c>
      <c r="AI100" s="238">
        <f>SUMIFS(Adjustments!L$5:L$684,Adjustments!$B$5:$B$684,'Apr11-Mar12 Billed-RETAIL'!$B100,Adjustments!$C$5:$C$684,'Apr11-Mar12 Billed-RETAIL'!$C100)</f>
        <v>0</v>
      </c>
      <c r="AJ100" s="238">
        <f>SUMIFS(Adjustments!M$5:M$684,Adjustments!$B$5:$B$684,'Apr11-Mar12 Billed-RETAIL'!$B100,Adjustments!$C$5:$C$684,'Apr11-Mar12 Billed-RETAIL'!$C100)</f>
        <v>0</v>
      </c>
      <c r="AK100" s="238">
        <f>SUMIFS(Adjustments!N$5:N$684,Adjustments!$B$5:$B$684,'Apr11-Mar12 Billed-RETAIL'!$B100,Adjustments!$C$5:$C$684,'Apr11-Mar12 Billed-RETAIL'!$C100)</f>
        <v>0</v>
      </c>
      <c r="AL100" s="238">
        <f>SUMIFS(Adjustments!O$5:O$684,Adjustments!$B$5:$B$684,'Apr11-Mar12 Billed-RETAIL'!$B100,Adjustments!$C$5:$C$684,'Apr11-Mar12 Billed-RETAIL'!$C100)</f>
        <v>0</v>
      </c>
      <c r="AM100" s="238">
        <f>SUMIFS(Adjustments!P$5:P$684,Adjustments!$B$5:$B$684,'Apr11-Mar12 Billed-RETAIL'!$B100,Adjustments!$C$5:$C$684,'Apr11-Mar12 Billed-RETAIL'!$C100)</f>
        <v>0</v>
      </c>
      <c r="AN100" s="225">
        <f t="shared" si="70"/>
        <v>3210</v>
      </c>
      <c r="AO100" s="225">
        <f t="shared" si="79"/>
        <v>15980</v>
      </c>
      <c r="AP100" s="225">
        <f t="shared" si="80"/>
        <v>152069.85724000001</v>
      </c>
      <c r="AQ100" s="225">
        <f t="shared" si="81"/>
        <v>0</v>
      </c>
      <c r="AR100" s="232">
        <f ca="1">SUMIF('SBR Dec11'!$D$4:$S$90,'Apr11-Mar12 Billed-RETAIL'!$C100,'SBR Dec11'!$N$4:$N$90)</f>
        <v>412536.96</v>
      </c>
      <c r="AS100" s="232">
        <f ca="1">SUMIF('SBR Dec11'!$D$4:$S$90,'Apr11-Mar12 Billed-RETAIL'!$C100,'SBR Dec11'!$M$4:$M$90)</f>
        <v>0</v>
      </c>
      <c r="AT100" s="232">
        <f ca="1">SUMIF('SBR Dec11'!$D$4:$S$90,'Apr11-Mar12 Billed-RETAIL'!$C100,'SBR Dec11'!$O$4:$O$90)</f>
        <v>0</v>
      </c>
      <c r="AU100" s="225">
        <f t="shared" si="82"/>
        <v>0</v>
      </c>
      <c r="AV100" s="225"/>
      <c r="AW100" s="232">
        <f t="shared" ca="1" si="74"/>
        <v>583796.81999999995</v>
      </c>
      <c r="AX100" s="232">
        <f t="shared" ca="1" si="68"/>
        <v>583796.77</v>
      </c>
      <c r="AY100" s="233">
        <f t="shared" ca="1" si="73"/>
        <v>1</v>
      </c>
      <c r="AZ100" s="232">
        <f ca="1">SUMIF('SBR Dec11'!$D$4:$S$90,'Apr11-Mar12 Billed-RETAIL'!$C100,'SBR Dec11'!$M$4:$M$90)</f>
        <v>0</v>
      </c>
      <c r="BA100" s="232">
        <f ca="1">SUMIF('SBR Dec11'!$D$4:$S$90,'Apr11-Mar12 Billed-RETAIL'!$C100,'SBR Dec11'!$N$4:$N$90)</f>
        <v>412536.96</v>
      </c>
      <c r="BB100" s="232">
        <f ca="1">SUMIF('SBR Dec11'!$D$4:$S$90,'Apr11-Mar12 Billed-RETAIL'!$C100,'SBR Dec11'!$O$4:$O$90)</f>
        <v>0</v>
      </c>
      <c r="BC100" s="232">
        <f ca="1">SUMIF('SBR Dec11'!$D$4:$S$90,'Apr11-Mar12 Billed-RETAIL'!$C100,'SBR Dec11'!$Q$4:$Q$90)</f>
        <v>0</v>
      </c>
      <c r="BD100" s="232">
        <f ca="1">SUMIF('SBR Dec11'!$D$4:$S$90,'Apr11-Mar12 Billed-RETAIL'!$C100,'SBR Dec11'!$K$4:$K$90)</f>
        <v>19190</v>
      </c>
      <c r="BE100" s="232">
        <f ca="1">SUMIF('SBR Dec11'!$D$4:$S$90,'Apr11-Mar12 Billed-RETAIL'!$C100,'SBR Dec11'!$L$4:$L$90)</f>
        <v>152069.81</v>
      </c>
      <c r="BF100" s="232"/>
    </row>
    <row r="101" spans="1:58" ht="15" customHeight="1" x14ac:dyDescent="0.25">
      <c r="A101" s="196">
        <f t="shared" si="58"/>
        <v>96</v>
      </c>
      <c r="B101" s="211">
        <v>40878</v>
      </c>
      <c r="C101" s="211" t="str">
        <f>+'Retail Rates'!B26</f>
        <v>LGRSG811</v>
      </c>
      <c r="D101" s="197" t="str">
        <f t="shared" si="77"/>
        <v>811</v>
      </c>
      <c r="E101" s="197" t="str">
        <f>VLOOKUP(C101,'Retail Rates'!$B$7:$D$35,3,FALSE)</f>
        <v>RGS</v>
      </c>
      <c r="F101" s="222">
        <f>SUMIFS('Data-Retail'!$G$4:$G$269,'Data-Retail'!$A$4:$A$269,'Apr11-Mar12 Billed-RETAIL'!$B101,'Data-Retail'!$D$4:$D$269,'Apr11-Mar12 Billed-RETAIL'!$C101)</f>
        <v>290121</v>
      </c>
      <c r="G101" s="222"/>
      <c r="H101" s="222"/>
      <c r="I101" s="222">
        <f>SUMIFS('Data-Retail'!$H$4:$H$269,'Data-Retail'!$A$4:$A$269,'Apr11-Mar12 Billed-RETAIL'!$B101,'Data-Retail'!$D$4:$D$269,'Apr11-Mar12 Billed-RETAIL'!$C101)</f>
        <v>22999776</v>
      </c>
      <c r="J101" s="222">
        <f>SUMIFS('Data-Retail'!$I$4:$I$269,'Data-Retail'!$A$4:$A$269,'Apr11-Mar12 Billed-RETAIL'!$B101,'Data-Retail'!$D$4:$D$269,'Apr11-Mar12 Billed-RETAIL'!$C101)</f>
        <v>0</v>
      </c>
      <c r="K101" s="222"/>
      <c r="L101" s="223">
        <f>VLOOKUP($C101,'Retail Rates'!$B$7:$M$35,5,FALSE)</f>
        <v>12.5</v>
      </c>
      <c r="M101" s="223">
        <f>VLOOKUP($C101,'Retail Rates'!$B$7:$M$35,6,FALSE)</f>
        <v>0</v>
      </c>
      <c r="N101" s="224">
        <f>VLOOKUP($C101,'Retail Rates'!$B$7:$M$35,7,FALSE)</f>
        <v>0.22395999999999999</v>
      </c>
      <c r="O101" s="224">
        <f>VLOOKUP($C101,'Retail Rates'!$B$7:$M$35,8,FALSE)</f>
        <v>0</v>
      </c>
      <c r="P101" s="224">
        <f>VLOOKUP($B101,'GSC-DSM Factors'!$A$1:$B$46,2,FALSE)</f>
        <v>0.51601999999999992</v>
      </c>
      <c r="Q101" s="223">
        <f>VLOOKUP($C101,'Retail Rates'!$B$7:$M$35,9,FALSE)</f>
        <v>0</v>
      </c>
      <c r="R101" s="224">
        <f>VLOOKUP($C101,'Retail Rates'!$B$7:$M$35,10,FALSE)</f>
        <v>0</v>
      </c>
      <c r="S101" s="223">
        <f>VLOOKUP($C101,'Retail Rates'!$B$7:$M$35,11,FALSE)</f>
        <v>0</v>
      </c>
      <c r="T101" s="223"/>
      <c r="U101" s="225">
        <f t="shared" si="67"/>
        <v>3626512.5</v>
      </c>
      <c r="V101" s="225"/>
      <c r="W101" s="225"/>
      <c r="X101" s="225">
        <f>+I101*N101</f>
        <v>5151029.8329600003</v>
      </c>
      <c r="Y101" s="225">
        <f t="shared" si="72"/>
        <v>0</v>
      </c>
      <c r="Z101" s="225">
        <f t="shared" si="78"/>
        <v>11868344.411519999</v>
      </c>
      <c r="AA101" s="225"/>
      <c r="AB101" s="225"/>
      <c r="AC101" s="225"/>
      <c r="AD101" s="225"/>
      <c r="AE101" s="244">
        <f>SUMIFS(Adjustments!H$5:H$684,Adjustments!$B$5:$B$684,'Apr11-Mar12 Billed-RETAIL'!$B101,Adjustments!$C$5:$C$684,'Apr11-Mar12 Billed-RETAIL'!$C101)</f>
        <v>1624</v>
      </c>
      <c r="AF101" s="244">
        <f>SUMIFS(Adjustments!I$5:I$684,Adjustments!$B$5:$B$684,'Apr11-Mar12 Billed-RETAIL'!$B101,Adjustments!$C$5:$C$684,'Apr11-Mar12 Billed-RETAIL'!$C101)</f>
        <v>0</v>
      </c>
      <c r="AG101" s="238">
        <f>SUMIFS(Adjustments!J$5:J$684,Adjustments!$B$5:$B$684,'Apr11-Mar12 Billed-RETAIL'!$B101,Adjustments!$C$5:$C$684,'Apr11-Mar12 Billed-RETAIL'!$C101)</f>
        <v>14.08</v>
      </c>
      <c r="AH101" s="238">
        <f>SUMIFS(Adjustments!K$5:K$684,Adjustments!$B$5:$B$684,'Apr11-Mar12 Billed-RETAIL'!$B101,Adjustments!$C$5:$C$684,'Apr11-Mar12 Billed-RETAIL'!$C101)</f>
        <v>0</v>
      </c>
      <c r="AI101" s="238">
        <f>SUMIFS(Adjustments!L$5:L$684,Adjustments!$B$5:$B$684,'Apr11-Mar12 Billed-RETAIL'!$B101,Adjustments!$C$5:$C$684,'Apr11-Mar12 Billed-RETAIL'!$C101)</f>
        <v>-24.16</v>
      </c>
      <c r="AJ101" s="238">
        <f>SUMIFS(Adjustments!M$5:M$684,Adjustments!$B$5:$B$684,'Apr11-Mar12 Billed-RETAIL'!$B101,Adjustments!$C$5:$C$684,'Apr11-Mar12 Billed-RETAIL'!$C101)</f>
        <v>0</v>
      </c>
      <c r="AK101" s="238">
        <f>SUMIFS(Adjustments!N$5:N$684,Adjustments!$B$5:$B$684,'Apr11-Mar12 Billed-RETAIL'!$B101,Adjustments!$C$5:$C$684,'Apr11-Mar12 Billed-RETAIL'!$C101)</f>
        <v>0</v>
      </c>
      <c r="AL101" s="238">
        <f>SUMIFS(Adjustments!O$5:O$684,Adjustments!$B$5:$B$684,'Apr11-Mar12 Billed-RETAIL'!$B101,Adjustments!$C$5:$C$684,'Apr11-Mar12 Billed-RETAIL'!$C101)</f>
        <v>0</v>
      </c>
      <c r="AM101" s="238">
        <f>SUMIFS(Adjustments!P$5:P$684,Adjustments!$B$5:$B$684,'Apr11-Mar12 Billed-RETAIL'!$B101,Adjustments!$C$5:$C$684,'Apr11-Mar12 Billed-RETAIL'!$C101)</f>
        <v>0</v>
      </c>
      <c r="AN101" s="225">
        <f t="shared" si="70"/>
        <v>3646826.58</v>
      </c>
      <c r="AO101" s="225">
        <f t="shared" si="79"/>
        <v>0</v>
      </c>
      <c r="AP101" s="225">
        <f t="shared" si="80"/>
        <v>5151005.6729600001</v>
      </c>
      <c r="AQ101" s="225">
        <f t="shared" si="81"/>
        <v>0</v>
      </c>
      <c r="AR101" s="232">
        <f ca="1">SUMIF('SBR Dec11'!$D$4:$S$90,'Apr11-Mar12 Billed-RETAIL'!$C101,'SBR Dec11'!$N$4:$N$90)</f>
        <v>11870575.970000001</v>
      </c>
      <c r="AS101" s="232">
        <f ca="1">SUMIF('SBR Dec11'!$D$4:$S$90,'Apr11-Mar12 Billed-RETAIL'!$C101,'SBR Dec11'!$M$4:$M$90)</f>
        <v>433941.61</v>
      </c>
      <c r="AT101" s="232">
        <f ca="1">SUMIF('SBR Dec11'!$D$4:$S$90,'Apr11-Mar12 Billed-RETAIL'!$C101,'SBR Dec11'!$O$4:$O$90)</f>
        <v>942189.27</v>
      </c>
      <c r="AU101" s="225">
        <f t="shared" si="82"/>
        <v>0</v>
      </c>
      <c r="AV101" s="225"/>
      <c r="AW101" s="232">
        <f t="shared" ca="1" si="74"/>
        <v>22044539.100000001</v>
      </c>
      <c r="AX101" s="232">
        <f t="shared" ca="1" si="68"/>
        <v>22044539.100000001</v>
      </c>
      <c r="AY101" s="233">
        <f t="shared" ca="1" si="73"/>
        <v>1</v>
      </c>
      <c r="AZ101" s="232">
        <f ca="1">SUMIF('SBR Dec11'!$D$4:$S$90,'Apr11-Mar12 Billed-RETAIL'!$C101,'SBR Dec11'!$M$4:$M$90)</f>
        <v>433941.61</v>
      </c>
      <c r="BA101" s="232">
        <f ca="1">SUMIF('SBR Dec11'!$D$4:$S$90,'Apr11-Mar12 Billed-RETAIL'!$C101,'SBR Dec11'!$N$4:$N$90)</f>
        <v>11870575.970000001</v>
      </c>
      <c r="BB101" s="232">
        <f ca="1">SUMIF('SBR Dec11'!$D$4:$S$90,'Apr11-Mar12 Billed-RETAIL'!$C101,'SBR Dec11'!$O$4:$O$90)</f>
        <v>942189.27</v>
      </c>
      <c r="BC101" s="232">
        <f ca="1">SUMIF('SBR Dec11'!$D$4:$S$90,'Apr11-Mar12 Billed-RETAIL'!$C101,'SBR Dec11'!$Q$4:$Q$90)</f>
        <v>44129.25</v>
      </c>
      <c r="BD101" s="232">
        <f ca="1">SUMIF('SBR Dec11'!$D$4:$S$90,'Apr11-Mar12 Billed-RETAIL'!$C101,'SBR Dec11'!$K$4:$K$90)</f>
        <v>3646826.58</v>
      </c>
      <c r="BE101" s="232">
        <f ca="1">SUMIF('SBR Dec11'!$D$4:$S$90,'Apr11-Mar12 Billed-RETAIL'!$C101,'SBR Dec11'!$L$4:$L$90)</f>
        <v>5151005.67</v>
      </c>
      <c r="BF101" s="232"/>
    </row>
    <row r="102" spans="1:58" ht="15" customHeight="1" x14ac:dyDescent="0.25">
      <c r="A102" s="196">
        <f t="shared" si="58"/>
        <v>97</v>
      </c>
      <c r="B102" s="211">
        <v>40878</v>
      </c>
      <c r="C102" s="211" t="str">
        <f>+'Retail Rates'!B27</f>
        <v>LGRSG811S1</v>
      </c>
      <c r="D102" s="197" t="str">
        <f t="shared" si="77"/>
        <v>811</v>
      </c>
      <c r="E102" s="197" t="str">
        <f>VLOOKUP(C102,'Retail Rates'!$B$7:$D$35,3,FALSE)</f>
        <v>RGS</v>
      </c>
      <c r="F102" s="222">
        <f>SUMIFS('Data-Retail'!$G$4:$G$269,'Data-Retail'!$A$4:$A$269,'Apr11-Mar12 Billed-RETAIL'!$B102,'Data-Retail'!$D$4:$D$269,'Apr11-Mar12 Billed-RETAIL'!$C102)</f>
        <v>1</v>
      </c>
      <c r="G102" s="222"/>
      <c r="H102" s="222"/>
      <c r="I102" s="222">
        <f>SUMIFS('Data-Retail'!$H$4:$H$269,'Data-Retail'!$A$4:$A$269,'Apr11-Mar12 Billed-RETAIL'!$B102,'Data-Retail'!$D$4:$D$269,'Apr11-Mar12 Billed-RETAIL'!$C102)</f>
        <v>2202</v>
      </c>
      <c r="J102" s="222">
        <f>SUMIFS('Data-Retail'!$I$4:$I$269,'Data-Retail'!$A$4:$A$269,'Apr11-Mar12 Billed-RETAIL'!$B102,'Data-Retail'!$D$4:$D$269,'Apr11-Mar12 Billed-RETAIL'!$C102)</f>
        <v>0</v>
      </c>
      <c r="K102" s="222"/>
      <c r="L102" s="223">
        <f>VLOOKUP($C102,'Retail Rates'!$B$7:$M$35,5,FALSE)</f>
        <v>12.5</v>
      </c>
      <c r="M102" s="223">
        <f>VLOOKUP($C102,'Retail Rates'!$B$7:$M$35,6,FALSE)</f>
        <v>0</v>
      </c>
      <c r="N102" s="224">
        <f>VLOOKUP($C102,'Retail Rates'!$B$7:$M$35,7,FALSE)</f>
        <v>0.22395999999999999</v>
      </c>
      <c r="O102" s="224">
        <f>VLOOKUP($C102,'Retail Rates'!$B$7:$M$35,8,FALSE)</f>
        <v>0</v>
      </c>
      <c r="P102" s="224">
        <f>VLOOKUP($B102,'GSC-DSM Factors'!$A$1:$B$46,2,FALSE)</f>
        <v>0.51601999999999992</v>
      </c>
      <c r="Q102" s="223">
        <f>VLOOKUP($C102,'Retail Rates'!$B$7:$M$35,9,FALSE)</f>
        <v>0</v>
      </c>
      <c r="R102" s="224">
        <f>VLOOKUP($C102,'Retail Rates'!$B$7:$M$35,10,FALSE)</f>
        <v>0</v>
      </c>
      <c r="S102" s="223">
        <f>VLOOKUP($C102,'Retail Rates'!$B$7:$M$35,11,FALSE)</f>
        <v>0</v>
      </c>
      <c r="T102" s="223"/>
      <c r="U102" s="225">
        <f t="shared" si="67"/>
        <v>12.5</v>
      </c>
      <c r="V102" s="225"/>
      <c r="W102" s="225"/>
      <c r="X102" s="225">
        <f>+I102*N102</f>
        <v>493.15992</v>
      </c>
      <c r="Y102" s="225">
        <f t="shared" si="72"/>
        <v>0</v>
      </c>
      <c r="Z102" s="225">
        <f t="shared" si="78"/>
        <v>1136.2760399999997</v>
      </c>
      <c r="AA102" s="225"/>
      <c r="AB102" s="225"/>
      <c r="AC102" s="225"/>
      <c r="AD102" s="225"/>
      <c r="AE102" s="244">
        <f>SUMIFS(Adjustments!H$5:H$684,Adjustments!$B$5:$B$684,'Apr11-Mar12 Billed-RETAIL'!$B102,Adjustments!$C$5:$C$684,'Apr11-Mar12 Billed-RETAIL'!$C102)</f>
        <v>0</v>
      </c>
      <c r="AF102" s="244">
        <f>SUMIFS(Adjustments!I$5:I$684,Adjustments!$B$5:$B$684,'Apr11-Mar12 Billed-RETAIL'!$B102,Adjustments!$C$5:$C$684,'Apr11-Mar12 Billed-RETAIL'!$C102)</f>
        <v>0</v>
      </c>
      <c r="AG102" s="238">
        <f>SUMIFS(Adjustments!J$5:J$684,Adjustments!$B$5:$B$684,'Apr11-Mar12 Billed-RETAIL'!$B102,Adjustments!$C$5:$C$684,'Apr11-Mar12 Billed-RETAIL'!$C102)</f>
        <v>-12</v>
      </c>
      <c r="AH102" s="238">
        <f>SUMIFS(Adjustments!K$5:K$684,Adjustments!$B$5:$B$684,'Apr11-Mar12 Billed-RETAIL'!$B102,Adjustments!$C$5:$C$684,'Apr11-Mar12 Billed-RETAIL'!$C102)</f>
        <v>0</v>
      </c>
      <c r="AI102" s="238">
        <f>SUMIFS(Adjustments!L$5:L$684,Adjustments!$B$5:$B$684,'Apr11-Mar12 Billed-RETAIL'!$B102,Adjustments!$C$5:$C$684,'Apr11-Mar12 Billed-RETAIL'!$C102)</f>
        <v>-592.51</v>
      </c>
      <c r="AJ102" s="238">
        <f>SUMIFS(Adjustments!M$5:M$684,Adjustments!$B$5:$B$684,'Apr11-Mar12 Billed-RETAIL'!$B102,Adjustments!$C$5:$C$684,'Apr11-Mar12 Billed-RETAIL'!$C102)</f>
        <v>0</v>
      </c>
      <c r="AK102" s="238">
        <f>SUMIFS(Adjustments!N$5:N$684,Adjustments!$B$5:$B$684,'Apr11-Mar12 Billed-RETAIL'!$B102,Adjustments!$C$5:$C$684,'Apr11-Mar12 Billed-RETAIL'!$C102)</f>
        <v>0</v>
      </c>
      <c r="AL102" s="238">
        <f>SUMIFS(Adjustments!O$5:O$684,Adjustments!$B$5:$B$684,'Apr11-Mar12 Billed-RETAIL'!$B102,Adjustments!$C$5:$C$684,'Apr11-Mar12 Billed-RETAIL'!$C102)</f>
        <v>0</v>
      </c>
      <c r="AM102" s="238">
        <f>SUMIFS(Adjustments!P$5:P$684,Adjustments!$B$5:$B$684,'Apr11-Mar12 Billed-RETAIL'!$B102,Adjustments!$C$5:$C$684,'Apr11-Mar12 Billed-RETAIL'!$C102)</f>
        <v>0</v>
      </c>
      <c r="AN102" s="225">
        <f t="shared" si="70"/>
        <v>0.5</v>
      </c>
      <c r="AO102" s="225">
        <f t="shared" si="79"/>
        <v>0</v>
      </c>
      <c r="AP102" s="225">
        <f t="shared" si="80"/>
        <v>-99.350079999999991</v>
      </c>
      <c r="AQ102" s="225">
        <f t="shared" si="81"/>
        <v>0</v>
      </c>
      <c r="AR102" s="232">
        <f ca="1">SUMIF('SBR Dec11'!$D$4:$S$90,'Apr11-Mar12 Billed-RETAIL'!$C102,'SBR Dec11'!$N$4:$N$90)</f>
        <v>1136.28</v>
      </c>
      <c r="AS102" s="232">
        <f ca="1">SUMIF('SBR Dec11'!$D$4:$S$90,'Apr11-Mar12 Billed-RETAIL'!$C102,'SBR Dec11'!$M$4:$M$90)</f>
        <v>0</v>
      </c>
      <c r="AT102" s="232">
        <f ca="1">SUMIF('SBR Dec11'!$D$4:$S$90,'Apr11-Mar12 Billed-RETAIL'!$C102,'SBR Dec11'!$O$4:$O$90)</f>
        <v>0</v>
      </c>
      <c r="AU102" s="225">
        <f t="shared" si="82"/>
        <v>0</v>
      </c>
      <c r="AV102" s="225"/>
      <c r="AW102" s="232">
        <f t="shared" ca="1" si="74"/>
        <v>1037.43</v>
      </c>
      <c r="AX102" s="232">
        <f t="shared" ca="1" si="68"/>
        <v>1037.43</v>
      </c>
      <c r="AY102" s="233">
        <f t="shared" ca="1" si="73"/>
        <v>1</v>
      </c>
      <c r="AZ102" s="232">
        <f ca="1">SUMIF('SBR Dec11'!$D$4:$S$90,'Apr11-Mar12 Billed-RETAIL'!$C102,'SBR Dec11'!$M$4:$M$90)</f>
        <v>0</v>
      </c>
      <c r="BA102" s="232">
        <f ca="1">SUMIF('SBR Dec11'!$D$4:$S$90,'Apr11-Mar12 Billed-RETAIL'!$C102,'SBR Dec11'!$N$4:$N$90)</f>
        <v>1136.28</v>
      </c>
      <c r="BB102" s="232">
        <f ca="1">SUMIF('SBR Dec11'!$D$4:$S$90,'Apr11-Mar12 Billed-RETAIL'!$C102,'SBR Dec11'!$O$4:$O$90)</f>
        <v>0</v>
      </c>
      <c r="BC102" s="232">
        <f ca="1">SUMIF('SBR Dec11'!$D$4:$S$90,'Apr11-Mar12 Billed-RETAIL'!$C102,'SBR Dec11'!$Q$4:$Q$90)</f>
        <v>0</v>
      </c>
      <c r="BD102" s="232">
        <f ca="1">SUMIF('SBR Dec11'!$D$4:$S$90,'Apr11-Mar12 Billed-RETAIL'!$C102,'SBR Dec11'!$K$4:$K$90)</f>
        <v>0.5</v>
      </c>
      <c r="BE102" s="232">
        <f ca="1">SUMIF('SBR Dec11'!$D$4:$S$90,'Apr11-Mar12 Billed-RETAIL'!$C102,'SBR Dec11'!$L$4:$L$90)</f>
        <v>-99.35</v>
      </c>
      <c r="BF102" s="232"/>
    </row>
    <row r="103" spans="1:58" ht="15" customHeight="1" x14ac:dyDescent="0.25">
      <c r="A103" s="196">
        <f t="shared" si="58"/>
        <v>98</v>
      </c>
      <c r="B103" s="211">
        <v>40878</v>
      </c>
      <c r="C103" s="211" t="str">
        <f>+'Retail Rates'!B28</f>
        <v>LGRSG840</v>
      </c>
      <c r="D103" s="197" t="str">
        <f t="shared" si="77"/>
        <v>840</v>
      </c>
      <c r="E103" s="197" t="str">
        <f>VLOOKUP(C103,'Retail Rates'!$B$7:$D$35,3,FALSE)</f>
        <v>RGS</v>
      </c>
      <c r="F103" s="222">
        <f>SUMIFS('Data-Retail'!$G$4:$G$269,'Data-Retail'!$A$4:$A$269,'Apr11-Mar12 Billed-RETAIL'!$B103,'Data-Retail'!$D$4:$D$269,'Apr11-Mar12 Billed-RETAIL'!$C103)</f>
        <v>4</v>
      </c>
      <c r="G103" s="222"/>
      <c r="H103" s="222"/>
      <c r="I103" s="222">
        <f>SUMIFS('Data-Retail'!$H$4:$H$269,'Data-Retail'!$A$4:$A$269,'Apr11-Mar12 Billed-RETAIL'!$B103,'Data-Retail'!$D$4:$D$269,'Apr11-Mar12 Billed-RETAIL'!$C103)</f>
        <v>1641</v>
      </c>
      <c r="J103" s="222">
        <f>SUMIFS('Data-Retail'!$I$4:$I$269,'Data-Retail'!$A$4:$A$269,'Apr11-Mar12 Billed-RETAIL'!$B103,'Data-Retail'!$D$4:$D$269,'Apr11-Mar12 Billed-RETAIL'!$C103)</f>
        <v>0</v>
      </c>
      <c r="K103" s="222"/>
      <c r="L103" s="223">
        <f>VLOOKUP($C103,'Retail Rates'!$B$7:$M$35,5,FALSE)</f>
        <v>12.5</v>
      </c>
      <c r="M103" s="223">
        <f>VLOOKUP($C103,'Retail Rates'!$B$7:$M$35,6,FALSE)</f>
        <v>0</v>
      </c>
      <c r="N103" s="224">
        <f>VLOOKUP($C103,'Retail Rates'!$B$7:$M$35,7,FALSE)</f>
        <v>0.22395999999999999</v>
      </c>
      <c r="O103" s="224">
        <f>VLOOKUP($C103,'Retail Rates'!$B$7:$M$35,8,FALSE)</f>
        <v>0</v>
      </c>
      <c r="P103" s="224">
        <f>VLOOKUP($B103,'GSC-DSM Factors'!$A$1:$B$46,2,FALSE)</f>
        <v>0.51601999999999992</v>
      </c>
      <c r="Q103" s="223">
        <f>VLOOKUP($C103,'Retail Rates'!$B$7:$M$35,9,FALSE)</f>
        <v>0</v>
      </c>
      <c r="R103" s="224">
        <f>VLOOKUP($C103,'Retail Rates'!$B$7:$M$35,10,FALSE)</f>
        <v>0</v>
      </c>
      <c r="S103" s="223">
        <f>VLOOKUP($C103,'Retail Rates'!$B$7:$M$35,11,FALSE)</f>
        <v>0</v>
      </c>
      <c r="T103" s="223"/>
      <c r="U103" s="225">
        <f t="shared" si="67"/>
        <v>50</v>
      </c>
      <c r="V103" s="225"/>
      <c r="W103" s="225"/>
      <c r="X103" s="225">
        <f>+I103*N103</f>
        <v>367.51835999999997</v>
      </c>
      <c r="Y103" s="225">
        <f t="shared" si="72"/>
        <v>0</v>
      </c>
      <c r="Z103" s="225">
        <f t="shared" si="78"/>
        <v>846.78881999999987</v>
      </c>
      <c r="AA103" s="225"/>
      <c r="AB103" s="225"/>
      <c r="AC103" s="225"/>
      <c r="AD103" s="225"/>
      <c r="AE103" s="244">
        <f>SUMIFS(Adjustments!H$5:H$684,Adjustments!$B$5:$B$684,'Apr11-Mar12 Billed-RETAIL'!$B103,Adjustments!$C$5:$C$684,'Apr11-Mar12 Billed-RETAIL'!$C103)</f>
        <v>0</v>
      </c>
      <c r="AF103" s="244">
        <f>SUMIFS(Adjustments!I$5:I$684,Adjustments!$B$5:$B$684,'Apr11-Mar12 Billed-RETAIL'!$B103,Adjustments!$C$5:$C$684,'Apr11-Mar12 Billed-RETAIL'!$C103)</f>
        <v>0</v>
      </c>
      <c r="AG103" s="238">
        <f>SUMIFS(Adjustments!J$5:J$684,Adjustments!$B$5:$B$684,'Apr11-Mar12 Billed-RETAIL'!$B103,Adjustments!$C$5:$C$684,'Apr11-Mar12 Billed-RETAIL'!$C103)</f>
        <v>0</v>
      </c>
      <c r="AH103" s="238">
        <f>SUMIFS(Adjustments!K$5:K$684,Adjustments!$B$5:$B$684,'Apr11-Mar12 Billed-RETAIL'!$B103,Adjustments!$C$5:$C$684,'Apr11-Mar12 Billed-RETAIL'!$C103)</f>
        <v>0</v>
      </c>
      <c r="AI103" s="238">
        <f>SUMIFS(Adjustments!L$5:L$684,Adjustments!$B$5:$B$684,'Apr11-Mar12 Billed-RETAIL'!$B103,Adjustments!$C$5:$C$684,'Apr11-Mar12 Billed-RETAIL'!$C103)</f>
        <v>-0.01</v>
      </c>
      <c r="AJ103" s="238">
        <f>SUMIFS(Adjustments!M$5:M$684,Adjustments!$B$5:$B$684,'Apr11-Mar12 Billed-RETAIL'!$B103,Adjustments!$C$5:$C$684,'Apr11-Mar12 Billed-RETAIL'!$C103)</f>
        <v>0</v>
      </c>
      <c r="AK103" s="238">
        <f>SUMIFS(Adjustments!N$5:N$684,Adjustments!$B$5:$B$684,'Apr11-Mar12 Billed-RETAIL'!$B103,Adjustments!$C$5:$C$684,'Apr11-Mar12 Billed-RETAIL'!$C103)</f>
        <v>0</v>
      </c>
      <c r="AL103" s="238">
        <f>SUMIFS(Adjustments!O$5:O$684,Adjustments!$B$5:$B$684,'Apr11-Mar12 Billed-RETAIL'!$B103,Adjustments!$C$5:$C$684,'Apr11-Mar12 Billed-RETAIL'!$C103)</f>
        <v>0</v>
      </c>
      <c r="AM103" s="238">
        <f>SUMIFS(Adjustments!P$5:P$684,Adjustments!$B$5:$B$684,'Apr11-Mar12 Billed-RETAIL'!$B103,Adjustments!$C$5:$C$684,'Apr11-Mar12 Billed-RETAIL'!$C103)</f>
        <v>0</v>
      </c>
      <c r="AN103" s="225">
        <f t="shared" si="70"/>
        <v>50</v>
      </c>
      <c r="AO103" s="225">
        <f t="shared" si="79"/>
        <v>0</v>
      </c>
      <c r="AP103" s="225">
        <f t="shared" si="80"/>
        <v>367.50835999999998</v>
      </c>
      <c r="AQ103" s="225">
        <f t="shared" si="81"/>
        <v>0</v>
      </c>
      <c r="AR103" s="232">
        <f ca="1">SUMIF('SBR Dec11'!$D$4:$S$90,'Apr11-Mar12 Billed-RETAIL'!$C103,'SBR Dec11'!$N$4:$N$90)</f>
        <v>846.78</v>
      </c>
      <c r="AS103" s="232">
        <f ca="1">SUMIF('SBR Dec11'!$D$4:$S$90,'Apr11-Mar12 Billed-RETAIL'!$C103,'SBR Dec11'!$M$4:$M$90)</f>
        <v>30.97</v>
      </c>
      <c r="AT103" s="232">
        <f ca="1">SUMIF('SBR Dec11'!$D$4:$S$90,'Apr11-Mar12 Billed-RETAIL'!$C103,'SBR Dec11'!$O$4:$O$90)</f>
        <v>59.120000000000005</v>
      </c>
      <c r="AU103" s="225">
        <f t="shared" si="82"/>
        <v>0</v>
      </c>
      <c r="AV103" s="225"/>
      <c r="AW103" s="232">
        <f t="shared" ca="1" si="74"/>
        <v>1354.38</v>
      </c>
      <c r="AX103" s="232">
        <f t="shared" ca="1" si="68"/>
        <v>1354.38</v>
      </c>
      <c r="AY103" s="233">
        <f t="shared" ca="1" si="73"/>
        <v>1</v>
      </c>
      <c r="AZ103" s="232">
        <f ca="1">SUMIF('SBR Dec11'!$D$4:$S$90,'Apr11-Mar12 Billed-RETAIL'!$C103,'SBR Dec11'!$M$4:$M$90)</f>
        <v>30.97</v>
      </c>
      <c r="BA103" s="232">
        <f ca="1">SUMIF('SBR Dec11'!$D$4:$S$90,'Apr11-Mar12 Billed-RETAIL'!$C103,'SBR Dec11'!$N$4:$N$90)</f>
        <v>846.78</v>
      </c>
      <c r="BB103" s="232">
        <f ca="1">SUMIF('SBR Dec11'!$D$4:$S$90,'Apr11-Mar12 Billed-RETAIL'!$C103,'SBR Dec11'!$O$4:$O$90)</f>
        <v>59.120000000000005</v>
      </c>
      <c r="BC103" s="232">
        <f ca="1">SUMIF('SBR Dec11'!$D$4:$S$90,'Apr11-Mar12 Billed-RETAIL'!$C103,'SBR Dec11'!$Q$4:$Q$90)</f>
        <v>0</v>
      </c>
      <c r="BD103" s="232">
        <f ca="1">SUMIF('SBR Dec11'!$D$4:$S$90,'Apr11-Mar12 Billed-RETAIL'!$C103,'SBR Dec11'!$K$4:$K$90)</f>
        <v>50</v>
      </c>
      <c r="BE103" s="232">
        <f ca="1">SUMIF('SBR Dec11'!$D$4:$S$90,'Apr11-Mar12 Billed-RETAIL'!$C103,'SBR Dec11'!$L$4:$L$90)</f>
        <v>367.51</v>
      </c>
      <c r="BF103" s="232"/>
    </row>
    <row r="104" spans="1:58" ht="15" customHeight="1" x14ac:dyDescent="0.25">
      <c r="A104" s="196">
        <f t="shared" si="58"/>
        <v>99</v>
      </c>
      <c r="B104" s="211">
        <v>40878</v>
      </c>
      <c r="C104" s="211" t="str">
        <f>+'Retail Rates'!B29</f>
        <v>LGUMG830</v>
      </c>
      <c r="D104" s="197" t="str">
        <f t="shared" si="77"/>
        <v>830</v>
      </c>
      <c r="E104" s="197" t="str">
        <f>VLOOKUP(C104,'Retail Rates'!$B$7:$D$35,3,FALSE)</f>
        <v>RGS</v>
      </c>
      <c r="F104" s="222">
        <f>SUMIFS('Data-Retail'!$G$4:$G$269,'Data-Retail'!$A$4:$A$269,'Apr11-Mar12 Billed-RETAIL'!$B104,'Data-Retail'!$D$4:$D$269,'Apr11-Mar12 Billed-RETAIL'!$C104)</f>
        <v>1</v>
      </c>
      <c r="G104" s="222"/>
      <c r="H104" s="222"/>
      <c r="I104" s="222">
        <f>SUMIFS('Data-Retail'!$H$4:$H$269,'Data-Retail'!$A$4:$A$269,'Apr11-Mar12 Billed-RETAIL'!$B104,'Data-Retail'!$D$4:$D$269,'Apr11-Mar12 Billed-RETAIL'!$C104)</f>
        <v>32</v>
      </c>
      <c r="J104" s="222">
        <f>SUMIFS('Data-Retail'!$I$4:$I$269,'Data-Retail'!$A$4:$A$269,'Apr11-Mar12 Billed-RETAIL'!$B104,'Data-Retail'!$D$4:$D$269,'Apr11-Mar12 Billed-RETAIL'!$C104)</f>
        <v>0</v>
      </c>
      <c r="K104" s="222"/>
      <c r="L104" s="223">
        <f>VLOOKUP($C104,'Retail Rates'!$B$7:$M$35,5,FALSE)</f>
        <v>12.5</v>
      </c>
      <c r="M104" s="223">
        <f>VLOOKUP($C104,'Retail Rates'!$B$7:$M$35,6,FALSE)</f>
        <v>0</v>
      </c>
      <c r="N104" s="224">
        <f>VLOOKUP($C104,'Retail Rates'!$B$7:$M$35,7,FALSE)</f>
        <v>0.22395999999999999</v>
      </c>
      <c r="O104" s="224">
        <f>VLOOKUP($C104,'Retail Rates'!$B$7:$M$35,8,FALSE)</f>
        <v>0</v>
      </c>
      <c r="P104" s="224">
        <f>VLOOKUP($B104,'GSC-DSM Factors'!$A$1:$B$46,2,FALSE)</f>
        <v>0.51601999999999992</v>
      </c>
      <c r="Q104" s="223">
        <f>VLOOKUP($C104,'Retail Rates'!$B$7:$M$35,9,FALSE)</f>
        <v>0</v>
      </c>
      <c r="R104" s="224">
        <f>VLOOKUP($C104,'Retail Rates'!$B$7:$M$35,10,FALSE)</f>
        <v>0</v>
      </c>
      <c r="S104" s="223">
        <f>VLOOKUP($C104,'Retail Rates'!$B$7:$M$35,11,FALSE)</f>
        <v>0</v>
      </c>
      <c r="T104" s="223"/>
      <c r="U104" s="225">
        <f t="shared" si="67"/>
        <v>12.5</v>
      </c>
      <c r="V104" s="225"/>
      <c r="W104" s="225"/>
      <c r="X104" s="225">
        <f>+I104*N104</f>
        <v>7.1667199999999998</v>
      </c>
      <c r="Y104" s="225">
        <f t="shared" si="72"/>
        <v>0</v>
      </c>
      <c r="Z104" s="225">
        <f t="shared" si="78"/>
        <v>16.512639999999998</v>
      </c>
      <c r="AA104" s="225"/>
      <c r="AB104" s="225"/>
      <c r="AC104" s="225"/>
      <c r="AD104" s="225"/>
      <c r="AE104" s="244">
        <f>SUMIFS(Adjustments!H$5:H$684,Adjustments!$B$5:$B$684,'Apr11-Mar12 Billed-RETAIL'!$B104,Adjustments!$C$5:$C$684,'Apr11-Mar12 Billed-RETAIL'!$C104)</f>
        <v>1</v>
      </c>
      <c r="AF104" s="244">
        <f>SUMIFS(Adjustments!I$5:I$684,Adjustments!$B$5:$B$684,'Apr11-Mar12 Billed-RETAIL'!$B104,Adjustments!$C$5:$C$684,'Apr11-Mar12 Billed-RETAIL'!$C104)</f>
        <v>0</v>
      </c>
      <c r="AG104" s="238">
        <f>SUMIFS(Adjustments!J$5:J$684,Adjustments!$B$5:$B$684,'Apr11-Mar12 Billed-RETAIL'!$B104,Adjustments!$C$5:$C$684,'Apr11-Mar12 Billed-RETAIL'!$C104)</f>
        <v>0</v>
      </c>
      <c r="AH104" s="238">
        <f>SUMIFS(Adjustments!K$5:K$684,Adjustments!$B$5:$B$684,'Apr11-Mar12 Billed-RETAIL'!$B104,Adjustments!$C$5:$C$684,'Apr11-Mar12 Billed-RETAIL'!$C104)</f>
        <v>0</v>
      </c>
      <c r="AI104" s="238">
        <f>SUMIFS(Adjustments!L$5:L$684,Adjustments!$B$5:$B$684,'Apr11-Mar12 Billed-RETAIL'!$B104,Adjustments!$C$5:$C$684,'Apr11-Mar12 Billed-RETAIL'!$C104)</f>
        <v>0</v>
      </c>
      <c r="AJ104" s="238">
        <f>SUMIFS(Adjustments!M$5:M$684,Adjustments!$B$5:$B$684,'Apr11-Mar12 Billed-RETAIL'!$B104,Adjustments!$C$5:$C$684,'Apr11-Mar12 Billed-RETAIL'!$C104)</f>
        <v>0</v>
      </c>
      <c r="AK104" s="238">
        <f>SUMIFS(Adjustments!N$5:N$684,Adjustments!$B$5:$B$684,'Apr11-Mar12 Billed-RETAIL'!$B104,Adjustments!$C$5:$C$684,'Apr11-Mar12 Billed-RETAIL'!$C104)</f>
        <v>0</v>
      </c>
      <c r="AL104" s="238">
        <f>SUMIFS(Adjustments!O$5:O$684,Adjustments!$B$5:$B$684,'Apr11-Mar12 Billed-RETAIL'!$B104,Adjustments!$C$5:$C$684,'Apr11-Mar12 Billed-RETAIL'!$C104)</f>
        <v>0</v>
      </c>
      <c r="AM104" s="238">
        <f>SUMIFS(Adjustments!P$5:P$684,Adjustments!$B$5:$B$684,'Apr11-Mar12 Billed-RETAIL'!$B104,Adjustments!$C$5:$C$684,'Apr11-Mar12 Billed-RETAIL'!$C104)</f>
        <v>0</v>
      </c>
      <c r="AN104" s="225">
        <f t="shared" si="70"/>
        <v>25</v>
      </c>
      <c r="AO104" s="225">
        <f t="shared" si="79"/>
        <v>0</v>
      </c>
      <c r="AP104" s="225">
        <f t="shared" si="80"/>
        <v>7.1667199999999998</v>
      </c>
      <c r="AQ104" s="225">
        <f t="shared" si="81"/>
        <v>0</v>
      </c>
      <c r="AR104" s="232">
        <f ca="1">SUMIF('SBR Dec11'!$D$4:$S$90,'Apr11-Mar12 Billed-RETAIL'!$C104,'SBR Dec11'!$N$4:$N$90)</f>
        <v>16.510000000000002</v>
      </c>
      <c r="AS104" s="232">
        <f ca="1">SUMIF('SBR Dec11'!$D$4:$S$90,'Apr11-Mar12 Billed-RETAIL'!$C104,'SBR Dec11'!$M$4:$M$90)</f>
        <v>0.6</v>
      </c>
      <c r="AT104" s="232">
        <f ca="1">SUMIF('SBR Dec11'!$D$4:$S$90,'Apr11-Mar12 Billed-RETAIL'!$C104,'SBR Dec11'!$O$4:$O$90)</f>
        <v>0</v>
      </c>
      <c r="AU104" s="225">
        <f t="shared" si="82"/>
        <v>0</v>
      </c>
      <c r="AV104" s="225"/>
      <c r="AW104" s="232">
        <f t="shared" ca="1" si="74"/>
        <v>49.28</v>
      </c>
      <c r="AX104" s="232">
        <f t="shared" ca="1" si="68"/>
        <v>49.28</v>
      </c>
      <c r="AY104" s="233">
        <f t="shared" ca="1" si="73"/>
        <v>1</v>
      </c>
      <c r="AZ104" s="232">
        <f ca="1">SUMIF('SBR Dec11'!$D$4:$S$90,'Apr11-Mar12 Billed-RETAIL'!$C104,'SBR Dec11'!$M$4:$M$90)</f>
        <v>0.6</v>
      </c>
      <c r="BA104" s="232">
        <f ca="1">SUMIF('SBR Dec11'!$D$4:$S$90,'Apr11-Mar12 Billed-RETAIL'!$C104,'SBR Dec11'!$N$4:$N$90)</f>
        <v>16.510000000000002</v>
      </c>
      <c r="BB104" s="232">
        <f ca="1">SUMIF('SBR Dec11'!$D$4:$S$90,'Apr11-Mar12 Billed-RETAIL'!$C104,'SBR Dec11'!$O$4:$O$90)</f>
        <v>0</v>
      </c>
      <c r="BC104" s="232">
        <f ca="1">SUMIF('SBR Dec11'!$D$4:$S$90,'Apr11-Mar12 Billed-RETAIL'!$C104,'SBR Dec11'!$Q$4:$Q$90)</f>
        <v>0</v>
      </c>
      <c r="BD104" s="232">
        <f ca="1">SUMIF('SBR Dec11'!$D$4:$S$90,'Apr11-Mar12 Billed-RETAIL'!$C104,'SBR Dec11'!$K$4:$K$90)</f>
        <v>25</v>
      </c>
      <c r="BE104" s="232">
        <f ca="1">SUMIF('SBR Dec11'!$D$4:$S$90,'Apr11-Mar12 Billed-RETAIL'!$C104,'SBR Dec11'!$L$4:$L$90)</f>
        <v>7.17</v>
      </c>
      <c r="BF104" s="232"/>
    </row>
    <row r="105" spans="1:58" ht="15" customHeight="1" x14ac:dyDescent="0.25">
      <c r="A105" s="196">
        <f t="shared" si="58"/>
        <v>100</v>
      </c>
      <c r="B105" s="211">
        <v>40909</v>
      </c>
      <c r="C105" s="211" t="str">
        <f>+'Retail Rates'!B7</f>
        <v>LGCMG865</v>
      </c>
      <c r="D105" s="197" t="str">
        <f t="shared" si="77"/>
        <v>865</v>
      </c>
      <c r="E105" s="197" t="str">
        <f>VLOOKUP(C105,'Retail Rates'!$B$7:$D$35,3,FALSE)</f>
        <v>AAGS-C</v>
      </c>
      <c r="F105" s="222">
        <f>SUMIFS('Data-Retail'!$G$4:$G$269,'Data-Retail'!$A$4:$A$269,'Apr11-Mar12 Billed-RETAIL'!$B105,'Data-Retail'!$D$4:$D$269,'Apr11-Mar12 Billed-RETAIL'!$C105)</f>
        <v>5</v>
      </c>
      <c r="G105" s="222"/>
      <c r="H105" s="222"/>
      <c r="I105" s="222">
        <f>SUMIFS('Data-Retail'!$H$4:$H$269,'Data-Retail'!$A$4:$A$269,'Apr11-Mar12 Billed-RETAIL'!$B105,'Data-Retail'!$D$4:$D$269,'Apr11-Mar12 Billed-RETAIL'!$C105)</f>
        <v>103916</v>
      </c>
      <c r="J105" s="222">
        <f>SUMIFS('Data-Retail'!$I$4:$I$269,'Data-Retail'!$A$4:$A$269,'Apr11-Mar12 Billed-RETAIL'!$B105,'Data-Retail'!$D$4:$D$269,'Apr11-Mar12 Billed-RETAIL'!$C105)</f>
        <v>0</v>
      </c>
      <c r="K105" s="222"/>
      <c r="L105" s="223">
        <f>VLOOKUP($C105,'Retail Rates'!$B$7:$M$35,5,FALSE)</f>
        <v>275</v>
      </c>
      <c r="M105" s="223">
        <f>VLOOKUP($C105,'Retail Rates'!$B$7:$M$35,6,FALSE)</f>
        <v>0</v>
      </c>
      <c r="N105" s="224">
        <f>VLOOKUP($C105,'Retail Rates'!$B$7:$M$35,7,FALSE)</f>
        <v>5.2519999999999997E-2</v>
      </c>
      <c r="O105" s="224">
        <f>VLOOKUP($C105,'Retail Rates'!$B$7:$M$35,8,FALSE)</f>
        <v>0</v>
      </c>
      <c r="P105" s="224">
        <f>VLOOKUP($B105,'GSC-DSM Factors'!$A$1:$B$46,2,FALSE)</f>
        <v>0.51601999999999992</v>
      </c>
      <c r="Q105" s="223">
        <f>VLOOKUP($C105,'Retail Rates'!$B$7:$M$35,9,FALSE)</f>
        <v>0</v>
      </c>
      <c r="R105" s="224">
        <f>VLOOKUP($C105,'Retail Rates'!$B$7:$M$35,10,FALSE)</f>
        <v>0</v>
      </c>
      <c r="S105" s="223">
        <f>VLOOKUP($C105,'Retail Rates'!$B$7:$M$35,11,FALSE)</f>
        <v>0</v>
      </c>
      <c r="T105" s="223"/>
      <c r="U105" s="225">
        <f t="shared" ref="U105:U127" si="83">(+F105*L105)+(G105*L105)</f>
        <v>1375</v>
      </c>
      <c r="V105" s="225"/>
      <c r="W105" s="225"/>
      <c r="X105" s="225">
        <f t="shared" ref="X105:X110" si="84">+I105*N105</f>
        <v>5457.6683199999998</v>
      </c>
      <c r="Y105" s="225">
        <f t="shared" si="72"/>
        <v>0</v>
      </c>
      <c r="Z105" s="225">
        <f>SUM(I105:J105)*P105</f>
        <v>53622.734319999989</v>
      </c>
      <c r="AA105" s="225"/>
      <c r="AB105" s="225"/>
      <c r="AC105" s="225"/>
      <c r="AD105" s="225"/>
      <c r="AE105" s="244">
        <f>SUMIFS(Adjustments!H$5:H$684,Adjustments!$B$5:$B$684,'Apr11-Mar12 Billed-RETAIL'!$B105,Adjustments!$C$5:$C$684,'Apr11-Mar12 Billed-RETAIL'!$C105)</f>
        <v>-1</v>
      </c>
      <c r="AF105" s="244">
        <f>SUMIFS(Adjustments!I$5:I$684,Adjustments!$B$5:$B$684,'Apr11-Mar12 Billed-RETAIL'!$B105,Adjustments!$C$5:$C$684,'Apr11-Mar12 Billed-RETAIL'!$C105)</f>
        <v>0</v>
      </c>
      <c r="AG105" s="238">
        <f>SUMIFS(Adjustments!J$5:J$684,Adjustments!$B$5:$B$684,'Apr11-Mar12 Billed-RETAIL'!$B105,Adjustments!$C$5:$C$684,'Apr11-Mar12 Billed-RETAIL'!$C105)</f>
        <v>0</v>
      </c>
      <c r="AH105" s="238">
        <f>SUMIFS(Adjustments!K$5:K$684,Adjustments!$B$5:$B$684,'Apr11-Mar12 Billed-RETAIL'!$B105,Adjustments!$C$5:$C$684,'Apr11-Mar12 Billed-RETAIL'!$C105)</f>
        <v>0</v>
      </c>
      <c r="AI105" s="238">
        <f>SUMIFS(Adjustments!L$5:L$684,Adjustments!$B$5:$B$684,'Apr11-Mar12 Billed-RETAIL'!$B105,Adjustments!$C$5:$C$684,'Apr11-Mar12 Billed-RETAIL'!$C105)</f>
        <v>0</v>
      </c>
      <c r="AJ105" s="238">
        <f>SUMIFS(Adjustments!M$5:M$684,Adjustments!$B$5:$B$684,'Apr11-Mar12 Billed-RETAIL'!$B105,Adjustments!$C$5:$C$684,'Apr11-Mar12 Billed-RETAIL'!$C105)</f>
        <v>0</v>
      </c>
      <c r="AK105" s="238">
        <f>SUMIFS(Adjustments!N$5:N$684,Adjustments!$B$5:$B$684,'Apr11-Mar12 Billed-RETAIL'!$B105,Adjustments!$C$5:$C$684,'Apr11-Mar12 Billed-RETAIL'!$C105)</f>
        <v>0</v>
      </c>
      <c r="AL105" s="238">
        <f>SUMIFS(Adjustments!O$5:O$684,Adjustments!$B$5:$B$684,'Apr11-Mar12 Billed-RETAIL'!$B105,Adjustments!$C$5:$C$684,'Apr11-Mar12 Billed-RETAIL'!$C105)</f>
        <v>0</v>
      </c>
      <c r="AM105" s="238">
        <f>SUMIFS(Adjustments!P$5:P$684,Adjustments!$B$5:$B$684,'Apr11-Mar12 Billed-RETAIL'!$B105,Adjustments!$C$5:$C$684,'Apr11-Mar12 Billed-RETAIL'!$C105)</f>
        <v>0</v>
      </c>
      <c r="AN105" s="225">
        <f t="shared" si="70"/>
        <v>1100</v>
      </c>
      <c r="AO105" s="225">
        <f t="shared" si="79"/>
        <v>0</v>
      </c>
      <c r="AP105" s="225">
        <f t="shared" si="80"/>
        <v>5457.6683199999998</v>
      </c>
      <c r="AQ105" s="225">
        <f t="shared" si="81"/>
        <v>0</v>
      </c>
      <c r="AR105" s="232">
        <f ca="1">SUMIF('SBR Jan12'!$D$4:$S$90,'Apr11-Mar12 Billed-RETAIL'!$C105,'SBR Jan12'!$N$4:$N$90)</f>
        <v>53622.740000000005</v>
      </c>
      <c r="AS105" s="232">
        <f ca="1">SUMIF('SBR Jan12'!$D$4:$S$90,'Apr11-Mar12 Billed-RETAIL'!$C105,'SBR Jan12'!$M$4:$M$90)</f>
        <v>132.53</v>
      </c>
      <c r="AT105" s="232">
        <f ca="1">SUMIF('SBR Jan12'!$D$4:$S$90,'Apr11-Mar12 Billed-RETAIL'!$C105,'SBR Jan12'!$O$4:$O$90)</f>
        <v>0</v>
      </c>
      <c r="AU105" s="225">
        <f t="shared" si="82"/>
        <v>0</v>
      </c>
      <c r="AV105" s="225"/>
      <c r="AW105" s="232">
        <f t="shared" ca="1" si="74"/>
        <v>60312.94</v>
      </c>
      <c r="AX105" s="232">
        <f t="shared" ref="AX105:AX127" ca="1" si="85">SUM(AZ105:BF105)-BC105</f>
        <v>60312.94</v>
      </c>
      <c r="AY105" s="233">
        <f ca="1">IF(AX105=0,0,ROUND(AX105/AW105,6))</f>
        <v>1</v>
      </c>
      <c r="AZ105" s="232">
        <f ca="1">SUMIF('SBR Jan12'!$D$4:$S$90,'Apr11-Mar12 Billed-RETAIL'!$C105,'SBR Jan12'!$M$4:$M$90)</f>
        <v>132.53</v>
      </c>
      <c r="BA105" s="232">
        <f ca="1">SUMIF('SBR Jan12'!$D$4:$S$90,'Apr11-Mar12 Billed-RETAIL'!$C105,'SBR Jan12'!$N$4:$N$90)</f>
        <v>53622.740000000005</v>
      </c>
      <c r="BB105" s="232">
        <f ca="1">SUMIF('SBR Jan12'!$D$4:$S$90,'Apr11-Mar12 Billed-RETAIL'!$C105,'SBR Jan12'!$O$4:$O$90)</f>
        <v>0</v>
      </c>
      <c r="BC105" s="232">
        <f ca="1">SUMIF('SBR Jan12'!$D$4:$S$90,'Apr11-Mar12 Billed-RETAIL'!$C105,'SBR Jan12'!$Q$4:$Q$90)</f>
        <v>0</v>
      </c>
      <c r="BD105" s="232">
        <f ca="1">SUMIF('SBR Jan12'!$D$4:$S$90,'Apr11-Mar12 Billed-RETAIL'!$C105,'SBR Jan12'!$K$4:$K$90)</f>
        <v>1100</v>
      </c>
      <c r="BE105" s="232">
        <f ca="1">SUMIF('SBR Jan12'!$D$4:$S$90,'Apr11-Mar12 Billed-RETAIL'!$C105,'SBR Jan12'!$L$4:$L$90)</f>
        <v>5457.67</v>
      </c>
      <c r="BF105" s="232"/>
    </row>
    <row r="106" spans="1:58" ht="15" customHeight="1" x14ac:dyDescent="0.25">
      <c r="A106" s="196">
        <f t="shared" si="58"/>
        <v>101</v>
      </c>
      <c r="B106" s="211">
        <v>40909</v>
      </c>
      <c r="C106" s="211" t="str">
        <f>+'Retail Rates'!B10</f>
        <v>LGING866</v>
      </c>
      <c r="D106" s="197" t="str">
        <f t="shared" si="77"/>
        <v>866</v>
      </c>
      <c r="E106" s="197" t="str">
        <f>VLOOKUP(C106,'Retail Rates'!$B$7:$D$35,3,FALSE)</f>
        <v>AAGS-I</v>
      </c>
      <c r="F106" s="222">
        <f>SUMIFS('Data-Retail'!$G$4:$G$269,'Data-Retail'!$A$4:$A$269,'Apr11-Mar12 Billed-RETAIL'!$B106,'Data-Retail'!$D$4:$D$269,'Apr11-Mar12 Billed-RETAIL'!$C106)</f>
        <v>9</v>
      </c>
      <c r="G106" s="222"/>
      <c r="H106" s="222"/>
      <c r="I106" s="222">
        <f>SUMIFS('Data-Retail'!$H$4:$H$269,'Data-Retail'!$A$4:$A$269,'Apr11-Mar12 Billed-RETAIL'!$B106,'Data-Retail'!$D$4:$D$269,'Apr11-Mar12 Billed-RETAIL'!$C106)</f>
        <v>187353</v>
      </c>
      <c r="J106" s="222">
        <f>SUMIFS('Data-Retail'!$I$4:$I$269,'Data-Retail'!$A$4:$A$269,'Apr11-Mar12 Billed-RETAIL'!$B106,'Data-Retail'!$D$4:$D$269,'Apr11-Mar12 Billed-RETAIL'!$C106)</f>
        <v>0</v>
      </c>
      <c r="K106" s="222"/>
      <c r="L106" s="223">
        <f>VLOOKUP($C106,'Retail Rates'!$B$7:$M$35,5,FALSE)</f>
        <v>275</v>
      </c>
      <c r="M106" s="223">
        <f>VLOOKUP($C106,'Retail Rates'!$B$7:$M$35,6,FALSE)</f>
        <v>0</v>
      </c>
      <c r="N106" s="224">
        <f>VLOOKUP($C106,'Retail Rates'!$B$7:$M$35,7,FALSE)</f>
        <v>5.2519999999999997E-2</v>
      </c>
      <c r="O106" s="224">
        <f>VLOOKUP($C106,'Retail Rates'!$B$7:$M$35,8,FALSE)</f>
        <v>0</v>
      </c>
      <c r="P106" s="224">
        <f>VLOOKUP($B106,'GSC-DSM Factors'!$A$1:$B$46,2,FALSE)</f>
        <v>0.51601999999999992</v>
      </c>
      <c r="Q106" s="223">
        <f>VLOOKUP($C106,'Retail Rates'!$B$7:$M$35,9,FALSE)</f>
        <v>0</v>
      </c>
      <c r="R106" s="224">
        <f>VLOOKUP($C106,'Retail Rates'!$B$7:$M$35,10,FALSE)</f>
        <v>0</v>
      </c>
      <c r="S106" s="223">
        <f>VLOOKUP($C106,'Retail Rates'!$B$7:$M$35,11,FALSE)</f>
        <v>0</v>
      </c>
      <c r="T106" s="223"/>
      <c r="U106" s="225">
        <f t="shared" si="83"/>
        <v>2475</v>
      </c>
      <c r="V106" s="225"/>
      <c r="W106" s="225"/>
      <c r="X106" s="225">
        <f t="shared" si="84"/>
        <v>9839.779559999999</v>
      </c>
      <c r="Y106" s="225">
        <f t="shared" si="72"/>
        <v>0</v>
      </c>
      <c r="Z106" s="225">
        <f>SUM(I106:J106)*P106</f>
        <v>96677.895059999981</v>
      </c>
      <c r="AA106" s="225"/>
      <c r="AB106" s="225"/>
      <c r="AC106" s="225"/>
      <c r="AD106" s="225"/>
      <c r="AE106" s="244">
        <f>SUMIFS(Adjustments!H$5:H$684,Adjustments!$B$5:$B$684,'Apr11-Mar12 Billed-RETAIL'!$B106,Adjustments!$C$5:$C$684,'Apr11-Mar12 Billed-RETAIL'!$C106)</f>
        <v>0</v>
      </c>
      <c r="AF106" s="244">
        <f>SUMIFS(Adjustments!I$5:I$684,Adjustments!$B$5:$B$684,'Apr11-Mar12 Billed-RETAIL'!$B106,Adjustments!$C$5:$C$684,'Apr11-Mar12 Billed-RETAIL'!$C106)</f>
        <v>0</v>
      </c>
      <c r="AG106" s="238">
        <f>SUMIFS(Adjustments!J$5:J$684,Adjustments!$B$5:$B$684,'Apr11-Mar12 Billed-RETAIL'!$B106,Adjustments!$C$5:$C$684,'Apr11-Mar12 Billed-RETAIL'!$C106)</f>
        <v>0</v>
      </c>
      <c r="AH106" s="238">
        <f>SUMIFS(Adjustments!K$5:K$684,Adjustments!$B$5:$B$684,'Apr11-Mar12 Billed-RETAIL'!$B106,Adjustments!$C$5:$C$684,'Apr11-Mar12 Billed-RETAIL'!$C106)</f>
        <v>0</v>
      </c>
      <c r="AI106" s="238">
        <f>SUMIFS(Adjustments!L$5:L$684,Adjustments!$B$5:$B$684,'Apr11-Mar12 Billed-RETAIL'!$B106,Adjustments!$C$5:$C$684,'Apr11-Mar12 Billed-RETAIL'!$C106)</f>
        <v>0</v>
      </c>
      <c r="AJ106" s="238">
        <f>SUMIFS(Adjustments!M$5:M$684,Adjustments!$B$5:$B$684,'Apr11-Mar12 Billed-RETAIL'!$B106,Adjustments!$C$5:$C$684,'Apr11-Mar12 Billed-RETAIL'!$C106)</f>
        <v>0</v>
      </c>
      <c r="AK106" s="238">
        <f>SUMIFS(Adjustments!N$5:N$684,Adjustments!$B$5:$B$684,'Apr11-Mar12 Billed-RETAIL'!$B106,Adjustments!$C$5:$C$684,'Apr11-Mar12 Billed-RETAIL'!$C106)</f>
        <v>0</v>
      </c>
      <c r="AL106" s="238">
        <f>SUMIFS(Adjustments!O$5:O$684,Adjustments!$B$5:$B$684,'Apr11-Mar12 Billed-RETAIL'!$B106,Adjustments!$C$5:$C$684,'Apr11-Mar12 Billed-RETAIL'!$C106)</f>
        <v>0</v>
      </c>
      <c r="AM106" s="238">
        <f>SUMIFS(Adjustments!P$5:P$684,Adjustments!$B$5:$B$684,'Apr11-Mar12 Billed-RETAIL'!$B106,Adjustments!$C$5:$C$684,'Apr11-Mar12 Billed-RETAIL'!$C106)</f>
        <v>0</v>
      </c>
      <c r="AN106" s="225">
        <f t="shared" ref="AN106:AN130" si="86">+U106+AG106+(AE106*L106)</f>
        <v>2475</v>
      </c>
      <c r="AO106" s="225">
        <f t="shared" si="79"/>
        <v>0</v>
      </c>
      <c r="AP106" s="225">
        <f t="shared" si="80"/>
        <v>9839.779559999999</v>
      </c>
      <c r="AQ106" s="225">
        <f t="shared" si="81"/>
        <v>0</v>
      </c>
      <c r="AR106" s="232">
        <f ca="1">SUMIF('SBR Jan12'!$D$4:$S$90,'Apr11-Mar12 Billed-RETAIL'!$C106,'SBR Jan12'!$N$4:$N$90)</f>
        <v>96677.9</v>
      </c>
      <c r="AS106" s="232">
        <f ca="1">SUMIF('SBR Jan12'!$D$4:$S$90,'Apr11-Mar12 Billed-RETAIL'!$C106,'SBR Jan12'!$M$4:$M$90)</f>
        <v>0</v>
      </c>
      <c r="AT106" s="232">
        <f ca="1">SUMIF('SBR Jan12'!$D$4:$S$90,'Apr11-Mar12 Billed-RETAIL'!$C106,'SBR Jan12'!$O$4:$O$90)</f>
        <v>0</v>
      </c>
      <c r="AU106" s="225">
        <f t="shared" si="82"/>
        <v>0</v>
      </c>
      <c r="AV106" s="225"/>
      <c r="AW106" s="232">
        <f t="shared" ca="1" si="74"/>
        <v>108992.68</v>
      </c>
      <c r="AX106" s="232">
        <f t="shared" ca="1" si="85"/>
        <v>108992.68</v>
      </c>
      <c r="AY106" s="233">
        <f t="shared" ref="AY106:AY116" ca="1" si="87">IF(AX106=0,0,ROUND(AX106/AW106,6))</f>
        <v>1</v>
      </c>
      <c r="AZ106" s="232">
        <f ca="1">SUMIF('SBR Jan12'!$D$4:$S$90,'Apr11-Mar12 Billed-RETAIL'!$C106,'SBR Jan12'!$M$4:$M$90)</f>
        <v>0</v>
      </c>
      <c r="BA106" s="232">
        <f ca="1">SUMIF('SBR Jan12'!$D$4:$S$90,'Apr11-Mar12 Billed-RETAIL'!$C106,'SBR Jan12'!$N$4:$N$90)</f>
        <v>96677.9</v>
      </c>
      <c r="BB106" s="232">
        <f ca="1">SUMIF('SBR Jan12'!$D$4:$S$90,'Apr11-Mar12 Billed-RETAIL'!$C106,'SBR Jan12'!$O$4:$O$90)</f>
        <v>0</v>
      </c>
      <c r="BC106" s="232">
        <f ca="1">SUMIF('SBR Jan12'!$D$4:$S$90,'Apr11-Mar12 Billed-RETAIL'!$C106,'SBR Jan12'!$Q$4:$Q$90)</f>
        <v>0</v>
      </c>
      <c r="BD106" s="232">
        <f ca="1">SUMIF('SBR Jan12'!$D$4:$S$90,'Apr11-Mar12 Billed-RETAIL'!$C106,'SBR Jan12'!$K$4:$K$90)</f>
        <v>2475</v>
      </c>
      <c r="BE106" s="232">
        <f ca="1">SUMIF('SBR Jan12'!$D$4:$S$90,'Apr11-Mar12 Billed-RETAIL'!$C106,'SBR Jan12'!$L$4:$L$90)</f>
        <v>9839.7800000000007</v>
      </c>
      <c r="BF106" s="232"/>
    </row>
    <row r="107" spans="1:58" ht="15" x14ac:dyDescent="0.25">
      <c r="A107" s="196">
        <f t="shared" si="58"/>
        <v>102</v>
      </c>
      <c r="B107" s="211">
        <v>40909</v>
      </c>
      <c r="C107" s="211" t="str">
        <f>+'Retail Rates'!B13</f>
        <v>LGCMG851</v>
      </c>
      <c r="D107" s="197" t="str">
        <f t="shared" si="77"/>
        <v>851</v>
      </c>
      <c r="E107" s="197" t="str">
        <f>VLOOKUP(C107,'Retail Rates'!$B$7:$D$35,3,FALSE)</f>
        <v>CGS</v>
      </c>
      <c r="F107" s="222"/>
      <c r="G107" s="222">
        <f>SUMIFS(Adjustments!F$5:F$151,Adjustments!$B$5:$B$151,'Apr11-Mar12 Billed-RETAIL'!$B107,Adjustments!$C$5:$C$151,'Apr11-Mar12 Billed-RETAIL'!$C107)</f>
        <v>24681</v>
      </c>
      <c r="H107" s="222">
        <f>SUMIFS(Adjustments!G$5:G$151,Adjustments!$B$5:$B$151,'Apr11-Mar12 Billed-RETAIL'!$B107,Adjustments!$C$5:$C$151,'Apr11-Mar12 Billed-RETAIL'!$C107)</f>
        <v>1072</v>
      </c>
      <c r="I107" s="222">
        <f>SUMIFS('Data-Retail'!$H$4:$H$269,'Data-Retail'!$A$4:$A$269,'Apr11-Mar12 Billed-RETAIL'!$B107,'Data-Retail'!$D$4:$D$269,'Apr11-Mar12 Billed-RETAIL'!$C107)</f>
        <v>16233214</v>
      </c>
      <c r="J107" s="222">
        <f>SUMIFS('Data-Retail'!$I$4:$I$269,'Data-Retail'!$A$4:$A$269,'Apr11-Mar12 Billed-RETAIL'!$B107,'Data-Retail'!$D$4:$D$269,'Apr11-Mar12 Billed-RETAIL'!$C107)</f>
        <v>0</v>
      </c>
      <c r="K107" s="222"/>
      <c r="L107" s="223">
        <f>VLOOKUP($C107,'Retail Rates'!$B$7:$M$35,5,FALSE)</f>
        <v>30</v>
      </c>
      <c r="M107" s="223">
        <f>VLOOKUP($C107,'Retail Rates'!$B$7:$M$35,6,FALSE)</f>
        <v>170</v>
      </c>
      <c r="N107" s="224">
        <f>VLOOKUP($C107,'Retail Rates'!$B$7:$M$35,7,FALSE)</f>
        <v>0.18722</v>
      </c>
      <c r="O107" s="224">
        <f>VLOOKUP($C107,'Retail Rates'!$B$7:$M$35,8,FALSE)</f>
        <v>0.13722000000000001</v>
      </c>
      <c r="P107" s="224">
        <f>VLOOKUP($B107,'GSC-DSM Factors'!$A$1:$B$46,2,FALSE)</f>
        <v>0.51601999999999992</v>
      </c>
      <c r="Q107" s="223">
        <f>VLOOKUP($C107,'Retail Rates'!$B$7:$M$35,9,FALSE)</f>
        <v>0</v>
      </c>
      <c r="R107" s="224">
        <f>VLOOKUP($C107,'Retail Rates'!$B$7:$M$35,10,FALSE)</f>
        <v>0</v>
      </c>
      <c r="S107" s="223">
        <f>VLOOKUP($C107,'Retail Rates'!$B$7:$M$35,11,FALSE)</f>
        <v>0</v>
      </c>
      <c r="T107" s="223"/>
      <c r="U107" s="225">
        <f t="shared" si="83"/>
        <v>740430</v>
      </c>
      <c r="V107" s="225"/>
      <c r="W107" s="225">
        <f>+H107*M107</f>
        <v>182240</v>
      </c>
      <c r="X107" s="225">
        <f t="shared" si="84"/>
        <v>3039182.3250799999</v>
      </c>
      <c r="Y107" s="225">
        <f t="shared" si="72"/>
        <v>0</v>
      </c>
      <c r="Z107" s="225">
        <f>SUM(I107:J107)*P107</f>
        <v>8376663.0882799989</v>
      </c>
      <c r="AA107" s="225"/>
      <c r="AB107" s="225"/>
      <c r="AC107" s="225"/>
      <c r="AD107" s="225"/>
      <c r="AE107" s="244">
        <f>SUMIFS(Adjustments!H$5:H$684,Adjustments!$B$5:$B$684,'Apr11-Mar12 Billed-RETAIL'!$B107,Adjustments!$C$5:$C$684,'Apr11-Mar12 Billed-RETAIL'!$C107)</f>
        <v>0</v>
      </c>
      <c r="AF107" s="244">
        <f>SUMIFS(Adjustments!I$5:I$684,Adjustments!$B$5:$B$684,'Apr11-Mar12 Billed-RETAIL'!$B107,Adjustments!$C$5:$C$684,'Apr11-Mar12 Billed-RETAIL'!$C107)</f>
        <v>0</v>
      </c>
      <c r="AG107" s="238">
        <f>SUMIFS(Adjustments!J$5:J$684,Adjustments!$B$5:$B$684,'Apr11-Mar12 Billed-RETAIL'!$B107,Adjustments!$C$5:$C$684,'Apr11-Mar12 Billed-RETAIL'!$C107)</f>
        <v>181.13</v>
      </c>
      <c r="AH107" s="238">
        <f>SUMIFS(Adjustments!K$5:K$684,Adjustments!$B$5:$B$684,'Apr11-Mar12 Billed-RETAIL'!$B107,Adjustments!$C$5:$C$684,'Apr11-Mar12 Billed-RETAIL'!$C107)</f>
        <v>-11.33</v>
      </c>
      <c r="AI107" s="238">
        <f>SUMIFS(Adjustments!L$5:L$684,Adjustments!$B$5:$B$684,'Apr11-Mar12 Billed-RETAIL'!$B107,Adjustments!$C$5:$C$684,'Apr11-Mar12 Billed-RETAIL'!$C107)</f>
        <v>-6.43</v>
      </c>
      <c r="AJ107" s="238">
        <f>SUMIFS(Adjustments!M$5:M$684,Adjustments!$B$5:$B$684,'Apr11-Mar12 Billed-RETAIL'!$B107,Adjustments!$C$5:$C$684,'Apr11-Mar12 Billed-RETAIL'!$C107)</f>
        <v>0</v>
      </c>
      <c r="AK107" s="238">
        <f>SUMIFS(Adjustments!N$5:N$684,Adjustments!$B$5:$B$684,'Apr11-Mar12 Billed-RETAIL'!$B107,Adjustments!$C$5:$C$684,'Apr11-Mar12 Billed-RETAIL'!$C107)</f>
        <v>0</v>
      </c>
      <c r="AL107" s="238">
        <f>SUMIFS(Adjustments!O$5:O$684,Adjustments!$B$5:$B$684,'Apr11-Mar12 Billed-RETAIL'!$B107,Adjustments!$C$5:$C$684,'Apr11-Mar12 Billed-RETAIL'!$C107)</f>
        <v>0</v>
      </c>
      <c r="AM107" s="238">
        <f>SUMIFS(Adjustments!P$5:P$684,Adjustments!$B$5:$B$684,'Apr11-Mar12 Billed-RETAIL'!$B107,Adjustments!$C$5:$C$684,'Apr11-Mar12 Billed-RETAIL'!$C107)</f>
        <v>0</v>
      </c>
      <c r="AN107" s="225">
        <f t="shared" si="86"/>
        <v>740611.13</v>
      </c>
      <c r="AO107" s="225">
        <f t="shared" si="79"/>
        <v>182228.67</v>
      </c>
      <c r="AP107" s="225">
        <f t="shared" si="80"/>
        <v>3039175.8950799997</v>
      </c>
      <c r="AQ107" s="225">
        <f t="shared" si="81"/>
        <v>0</v>
      </c>
      <c r="AR107" s="232">
        <f ca="1">SUMIF('SBR Jan12'!$D$4:$S$90,'Apr11-Mar12 Billed-RETAIL'!$C107,'SBR Jan12'!$N$4:$N$90)</f>
        <v>8376631.1199999992</v>
      </c>
      <c r="AS107" s="232">
        <f ca="1">SUMIF('SBR Jan12'!$D$4:$S$90,'Apr11-Mar12 Billed-RETAIL'!$C107,'SBR Jan12'!$M$4:$M$90)</f>
        <v>18732.219999999998</v>
      </c>
      <c r="AT107" s="232">
        <f ca="1">SUMIF('SBR Jan12'!$D$4:$S$90,'Apr11-Mar12 Billed-RETAIL'!$C107,'SBR Jan12'!$O$4:$O$90)</f>
        <v>456659.39999999997</v>
      </c>
      <c r="AU107" s="225">
        <f t="shared" si="82"/>
        <v>0</v>
      </c>
      <c r="AV107" s="225"/>
      <c r="AW107" s="232">
        <f t="shared" ca="1" si="74"/>
        <v>12814038.439999999</v>
      </c>
      <c r="AX107" s="232">
        <f t="shared" ca="1" si="85"/>
        <v>12814038.440000001</v>
      </c>
      <c r="AY107" s="233">
        <f t="shared" ca="1" si="87"/>
        <v>1</v>
      </c>
      <c r="AZ107" s="232">
        <f ca="1">SUMIF('SBR Jan12'!$D$4:$S$90,'Apr11-Mar12 Billed-RETAIL'!$C107,'SBR Jan12'!$M$4:$M$90)</f>
        <v>18732.219999999998</v>
      </c>
      <c r="BA107" s="232">
        <f ca="1">SUMIF('SBR Jan12'!$D$4:$S$90,'Apr11-Mar12 Billed-RETAIL'!$C107,'SBR Jan12'!$N$4:$N$90)</f>
        <v>8376631.1199999992</v>
      </c>
      <c r="BB107" s="232">
        <f ca="1">SUMIF('SBR Jan12'!$D$4:$S$90,'Apr11-Mar12 Billed-RETAIL'!$C107,'SBR Jan12'!$O$4:$O$90)</f>
        <v>456659.39999999997</v>
      </c>
      <c r="BC107" s="232">
        <f ca="1">SUMIF('SBR Jan12'!$D$4:$S$90,'Apr11-Mar12 Billed-RETAIL'!$C107,'SBR Jan12'!$Q$4:$Q$90)</f>
        <v>0</v>
      </c>
      <c r="BD107" s="232">
        <f ca="1">SUMIF('SBR Jan12'!$D$4:$S$90,'Apr11-Mar12 Billed-RETAIL'!$C107,'SBR Jan12'!$K$4:$K$90)</f>
        <v>922839.8</v>
      </c>
      <c r="BE107" s="232">
        <f ca="1">SUMIF('SBR Jan12'!$D$4:$S$90,'Apr11-Mar12 Billed-RETAIL'!$C107,'SBR Jan12'!$L$4:$L$90)</f>
        <v>3039175.8999999994</v>
      </c>
      <c r="BF107" s="232"/>
    </row>
    <row r="108" spans="1:58" ht="15" x14ac:dyDescent="0.25">
      <c r="A108" s="196">
        <f t="shared" si="58"/>
        <v>103</v>
      </c>
      <c r="B108" s="211">
        <v>40909</v>
      </c>
      <c r="C108" s="211" t="str">
        <f>+'Retail Rates'!B14</f>
        <v>LGUMG860</v>
      </c>
      <c r="D108" s="197" t="str">
        <f t="shared" ref="D108:D115" si="88">MID(C108,6,3)</f>
        <v>860</v>
      </c>
      <c r="E108" s="197" t="str">
        <f>VLOOKUP(C108,'Retail Rates'!$B$7:$D$35,3,FALSE)</f>
        <v>CGS</v>
      </c>
      <c r="F108" s="222"/>
      <c r="G108" s="222">
        <f>SUMIFS(Adjustments!F$5:F$151,Adjustments!$B$5:$B$151,'Apr11-Mar12 Billed-RETAIL'!$B108,Adjustments!$C$5:$C$151,'Apr11-Mar12 Billed-RETAIL'!$C108)</f>
        <v>19</v>
      </c>
      <c r="H108" s="222">
        <f>SUMIFS(Adjustments!G$5:G$151,Adjustments!$B$5:$B$151,'Apr11-Mar12 Billed-RETAIL'!$B108,Adjustments!$C$5:$C$151,'Apr11-Mar12 Billed-RETAIL'!$C108)</f>
        <v>0</v>
      </c>
      <c r="I108" s="222">
        <f>SUMIFS('Data-Retail'!$H$4:$H$269,'Data-Retail'!$A$4:$A$269,'Apr11-Mar12 Billed-RETAIL'!$B108,'Data-Retail'!$D$4:$D$269,'Apr11-Mar12 Billed-RETAIL'!$C108)</f>
        <v>358</v>
      </c>
      <c r="J108" s="222">
        <f>SUMIFS('Data-Retail'!$I$4:$I$269,'Data-Retail'!$A$4:$A$269,'Apr11-Mar12 Billed-RETAIL'!$B108,'Data-Retail'!$D$4:$D$269,'Apr11-Mar12 Billed-RETAIL'!$C108)</f>
        <v>0</v>
      </c>
      <c r="K108" s="222"/>
      <c r="L108" s="223">
        <f>VLOOKUP($C108,'Retail Rates'!$B$7:$M$35,5,FALSE)</f>
        <v>30</v>
      </c>
      <c r="M108" s="223">
        <f>VLOOKUP($C108,'Retail Rates'!$B$7:$M$35,6,FALSE)</f>
        <v>170</v>
      </c>
      <c r="N108" s="224">
        <f>VLOOKUP($C108,'Retail Rates'!$B$7:$M$35,7,FALSE)</f>
        <v>0.18722</v>
      </c>
      <c r="O108" s="224">
        <f>VLOOKUP($C108,'Retail Rates'!$B$7:$M$35,8,FALSE)</f>
        <v>0.13722000000000001</v>
      </c>
      <c r="P108" s="224">
        <f>VLOOKUP($B108,'GSC-DSM Factors'!$A$1:$B$46,2,FALSE)</f>
        <v>0.51601999999999992</v>
      </c>
      <c r="Q108" s="223">
        <f>VLOOKUP($C108,'Retail Rates'!$B$7:$M$35,9,FALSE)</f>
        <v>0</v>
      </c>
      <c r="R108" s="224">
        <f>VLOOKUP($C108,'Retail Rates'!$B$7:$M$35,10,FALSE)</f>
        <v>0</v>
      </c>
      <c r="S108" s="223">
        <f>VLOOKUP($C108,'Retail Rates'!$B$7:$M$35,11,FALSE)</f>
        <v>0</v>
      </c>
      <c r="T108" s="223"/>
      <c r="U108" s="225">
        <f t="shared" si="83"/>
        <v>570</v>
      </c>
      <c r="V108" s="225"/>
      <c r="W108" s="225">
        <f>+H108*M108</f>
        <v>0</v>
      </c>
      <c r="X108" s="225">
        <f t="shared" si="84"/>
        <v>67.024760000000001</v>
      </c>
      <c r="Y108" s="225">
        <f t="shared" ref="Y108:Y132" si="89">+J108*O108</f>
        <v>0</v>
      </c>
      <c r="Z108" s="225">
        <f>SUM(I108:J108)*P108</f>
        <v>184.73515999999998</v>
      </c>
      <c r="AA108" s="225"/>
      <c r="AB108" s="225"/>
      <c r="AC108" s="225"/>
      <c r="AD108" s="225"/>
      <c r="AE108" s="244">
        <f>SUMIFS(Adjustments!H$5:H$684,Adjustments!$B$5:$B$684,'Apr11-Mar12 Billed-RETAIL'!$B108,Adjustments!$C$5:$C$684,'Apr11-Mar12 Billed-RETAIL'!$C108)</f>
        <v>0</v>
      </c>
      <c r="AF108" s="244">
        <f>SUMIFS(Adjustments!I$5:I$684,Adjustments!$B$5:$B$684,'Apr11-Mar12 Billed-RETAIL'!$B108,Adjustments!$C$5:$C$684,'Apr11-Mar12 Billed-RETAIL'!$C108)</f>
        <v>0</v>
      </c>
      <c r="AG108" s="238">
        <f>SUMIFS(Adjustments!J$5:J$684,Adjustments!$B$5:$B$684,'Apr11-Mar12 Billed-RETAIL'!$B108,Adjustments!$C$5:$C$684,'Apr11-Mar12 Billed-RETAIL'!$C108)</f>
        <v>0</v>
      </c>
      <c r="AH108" s="238">
        <f>SUMIFS(Adjustments!K$5:K$684,Adjustments!$B$5:$B$684,'Apr11-Mar12 Billed-RETAIL'!$B108,Adjustments!$C$5:$C$684,'Apr11-Mar12 Billed-RETAIL'!$C108)</f>
        <v>0</v>
      </c>
      <c r="AI108" s="238">
        <f>SUMIFS(Adjustments!L$5:L$684,Adjustments!$B$5:$B$684,'Apr11-Mar12 Billed-RETAIL'!$B108,Adjustments!$C$5:$C$684,'Apr11-Mar12 Billed-RETAIL'!$C108)</f>
        <v>0</v>
      </c>
      <c r="AJ108" s="238">
        <f>SUMIFS(Adjustments!M$5:M$684,Adjustments!$B$5:$B$684,'Apr11-Mar12 Billed-RETAIL'!$B108,Adjustments!$C$5:$C$684,'Apr11-Mar12 Billed-RETAIL'!$C108)</f>
        <v>0</v>
      </c>
      <c r="AK108" s="238">
        <f>SUMIFS(Adjustments!N$5:N$684,Adjustments!$B$5:$B$684,'Apr11-Mar12 Billed-RETAIL'!$B108,Adjustments!$C$5:$C$684,'Apr11-Mar12 Billed-RETAIL'!$C108)</f>
        <v>0</v>
      </c>
      <c r="AL108" s="238">
        <f>SUMIFS(Adjustments!O$5:O$684,Adjustments!$B$5:$B$684,'Apr11-Mar12 Billed-RETAIL'!$B108,Adjustments!$C$5:$C$684,'Apr11-Mar12 Billed-RETAIL'!$C108)</f>
        <v>0</v>
      </c>
      <c r="AM108" s="238">
        <f>SUMIFS(Adjustments!P$5:P$684,Adjustments!$B$5:$B$684,'Apr11-Mar12 Billed-RETAIL'!$B108,Adjustments!$C$5:$C$684,'Apr11-Mar12 Billed-RETAIL'!$C108)</f>
        <v>0</v>
      </c>
      <c r="AN108" s="225">
        <f t="shared" si="86"/>
        <v>570</v>
      </c>
      <c r="AO108" s="225">
        <f t="shared" si="79"/>
        <v>0</v>
      </c>
      <c r="AP108" s="225">
        <f t="shared" si="80"/>
        <v>67.024760000000001</v>
      </c>
      <c r="AQ108" s="225">
        <f t="shared" si="81"/>
        <v>0</v>
      </c>
      <c r="AR108" s="232">
        <f ca="1">SUMIF('SBR Jan12'!$D$4:$S$90,'Apr11-Mar12 Billed-RETAIL'!$C108,'SBR Jan12'!$N$4:$N$90)</f>
        <v>184.74</v>
      </c>
      <c r="AS108" s="232">
        <f ca="1">SUMIF('SBR Jan12'!$D$4:$S$90,'Apr11-Mar12 Billed-RETAIL'!$C108,'SBR Jan12'!$M$4:$M$90)</f>
        <v>0.41</v>
      </c>
      <c r="AT108" s="232">
        <f ca="1">SUMIF('SBR Jan12'!$D$4:$S$90,'Apr11-Mar12 Billed-RETAIL'!$C108,'SBR Jan12'!$O$4:$O$90)</f>
        <v>0</v>
      </c>
      <c r="AU108" s="225">
        <f t="shared" si="82"/>
        <v>0</v>
      </c>
      <c r="AV108" s="225"/>
      <c r="AW108" s="232">
        <f t="shared" ca="1" si="74"/>
        <v>822.17</v>
      </c>
      <c r="AX108" s="232">
        <f t="shared" ca="1" si="85"/>
        <v>822.17</v>
      </c>
      <c r="AY108" s="233">
        <f t="shared" ca="1" si="87"/>
        <v>1</v>
      </c>
      <c r="AZ108" s="232">
        <f ca="1">SUMIF('SBR Jan12'!$D$4:$S$90,'Apr11-Mar12 Billed-RETAIL'!$C108,'SBR Jan12'!$M$4:$M$90)</f>
        <v>0.41</v>
      </c>
      <c r="BA108" s="232">
        <f ca="1">SUMIF('SBR Jan12'!$D$4:$S$90,'Apr11-Mar12 Billed-RETAIL'!$C108,'SBR Jan12'!$N$4:$N$90)</f>
        <v>184.74</v>
      </c>
      <c r="BB108" s="232">
        <f ca="1">SUMIF('SBR Jan12'!$D$4:$S$90,'Apr11-Mar12 Billed-RETAIL'!$C108,'SBR Jan12'!$O$4:$O$90)</f>
        <v>0</v>
      </c>
      <c r="BC108" s="232">
        <f ca="1">SUMIF('SBR Jan12'!$D$4:$S$90,'Apr11-Mar12 Billed-RETAIL'!$C108,'SBR Jan12'!$Q$4:$Q$90)</f>
        <v>0</v>
      </c>
      <c r="BD108" s="232">
        <f ca="1">SUMIF('SBR Jan12'!$D$4:$S$90,'Apr11-Mar12 Billed-RETAIL'!$C108,'SBR Jan12'!$K$4:$K$90)</f>
        <v>570</v>
      </c>
      <c r="BE108" s="232">
        <f ca="1">SUMIF('SBR Jan12'!$D$4:$S$90,'Apr11-Mar12 Billed-RETAIL'!$C108,'SBR Jan12'!$L$4:$L$90)</f>
        <v>67.02</v>
      </c>
      <c r="BF108" s="232"/>
    </row>
    <row r="109" spans="1:58" ht="15" x14ac:dyDescent="0.25">
      <c r="A109" s="196">
        <f t="shared" si="58"/>
        <v>104</v>
      </c>
      <c r="B109" s="211">
        <v>40909</v>
      </c>
      <c r="C109" s="211" t="str">
        <f>+'Retail Rates'!B15</f>
        <v>LGUMG861</v>
      </c>
      <c r="D109" s="197" t="str">
        <f t="shared" si="88"/>
        <v>861</v>
      </c>
      <c r="E109" s="197" t="str">
        <f>VLOOKUP(C109,'Retail Rates'!$B$7:$D$35,3,FALSE)</f>
        <v>CGS</v>
      </c>
      <c r="F109" s="222"/>
      <c r="G109" s="222">
        <f>SUMIFS(Adjustments!F$5:F$151,Adjustments!$B$5:$B$151,'Apr11-Mar12 Billed-RETAIL'!$B109,Adjustments!$C$5:$C$151,'Apr11-Mar12 Billed-RETAIL'!$C109)</f>
        <v>624</v>
      </c>
      <c r="H109" s="222">
        <f>SUMIFS(Adjustments!G$5:G$151,Adjustments!$B$5:$B$151,'Apr11-Mar12 Billed-RETAIL'!$B109,Adjustments!$C$5:$C$151,'Apr11-Mar12 Billed-RETAIL'!$C109)</f>
        <v>0</v>
      </c>
      <c r="I109" s="222">
        <f>SUMIFS('Data-Retail'!$H$4:$H$269,'Data-Retail'!$A$4:$A$269,'Apr11-Mar12 Billed-RETAIL'!$B109,'Data-Retail'!$D$4:$D$269,'Apr11-Mar12 Billed-RETAIL'!$C109)</f>
        <v>615</v>
      </c>
      <c r="J109" s="222">
        <f>SUMIFS('Data-Retail'!$I$4:$I$269,'Data-Retail'!$A$4:$A$269,'Apr11-Mar12 Billed-RETAIL'!$B109,'Data-Retail'!$D$4:$D$269,'Apr11-Mar12 Billed-RETAIL'!$C109)</f>
        <v>0</v>
      </c>
      <c r="K109" s="222"/>
      <c r="L109" s="223">
        <f>VLOOKUP($C109,'Retail Rates'!$B$7:$M$35,5,FALSE)</f>
        <v>30</v>
      </c>
      <c r="M109" s="223">
        <f>VLOOKUP($C109,'Retail Rates'!$B$7:$M$35,6,FALSE)</f>
        <v>170</v>
      </c>
      <c r="N109" s="224">
        <f>VLOOKUP($C109,'Retail Rates'!$B$7:$M$35,7,FALSE)</f>
        <v>0.18722</v>
      </c>
      <c r="O109" s="224">
        <f>VLOOKUP($C109,'Retail Rates'!$B$7:$M$35,8,FALSE)</f>
        <v>0.13722000000000001</v>
      </c>
      <c r="P109" s="224">
        <f>VLOOKUP($B109,'GSC-DSM Factors'!$A$1:$B$46,2,FALSE)</f>
        <v>0.51601999999999992</v>
      </c>
      <c r="Q109" s="223">
        <f>VLOOKUP($C109,'Retail Rates'!$B$7:$M$35,9,FALSE)</f>
        <v>0</v>
      </c>
      <c r="R109" s="224">
        <f>VLOOKUP($C109,'Retail Rates'!$B$7:$M$35,10,FALSE)</f>
        <v>0</v>
      </c>
      <c r="S109" s="223">
        <f>VLOOKUP($C109,'Retail Rates'!$B$7:$M$35,11,FALSE)</f>
        <v>0</v>
      </c>
      <c r="T109" s="223"/>
      <c r="U109" s="225">
        <f t="shared" si="83"/>
        <v>18720</v>
      </c>
      <c r="V109" s="225"/>
      <c r="W109" s="225">
        <f>+H109*M109</f>
        <v>0</v>
      </c>
      <c r="X109" s="225">
        <f t="shared" si="84"/>
        <v>115.1403</v>
      </c>
      <c r="Y109" s="225">
        <f t="shared" si="89"/>
        <v>0</v>
      </c>
      <c r="Z109" s="225">
        <f>SUM(I109:J109)*P109</f>
        <v>317.35229999999996</v>
      </c>
      <c r="AA109" s="225"/>
      <c r="AB109" s="225"/>
      <c r="AC109" s="225"/>
      <c r="AD109" s="225"/>
      <c r="AE109" s="244">
        <f>SUMIFS(Adjustments!H$5:H$684,Adjustments!$B$5:$B$684,'Apr11-Mar12 Billed-RETAIL'!$B109,Adjustments!$C$5:$C$684,'Apr11-Mar12 Billed-RETAIL'!$C109)</f>
        <v>0</v>
      </c>
      <c r="AF109" s="244">
        <f>SUMIFS(Adjustments!I$5:I$684,Adjustments!$B$5:$B$684,'Apr11-Mar12 Billed-RETAIL'!$B109,Adjustments!$C$5:$C$684,'Apr11-Mar12 Billed-RETAIL'!$C109)</f>
        <v>0</v>
      </c>
      <c r="AG109" s="238">
        <f>SUMIFS(Adjustments!J$5:J$684,Adjustments!$B$5:$B$684,'Apr11-Mar12 Billed-RETAIL'!$B109,Adjustments!$C$5:$C$684,'Apr11-Mar12 Billed-RETAIL'!$C109)</f>
        <v>8</v>
      </c>
      <c r="AH109" s="238">
        <f>SUMIFS(Adjustments!K$5:K$684,Adjustments!$B$5:$B$684,'Apr11-Mar12 Billed-RETAIL'!$B109,Adjustments!$C$5:$C$684,'Apr11-Mar12 Billed-RETAIL'!$C109)</f>
        <v>0</v>
      </c>
      <c r="AI109" s="238">
        <f>SUMIFS(Adjustments!L$5:L$684,Adjustments!$B$5:$B$684,'Apr11-Mar12 Billed-RETAIL'!$B109,Adjustments!$C$5:$C$684,'Apr11-Mar12 Billed-RETAIL'!$C109)</f>
        <v>1.62</v>
      </c>
      <c r="AJ109" s="238">
        <f>SUMIFS(Adjustments!M$5:M$684,Adjustments!$B$5:$B$684,'Apr11-Mar12 Billed-RETAIL'!$B109,Adjustments!$C$5:$C$684,'Apr11-Mar12 Billed-RETAIL'!$C109)</f>
        <v>0</v>
      </c>
      <c r="AK109" s="238">
        <f>SUMIFS(Adjustments!N$5:N$684,Adjustments!$B$5:$B$684,'Apr11-Mar12 Billed-RETAIL'!$B109,Adjustments!$C$5:$C$684,'Apr11-Mar12 Billed-RETAIL'!$C109)</f>
        <v>0</v>
      </c>
      <c r="AL109" s="238">
        <f>SUMIFS(Adjustments!O$5:O$684,Adjustments!$B$5:$B$684,'Apr11-Mar12 Billed-RETAIL'!$B109,Adjustments!$C$5:$C$684,'Apr11-Mar12 Billed-RETAIL'!$C109)</f>
        <v>0</v>
      </c>
      <c r="AM109" s="238">
        <f>SUMIFS(Adjustments!P$5:P$684,Adjustments!$B$5:$B$684,'Apr11-Mar12 Billed-RETAIL'!$B109,Adjustments!$C$5:$C$684,'Apr11-Mar12 Billed-RETAIL'!$C109)</f>
        <v>0</v>
      </c>
      <c r="AN109" s="225">
        <f t="shared" si="86"/>
        <v>18728</v>
      </c>
      <c r="AO109" s="225">
        <f t="shared" si="79"/>
        <v>0</v>
      </c>
      <c r="AP109" s="225">
        <f t="shared" si="80"/>
        <v>116.7603</v>
      </c>
      <c r="AQ109" s="225">
        <f t="shared" si="81"/>
        <v>0</v>
      </c>
      <c r="AR109" s="232">
        <f ca="1">SUMIF('SBR Jan12'!$D$4:$S$90,'Apr11-Mar12 Billed-RETAIL'!$C109,'SBR Jan12'!$N$4:$N$90)</f>
        <v>319.70999999999998</v>
      </c>
      <c r="AS109" s="232">
        <f ca="1">SUMIF('SBR Jan12'!$D$4:$S$90,'Apr11-Mar12 Billed-RETAIL'!$C109,'SBR Jan12'!$M$4:$M$90)</f>
        <v>0</v>
      </c>
      <c r="AT109" s="232">
        <f ca="1">SUMIF('SBR Jan12'!$D$4:$S$90,'Apr11-Mar12 Billed-RETAIL'!$C109,'SBR Jan12'!$O$4:$O$90)</f>
        <v>0</v>
      </c>
      <c r="AU109" s="225">
        <f t="shared" si="82"/>
        <v>0</v>
      </c>
      <c r="AV109" s="225"/>
      <c r="AW109" s="232">
        <f t="shared" ca="1" si="74"/>
        <v>19164.47</v>
      </c>
      <c r="AX109" s="232">
        <f t="shared" ca="1" si="85"/>
        <v>19164.469999999998</v>
      </c>
      <c r="AY109" s="233">
        <f t="shared" ca="1" si="87"/>
        <v>1</v>
      </c>
      <c r="AZ109" s="232">
        <f ca="1">SUMIF('SBR Jan12'!$D$4:$S$90,'Apr11-Mar12 Billed-RETAIL'!$C109,'SBR Jan12'!$M$4:$M$90)</f>
        <v>0</v>
      </c>
      <c r="BA109" s="232">
        <f ca="1">SUMIF('SBR Jan12'!$D$4:$S$90,'Apr11-Mar12 Billed-RETAIL'!$C109,'SBR Jan12'!$N$4:$N$90)</f>
        <v>319.70999999999998</v>
      </c>
      <c r="BB109" s="232">
        <f ca="1">SUMIF('SBR Jan12'!$D$4:$S$90,'Apr11-Mar12 Billed-RETAIL'!$C109,'SBR Jan12'!$O$4:$O$90)</f>
        <v>0</v>
      </c>
      <c r="BC109" s="232">
        <f ca="1">SUMIF('SBR Jan12'!$D$4:$S$90,'Apr11-Mar12 Billed-RETAIL'!$C109,'SBR Jan12'!$Q$4:$Q$90)</f>
        <v>0</v>
      </c>
      <c r="BD109" s="232">
        <f ca="1">SUMIF('SBR Jan12'!$D$4:$S$90,'Apr11-Mar12 Billed-RETAIL'!$C109,'SBR Jan12'!$K$4:$K$90)</f>
        <v>18728</v>
      </c>
      <c r="BE109" s="232">
        <f ca="1">SUMIF('SBR Jan12'!$D$4:$S$90,'Apr11-Mar12 Billed-RETAIL'!$C109,'SBR Jan12'!$L$4:$L$90)</f>
        <v>116.76</v>
      </c>
      <c r="BF109" s="232"/>
    </row>
    <row r="110" spans="1:58" ht="15" customHeight="1" x14ac:dyDescent="0.25">
      <c r="A110" s="196">
        <f t="shared" si="58"/>
        <v>105</v>
      </c>
      <c r="B110" s="211">
        <v>40909</v>
      </c>
      <c r="C110" s="211" t="str">
        <f>+'Retail Rates'!B18</f>
        <v>LGCMG875</v>
      </c>
      <c r="D110" s="197" t="str">
        <f t="shared" si="88"/>
        <v>875</v>
      </c>
      <c r="E110" s="197" t="str">
        <f>VLOOKUP(C110,'Retail Rates'!$B$7:$D$35,3,FALSE)</f>
        <v>DGGS-C</v>
      </c>
      <c r="F110" s="222">
        <f>SUMIFS('Data-Retail'!$G$4:$G$269,'Data-Retail'!$A$4:$A$269,'Apr11-Mar12 Billed-RETAIL'!$B110,'Data-Retail'!$D$4:$D$269,'Apr11-Mar12 Billed-RETAIL'!$C110)</f>
        <v>0</v>
      </c>
      <c r="G110" s="222"/>
      <c r="H110" s="222"/>
      <c r="I110" s="222">
        <f>SUMIFS('Data-Retail'!$H$4:$H$269,'Data-Retail'!$A$4:$A$269,'Apr11-Mar12 Billed-RETAIL'!$B110,'Data-Retail'!$D$4:$D$269,'Apr11-Mar12 Billed-RETAIL'!$C110)</f>
        <v>0</v>
      </c>
      <c r="J110" s="222">
        <f>SUMIFS('Data-Retail'!$I$4:$I$269,'Data-Retail'!$A$4:$A$269,'Apr11-Mar12 Billed-RETAIL'!$B110,'Data-Retail'!$D$4:$D$269,'Apr11-Mar12 Billed-RETAIL'!$C110)</f>
        <v>0</v>
      </c>
      <c r="K110" s="222"/>
      <c r="L110" s="223">
        <f>VLOOKUP($C110,'Retail Rates'!$B$7:$M$35,5,FALSE)</f>
        <v>30</v>
      </c>
      <c r="M110" s="223">
        <f>VLOOKUP($C110,'Retail Rates'!$B$7:$M$35,6,FALSE)</f>
        <v>170</v>
      </c>
      <c r="N110" s="224">
        <f>VLOOKUP($C110,'Retail Rates'!$B$7:$M$35,7,FALSE)</f>
        <v>2.7439999999999999E-2</v>
      </c>
      <c r="O110" s="224">
        <f>VLOOKUP($C110,'Retail Rates'!$B$7:$M$35,8,FALSE)</f>
        <v>0</v>
      </c>
      <c r="P110" s="224">
        <f>VLOOKUP($B110,'GSC-DSM Factors'!$A$1:$B$46,2,FALSE)</f>
        <v>0.51601999999999992</v>
      </c>
      <c r="Q110" s="223">
        <f>VLOOKUP($C110,'Retail Rates'!$B$7:$M$35,9,FALSE)</f>
        <v>0</v>
      </c>
      <c r="R110" s="224">
        <f>VLOOKUP($C110,'Retail Rates'!$B$7:$M$35,10,FALSE)</f>
        <v>0</v>
      </c>
      <c r="S110" s="223">
        <f>VLOOKUP($C110,'Retail Rates'!$B$7:$M$35,11,FALSE)</f>
        <v>1.0109999999999999</v>
      </c>
      <c r="T110" s="223"/>
      <c r="U110" s="225">
        <f t="shared" si="83"/>
        <v>0</v>
      </c>
      <c r="V110" s="225"/>
      <c r="W110" s="225"/>
      <c r="X110" s="225">
        <f t="shared" si="84"/>
        <v>0</v>
      </c>
      <c r="Y110" s="225">
        <f t="shared" si="89"/>
        <v>0</v>
      </c>
      <c r="Z110" s="225">
        <f t="shared" ref="Z110:Z115" si="90">SUM(I110:J110)*P110</f>
        <v>0</v>
      </c>
      <c r="AA110" s="225"/>
      <c r="AB110" s="225"/>
      <c r="AC110" s="225"/>
      <c r="AD110" s="225"/>
      <c r="AE110" s="244">
        <f>SUMIFS(Adjustments!H$5:H$684,Adjustments!$B$5:$B$684,'Apr11-Mar12 Billed-RETAIL'!$B110,Adjustments!$C$5:$C$684,'Apr11-Mar12 Billed-RETAIL'!$C110)</f>
        <v>0</v>
      </c>
      <c r="AF110" s="244">
        <f>SUMIFS(Adjustments!I$5:I$684,Adjustments!$B$5:$B$684,'Apr11-Mar12 Billed-RETAIL'!$B110,Adjustments!$C$5:$C$684,'Apr11-Mar12 Billed-RETAIL'!$C110)</f>
        <v>0</v>
      </c>
      <c r="AG110" s="238">
        <f>SUMIFS(Adjustments!J$5:J$684,Adjustments!$B$5:$B$684,'Apr11-Mar12 Billed-RETAIL'!$B110,Adjustments!$C$5:$C$684,'Apr11-Mar12 Billed-RETAIL'!$C110)</f>
        <v>0</v>
      </c>
      <c r="AH110" s="238">
        <f>SUMIFS(Adjustments!K$5:K$684,Adjustments!$B$5:$B$684,'Apr11-Mar12 Billed-RETAIL'!$B110,Adjustments!$C$5:$C$684,'Apr11-Mar12 Billed-RETAIL'!$C110)</f>
        <v>0</v>
      </c>
      <c r="AI110" s="238">
        <f>SUMIFS(Adjustments!L$5:L$684,Adjustments!$B$5:$B$684,'Apr11-Mar12 Billed-RETAIL'!$B110,Adjustments!$C$5:$C$684,'Apr11-Mar12 Billed-RETAIL'!$C110)</f>
        <v>0</v>
      </c>
      <c r="AJ110" s="238">
        <f>SUMIFS(Adjustments!M$5:M$684,Adjustments!$B$5:$B$684,'Apr11-Mar12 Billed-RETAIL'!$B110,Adjustments!$C$5:$C$684,'Apr11-Mar12 Billed-RETAIL'!$C110)</f>
        <v>0</v>
      </c>
      <c r="AK110" s="238">
        <f>SUMIFS(Adjustments!N$5:N$684,Adjustments!$B$5:$B$684,'Apr11-Mar12 Billed-RETAIL'!$B110,Adjustments!$C$5:$C$684,'Apr11-Mar12 Billed-RETAIL'!$C110)</f>
        <v>0</v>
      </c>
      <c r="AL110" s="238">
        <f>SUMIFS(Adjustments!O$5:O$684,Adjustments!$B$5:$B$684,'Apr11-Mar12 Billed-RETAIL'!$B110,Adjustments!$C$5:$C$684,'Apr11-Mar12 Billed-RETAIL'!$C110)</f>
        <v>0</v>
      </c>
      <c r="AM110" s="238">
        <f>SUMIFS(Adjustments!P$5:P$684,Adjustments!$B$5:$B$684,'Apr11-Mar12 Billed-RETAIL'!$B110,Adjustments!$C$5:$C$684,'Apr11-Mar12 Billed-RETAIL'!$C110)</f>
        <v>0</v>
      </c>
      <c r="AN110" s="225">
        <f t="shared" si="86"/>
        <v>0</v>
      </c>
      <c r="AO110" s="225">
        <f t="shared" si="79"/>
        <v>0</v>
      </c>
      <c r="AP110" s="225">
        <f t="shared" si="80"/>
        <v>0</v>
      </c>
      <c r="AQ110" s="225">
        <f t="shared" si="81"/>
        <v>0</v>
      </c>
      <c r="AR110" s="232">
        <f ca="1">SUMIF('SBR Jan12'!$D$4:$S$90,'Apr11-Mar12 Billed-RETAIL'!$C110,'SBR Jan12'!$N$4:$N$90)</f>
        <v>0</v>
      </c>
      <c r="AS110" s="232">
        <f ca="1">SUMIF('SBR Jan12'!$D$4:$S$90,'Apr11-Mar12 Billed-RETAIL'!$C110,'SBR Jan12'!$M$4:$M$90)</f>
        <v>0</v>
      </c>
      <c r="AT110" s="232">
        <f ca="1">SUMIF('SBR Jan12'!$D$4:$S$90,'Apr11-Mar12 Billed-RETAIL'!$C110,'SBR Jan12'!$O$4:$O$90)</f>
        <v>0</v>
      </c>
      <c r="AU110" s="225">
        <f t="shared" si="82"/>
        <v>0</v>
      </c>
      <c r="AV110" s="225"/>
      <c r="AW110" s="232">
        <f t="shared" ref="AW110:AW131" ca="1" si="91">ROUND(SUM(AN110:AV110),2)</f>
        <v>0</v>
      </c>
      <c r="AX110" s="232">
        <f t="shared" ca="1" si="85"/>
        <v>0</v>
      </c>
      <c r="AY110" s="233">
        <v>1</v>
      </c>
      <c r="AZ110" s="232">
        <f ca="1">SUMIF('SBR Jan12'!$D$4:$S$90,'Apr11-Mar12 Billed-RETAIL'!$C110,'SBR Jan12'!$M$4:$M$90)</f>
        <v>0</v>
      </c>
      <c r="BA110" s="232">
        <f ca="1">SUMIF('SBR Jan12'!$D$4:$S$90,'Apr11-Mar12 Billed-RETAIL'!$C110,'SBR Jan12'!$N$4:$N$90)</f>
        <v>0</v>
      </c>
      <c r="BB110" s="232">
        <f ca="1">SUMIF('SBR Jan12'!$D$4:$S$90,'Apr11-Mar12 Billed-RETAIL'!$C110,'SBR Jan12'!$O$4:$O$90)</f>
        <v>0</v>
      </c>
      <c r="BC110" s="232">
        <f ca="1">SUMIF('SBR Jan12'!$D$4:$S$90,'Apr11-Mar12 Billed-RETAIL'!$C110,'SBR Jan12'!$Q$4:$Q$90)</f>
        <v>0</v>
      </c>
      <c r="BD110" s="232">
        <f ca="1">SUMIF('SBR Jan12'!$D$4:$S$90,'Apr11-Mar12 Billed-RETAIL'!$C110,'SBR Jan12'!$K$4:$K$90)</f>
        <v>0</v>
      </c>
      <c r="BE110" s="232">
        <f ca="1">SUMIF('SBR Jan12'!$D$4:$S$90,'Apr11-Mar12 Billed-RETAIL'!$C110,'SBR Jan12'!$L$4:$L$90)</f>
        <v>0</v>
      </c>
      <c r="BF110" s="232"/>
    </row>
    <row r="111" spans="1:58" ht="15" customHeight="1" x14ac:dyDescent="0.25">
      <c r="A111" s="196">
        <f t="shared" si="58"/>
        <v>106</v>
      </c>
      <c r="B111" s="211">
        <v>40909</v>
      </c>
      <c r="C111" s="211" t="str">
        <f>+'Retail Rates'!B23</f>
        <v>LGING855</v>
      </c>
      <c r="D111" s="197" t="str">
        <f t="shared" si="88"/>
        <v>855</v>
      </c>
      <c r="E111" s="197" t="str">
        <f>VLOOKUP(C111,'Retail Rates'!$B$7:$D$35,3,FALSE)</f>
        <v>IGS</v>
      </c>
      <c r="F111" s="222"/>
      <c r="G111" s="222">
        <f>SUMIFS(Adjustments!F$5:F$151,Adjustments!$B$5:$B$151,'Apr11-Mar12 Billed-RETAIL'!$B111,Adjustments!$C$5:$C$151,'Apr11-Mar12 Billed-RETAIL'!$C111)</f>
        <v>119</v>
      </c>
      <c r="H111" s="222">
        <f>SUMIFS(Adjustments!G$5:G$151,Adjustments!$B$5:$B$151,'Apr11-Mar12 Billed-RETAIL'!$B111,Adjustments!$C$5:$C$151,'Apr11-Mar12 Billed-RETAIL'!$C111)</f>
        <v>104</v>
      </c>
      <c r="I111" s="222">
        <f>SUMIFS('Data-Retail'!$H$4:$H$269,'Data-Retail'!$A$4:$A$269,'Apr11-Mar12 Billed-RETAIL'!$B111,'Data-Retail'!$D$4:$D$269,'Apr11-Mar12 Billed-RETAIL'!$C111)</f>
        <v>1108923</v>
      </c>
      <c r="J111" s="222">
        <f>SUMIFS('Data-Retail'!$I$4:$I$269,'Data-Retail'!$A$4:$A$269,'Apr11-Mar12 Billed-RETAIL'!$B111,'Data-Retail'!$D$4:$D$269,'Apr11-Mar12 Billed-RETAIL'!$C111)</f>
        <v>0</v>
      </c>
      <c r="K111" s="222"/>
      <c r="L111" s="223">
        <f>VLOOKUP($C111,'Retail Rates'!$B$7:$M$35,5,FALSE)</f>
        <v>30</v>
      </c>
      <c r="M111" s="223">
        <f>VLOOKUP($C111,'Retail Rates'!$B$7:$M$35,6,FALSE)</f>
        <v>170</v>
      </c>
      <c r="N111" s="224">
        <f>VLOOKUP($C111,'Retail Rates'!$B$7:$M$35,7,FALSE)</f>
        <v>0.19022</v>
      </c>
      <c r="O111" s="224">
        <f>VLOOKUP($C111,'Retail Rates'!$B$7:$M$35,8,FALSE)</f>
        <v>0.14022000000000001</v>
      </c>
      <c r="P111" s="224">
        <f>VLOOKUP($B111,'GSC-DSM Factors'!$A$1:$B$46,2,FALSE)</f>
        <v>0.51601999999999992</v>
      </c>
      <c r="Q111" s="223">
        <f>VLOOKUP($C111,'Retail Rates'!$B$7:$M$35,9,FALSE)</f>
        <v>0</v>
      </c>
      <c r="R111" s="224">
        <f>VLOOKUP($C111,'Retail Rates'!$B$7:$M$35,10,FALSE)</f>
        <v>0</v>
      </c>
      <c r="S111" s="223">
        <f>VLOOKUP($C111,'Retail Rates'!$B$7:$M$35,11,FALSE)</f>
        <v>0</v>
      </c>
      <c r="T111" s="223"/>
      <c r="U111" s="225">
        <f t="shared" si="83"/>
        <v>3570</v>
      </c>
      <c r="V111" s="225"/>
      <c r="W111" s="225">
        <f>+H111*M111</f>
        <v>17680</v>
      </c>
      <c r="X111" s="225">
        <f>+I111*N111</f>
        <v>210939.33306</v>
      </c>
      <c r="Y111" s="225">
        <f t="shared" si="89"/>
        <v>0</v>
      </c>
      <c r="Z111" s="225">
        <f t="shared" si="90"/>
        <v>572226.44645999989</v>
      </c>
      <c r="AA111" s="225"/>
      <c r="AB111" s="225"/>
      <c r="AC111" s="225"/>
      <c r="AD111" s="225"/>
      <c r="AE111" s="244">
        <f>SUMIFS(Adjustments!H$5:H$684,Adjustments!$B$5:$B$684,'Apr11-Mar12 Billed-RETAIL'!$B111,Adjustments!$C$5:$C$684,'Apr11-Mar12 Billed-RETAIL'!$C111)</f>
        <v>0</v>
      </c>
      <c r="AF111" s="244">
        <f>SUMIFS(Adjustments!I$5:I$684,Adjustments!$B$5:$B$684,'Apr11-Mar12 Billed-RETAIL'!$B111,Adjustments!$C$5:$C$684,'Apr11-Mar12 Billed-RETAIL'!$C111)</f>
        <v>0</v>
      </c>
      <c r="AG111" s="238">
        <f>SUMIFS(Adjustments!J$5:J$684,Adjustments!$B$5:$B$684,'Apr11-Mar12 Billed-RETAIL'!$B111,Adjustments!$C$5:$C$684,'Apr11-Mar12 Billed-RETAIL'!$C111)</f>
        <v>0</v>
      </c>
      <c r="AH111" s="238">
        <f>SUMIFS(Adjustments!K$5:K$684,Adjustments!$B$5:$B$684,'Apr11-Mar12 Billed-RETAIL'!$B111,Adjustments!$C$5:$C$684,'Apr11-Mar12 Billed-RETAIL'!$C111)</f>
        <v>-73.680000000000007</v>
      </c>
      <c r="AI111" s="238">
        <f>SUMIFS(Adjustments!L$5:L$684,Adjustments!$B$5:$B$684,'Apr11-Mar12 Billed-RETAIL'!$B111,Adjustments!$C$5:$C$684,'Apr11-Mar12 Billed-RETAIL'!$C111)</f>
        <v>0</v>
      </c>
      <c r="AJ111" s="238">
        <f>SUMIFS(Adjustments!M$5:M$684,Adjustments!$B$5:$B$684,'Apr11-Mar12 Billed-RETAIL'!$B111,Adjustments!$C$5:$C$684,'Apr11-Mar12 Billed-RETAIL'!$C111)</f>
        <v>0</v>
      </c>
      <c r="AK111" s="238">
        <f>SUMIFS(Adjustments!N$5:N$684,Adjustments!$B$5:$B$684,'Apr11-Mar12 Billed-RETAIL'!$B111,Adjustments!$C$5:$C$684,'Apr11-Mar12 Billed-RETAIL'!$C111)</f>
        <v>0</v>
      </c>
      <c r="AL111" s="238">
        <f>SUMIFS(Adjustments!O$5:O$684,Adjustments!$B$5:$B$684,'Apr11-Mar12 Billed-RETAIL'!$B111,Adjustments!$C$5:$C$684,'Apr11-Mar12 Billed-RETAIL'!$C111)</f>
        <v>0</v>
      </c>
      <c r="AM111" s="238">
        <f>SUMIFS(Adjustments!P$5:P$684,Adjustments!$B$5:$B$684,'Apr11-Mar12 Billed-RETAIL'!$B111,Adjustments!$C$5:$C$684,'Apr11-Mar12 Billed-RETAIL'!$C111)</f>
        <v>0</v>
      </c>
      <c r="AN111" s="225">
        <f t="shared" si="86"/>
        <v>3570</v>
      </c>
      <c r="AO111" s="225">
        <f t="shared" si="79"/>
        <v>17606.32</v>
      </c>
      <c r="AP111" s="225">
        <f t="shared" si="80"/>
        <v>210939.33306</v>
      </c>
      <c r="AQ111" s="225">
        <f t="shared" si="81"/>
        <v>0</v>
      </c>
      <c r="AR111" s="232">
        <f ca="1">SUMIF('SBR Jan12'!$D$4:$S$90,'Apr11-Mar12 Billed-RETAIL'!$C111,'SBR Jan12'!$N$4:$N$90)</f>
        <v>572226.41999999993</v>
      </c>
      <c r="AS111" s="232">
        <f ca="1">SUMIF('SBR Jan12'!$D$4:$S$90,'Apr11-Mar12 Billed-RETAIL'!$C111,'SBR Jan12'!$M$4:$M$90)</f>
        <v>0</v>
      </c>
      <c r="AT111" s="232">
        <f ca="1">SUMIF('SBR Jan12'!$D$4:$S$90,'Apr11-Mar12 Billed-RETAIL'!$C111,'SBR Jan12'!$O$4:$O$90)</f>
        <v>0</v>
      </c>
      <c r="AU111" s="225">
        <f t="shared" si="82"/>
        <v>0</v>
      </c>
      <c r="AV111" s="225"/>
      <c r="AW111" s="232">
        <f t="shared" ca="1" si="91"/>
        <v>804342.07</v>
      </c>
      <c r="AX111" s="232">
        <f t="shared" ca="1" si="85"/>
        <v>804342.07999999984</v>
      </c>
      <c r="AY111" s="233">
        <f t="shared" ca="1" si="87"/>
        <v>1</v>
      </c>
      <c r="AZ111" s="232">
        <f ca="1">SUMIF('SBR Jan12'!$D$4:$S$90,'Apr11-Mar12 Billed-RETAIL'!$C111,'SBR Jan12'!$M$4:$M$90)</f>
        <v>0</v>
      </c>
      <c r="BA111" s="232">
        <f ca="1">SUMIF('SBR Jan12'!$D$4:$S$90,'Apr11-Mar12 Billed-RETAIL'!$C111,'SBR Jan12'!$N$4:$N$90)</f>
        <v>572226.41999999993</v>
      </c>
      <c r="BB111" s="232">
        <f ca="1">SUMIF('SBR Jan12'!$D$4:$S$90,'Apr11-Mar12 Billed-RETAIL'!$C111,'SBR Jan12'!$O$4:$O$90)</f>
        <v>0</v>
      </c>
      <c r="BC111" s="232">
        <f ca="1">SUMIF('SBR Jan12'!$D$4:$S$90,'Apr11-Mar12 Billed-RETAIL'!$C111,'SBR Jan12'!$Q$4:$Q$90)</f>
        <v>0</v>
      </c>
      <c r="BD111" s="232">
        <f ca="1">SUMIF('SBR Jan12'!$D$4:$S$90,'Apr11-Mar12 Billed-RETAIL'!$C111,'SBR Jan12'!$K$4:$K$90)</f>
        <v>21176.32</v>
      </c>
      <c r="BE111" s="232">
        <f ca="1">SUMIF('SBR Jan12'!$D$4:$S$90,'Apr11-Mar12 Billed-RETAIL'!$C111,'SBR Jan12'!$L$4:$L$90)</f>
        <v>210939.34000000003</v>
      </c>
      <c r="BF111" s="232"/>
    </row>
    <row r="112" spans="1:58" ht="15" customHeight="1" x14ac:dyDescent="0.25">
      <c r="A112" s="196">
        <f t="shared" si="58"/>
        <v>107</v>
      </c>
      <c r="B112" s="211">
        <v>40909</v>
      </c>
      <c r="C112" s="211" t="str">
        <f>+'Retail Rates'!B26</f>
        <v>LGRSG811</v>
      </c>
      <c r="D112" s="197" t="str">
        <f t="shared" si="88"/>
        <v>811</v>
      </c>
      <c r="E112" s="197" t="str">
        <f>VLOOKUP(C112,'Retail Rates'!$B$7:$D$35,3,FALSE)</f>
        <v>RGS</v>
      </c>
      <c r="F112" s="222">
        <f>SUMIFS('Data-Retail'!$G$4:$G$269,'Data-Retail'!$A$4:$A$269,'Apr11-Mar12 Billed-RETAIL'!$B112,'Data-Retail'!$D$4:$D$269,'Apr11-Mar12 Billed-RETAIL'!$C112)</f>
        <v>292363</v>
      </c>
      <c r="G112" s="222"/>
      <c r="H112" s="222"/>
      <c r="I112" s="222">
        <f>SUMIFS('Data-Retail'!$H$4:$H$269,'Data-Retail'!$A$4:$A$269,'Apr11-Mar12 Billed-RETAIL'!$B112,'Data-Retail'!$D$4:$D$269,'Apr11-Mar12 Billed-RETAIL'!$C112)</f>
        <v>34461276</v>
      </c>
      <c r="J112" s="222">
        <f>SUMIFS('Data-Retail'!$I$4:$I$269,'Data-Retail'!$A$4:$A$269,'Apr11-Mar12 Billed-RETAIL'!$B112,'Data-Retail'!$D$4:$D$269,'Apr11-Mar12 Billed-RETAIL'!$C112)</f>
        <v>0</v>
      </c>
      <c r="K112" s="222"/>
      <c r="L112" s="223">
        <f>VLOOKUP($C112,'Retail Rates'!$B$7:$M$35,5,FALSE)</f>
        <v>12.5</v>
      </c>
      <c r="M112" s="223">
        <f>VLOOKUP($C112,'Retail Rates'!$B$7:$M$35,6,FALSE)</f>
        <v>0</v>
      </c>
      <c r="N112" s="224">
        <f>VLOOKUP($C112,'Retail Rates'!$B$7:$M$35,7,FALSE)</f>
        <v>0.22395999999999999</v>
      </c>
      <c r="O112" s="224">
        <f>VLOOKUP($C112,'Retail Rates'!$B$7:$M$35,8,FALSE)</f>
        <v>0</v>
      </c>
      <c r="P112" s="224">
        <f>VLOOKUP($B112,'GSC-DSM Factors'!$A$1:$B$46,2,FALSE)</f>
        <v>0.51601999999999992</v>
      </c>
      <c r="Q112" s="223">
        <f>VLOOKUP($C112,'Retail Rates'!$B$7:$M$35,9,FALSE)</f>
        <v>0</v>
      </c>
      <c r="R112" s="224">
        <f>VLOOKUP($C112,'Retail Rates'!$B$7:$M$35,10,FALSE)</f>
        <v>0</v>
      </c>
      <c r="S112" s="223">
        <f>VLOOKUP($C112,'Retail Rates'!$B$7:$M$35,11,FALSE)</f>
        <v>0</v>
      </c>
      <c r="T112" s="223"/>
      <c r="U112" s="225">
        <f t="shared" si="83"/>
        <v>3654537.5</v>
      </c>
      <c r="V112" s="225"/>
      <c r="W112" s="225"/>
      <c r="X112" s="225">
        <f>+I112*N112</f>
        <v>7717947.3729599994</v>
      </c>
      <c r="Y112" s="225">
        <f t="shared" si="89"/>
        <v>0</v>
      </c>
      <c r="Z112" s="225">
        <f t="shared" si="90"/>
        <v>17782707.641519997</v>
      </c>
      <c r="AA112" s="225"/>
      <c r="AB112" s="225"/>
      <c r="AC112" s="225"/>
      <c r="AD112" s="225"/>
      <c r="AE112" s="244">
        <f>SUMIFS(Adjustments!H$5:H$684,Adjustments!$B$5:$B$684,'Apr11-Mar12 Billed-RETAIL'!$B112,Adjustments!$C$5:$C$684,'Apr11-Mar12 Billed-RETAIL'!$C112)</f>
        <v>1438</v>
      </c>
      <c r="AF112" s="244">
        <f>SUMIFS(Adjustments!I$5:I$684,Adjustments!$B$5:$B$684,'Apr11-Mar12 Billed-RETAIL'!$B112,Adjustments!$C$5:$C$684,'Apr11-Mar12 Billed-RETAIL'!$C112)</f>
        <v>0</v>
      </c>
      <c r="AG112" s="238">
        <f>SUMIFS(Adjustments!J$5:J$684,Adjustments!$B$5:$B$684,'Apr11-Mar12 Billed-RETAIL'!$B112,Adjustments!$C$5:$C$684,'Apr11-Mar12 Billed-RETAIL'!$C112)</f>
        <v>7.5</v>
      </c>
      <c r="AH112" s="238">
        <f>SUMIFS(Adjustments!K$5:K$684,Adjustments!$B$5:$B$684,'Apr11-Mar12 Billed-RETAIL'!$B112,Adjustments!$C$5:$C$684,'Apr11-Mar12 Billed-RETAIL'!$C112)</f>
        <v>0</v>
      </c>
      <c r="AI112" s="238">
        <f>SUMIFS(Adjustments!L$5:L$684,Adjustments!$B$5:$B$684,'Apr11-Mar12 Billed-RETAIL'!$B112,Adjustments!$C$5:$C$684,'Apr11-Mar12 Billed-RETAIL'!$C112)</f>
        <v>-51.69</v>
      </c>
      <c r="AJ112" s="238">
        <f>SUMIFS(Adjustments!M$5:M$684,Adjustments!$B$5:$B$684,'Apr11-Mar12 Billed-RETAIL'!$B112,Adjustments!$C$5:$C$684,'Apr11-Mar12 Billed-RETAIL'!$C112)</f>
        <v>0</v>
      </c>
      <c r="AK112" s="238">
        <f>SUMIFS(Adjustments!N$5:N$684,Adjustments!$B$5:$B$684,'Apr11-Mar12 Billed-RETAIL'!$B112,Adjustments!$C$5:$C$684,'Apr11-Mar12 Billed-RETAIL'!$C112)</f>
        <v>0</v>
      </c>
      <c r="AL112" s="238">
        <f>SUMIFS(Adjustments!O$5:O$684,Adjustments!$B$5:$B$684,'Apr11-Mar12 Billed-RETAIL'!$B112,Adjustments!$C$5:$C$684,'Apr11-Mar12 Billed-RETAIL'!$C112)</f>
        <v>0</v>
      </c>
      <c r="AM112" s="238">
        <f>SUMIFS(Adjustments!P$5:P$684,Adjustments!$B$5:$B$684,'Apr11-Mar12 Billed-RETAIL'!$B112,Adjustments!$C$5:$C$684,'Apr11-Mar12 Billed-RETAIL'!$C112)</f>
        <v>0</v>
      </c>
      <c r="AN112" s="225">
        <f t="shared" si="86"/>
        <v>3672520</v>
      </c>
      <c r="AO112" s="225">
        <f t="shared" si="79"/>
        <v>0</v>
      </c>
      <c r="AP112" s="225">
        <f t="shared" si="80"/>
        <v>7717895.682959999</v>
      </c>
      <c r="AQ112" s="225">
        <f t="shared" si="81"/>
        <v>0</v>
      </c>
      <c r="AR112" s="232">
        <f ca="1">SUMIF('SBR Jan12'!$D$4:$S$90,'Apr11-Mar12 Billed-RETAIL'!$C112,'SBR Jan12'!$N$4:$N$90)</f>
        <v>17783561.850000001</v>
      </c>
      <c r="AS112" s="232">
        <f ca="1">SUMIF('SBR Jan12'!$D$4:$S$90,'Apr11-Mar12 Billed-RETAIL'!$C112,'SBR Jan12'!$M$4:$M$90)</f>
        <v>883037.92999999993</v>
      </c>
      <c r="AT112" s="232">
        <f ca="1">SUMIF('SBR Jan12'!$D$4:$S$90,'Apr11-Mar12 Billed-RETAIL'!$C112,'SBR Jan12'!$O$4:$O$90)</f>
        <v>1278906.7799999998</v>
      </c>
      <c r="AU112" s="225">
        <f t="shared" si="82"/>
        <v>0</v>
      </c>
      <c r="AV112" s="225"/>
      <c r="AW112" s="232">
        <f t="shared" ca="1" si="91"/>
        <v>31335922.239999998</v>
      </c>
      <c r="AX112" s="232">
        <f t="shared" ca="1" si="85"/>
        <v>31335922.240000002</v>
      </c>
      <c r="AY112" s="233">
        <f t="shared" ca="1" si="87"/>
        <v>1</v>
      </c>
      <c r="AZ112" s="232">
        <f ca="1">SUMIF('SBR Jan12'!$D$4:$S$90,'Apr11-Mar12 Billed-RETAIL'!$C112,'SBR Jan12'!$M$4:$M$90)</f>
        <v>883037.92999999993</v>
      </c>
      <c r="BA112" s="232">
        <f ca="1">SUMIF('SBR Jan12'!$D$4:$S$90,'Apr11-Mar12 Billed-RETAIL'!$C112,'SBR Jan12'!$N$4:$N$90)</f>
        <v>17783561.850000001</v>
      </c>
      <c r="BB112" s="232">
        <f ca="1">SUMIF('SBR Jan12'!$D$4:$S$90,'Apr11-Mar12 Billed-RETAIL'!$C112,'SBR Jan12'!$O$4:$O$90)</f>
        <v>1278906.7799999998</v>
      </c>
      <c r="BC112" s="232">
        <f ca="1">SUMIF('SBR Jan12'!$D$4:$S$90,'Apr11-Mar12 Billed-RETAIL'!$C112,'SBR Jan12'!$Q$4:$Q$90)</f>
        <v>47201.74</v>
      </c>
      <c r="BD112" s="232">
        <f ca="1">SUMIF('SBR Jan12'!$D$4:$S$90,'Apr11-Mar12 Billed-RETAIL'!$C112,'SBR Jan12'!$K$4:$K$90)</f>
        <v>3672520</v>
      </c>
      <c r="BE112" s="232">
        <f ca="1">SUMIF('SBR Jan12'!$D$4:$S$90,'Apr11-Mar12 Billed-RETAIL'!$C112,'SBR Jan12'!$L$4:$L$90)</f>
        <v>7717895.6799999997</v>
      </c>
      <c r="BF112" s="232"/>
    </row>
    <row r="113" spans="1:58" ht="15" customHeight="1" x14ac:dyDescent="0.25">
      <c r="A113" s="196">
        <f t="shared" si="58"/>
        <v>108</v>
      </c>
      <c r="B113" s="211">
        <v>40909</v>
      </c>
      <c r="C113" s="211" t="str">
        <f>+'Retail Rates'!B27</f>
        <v>LGRSG811S1</v>
      </c>
      <c r="D113" s="197" t="str">
        <f t="shared" si="88"/>
        <v>811</v>
      </c>
      <c r="E113" s="197" t="str">
        <f>VLOOKUP(C113,'Retail Rates'!$B$7:$D$35,3,FALSE)</f>
        <v>RGS</v>
      </c>
      <c r="F113" s="222">
        <f>SUMIFS('Data-Retail'!$G$4:$G$269,'Data-Retail'!$A$4:$A$269,'Apr11-Mar12 Billed-RETAIL'!$B113,'Data-Retail'!$D$4:$D$269,'Apr11-Mar12 Billed-RETAIL'!$C113)</f>
        <v>1</v>
      </c>
      <c r="G113" s="222"/>
      <c r="H113" s="222"/>
      <c r="I113" s="222">
        <f>SUMIFS('Data-Retail'!$H$4:$H$269,'Data-Retail'!$A$4:$A$269,'Apr11-Mar12 Billed-RETAIL'!$B113,'Data-Retail'!$D$4:$D$269,'Apr11-Mar12 Billed-RETAIL'!$C113)</f>
        <v>3504</v>
      </c>
      <c r="J113" s="222">
        <f>SUMIFS('Data-Retail'!$I$4:$I$269,'Data-Retail'!$A$4:$A$269,'Apr11-Mar12 Billed-RETAIL'!$B113,'Data-Retail'!$D$4:$D$269,'Apr11-Mar12 Billed-RETAIL'!$C113)</f>
        <v>0</v>
      </c>
      <c r="K113" s="222"/>
      <c r="L113" s="223">
        <f>VLOOKUP($C113,'Retail Rates'!$B$7:$M$35,5,FALSE)</f>
        <v>12.5</v>
      </c>
      <c r="M113" s="223">
        <f>VLOOKUP($C113,'Retail Rates'!$B$7:$M$35,6,FALSE)</f>
        <v>0</v>
      </c>
      <c r="N113" s="224">
        <f>VLOOKUP($C113,'Retail Rates'!$B$7:$M$35,7,FALSE)</f>
        <v>0.22395999999999999</v>
      </c>
      <c r="O113" s="224">
        <f>VLOOKUP($C113,'Retail Rates'!$B$7:$M$35,8,FALSE)</f>
        <v>0</v>
      </c>
      <c r="P113" s="224">
        <f>VLOOKUP($B113,'GSC-DSM Factors'!$A$1:$B$46,2,FALSE)</f>
        <v>0.51601999999999992</v>
      </c>
      <c r="Q113" s="223">
        <f>VLOOKUP($C113,'Retail Rates'!$B$7:$M$35,9,FALSE)</f>
        <v>0</v>
      </c>
      <c r="R113" s="224">
        <f>VLOOKUP($C113,'Retail Rates'!$B$7:$M$35,10,FALSE)</f>
        <v>0</v>
      </c>
      <c r="S113" s="223">
        <f>VLOOKUP($C113,'Retail Rates'!$B$7:$M$35,11,FALSE)</f>
        <v>0</v>
      </c>
      <c r="T113" s="223"/>
      <c r="U113" s="225">
        <f t="shared" si="83"/>
        <v>12.5</v>
      </c>
      <c r="V113" s="225"/>
      <c r="W113" s="225"/>
      <c r="X113" s="225">
        <f>+I113*N113</f>
        <v>784.75583999999992</v>
      </c>
      <c r="Y113" s="225">
        <f t="shared" si="89"/>
        <v>0</v>
      </c>
      <c r="Z113" s="225">
        <f t="shared" si="90"/>
        <v>1808.1340799999998</v>
      </c>
      <c r="AA113" s="225"/>
      <c r="AB113" s="225"/>
      <c r="AC113" s="225"/>
      <c r="AD113" s="225"/>
      <c r="AE113" s="244">
        <f>SUMIFS(Adjustments!H$5:H$684,Adjustments!$B$5:$B$684,'Apr11-Mar12 Billed-RETAIL'!$B113,Adjustments!$C$5:$C$684,'Apr11-Mar12 Billed-RETAIL'!$C113)</f>
        <v>0</v>
      </c>
      <c r="AF113" s="244">
        <f>SUMIFS(Adjustments!I$5:I$684,Adjustments!$B$5:$B$684,'Apr11-Mar12 Billed-RETAIL'!$B113,Adjustments!$C$5:$C$684,'Apr11-Mar12 Billed-RETAIL'!$C113)</f>
        <v>0</v>
      </c>
      <c r="AG113" s="238">
        <f>SUMIFS(Adjustments!J$5:J$684,Adjustments!$B$5:$B$684,'Apr11-Mar12 Billed-RETAIL'!$B113,Adjustments!$C$5:$C$684,'Apr11-Mar12 Billed-RETAIL'!$C113)</f>
        <v>-12</v>
      </c>
      <c r="AH113" s="238">
        <f>SUMIFS(Adjustments!K$5:K$684,Adjustments!$B$5:$B$684,'Apr11-Mar12 Billed-RETAIL'!$B113,Adjustments!$C$5:$C$684,'Apr11-Mar12 Billed-RETAIL'!$C113)</f>
        <v>0</v>
      </c>
      <c r="AI113" s="238">
        <f>SUMIFS(Adjustments!L$5:L$684,Adjustments!$B$5:$B$684,'Apr11-Mar12 Billed-RETAIL'!$B113,Adjustments!$C$5:$C$684,'Apr11-Mar12 Billed-RETAIL'!$C113)</f>
        <v>-942.86</v>
      </c>
      <c r="AJ113" s="238">
        <f>SUMIFS(Adjustments!M$5:M$684,Adjustments!$B$5:$B$684,'Apr11-Mar12 Billed-RETAIL'!$B113,Adjustments!$C$5:$C$684,'Apr11-Mar12 Billed-RETAIL'!$C113)</f>
        <v>0</v>
      </c>
      <c r="AK113" s="238">
        <f>SUMIFS(Adjustments!N$5:N$684,Adjustments!$B$5:$B$684,'Apr11-Mar12 Billed-RETAIL'!$B113,Adjustments!$C$5:$C$684,'Apr11-Mar12 Billed-RETAIL'!$C113)</f>
        <v>0</v>
      </c>
      <c r="AL113" s="238">
        <f>SUMIFS(Adjustments!O$5:O$684,Adjustments!$B$5:$B$684,'Apr11-Mar12 Billed-RETAIL'!$B113,Adjustments!$C$5:$C$684,'Apr11-Mar12 Billed-RETAIL'!$C113)</f>
        <v>0</v>
      </c>
      <c r="AM113" s="238">
        <f>SUMIFS(Adjustments!P$5:P$684,Adjustments!$B$5:$B$684,'Apr11-Mar12 Billed-RETAIL'!$B113,Adjustments!$C$5:$C$684,'Apr11-Mar12 Billed-RETAIL'!$C113)</f>
        <v>0</v>
      </c>
      <c r="AN113" s="225">
        <f t="shared" si="86"/>
        <v>0.5</v>
      </c>
      <c r="AO113" s="225">
        <f t="shared" si="79"/>
        <v>0</v>
      </c>
      <c r="AP113" s="225">
        <f t="shared" si="80"/>
        <v>-158.10416000000009</v>
      </c>
      <c r="AQ113" s="225">
        <f t="shared" si="81"/>
        <v>0</v>
      </c>
      <c r="AR113" s="232">
        <f ca="1">SUMIF('SBR Jan12'!$D$4:$S$90,'Apr11-Mar12 Billed-RETAIL'!$C113,'SBR Jan12'!$N$4:$N$90)</f>
        <v>1808.13</v>
      </c>
      <c r="AS113" s="232">
        <f ca="1">SUMIF('SBR Jan12'!$D$4:$S$90,'Apr11-Mar12 Billed-RETAIL'!$C113,'SBR Jan12'!$M$4:$M$90)</f>
        <v>0</v>
      </c>
      <c r="AT113" s="232">
        <f ca="1">SUMIF('SBR Jan12'!$D$4:$S$90,'Apr11-Mar12 Billed-RETAIL'!$C113,'SBR Jan12'!$O$4:$O$90)</f>
        <v>0</v>
      </c>
      <c r="AU113" s="225">
        <f t="shared" si="82"/>
        <v>0</v>
      </c>
      <c r="AV113" s="225"/>
      <c r="AW113" s="232">
        <f t="shared" ca="1" si="91"/>
        <v>1650.53</v>
      </c>
      <c r="AX113" s="232">
        <f t="shared" ca="1" si="85"/>
        <v>1650.5300000000002</v>
      </c>
      <c r="AY113" s="233">
        <f t="shared" ca="1" si="87"/>
        <v>1</v>
      </c>
      <c r="AZ113" s="232">
        <f ca="1">SUMIF('SBR Jan12'!$D$4:$S$90,'Apr11-Mar12 Billed-RETAIL'!$C113,'SBR Jan12'!$M$4:$M$90)</f>
        <v>0</v>
      </c>
      <c r="BA113" s="232">
        <f ca="1">SUMIF('SBR Jan12'!$D$4:$S$90,'Apr11-Mar12 Billed-RETAIL'!$C113,'SBR Jan12'!$N$4:$N$90)</f>
        <v>1808.13</v>
      </c>
      <c r="BB113" s="232">
        <f ca="1">SUMIF('SBR Jan12'!$D$4:$S$90,'Apr11-Mar12 Billed-RETAIL'!$C113,'SBR Jan12'!$O$4:$O$90)</f>
        <v>0</v>
      </c>
      <c r="BC113" s="232">
        <f ca="1">SUMIF('SBR Jan12'!$D$4:$S$90,'Apr11-Mar12 Billed-RETAIL'!$C113,'SBR Jan12'!$Q$4:$Q$90)</f>
        <v>0</v>
      </c>
      <c r="BD113" s="232">
        <f ca="1">SUMIF('SBR Jan12'!$D$4:$S$90,'Apr11-Mar12 Billed-RETAIL'!$C113,'SBR Jan12'!$K$4:$K$90)</f>
        <v>0.5</v>
      </c>
      <c r="BE113" s="232">
        <f ca="1">SUMIF('SBR Jan12'!$D$4:$S$90,'Apr11-Mar12 Billed-RETAIL'!$C113,'SBR Jan12'!$L$4:$L$90)</f>
        <v>-158.1</v>
      </c>
      <c r="BF113" s="232"/>
    </row>
    <row r="114" spans="1:58" ht="15" customHeight="1" x14ac:dyDescent="0.25">
      <c r="A114" s="196">
        <f t="shared" si="58"/>
        <v>109</v>
      </c>
      <c r="B114" s="211">
        <v>40909</v>
      </c>
      <c r="C114" s="211" t="str">
        <f>+'Retail Rates'!B28</f>
        <v>LGRSG840</v>
      </c>
      <c r="D114" s="197" t="str">
        <f t="shared" si="88"/>
        <v>840</v>
      </c>
      <c r="E114" s="197" t="str">
        <f>VLOOKUP(C114,'Retail Rates'!$B$7:$D$35,3,FALSE)</f>
        <v>RGS</v>
      </c>
      <c r="F114" s="222">
        <f>SUMIFS('Data-Retail'!$G$4:$G$269,'Data-Retail'!$A$4:$A$269,'Apr11-Mar12 Billed-RETAIL'!$B114,'Data-Retail'!$D$4:$D$269,'Apr11-Mar12 Billed-RETAIL'!$C114)</f>
        <v>4</v>
      </c>
      <c r="G114" s="222"/>
      <c r="H114" s="222"/>
      <c r="I114" s="222">
        <f>SUMIFS('Data-Retail'!$H$4:$H$269,'Data-Retail'!$A$4:$A$269,'Apr11-Mar12 Billed-RETAIL'!$B114,'Data-Retail'!$D$4:$D$269,'Apr11-Mar12 Billed-RETAIL'!$C114)</f>
        <v>2824</v>
      </c>
      <c r="J114" s="222">
        <f>SUMIFS('Data-Retail'!$I$4:$I$269,'Data-Retail'!$A$4:$A$269,'Apr11-Mar12 Billed-RETAIL'!$B114,'Data-Retail'!$D$4:$D$269,'Apr11-Mar12 Billed-RETAIL'!$C114)</f>
        <v>0</v>
      </c>
      <c r="K114" s="222"/>
      <c r="L114" s="223">
        <f>VLOOKUP($C114,'Retail Rates'!$B$7:$M$35,5,FALSE)</f>
        <v>12.5</v>
      </c>
      <c r="M114" s="223">
        <f>VLOOKUP($C114,'Retail Rates'!$B$7:$M$35,6,FALSE)</f>
        <v>0</v>
      </c>
      <c r="N114" s="224">
        <f>VLOOKUP($C114,'Retail Rates'!$B$7:$M$35,7,FALSE)</f>
        <v>0.22395999999999999</v>
      </c>
      <c r="O114" s="224">
        <f>VLOOKUP($C114,'Retail Rates'!$B$7:$M$35,8,FALSE)</f>
        <v>0</v>
      </c>
      <c r="P114" s="224">
        <f>VLOOKUP($B114,'GSC-DSM Factors'!$A$1:$B$46,2,FALSE)</f>
        <v>0.51601999999999992</v>
      </c>
      <c r="Q114" s="223">
        <f>VLOOKUP($C114,'Retail Rates'!$B$7:$M$35,9,FALSE)</f>
        <v>0</v>
      </c>
      <c r="R114" s="224">
        <f>VLOOKUP($C114,'Retail Rates'!$B$7:$M$35,10,FALSE)</f>
        <v>0</v>
      </c>
      <c r="S114" s="223">
        <f>VLOOKUP($C114,'Retail Rates'!$B$7:$M$35,11,FALSE)</f>
        <v>0</v>
      </c>
      <c r="T114" s="223"/>
      <c r="U114" s="225">
        <f t="shared" si="83"/>
        <v>50</v>
      </c>
      <c r="V114" s="225"/>
      <c r="W114" s="225"/>
      <c r="X114" s="225">
        <f>+I114*N114</f>
        <v>632.46303999999998</v>
      </c>
      <c r="Y114" s="225">
        <f t="shared" si="89"/>
        <v>0</v>
      </c>
      <c r="Z114" s="225">
        <f t="shared" si="90"/>
        <v>1457.2404799999997</v>
      </c>
      <c r="AA114" s="225"/>
      <c r="AB114" s="225"/>
      <c r="AC114" s="225"/>
      <c r="AD114" s="225"/>
      <c r="AE114" s="244">
        <f>SUMIFS(Adjustments!H$5:H$684,Adjustments!$B$5:$B$684,'Apr11-Mar12 Billed-RETAIL'!$B114,Adjustments!$C$5:$C$684,'Apr11-Mar12 Billed-RETAIL'!$C114)</f>
        <v>0</v>
      </c>
      <c r="AF114" s="244">
        <f>SUMIFS(Adjustments!I$5:I$684,Adjustments!$B$5:$B$684,'Apr11-Mar12 Billed-RETAIL'!$B114,Adjustments!$C$5:$C$684,'Apr11-Mar12 Billed-RETAIL'!$C114)</f>
        <v>0</v>
      </c>
      <c r="AG114" s="238">
        <f>SUMIFS(Adjustments!J$5:J$684,Adjustments!$B$5:$B$684,'Apr11-Mar12 Billed-RETAIL'!$B114,Adjustments!$C$5:$C$684,'Apr11-Mar12 Billed-RETAIL'!$C114)</f>
        <v>0</v>
      </c>
      <c r="AH114" s="238">
        <f>SUMIFS(Adjustments!K$5:K$684,Adjustments!$B$5:$B$684,'Apr11-Mar12 Billed-RETAIL'!$B114,Adjustments!$C$5:$C$684,'Apr11-Mar12 Billed-RETAIL'!$C114)</f>
        <v>0</v>
      </c>
      <c r="AI114" s="238">
        <f>SUMIFS(Adjustments!L$5:L$684,Adjustments!$B$5:$B$684,'Apr11-Mar12 Billed-RETAIL'!$B114,Adjustments!$C$5:$C$684,'Apr11-Mar12 Billed-RETAIL'!$C114)</f>
        <v>0</v>
      </c>
      <c r="AJ114" s="238">
        <f>SUMIFS(Adjustments!M$5:M$684,Adjustments!$B$5:$B$684,'Apr11-Mar12 Billed-RETAIL'!$B114,Adjustments!$C$5:$C$684,'Apr11-Mar12 Billed-RETAIL'!$C114)</f>
        <v>0</v>
      </c>
      <c r="AK114" s="238">
        <f>SUMIFS(Adjustments!N$5:N$684,Adjustments!$B$5:$B$684,'Apr11-Mar12 Billed-RETAIL'!$B114,Adjustments!$C$5:$C$684,'Apr11-Mar12 Billed-RETAIL'!$C114)</f>
        <v>0</v>
      </c>
      <c r="AL114" s="238">
        <f>SUMIFS(Adjustments!O$5:O$684,Adjustments!$B$5:$B$684,'Apr11-Mar12 Billed-RETAIL'!$B114,Adjustments!$C$5:$C$684,'Apr11-Mar12 Billed-RETAIL'!$C114)</f>
        <v>0</v>
      </c>
      <c r="AM114" s="238">
        <f>SUMIFS(Adjustments!P$5:P$684,Adjustments!$B$5:$B$684,'Apr11-Mar12 Billed-RETAIL'!$B114,Adjustments!$C$5:$C$684,'Apr11-Mar12 Billed-RETAIL'!$C114)</f>
        <v>0</v>
      </c>
      <c r="AN114" s="225">
        <f t="shared" si="86"/>
        <v>50</v>
      </c>
      <c r="AO114" s="225">
        <f t="shared" si="79"/>
        <v>0</v>
      </c>
      <c r="AP114" s="225">
        <f t="shared" si="80"/>
        <v>632.46303999999998</v>
      </c>
      <c r="AQ114" s="225">
        <f t="shared" si="81"/>
        <v>0</v>
      </c>
      <c r="AR114" s="232">
        <f ca="1">SUMIF('SBR Jan12'!$D$4:$S$90,'Apr11-Mar12 Billed-RETAIL'!$C114,'SBR Jan12'!$N$4:$N$90)</f>
        <v>1457.23</v>
      </c>
      <c r="AS114" s="232">
        <f ca="1">SUMIF('SBR Jan12'!$D$4:$S$90,'Apr11-Mar12 Billed-RETAIL'!$C114,'SBR Jan12'!$M$4:$M$90)</f>
        <v>72.47</v>
      </c>
      <c r="AT114" s="232">
        <f ca="1">SUMIF('SBR Jan12'!$D$4:$S$90,'Apr11-Mar12 Billed-RETAIL'!$C114,'SBR Jan12'!$O$4:$O$90)</f>
        <v>108.06</v>
      </c>
      <c r="AU114" s="225">
        <f t="shared" si="82"/>
        <v>0</v>
      </c>
      <c r="AV114" s="225"/>
      <c r="AW114" s="232">
        <f t="shared" ca="1" si="91"/>
        <v>2320.2199999999998</v>
      </c>
      <c r="AX114" s="232">
        <f t="shared" ca="1" si="85"/>
        <v>2320.2200000000003</v>
      </c>
      <c r="AY114" s="233">
        <f t="shared" ca="1" si="87"/>
        <v>1</v>
      </c>
      <c r="AZ114" s="232">
        <f ca="1">SUMIF('SBR Jan12'!$D$4:$S$90,'Apr11-Mar12 Billed-RETAIL'!$C114,'SBR Jan12'!$M$4:$M$90)</f>
        <v>72.47</v>
      </c>
      <c r="BA114" s="232">
        <f ca="1">SUMIF('SBR Jan12'!$D$4:$S$90,'Apr11-Mar12 Billed-RETAIL'!$C114,'SBR Jan12'!$N$4:$N$90)</f>
        <v>1457.23</v>
      </c>
      <c r="BB114" s="232">
        <f ca="1">SUMIF('SBR Jan12'!$D$4:$S$90,'Apr11-Mar12 Billed-RETAIL'!$C114,'SBR Jan12'!$O$4:$O$90)</f>
        <v>108.06</v>
      </c>
      <c r="BC114" s="232">
        <f ca="1">SUMIF('SBR Jan12'!$D$4:$S$90,'Apr11-Mar12 Billed-RETAIL'!$C114,'SBR Jan12'!$Q$4:$Q$90)</f>
        <v>0</v>
      </c>
      <c r="BD114" s="232">
        <f ca="1">SUMIF('SBR Jan12'!$D$4:$S$90,'Apr11-Mar12 Billed-RETAIL'!$C114,'SBR Jan12'!$K$4:$K$90)</f>
        <v>50</v>
      </c>
      <c r="BE114" s="232">
        <f ca="1">SUMIF('SBR Jan12'!$D$4:$S$90,'Apr11-Mar12 Billed-RETAIL'!$C114,'SBR Jan12'!$L$4:$L$90)</f>
        <v>632.46</v>
      </c>
      <c r="BF114" s="232"/>
    </row>
    <row r="115" spans="1:58" ht="15" customHeight="1" x14ac:dyDescent="0.25">
      <c r="A115" s="196">
        <f t="shared" si="58"/>
        <v>110</v>
      </c>
      <c r="B115" s="211">
        <v>40909</v>
      </c>
      <c r="C115" s="211" t="str">
        <f>+'Retail Rates'!B29</f>
        <v>LGUMG830</v>
      </c>
      <c r="D115" s="197" t="str">
        <f t="shared" si="88"/>
        <v>830</v>
      </c>
      <c r="E115" s="197" t="str">
        <f>VLOOKUP(C115,'Retail Rates'!$B$7:$D$35,3,FALSE)</f>
        <v>RGS</v>
      </c>
      <c r="F115" s="222">
        <f>SUMIFS('Data-Retail'!$G$4:$G$269,'Data-Retail'!$A$4:$A$269,'Apr11-Mar12 Billed-RETAIL'!$B115,'Data-Retail'!$D$4:$D$269,'Apr11-Mar12 Billed-RETAIL'!$C115)</f>
        <v>1</v>
      </c>
      <c r="G115" s="222"/>
      <c r="H115" s="222"/>
      <c r="I115" s="222">
        <f>SUMIFS('Data-Retail'!$H$4:$H$269,'Data-Retail'!$A$4:$A$269,'Apr11-Mar12 Billed-RETAIL'!$B115,'Data-Retail'!$D$4:$D$269,'Apr11-Mar12 Billed-RETAIL'!$C115)</f>
        <v>32</v>
      </c>
      <c r="J115" s="222">
        <f>SUMIFS('Data-Retail'!$I$4:$I$269,'Data-Retail'!$A$4:$A$269,'Apr11-Mar12 Billed-RETAIL'!$B115,'Data-Retail'!$D$4:$D$269,'Apr11-Mar12 Billed-RETAIL'!$C115)</f>
        <v>0</v>
      </c>
      <c r="K115" s="222"/>
      <c r="L115" s="223">
        <f>VLOOKUP($C115,'Retail Rates'!$B$7:$M$35,5,FALSE)</f>
        <v>12.5</v>
      </c>
      <c r="M115" s="223">
        <f>VLOOKUP($C115,'Retail Rates'!$B$7:$M$35,6,FALSE)</f>
        <v>0</v>
      </c>
      <c r="N115" s="224">
        <f>VLOOKUP($C115,'Retail Rates'!$B$7:$M$35,7,FALSE)</f>
        <v>0.22395999999999999</v>
      </c>
      <c r="O115" s="224">
        <f>VLOOKUP($C115,'Retail Rates'!$B$7:$M$35,8,FALSE)</f>
        <v>0</v>
      </c>
      <c r="P115" s="224">
        <f>VLOOKUP($B115,'GSC-DSM Factors'!$A$1:$B$46,2,FALSE)</f>
        <v>0.51601999999999992</v>
      </c>
      <c r="Q115" s="223">
        <f>VLOOKUP($C115,'Retail Rates'!$B$7:$M$35,9,FALSE)</f>
        <v>0</v>
      </c>
      <c r="R115" s="224">
        <f>VLOOKUP($C115,'Retail Rates'!$B$7:$M$35,10,FALSE)</f>
        <v>0</v>
      </c>
      <c r="S115" s="223">
        <f>VLOOKUP($C115,'Retail Rates'!$B$7:$M$35,11,FALSE)</f>
        <v>0</v>
      </c>
      <c r="T115" s="223"/>
      <c r="U115" s="225">
        <f t="shared" si="83"/>
        <v>12.5</v>
      </c>
      <c r="V115" s="225"/>
      <c r="W115" s="225"/>
      <c r="X115" s="225">
        <f>+I115*N115</f>
        <v>7.1667199999999998</v>
      </c>
      <c r="Y115" s="225">
        <f t="shared" si="89"/>
        <v>0</v>
      </c>
      <c r="Z115" s="225">
        <f t="shared" si="90"/>
        <v>16.512639999999998</v>
      </c>
      <c r="AA115" s="225"/>
      <c r="AB115" s="225"/>
      <c r="AC115" s="225"/>
      <c r="AD115" s="225"/>
      <c r="AE115" s="244">
        <f>SUMIFS(Adjustments!H$5:H$684,Adjustments!$B$5:$B$684,'Apr11-Mar12 Billed-RETAIL'!$B115,Adjustments!$C$5:$C$684,'Apr11-Mar12 Billed-RETAIL'!$C115)</f>
        <v>1</v>
      </c>
      <c r="AF115" s="244">
        <f>SUMIFS(Adjustments!I$5:I$684,Adjustments!$B$5:$B$684,'Apr11-Mar12 Billed-RETAIL'!$B115,Adjustments!$C$5:$C$684,'Apr11-Mar12 Billed-RETAIL'!$C115)</f>
        <v>0</v>
      </c>
      <c r="AG115" s="238">
        <f>SUMIFS(Adjustments!J$5:J$684,Adjustments!$B$5:$B$684,'Apr11-Mar12 Billed-RETAIL'!$B115,Adjustments!$C$5:$C$684,'Apr11-Mar12 Billed-RETAIL'!$C115)</f>
        <v>0</v>
      </c>
      <c r="AH115" s="238">
        <f>SUMIFS(Adjustments!K$5:K$684,Adjustments!$B$5:$B$684,'Apr11-Mar12 Billed-RETAIL'!$B115,Adjustments!$C$5:$C$684,'Apr11-Mar12 Billed-RETAIL'!$C115)</f>
        <v>0</v>
      </c>
      <c r="AI115" s="238">
        <f>SUMIFS(Adjustments!L$5:L$684,Adjustments!$B$5:$B$684,'Apr11-Mar12 Billed-RETAIL'!$B115,Adjustments!$C$5:$C$684,'Apr11-Mar12 Billed-RETAIL'!$C115)</f>
        <v>0</v>
      </c>
      <c r="AJ115" s="238">
        <f>SUMIFS(Adjustments!M$5:M$684,Adjustments!$B$5:$B$684,'Apr11-Mar12 Billed-RETAIL'!$B115,Adjustments!$C$5:$C$684,'Apr11-Mar12 Billed-RETAIL'!$C115)</f>
        <v>0</v>
      </c>
      <c r="AK115" s="238">
        <f>SUMIFS(Adjustments!N$5:N$684,Adjustments!$B$5:$B$684,'Apr11-Mar12 Billed-RETAIL'!$B115,Adjustments!$C$5:$C$684,'Apr11-Mar12 Billed-RETAIL'!$C115)</f>
        <v>0</v>
      </c>
      <c r="AL115" s="238">
        <f>SUMIFS(Adjustments!O$5:O$684,Adjustments!$B$5:$B$684,'Apr11-Mar12 Billed-RETAIL'!$B115,Adjustments!$C$5:$C$684,'Apr11-Mar12 Billed-RETAIL'!$C115)</f>
        <v>0</v>
      </c>
      <c r="AM115" s="238">
        <f>SUMIFS(Adjustments!P$5:P$684,Adjustments!$B$5:$B$684,'Apr11-Mar12 Billed-RETAIL'!$B115,Adjustments!$C$5:$C$684,'Apr11-Mar12 Billed-RETAIL'!$C115)</f>
        <v>0</v>
      </c>
      <c r="AN115" s="225">
        <f t="shared" si="86"/>
        <v>25</v>
      </c>
      <c r="AO115" s="225">
        <f t="shared" si="79"/>
        <v>0</v>
      </c>
      <c r="AP115" s="225">
        <f t="shared" si="80"/>
        <v>7.1667199999999998</v>
      </c>
      <c r="AQ115" s="225">
        <f t="shared" si="81"/>
        <v>0</v>
      </c>
      <c r="AR115" s="232">
        <f ca="1">SUMIF('SBR Jan12'!$D$4:$S$90,'Apr11-Mar12 Billed-RETAIL'!$C115,'SBR Jan12'!$N$4:$N$90)</f>
        <v>16.510000000000002</v>
      </c>
      <c r="AS115" s="232">
        <f ca="1">SUMIF('SBR Jan12'!$D$4:$S$90,'Apr11-Mar12 Billed-RETAIL'!$C115,'SBR Jan12'!$M$4:$M$90)</f>
        <v>0.82</v>
      </c>
      <c r="AT115" s="232">
        <f ca="1">SUMIF('SBR Jan12'!$D$4:$S$90,'Apr11-Mar12 Billed-RETAIL'!$C115,'SBR Jan12'!$O$4:$O$90)</f>
        <v>0</v>
      </c>
      <c r="AU115" s="225">
        <f t="shared" si="82"/>
        <v>0</v>
      </c>
      <c r="AV115" s="225"/>
      <c r="AW115" s="232">
        <f t="shared" ca="1" si="91"/>
        <v>49.5</v>
      </c>
      <c r="AX115" s="232">
        <f t="shared" ca="1" si="85"/>
        <v>49.5</v>
      </c>
      <c r="AY115" s="233">
        <f t="shared" ca="1" si="87"/>
        <v>1</v>
      </c>
      <c r="AZ115" s="232">
        <f ca="1">SUMIF('SBR Jan12'!$D$4:$S$90,'Apr11-Mar12 Billed-RETAIL'!$C115,'SBR Jan12'!$M$4:$M$90)</f>
        <v>0.82</v>
      </c>
      <c r="BA115" s="232">
        <f ca="1">SUMIF('SBR Jan12'!$D$4:$S$90,'Apr11-Mar12 Billed-RETAIL'!$C115,'SBR Jan12'!$N$4:$N$90)</f>
        <v>16.510000000000002</v>
      </c>
      <c r="BB115" s="232">
        <f ca="1">SUMIF('SBR Jan12'!$D$4:$S$90,'Apr11-Mar12 Billed-RETAIL'!$C115,'SBR Jan12'!$O$4:$O$90)</f>
        <v>0</v>
      </c>
      <c r="BC115" s="232">
        <f ca="1">SUMIF('SBR Jan12'!$D$4:$S$90,'Apr11-Mar12 Billed-RETAIL'!$C115,'SBR Jan12'!$Q$4:$Q$90)</f>
        <v>0</v>
      </c>
      <c r="BD115" s="232">
        <f ca="1">SUMIF('SBR Jan12'!$D$4:$S$90,'Apr11-Mar12 Billed-RETAIL'!$C115,'SBR Jan12'!$K$4:$K$90)</f>
        <v>25</v>
      </c>
      <c r="BE115" s="232">
        <f ca="1">SUMIF('SBR Jan12'!$D$4:$S$90,'Apr11-Mar12 Billed-RETAIL'!$C115,'SBR Jan12'!$L$4:$L$90)</f>
        <v>7.17</v>
      </c>
      <c r="BF115" s="232"/>
    </row>
    <row r="116" spans="1:58" ht="15" customHeight="1" x14ac:dyDescent="0.25">
      <c r="A116" s="196">
        <f t="shared" si="58"/>
        <v>111</v>
      </c>
      <c r="B116" s="211">
        <v>40940</v>
      </c>
      <c r="C116" s="211" t="str">
        <f>+'Retail Rates'!B7</f>
        <v>LGCMG865</v>
      </c>
      <c r="D116" s="197" t="str">
        <f>MID(C116,6,3)</f>
        <v>865</v>
      </c>
      <c r="E116" s="197" t="str">
        <f>VLOOKUP(C116,'Retail Rates'!$B$7:$D$35,3,FALSE)</f>
        <v>AAGS-C</v>
      </c>
      <c r="F116" s="222">
        <f>SUMIFS('Data-Retail'!$G$4:$G$269,'Data-Retail'!$A$4:$A$269,'Apr11-Mar12 Billed-RETAIL'!$B116,'Data-Retail'!$D$4:$D$269,'Apr11-Mar12 Billed-RETAIL'!$C116)</f>
        <v>5</v>
      </c>
      <c r="G116" s="222"/>
      <c r="H116" s="222"/>
      <c r="I116" s="222">
        <f>SUMIFS('Data-Retail'!$H$4:$H$269,'Data-Retail'!$A$4:$A$269,'Apr11-Mar12 Billed-RETAIL'!$B116,'Data-Retail'!$D$4:$D$269,'Apr11-Mar12 Billed-RETAIL'!$C116)</f>
        <v>131261</v>
      </c>
      <c r="J116" s="222">
        <f>SUMIFS('Data-Retail'!$I$4:$I$269,'Data-Retail'!$A$4:$A$269,'Apr11-Mar12 Billed-RETAIL'!$B116,'Data-Retail'!$D$4:$D$269,'Apr11-Mar12 Billed-RETAIL'!$C116)</f>
        <v>0</v>
      </c>
      <c r="K116" s="222"/>
      <c r="L116" s="223">
        <f>VLOOKUP($C116,'Retail Rates'!$B$7:$M$35,5,FALSE)</f>
        <v>275</v>
      </c>
      <c r="M116" s="223">
        <f>VLOOKUP($C116,'Retail Rates'!$B$7:$M$35,6,FALSE)</f>
        <v>0</v>
      </c>
      <c r="N116" s="224">
        <f>VLOOKUP($C116,'Retail Rates'!$B$7:$M$35,7,FALSE)</f>
        <v>5.2519999999999997E-2</v>
      </c>
      <c r="O116" s="224">
        <f>VLOOKUP($C116,'Retail Rates'!$B$7:$M$35,8,FALSE)</f>
        <v>0</v>
      </c>
      <c r="P116" s="224">
        <f>VLOOKUP($B116,'GSC-DSM Factors'!$A$1:$B$46,2,FALSE)</f>
        <v>0.47422999999999998</v>
      </c>
      <c r="Q116" s="223">
        <f>VLOOKUP($C116,'Retail Rates'!$B$7:$M$35,9,FALSE)</f>
        <v>0</v>
      </c>
      <c r="R116" s="224">
        <f>VLOOKUP($C116,'Retail Rates'!$B$7:$M$35,10,FALSE)</f>
        <v>0</v>
      </c>
      <c r="S116" s="223">
        <f>VLOOKUP($C116,'Retail Rates'!$B$7:$M$35,11,FALSE)</f>
        <v>0</v>
      </c>
      <c r="T116" s="223"/>
      <c r="U116" s="225">
        <f t="shared" si="83"/>
        <v>1375</v>
      </c>
      <c r="V116" s="225"/>
      <c r="W116" s="225"/>
      <c r="X116" s="225">
        <f t="shared" ref="X116:X121" si="92">+I116*N116</f>
        <v>6893.8277199999993</v>
      </c>
      <c r="Y116" s="225">
        <f t="shared" si="89"/>
        <v>0</v>
      </c>
      <c r="Z116" s="225">
        <f>SUM(I116:J116)*P116</f>
        <v>62247.904029999998</v>
      </c>
      <c r="AA116" s="225"/>
      <c r="AB116" s="225"/>
      <c r="AC116" s="225"/>
      <c r="AD116" s="225"/>
      <c r="AE116" s="244">
        <f>SUMIFS(Adjustments!H$5:H$684,Adjustments!$B$5:$B$684,'Apr11-Mar12 Billed-RETAIL'!$B116,Adjustments!$C$5:$C$684,'Apr11-Mar12 Billed-RETAIL'!$C116)</f>
        <v>0</v>
      </c>
      <c r="AF116" s="244">
        <f>SUMIFS(Adjustments!I$5:I$684,Adjustments!$B$5:$B$684,'Apr11-Mar12 Billed-RETAIL'!$B116,Adjustments!$C$5:$C$684,'Apr11-Mar12 Billed-RETAIL'!$C116)</f>
        <v>0</v>
      </c>
      <c r="AG116" s="238">
        <f>SUMIFS(Adjustments!J$5:J$684,Adjustments!$B$5:$B$684,'Apr11-Mar12 Billed-RETAIL'!$B116,Adjustments!$C$5:$C$684,'Apr11-Mar12 Billed-RETAIL'!$C116)</f>
        <v>0</v>
      </c>
      <c r="AH116" s="238">
        <f>SUMIFS(Adjustments!K$5:K$684,Adjustments!$B$5:$B$684,'Apr11-Mar12 Billed-RETAIL'!$B116,Adjustments!$C$5:$C$684,'Apr11-Mar12 Billed-RETAIL'!$C116)</f>
        <v>0</v>
      </c>
      <c r="AI116" s="238">
        <f>SUMIFS(Adjustments!L$5:L$684,Adjustments!$B$5:$B$684,'Apr11-Mar12 Billed-RETAIL'!$B116,Adjustments!$C$5:$C$684,'Apr11-Mar12 Billed-RETAIL'!$C116)</f>
        <v>0</v>
      </c>
      <c r="AJ116" s="238">
        <f>SUMIFS(Adjustments!M$5:M$684,Adjustments!$B$5:$B$684,'Apr11-Mar12 Billed-RETAIL'!$B116,Adjustments!$C$5:$C$684,'Apr11-Mar12 Billed-RETAIL'!$C116)</f>
        <v>0</v>
      </c>
      <c r="AK116" s="238">
        <f>SUMIFS(Adjustments!N$5:N$684,Adjustments!$B$5:$B$684,'Apr11-Mar12 Billed-RETAIL'!$B116,Adjustments!$C$5:$C$684,'Apr11-Mar12 Billed-RETAIL'!$C116)</f>
        <v>0</v>
      </c>
      <c r="AL116" s="238">
        <f>SUMIFS(Adjustments!O$5:O$684,Adjustments!$B$5:$B$684,'Apr11-Mar12 Billed-RETAIL'!$B116,Adjustments!$C$5:$C$684,'Apr11-Mar12 Billed-RETAIL'!$C116)</f>
        <v>0</v>
      </c>
      <c r="AM116" s="238">
        <f>SUMIFS(Adjustments!P$5:P$684,Adjustments!$B$5:$B$684,'Apr11-Mar12 Billed-RETAIL'!$B116,Adjustments!$C$5:$C$684,'Apr11-Mar12 Billed-RETAIL'!$C116)</f>
        <v>0</v>
      </c>
      <c r="AN116" s="225">
        <f t="shared" si="86"/>
        <v>1375</v>
      </c>
      <c r="AO116" s="225">
        <f t="shared" si="79"/>
        <v>0</v>
      </c>
      <c r="AP116" s="225">
        <f t="shared" si="80"/>
        <v>6893.8277199999993</v>
      </c>
      <c r="AQ116" s="225">
        <f t="shared" si="81"/>
        <v>0</v>
      </c>
      <c r="AR116" s="232">
        <f ca="1">SUMIF('SBR Feb12'!$D$4:$S$90,'Apr11-Mar12 Billed-RETAIL'!$C116,'SBR Feb12'!$N$4:$N$90)</f>
        <v>64510.990000000005</v>
      </c>
      <c r="AS116" s="232">
        <f ca="1">SUMIF('SBR Feb12'!$D$4:$S$90,'Apr11-Mar12 Billed-RETAIL'!$C116,'SBR Feb12'!$M$4:$M$90)</f>
        <v>152.26</v>
      </c>
      <c r="AT116" s="232">
        <f ca="1">SUMIF('SBR Feb12'!$D$4:$S$90,'Apr11-Mar12 Billed-RETAIL'!$C116,'SBR Feb12'!$O$4:$O$90)</f>
        <v>0</v>
      </c>
      <c r="AU116" s="225">
        <f t="shared" si="82"/>
        <v>0</v>
      </c>
      <c r="AV116" s="225"/>
      <c r="AW116" s="232">
        <f t="shared" ca="1" si="91"/>
        <v>72932.08</v>
      </c>
      <c r="AX116" s="232">
        <f t="shared" ca="1" si="85"/>
        <v>72932.070000000007</v>
      </c>
      <c r="AY116" s="233">
        <f t="shared" ca="1" si="87"/>
        <v>1</v>
      </c>
      <c r="AZ116" s="232">
        <f ca="1">SUMIF('SBR Feb12'!$D$4:$S$90,'Apr11-Mar12 Billed-RETAIL'!$C116,'SBR Feb12'!$M$4:$M$90)</f>
        <v>152.26</v>
      </c>
      <c r="BA116" s="232">
        <f ca="1">SUMIF('SBR Feb12'!$D$4:$S$90,'Apr11-Mar12 Billed-RETAIL'!$C116,'SBR Feb12'!$N$4:$N$90)</f>
        <v>64510.990000000005</v>
      </c>
      <c r="BB116" s="232">
        <f ca="1">SUMIF('SBR Feb12'!$D$4:$S$90,'Apr11-Mar12 Billed-RETAIL'!$C116,'SBR Feb12'!$O$4:$O$90)</f>
        <v>0</v>
      </c>
      <c r="BC116" s="232">
        <f ca="1">SUMIF('SBR Feb12'!$D$4:$S$90,'Apr11-Mar12 Billed-RETAIL'!$C116,'SBR Feb12'!$Q$4:$Q$90)</f>
        <v>0</v>
      </c>
      <c r="BD116" s="232">
        <f ca="1">SUMIF('SBR Feb12'!$D$4:$S$90,'Apr11-Mar12 Billed-RETAIL'!$C116,'SBR Feb12'!$K$4:$K$90)</f>
        <v>1375</v>
      </c>
      <c r="BE116" s="232">
        <f ca="1">SUMIF('SBR Feb12'!$D$4:$S$90,'Apr11-Mar12 Billed-RETAIL'!$C116,'SBR Feb12'!$L$4:$L$90)</f>
        <v>6893.82</v>
      </c>
      <c r="BF116" s="232"/>
    </row>
    <row r="117" spans="1:58" ht="15" customHeight="1" x14ac:dyDescent="0.25">
      <c r="A117" s="196">
        <f t="shared" si="58"/>
        <v>112</v>
      </c>
      <c r="B117" s="211">
        <v>40940</v>
      </c>
      <c r="C117" s="211" t="str">
        <f>+'Retail Rates'!B10</f>
        <v>LGING866</v>
      </c>
      <c r="D117" s="197" t="str">
        <f t="shared" ref="D117:D122" si="93">MID(C117,6,3)</f>
        <v>866</v>
      </c>
      <c r="E117" s="197" t="str">
        <f>VLOOKUP(C117,'Retail Rates'!$B$7:$D$35,3,FALSE)</f>
        <v>AAGS-I</v>
      </c>
      <c r="F117" s="222">
        <f>SUMIFS('Data-Retail'!$G$4:$G$269,'Data-Retail'!$A$4:$A$269,'Apr11-Mar12 Billed-RETAIL'!$B117,'Data-Retail'!$D$4:$D$269,'Apr11-Mar12 Billed-RETAIL'!$C117)</f>
        <v>9</v>
      </c>
      <c r="G117" s="222"/>
      <c r="H117" s="222"/>
      <c r="I117" s="222">
        <f>SUMIFS('Data-Retail'!$H$4:$H$269,'Data-Retail'!$A$4:$A$269,'Apr11-Mar12 Billed-RETAIL'!$B117,'Data-Retail'!$D$4:$D$269,'Apr11-Mar12 Billed-RETAIL'!$C117)</f>
        <v>186861</v>
      </c>
      <c r="J117" s="222">
        <f>SUMIFS('Data-Retail'!$I$4:$I$269,'Data-Retail'!$A$4:$A$269,'Apr11-Mar12 Billed-RETAIL'!$B117,'Data-Retail'!$D$4:$D$269,'Apr11-Mar12 Billed-RETAIL'!$C117)</f>
        <v>0</v>
      </c>
      <c r="K117" s="222"/>
      <c r="L117" s="223">
        <f>VLOOKUP($C117,'Retail Rates'!$B$7:$M$35,5,FALSE)</f>
        <v>275</v>
      </c>
      <c r="M117" s="223">
        <f>VLOOKUP($C117,'Retail Rates'!$B$7:$M$35,6,FALSE)</f>
        <v>0</v>
      </c>
      <c r="N117" s="224">
        <f>VLOOKUP($C117,'Retail Rates'!$B$7:$M$35,7,FALSE)</f>
        <v>5.2519999999999997E-2</v>
      </c>
      <c r="O117" s="224">
        <f>VLOOKUP($C117,'Retail Rates'!$B$7:$M$35,8,FALSE)</f>
        <v>0</v>
      </c>
      <c r="P117" s="224">
        <f>VLOOKUP($B117,'GSC-DSM Factors'!$A$1:$B$46,2,FALSE)</f>
        <v>0.47422999999999998</v>
      </c>
      <c r="Q117" s="223">
        <f>VLOOKUP($C117,'Retail Rates'!$B$7:$M$35,9,FALSE)</f>
        <v>0</v>
      </c>
      <c r="R117" s="224">
        <f>VLOOKUP($C117,'Retail Rates'!$B$7:$M$35,10,FALSE)</f>
        <v>0</v>
      </c>
      <c r="S117" s="223">
        <f>VLOOKUP($C117,'Retail Rates'!$B$7:$M$35,11,FALSE)</f>
        <v>0</v>
      </c>
      <c r="T117" s="223"/>
      <c r="U117" s="225">
        <f t="shared" si="83"/>
        <v>2475</v>
      </c>
      <c r="V117" s="225"/>
      <c r="W117" s="225"/>
      <c r="X117" s="225">
        <f t="shared" si="92"/>
        <v>9813.9397200000003</v>
      </c>
      <c r="Y117" s="225">
        <f t="shared" si="89"/>
        <v>0</v>
      </c>
      <c r="Z117" s="225">
        <f>SUM(I117:J117)*P117</f>
        <v>88615.09203</v>
      </c>
      <c r="AA117" s="225"/>
      <c r="AB117" s="225"/>
      <c r="AC117" s="225"/>
      <c r="AD117" s="225"/>
      <c r="AE117" s="244">
        <f>SUMIFS(Adjustments!H$5:H$684,Adjustments!$B$5:$B$684,'Apr11-Mar12 Billed-RETAIL'!$B117,Adjustments!$C$5:$C$684,'Apr11-Mar12 Billed-RETAIL'!$C117)</f>
        <v>0</v>
      </c>
      <c r="AF117" s="244">
        <f>SUMIFS(Adjustments!I$5:I$684,Adjustments!$B$5:$B$684,'Apr11-Mar12 Billed-RETAIL'!$B117,Adjustments!$C$5:$C$684,'Apr11-Mar12 Billed-RETAIL'!$C117)</f>
        <v>0</v>
      </c>
      <c r="AG117" s="238">
        <f>SUMIFS(Adjustments!J$5:J$684,Adjustments!$B$5:$B$684,'Apr11-Mar12 Billed-RETAIL'!$B117,Adjustments!$C$5:$C$684,'Apr11-Mar12 Billed-RETAIL'!$C117)</f>
        <v>0</v>
      </c>
      <c r="AH117" s="238">
        <f>SUMIFS(Adjustments!K$5:K$684,Adjustments!$B$5:$B$684,'Apr11-Mar12 Billed-RETAIL'!$B117,Adjustments!$C$5:$C$684,'Apr11-Mar12 Billed-RETAIL'!$C117)</f>
        <v>0</v>
      </c>
      <c r="AI117" s="238">
        <f>SUMIFS(Adjustments!L$5:L$684,Adjustments!$B$5:$B$684,'Apr11-Mar12 Billed-RETAIL'!$B117,Adjustments!$C$5:$C$684,'Apr11-Mar12 Billed-RETAIL'!$C117)</f>
        <v>0</v>
      </c>
      <c r="AJ117" s="238">
        <f>SUMIFS(Adjustments!M$5:M$684,Adjustments!$B$5:$B$684,'Apr11-Mar12 Billed-RETAIL'!$B117,Adjustments!$C$5:$C$684,'Apr11-Mar12 Billed-RETAIL'!$C117)</f>
        <v>0</v>
      </c>
      <c r="AK117" s="238">
        <f>SUMIFS(Adjustments!N$5:N$684,Adjustments!$B$5:$B$684,'Apr11-Mar12 Billed-RETAIL'!$B117,Adjustments!$C$5:$C$684,'Apr11-Mar12 Billed-RETAIL'!$C117)</f>
        <v>0</v>
      </c>
      <c r="AL117" s="238">
        <f>SUMIFS(Adjustments!O$5:O$684,Adjustments!$B$5:$B$684,'Apr11-Mar12 Billed-RETAIL'!$B117,Adjustments!$C$5:$C$684,'Apr11-Mar12 Billed-RETAIL'!$C117)</f>
        <v>0</v>
      </c>
      <c r="AM117" s="238">
        <f>SUMIFS(Adjustments!P$5:P$684,Adjustments!$B$5:$B$684,'Apr11-Mar12 Billed-RETAIL'!$B117,Adjustments!$C$5:$C$684,'Apr11-Mar12 Billed-RETAIL'!$C117)</f>
        <v>0</v>
      </c>
      <c r="AN117" s="225">
        <f t="shared" si="86"/>
        <v>2475</v>
      </c>
      <c r="AO117" s="225">
        <f t="shared" si="79"/>
        <v>0</v>
      </c>
      <c r="AP117" s="225">
        <f t="shared" si="80"/>
        <v>9813.9397200000003</v>
      </c>
      <c r="AQ117" s="225">
        <f t="shared" si="81"/>
        <v>0</v>
      </c>
      <c r="AR117" s="232">
        <f ca="1">SUMIF('SBR Feb12'!$D$4:$S$90,'Apr11-Mar12 Billed-RETAIL'!$C117,'SBR Feb12'!$N$4:$N$90)</f>
        <v>90207.54</v>
      </c>
      <c r="AS117" s="232">
        <f ca="1">SUMIF('SBR Feb12'!$D$4:$S$90,'Apr11-Mar12 Billed-RETAIL'!$C117,'SBR Feb12'!$M$4:$M$90)</f>
        <v>0</v>
      </c>
      <c r="AT117" s="232">
        <f ca="1">SUMIF('SBR Feb12'!$D$4:$S$90,'Apr11-Mar12 Billed-RETAIL'!$C117,'SBR Feb12'!$O$4:$O$90)</f>
        <v>0</v>
      </c>
      <c r="AU117" s="225">
        <f t="shared" si="82"/>
        <v>0</v>
      </c>
      <c r="AV117" s="225"/>
      <c r="AW117" s="232">
        <f t="shared" ca="1" si="91"/>
        <v>102496.48</v>
      </c>
      <c r="AX117" s="232">
        <f t="shared" ca="1" si="85"/>
        <v>102496.48</v>
      </c>
      <c r="AY117" s="233">
        <f t="shared" ref="AY117:AY127" ca="1" si="94">IF(AX117=0,0,ROUND(AX117/AW117,6))</f>
        <v>1</v>
      </c>
      <c r="AZ117" s="232">
        <f ca="1">SUMIF('SBR Feb12'!$D$4:$S$90,'Apr11-Mar12 Billed-RETAIL'!$C117,'SBR Feb12'!$M$4:$M$90)</f>
        <v>0</v>
      </c>
      <c r="BA117" s="232">
        <f ca="1">SUMIF('SBR Feb12'!$D$4:$S$90,'Apr11-Mar12 Billed-RETAIL'!$C117,'SBR Feb12'!$N$4:$N$90)</f>
        <v>90207.54</v>
      </c>
      <c r="BB117" s="232">
        <f ca="1">SUMIF('SBR Feb12'!$D$4:$S$90,'Apr11-Mar12 Billed-RETAIL'!$C117,'SBR Feb12'!$O$4:$O$90)</f>
        <v>0</v>
      </c>
      <c r="BC117" s="232">
        <f ca="1">SUMIF('SBR Feb12'!$D$4:$S$90,'Apr11-Mar12 Billed-RETAIL'!$C117,'SBR Feb12'!$Q$4:$Q$90)</f>
        <v>0</v>
      </c>
      <c r="BD117" s="232">
        <f ca="1">SUMIF('SBR Feb12'!$D$4:$S$90,'Apr11-Mar12 Billed-RETAIL'!$C117,'SBR Feb12'!$K$4:$K$90)</f>
        <v>2475</v>
      </c>
      <c r="BE117" s="232">
        <f ca="1">SUMIF('SBR Feb12'!$D$4:$S$90,'Apr11-Mar12 Billed-RETAIL'!$C117,'SBR Feb12'!$L$4:$L$90)</f>
        <v>9813.94</v>
      </c>
    </row>
    <row r="118" spans="1:58" ht="15" x14ac:dyDescent="0.25">
      <c r="A118" s="196">
        <f t="shared" si="58"/>
        <v>113</v>
      </c>
      <c r="B118" s="211">
        <v>40940</v>
      </c>
      <c r="C118" s="211" t="str">
        <f>+'Retail Rates'!B13</f>
        <v>LGCMG851</v>
      </c>
      <c r="D118" s="197" t="str">
        <f t="shared" si="93"/>
        <v>851</v>
      </c>
      <c r="E118" s="197" t="str">
        <f>VLOOKUP(C118,'Retail Rates'!$B$7:$D$35,3,FALSE)</f>
        <v>CGS</v>
      </c>
      <c r="F118" s="222"/>
      <c r="G118" s="222">
        <f>SUMIFS(Adjustments!F$5:F$151,Adjustments!$B$5:$B$151,'Apr11-Mar12 Billed-RETAIL'!$B118,Adjustments!$C$5:$C$151,'Apr11-Mar12 Billed-RETAIL'!$C118)</f>
        <v>24300</v>
      </c>
      <c r="H118" s="222">
        <f>SUMIFS(Adjustments!G$5:G$151,Adjustments!$B$5:$B$151,'Apr11-Mar12 Billed-RETAIL'!$B118,Adjustments!$C$5:$C$151,'Apr11-Mar12 Billed-RETAIL'!$C118)</f>
        <v>1039</v>
      </c>
      <c r="I118" s="222">
        <f>SUMIFS('Data-Retail'!$H$4:$H$269,'Data-Retail'!$A$4:$A$269,'Apr11-Mar12 Billed-RETAIL'!$B118,'Data-Retail'!$D$4:$D$269,'Apr11-Mar12 Billed-RETAIL'!$C118)</f>
        <v>15185815</v>
      </c>
      <c r="J118" s="222">
        <f>SUMIFS('Data-Retail'!$I$4:$I$269,'Data-Retail'!$A$4:$A$269,'Apr11-Mar12 Billed-RETAIL'!$B118,'Data-Retail'!$D$4:$D$269,'Apr11-Mar12 Billed-RETAIL'!$C118)</f>
        <v>333</v>
      </c>
      <c r="K118" s="222"/>
      <c r="L118" s="223">
        <f>VLOOKUP($C118,'Retail Rates'!$B$7:$M$35,5,FALSE)</f>
        <v>30</v>
      </c>
      <c r="M118" s="223">
        <f>VLOOKUP($C118,'Retail Rates'!$B$7:$M$35,6,FALSE)</f>
        <v>170</v>
      </c>
      <c r="N118" s="224">
        <f>VLOOKUP($C118,'Retail Rates'!$B$7:$M$35,7,FALSE)</f>
        <v>0.18722</v>
      </c>
      <c r="O118" s="224">
        <f>VLOOKUP($C118,'Retail Rates'!$B$7:$M$35,8,FALSE)</f>
        <v>0.13722000000000001</v>
      </c>
      <c r="P118" s="224">
        <f>VLOOKUP($B118,'GSC-DSM Factors'!$A$1:$B$46,2,FALSE)</f>
        <v>0.47422999999999998</v>
      </c>
      <c r="Q118" s="223">
        <f>VLOOKUP($C118,'Retail Rates'!$B$7:$M$35,9,FALSE)</f>
        <v>0</v>
      </c>
      <c r="R118" s="224">
        <f>VLOOKUP($C118,'Retail Rates'!$B$7:$M$35,10,FALSE)</f>
        <v>0</v>
      </c>
      <c r="S118" s="223">
        <f>VLOOKUP($C118,'Retail Rates'!$B$7:$M$35,11,FALSE)</f>
        <v>0</v>
      </c>
      <c r="T118" s="223"/>
      <c r="U118" s="225">
        <f t="shared" si="83"/>
        <v>729000</v>
      </c>
      <c r="V118" s="225"/>
      <c r="W118" s="225">
        <f>+H118*M118</f>
        <v>176630</v>
      </c>
      <c r="X118" s="225">
        <f t="shared" si="92"/>
        <v>2843088.2842999999</v>
      </c>
      <c r="Y118" s="225">
        <f t="shared" si="89"/>
        <v>45.69426</v>
      </c>
      <c r="Z118" s="225">
        <f>SUM(I118:J118)*P118</f>
        <v>7201726.9660399994</v>
      </c>
      <c r="AA118" s="225"/>
      <c r="AB118" s="225"/>
      <c r="AC118" s="225"/>
      <c r="AD118" s="225"/>
      <c r="AE118" s="244">
        <f>SUMIFS(Adjustments!H$5:H$684,Adjustments!$B$5:$B$684,'Apr11-Mar12 Billed-RETAIL'!$B118,Adjustments!$C$5:$C$684,'Apr11-Mar12 Billed-RETAIL'!$C118)</f>
        <v>0</v>
      </c>
      <c r="AF118" s="244">
        <f>SUMIFS(Adjustments!I$5:I$684,Adjustments!$B$5:$B$684,'Apr11-Mar12 Billed-RETAIL'!$B118,Adjustments!$C$5:$C$684,'Apr11-Mar12 Billed-RETAIL'!$C118)</f>
        <v>0</v>
      </c>
      <c r="AG118" s="238">
        <f>SUMIFS(Adjustments!J$5:J$684,Adjustments!$B$5:$B$684,'Apr11-Mar12 Billed-RETAIL'!$B118,Adjustments!$C$5:$C$684,'Apr11-Mar12 Billed-RETAIL'!$C118)</f>
        <v>51.45</v>
      </c>
      <c r="AH118" s="238">
        <f>SUMIFS(Adjustments!K$5:K$684,Adjustments!$B$5:$B$684,'Apr11-Mar12 Billed-RETAIL'!$B118,Adjustments!$C$5:$C$684,'Apr11-Mar12 Billed-RETAIL'!$C118)</f>
        <v>-147.33000000000001</v>
      </c>
      <c r="AI118" s="238">
        <f>SUMIFS(Adjustments!L$5:L$684,Adjustments!$B$5:$B$684,'Apr11-Mar12 Billed-RETAIL'!$B118,Adjustments!$C$5:$C$684,'Apr11-Mar12 Billed-RETAIL'!$C118)</f>
        <v>-54.8</v>
      </c>
      <c r="AJ118" s="238">
        <f>SUMIFS(Adjustments!M$5:M$684,Adjustments!$B$5:$B$684,'Apr11-Mar12 Billed-RETAIL'!$B118,Adjustments!$C$5:$C$684,'Apr11-Mar12 Billed-RETAIL'!$C118)</f>
        <v>0</v>
      </c>
      <c r="AK118" s="238">
        <f>SUMIFS(Adjustments!N$5:N$684,Adjustments!$B$5:$B$684,'Apr11-Mar12 Billed-RETAIL'!$B118,Adjustments!$C$5:$C$684,'Apr11-Mar12 Billed-RETAIL'!$C118)</f>
        <v>0</v>
      </c>
      <c r="AL118" s="238">
        <f>SUMIFS(Adjustments!O$5:O$684,Adjustments!$B$5:$B$684,'Apr11-Mar12 Billed-RETAIL'!$B118,Adjustments!$C$5:$C$684,'Apr11-Mar12 Billed-RETAIL'!$C118)</f>
        <v>0</v>
      </c>
      <c r="AM118" s="238">
        <f>SUMIFS(Adjustments!P$5:P$684,Adjustments!$B$5:$B$684,'Apr11-Mar12 Billed-RETAIL'!$B118,Adjustments!$C$5:$C$684,'Apr11-Mar12 Billed-RETAIL'!$C118)</f>
        <v>0</v>
      </c>
      <c r="AN118" s="225">
        <f t="shared" si="86"/>
        <v>729051.45</v>
      </c>
      <c r="AO118" s="225">
        <f t="shared" si="79"/>
        <v>176482.67</v>
      </c>
      <c r="AP118" s="225">
        <f t="shared" si="80"/>
        <v>2843033.4843000001</v>
      </c>
      <c r="AQ118" s="225">
        <f t="shared" si="81"/>
        <v>45.69426</v>
      </c>
      <c r="AR118" s="232">
        <f ca="1">SUMIF('SBR Feb12'!$D$4:$S$90,'Apr11-Mar12 Billed-RETAIL'!$C118,'SBR Feb12'!$N$4:$N$90)</f>
        <v>7541793.5899999999</v>
      </c>
      <c r="AS118" s="232">
        <f ca="1">SUMIF('SBR Feb12'!$D$4:$S$90,'Apr11-Mar12 Billed-RETAIL'!$C118,'SBR Feb12'!$M$4:$M$90)</f>
        <v>17609.75</v>
      </c>
      <c r="AT118" s="232">
        <f ca="1">SUMIF('SBR Feb12'!$D$4:$S$90,'Apr11-Mar12 Billed-RETAIL'!$C118,'SBR Feb12'!$O$4:$O$90)</f>
        <v>347652.98</v>
      </c>
      <c r="AU118" s="225">
        <f t="shared" si="82"/>
        <v>0</v>
      </c>
      <c r="AV118" s="225"/>
      <c r="AW118" s="232">
        <f t="shared" ca="1" si="91"/>
        <v>11655669.619999999</v>
      </c>
      <c r="AX118" s="232">
        <f t="shared" ca="1" si="85"/>
        <v>11655669.619999999</v>
      </c>
      <c r="AY118" s="233">
        <f t="shared" ca="1" si="94"/>
        <v>1</v>
      </c>
      <c r="AZ118" s="232">
        <f ca="1">SUMIF('SBR Feb12'!$D$4:$S$90,'Apr11-Mar12 Billed-RETAIL'!$C118,'SBR Feb12'!$M$4:$M$90)</f>
        <v>17609.75</v>
      </c>
      <c r="BA118" s="232">
        <f ca="1">SUMIF('SBR Feb12'!$D$4:$S$90,'Apr11-Mar12 Billed-RETAIL'!$C118,'SBR Feb12'!$N$4:$N$90)</f>
        <v>7541793.5899999999</v>
      </c>
      <c r="BB118" s="232">
        <f ca="1">SUMIF('SBR Feb12'!$D$4:$S$90,'Apr11-Mar12 Billed-RETAIL'!$C118,'SBR Feb12'!$O$4:$O$90)</f>
        <v>347652.98</v>
      </c>
      <c r="BC118" s="232">
        <f ca="1">SUMIF('SBR Feb12'!$D$4:$S$90,'Apr11-Mar12 Billed-RETAIL'!$C118,'SBR Feb12'!$Q$4:$Q$90)</f>
        <v>0</v>
      </c>
      <c r="BD118" s="232">
        <f ca="1">SUMIF('SBR Feb12'!$D$4:$S$90,'Apr11-Mar12 Billed-RETAIL'!$C118,'SBR Feb12'!$K$4:$K$90)</f>
        <v>905534.12</v>
      </c>
      <c r="BE118" s="232">
        <f ca="1">SUMIF('SBR Feb12'!$D$4:$S$90,'Apr11-Mar12 Billed-RETAIL'!$C118,'SBR Feb12'!$L$4:$L$90)</f>
        <v>2843079.1799999997</v>
      </c>
    </row>
    <row r="119" spans="1:58" ht="15" x14ac:dyDescent="0.25">
      <c r="A119" s="196">
        <f t="shared" si="58"/>
        <v>114</v>
      </c>
      <c r="B119" s="211">
        <v>40940</v>
      </c>
      <c r="C119" s="211" t="str">
        <f>+'Retail Rates'!B14</f>
        <v>LGUMG860</v>
      </c>
      <c r="D119" s="197" t="str">
        <f t="shared" si="93"/>
        <v>860</v>
      </c>
      <c r="E119" s="197" t="str">
        <f>VLOOKUP(C119,'Retail Rates'!$B$7:$D$35,3,FALSE)</f>
        <v>CGS</v>
      </c>
      <c r="F119" s="222"/>
      <c r="G119" s="222">
        <f>SUMIFS(Adjustments!F$5:F$151,Adjustments!$B$5:$B$151,'Apr11-Mar12 Billed-RETAIL'!$B119,Adjustments!$C$5:$C$151,'Apr11-Mar12 Billed-RETAIL'!$C119)</f>
        <v>19</v>
      </c>
      <c r="H119" s="222">
        <f>SUMIFS(Adjustments!G$5:G$151,Adjustments!$B$5:$B$151,'Apr11-Mar12 Billed-RETAIL'!$B119,Adjustments!$C$5:$C$151,'Apr11-Mar12 Billed-RETAIL'!$C119)</f>
        <v>0</v>
      </c>
      <c r="I119" s="222">
        <f>SUMIFS('Data-Retail'!$H$4:$H$269,'Data-Retail'!$A$4:$A$269,'Apr11-Mar12 Billed-RETAIL'!$B119,'Data-Retail'!$D$4:$D$269,'Apr11-Mar12 Billed-RETAIL'!$C119)</f>
        <v>358</v>
      </c>
      <c r="J119" s="222">
        <f>SUMIFS('Data-Retail'!$I$4:$I$269,'Data-Retail'!$A$4:$A$269,'Apr11-Mar12 Billed-RETAIL'!$B119,'Data-Retail'!$D$4:$D$269,'Apr11-Mar12 Billed-RETAIL'!$C119)</f>
        <v>0</v>
      </c>
      <c r="K119" s="222"/>
      <c r="L119" s="223">
        <f>VLOOKUP($C119,'Retail Rates'!$B$7:$M$35,5,FALSE)</f>
        <v>30</v>
      </c>
      <c r="M119" s="223">
        <f>VLOOKUP($C119,'Retail Rates'!$B$7:$M$35,6,FALSE)</f>
        <v>170</v>
      </c>
      <c r="N119" s="224">
        <f>VLOOKUP($C119,'Retail Rates'!$B$7:$M$35,7,FALSE)</f>
        <v>0.18722</v>
      </c>
      <c r="O119" s="224">
        <f>VLOOKUP($C119,'Retail Rates'!$B$7:$M$35,8,FALSE)</f>
        <v>0.13722000000000001</v>
      </c>
      <c r="P119" s="224">
        <f>VLOOKUP($B119,'GSC-DSM Factors'!$A$1:$B$46,2,FALSE)</f>
        <v>0.47422999999999998</v>
      </c>
      <c r="Q119" s="223">
        <f>VLOOKUP($C119,'Retail Rates'!$B$7:$M$35,9,FALSE)</f>
        <v>0</v>
      </c>
      <c r="R119" s="224">
        <f>VLOOKUP($C119,'Retail Rates'!$B$7:$M$35,10,FALSE)</f>
        <v>0</v>
      </c>
      <c r="S119" s="223">
        <f>VLOOKUP($C119,'Retail Rates'!$B$7:$M$35,11,FALSE)</f>
        <v>0</v>
      </c>
      <c r="T119" s="223"/>
      <c r="U119" s="225">
        <f t="shared" si="83"/>
        <v>570</v>
      </c>
      <c r="V119" s="225"/>
      <c r="W119" s="225">
        <f>+H119*M119</f>
        <v>0</v>
      </c>
      <c r="X119" s="225">
        <f t="shared" si="92"/>
        <v>67.024760000000001</v>
      </c>
      <c r="Y119" s="225">
        <f t="shared" si="89"/>
        <v>0</v>
      </c>
      <c r="Z119" s="225">
        <f>SUM(I119:J119)*P119</f>
        <v>169.77434</v>
      </c>
      <c r="AA119" s="225"/>
      <c r="AB119" s="225"/>
      <c r="AC119" s="225"/>
      <c r="AD119" s="225"/>
      <c r="AE119" s="244">
        <f>SUMIFS(Adjustments!H$5:H$684,Adjustments!$B$5:$B$684,'Apr11-Mar12 Billed-RETAIL'!$B119,Adjustments!$C$5:$C$684,'Apr11-Mar12 Billed-RETAIL'!$C119)</f>
        <v>0</v>
      </c>
      <c r="AF119" s="244">
        <f>SUMIFS(Adjustments!I$5:I$684,Adjustments!$B$5:$B$684,'Apr11-Mar12 Billed-RETAIL'!$B119,Adjustments!$C$5:$C$684,'Apr11-Mar12 Billed-RETAIL'!$C119)</f>
        <v>0</v>
      </c>
      <c r="AG119" s="238">
        <f>SUMIFS(Adjustments!J$5:J$684,Adjustments!$B$5:$B$684,'Apr11-Mar12 Billed-RETAIL'!$B119,Adjustments!$C$5:$C$684,'Apr11-Mar12 Billed-RETAIL'!$C119)</f>
        <v>0</v>
      </c>
      <c r="AH119" s="238">
        <f>SUMIFS(Adjustments!K$5:K$684,Adjustments!$B$5:$B$684,'Apr11-Mar12 Billed-RETAIL'!$B119,Adjustments!$C$5:$C$684,'Apr11-Mar12 Billed-RETAIL'!$C119)</f>
        <v>0</v>
      </c>
      <c r="AI119" s="238">
        <f>SUMIFS(Adjustments!L$5:L$684,Adjustments!$B$5:$B$684,'Apr11-Mar12 Billed-RETAIL'!$B119,Adjustments!$C$5:$C$684,'Apr11-Mar12 Billed-RETAIL'!$C119)</f>
        <v>0</v>
      </c>
      <c r="AJ119" s="238">
        <f>SUMIFS(Adjustments!M$5:M$684,Adjustments!$B$5:$B$684,'Apr11-Mar12 Billed-RETAIL'!$B119,Adjustments!$C$5:$C$684,'Apr11-Mar12 Billed-RETAIL'!$C119)</f>
        <v>0</v>
      </c>
      <c r="AK119" s="238">
        <f>SUMIFS(Adjustments!N$5:N$684,Adjustments!$B$5:$B$684,'Apr11-Mar12 Billed-RETAIL'!$B119,Adjustments!$C$5:$C$684,'Apr11-Mar12 Billed-RETAIL'!$C119)</f>
        <v>0</v>
      </c>
      <c r="AL119" s="238">
        <f>SUMIFS(Adjustments!O$5:O$684,Adjustments!$B$5:$B$684,'Apr11-Mar12 Billed-RETAIL'!$B119,Adjustments!$C$5:$C$684,'Apr11-Mar12 Billed-RETAIL'!$C119)</f>
        <v>0</v>
      </c>
      <c r="AM119" s="238">
        <f>SUMIFS(Adjustments!P$5:P$684,Adjustments!$B$5:$B$684,'Apr11-Mar12 Billed-RETAIL'!$B119,Adjustments!$C$5:$C$684,'Apr11-Mar12 Billed-RETAIL'!$C119)</f>
        <v>0</v>
      </c>
      <c r="AN119" s="225">
        <f t="shared" si="86"/>
        <v>570</v>
      </c>
      <c r="AO119" s="225">
        <f t="shared" si="79"/>
        <v>0</v>
      </c>
      <c r="AP119" s="225">
        <f t="shared" si="80"/>
        <v>67.024760000000001</v>
      </c>
      <c r="AQ119" s="225">
        <f t="shared" si="81"/>
        <v>0</v>
      </c>
      <c r="AR119" s="232">
        <f ca="1">SUMIF('SBR Feb12'!$D$4:$S$90,'Apr11-Mar12 Billed-RETAIL'!$C119,'SBR Feb12'!$N$4:$N$90)</f>
        <v>173.41000000000003</v>
      </c>
      <c r="AS119" s="232">
        <f ca="1">SUMIF('SBR Feb12'!$D$4:$S$90,'Apr11-Mar12 Billed-RETAIL'!$C119,'SBR Feb12'!$M$4:$M$90)</f>
        <v>0.41</v>
      </c>
      <c r="AT119" s="232">
        <f ca="1">SUMIF('SBR Feb12'!$D$4:$S$90,'Apr11-Mar12 Billed-RETAIL'!$C119,'SBR Feb12'!$O$4:$O$90)</f>
        <v>0</v>
      </c>
      <c r="AU119" s="225">
        <f t="shared" si="82"/>
        <v>0</v>
      </c>
      <c r="AV119" s="225"/>
      <c r="AW119" s="232">
        <f t="shared" ca="1" si="91"/>
        <v>810.84</v>
      </c>
      <c r="AX119" s="232">
        <f t="shared" ca="1" si="85"/>
        <v>810.84</v>
      </c>
      <c r="AY119" s="233">
        <f t="shared" ca="1" si="94"/>
        <v>1</v>
      </c>
      <c r="AZ119" s="232">
        <f ca="1">SUMIF('SBR Feb12'!$D$4:$S$90,'Apr11-Mar12 Billed-RETAIL'!$C119,'SBR Feb12'!$M$4:$M$90)</f>
        <v>0.41</v>
      </c>
      <c r="BA119" s="232">
        <f ca="1">SUMIF('SBR Feb12'!$D$4:$S$90,'Apr11-Mar12 Billed-RETAIL'!$C119,'SBR Feb12'!$N$4:$N$90)</f>
        <v>173.41000000000003</v>
      </c>
      <c r="BB119" s="232">
        <f ca="1">SUMIF('SBR Feb12'!$D$4:$S$90,'Apr11-Mar12 Billed-RETAIL'!$C119,'SBR Feb12'!$O$4:$O$90)</f>
        <v>0</v>
      </c>
      <c r="BC119" s="232">
        <f ca="1">SUMIF('SBR Feb12'!$D$4:$S$90,'Apr11-Mar12 Billed-RETAIL'!$C119,'SBR Feb12'!$Q$4:$Q$90)</f>
        <v>0</v>
      </c>
      <c r="BD119" s="232">
        <f ca="1">SUMIF('SBR Feb12'!$D$4:$S$90,'Apr11-Mar12 Billed-RETAIL'!$C119,'SBR Feb12'!$K$4:$K$90)</f>
        <v>570</v>
      </c>
      <c r="BE119" s="232">
        <f ca="1">SUMIF('SBR Feb12'!$D$4:$S$90,'Apr11-Mar12 Billed-RETAIL'!$C119,'SBR Feb12'!$L$4:$L$90)</f>
        <v>67.02</v>
      </c>
    </row>
    <row r="120" spans="1:58" ht="15" x14ac:dyDescent="0.25">
      <c r="A120" s="196">
        <f t="shared" si="58"/>
        <v>115</v>
      </c>
      <c r="B120" s="211">
        <v>40940</v>
      </c>
      <c r="C120" s="211" t="str">
        <f>+'Retail Rates'!B15</f>
        <v>LGUMG861</v>
      </c>
      <c r="D120" s="197" t="str">
        <f t="shared" si="93"/>
        <v>861</v>
      </c>
      <c r="E120" s="197" t="str">
        <f>VLOOKUP(C120,'Retail Rates'!$B$7:$D$35,3,FALSE)</f>
        <v>CGS</v>
      </c>
      <c r="F120" s="222"/>
      <c r="G120" s="222">
        <f>SUMIFS(Adjustments!F$5:F$151,Adjustments!$B$5:$B$151,'Apr11-Mar12 Billed-RETAIL'!$B120,Adjustments!$C$5:$C$151,'Apr11-Mar12 Billed-RETAIL'!$C120)</f>
        <v>620</v>
      </c>
      <c r="H120" s="222">
        <f>SUMIFS(Adjustments!G$5:G$151,Adjustments!$B$5:$B$151,'Apr11-Mar12 Billed-RETAIL'!$B120,Adjustments!$C$5:$C$151,'Apr11-Mar12 Billed-RETAIL'!$C120)</f>
        <v>0</v>
      </c>
      <c r="I120" s="222">
        <f>SUMIFS('Data-Retail'!$H$4:$H$269,'Data-Retail'!$A$4:$A$269,'Apr11-Mar12 Billed-RETAIL'!$B120,'Data-Retail'!$D$4:$D$269,'Apr11-Mar12 Billed-RETAIL'!$C120)</f>
        <v>613</v>
      </c>
      <c r="J120" s="222">
        <f>SUMIFS('Data-Retail'!$I$4:$I$269,'Data-Retail'!$A$4:$A$269,'Apr11-Mar12 Billed-RETAIL'!$B120,'Data-Retail'!$D$4:$D$269,'Apr11-Mar12 Billed-RETAIL'!$C120)</f>
        <v>0</v>
      </c>
      <c r="K120" s="222"/>
      <c r="L120" s="223">
        <f>VLOOKUP($C120,'Retail Rates'!$B$7:$M$35,5,FALSE)</f>
        <v>30</v>
      </c>
      <c r="M120" s="223">
        <f>VLOOKUP($C120,'Retail Rates'!$B$7:$M$35,6,FALSE)</f>
        <v>170</v>
      </c>
      <c r="N120" s="224">
        <f>VLOOKUP($C120,'Retail Rates'!$B$7:$M$35,7,FALSE)</f>
        <v>0.18722</v>
      </c>
      <c r="O120" s="224">
        <f>VLOOKUP($C120,'Retail Rates'!$B$7:$M$35,8,FALSE)</f>
        <v>0.13722000000000001</v>
      </c>
      <c r="P120" s="224">
        <f>VLOOKUP($B120,'GSC-DSM Factors'!$A$1:$B$46,2,FALSE)</f>
        <v>0.47422999999999998</v>
      </c>
      <c r="Q120" s="223">
        <f>VLOOKUP($C120,'Retail Rates'!$B$7:$M$35,9,FALSE)</f>
        <v>0</v>
      </c>
      <c r="R120" s="224">
        <f>VLOOKUP($C120,'Retail Rates'!$B$7:$M$35,10,FALSE)</f>
        <v>0</v>
      </c>
      <c r="S120" s="223">
        <f>VLOOKUP($C120,'Retail Rates'!$B$7:$M$35,11,FALSE)</f>
        <v>0</v>
      </c>
      <c r="T120" s="223"/>
      <c r="U120" s="225">
        <f t="shared" si="83"/>
        <v>18600</v>
      </c>
      <c r="V120" s="225"/>
      <c r="W120" s="225">
        <f>+H120*M120</f>
        <v>0</v>
      </c>
      <c r="X120" s="225">
        <f t="shared" si="92"/>
        <v>114.76586</v>
      </c>
      <c r="Y120" s="225">
        <f t="shared" si="89"/>
        <v>0</v>
      </c>
      <c r="Z120" s="225">
        <f>SUM(I120:J120)*P120</f>
        <v>290.70299</v>
      </c>
      <c r="AA120" s="225"/>
      <c r="AB120" s="225"/>
      <c r="AC120" s="225"/>
      <c r="AD120" s="225"/>
      <c r="AE120" s="244">
        <f>SUMIFS(Adjustments!H$5:H$684,Adjustments!$B$5:$B$684,'Apr11-Mar12 Billed-RETAIL'!$B120,Adjustments!$C$5:$C$684,'Apr11-Mar12 Billed-RETAIL'!$C120)</f>
        <v>0</v>
      </c>
      <c r="AF120" s="244">
        <f>SUMIFS(Adjustments!I$5:I$684,Adjustments!$B$5:$B$684,'Apr11-Mar12 Billed-RETAIL'!$B120,Adjustments!$C$5:$C$684,'Apr11-Mar12 Billed-RETAIL'!$C120)</f>
        <v>0</v>
      </c>
      <c r="AG120" s="238">
        <f>SUMIFS(Adjustments!J$5:J$684,Adjustments!$B$5:$B$684,'Apr11-Mar12 Billed-RETAIL'!$B120,Adjustments!$C$5:$C$684,'Apr11-Mar12 Billed-RETAIL'!$C120)</f>
        <v>0</v>
      </c>
      <c r="AH120" s="238">
        <f>SUMIFS(Adjustments!K$5:K$684,Adjustments!$B$5:$B$684,'Apr11-Mar12 Billed-RETAIL'!$B120,Adjustments!$C$5:$C$684,'Apr11-Mar12 Billed-RETAIL'!$C120)</f>
        <v>0</v>
      </c>
      <c r="AI120" s="238">
        <f>SUMIFS(Adjustments!L$5:L$684,Adjustments!$B$5:$B$684,'Apr11-Mar12 Billed-RETAIL'!$B120,Adjustments!$C$5:$C$684,'Apr11-Mar12 Billed-RETAIL'!$C120)</f>
        <v>1.61</v>
      </c>
      <c r="AJ120" s="238">
        <f>SUMIFS(Adjustments!M$5:M$684,Adjustments!$B$5:$B$684,'Apr11-Mar12 Billed-RETAIL'!$B120,Adjustments!$C$5:$C$684,'Apr11-Mar12 Billed-RETAIL'!$C120)</f>
        <v>0</v>
      </c>
      <c r="AK120" s="238">
        <f>SUMIFS(Adjustments!N$5:N$684,Adjustments!$B$5:$B$684,'Apr11-Mar12 Billed-RETAIL'!$B120,Adjustments!$C$5:$C$684,'Apr11-Mar12 Billed-RETAIL'!$C120)</f>
        <v>0</v>
      </c>
      <c r="AL120" s="238">
        <f>SUMIFS(Adjustments!O$5:O$684,Adjustments!$B$5:$B$684,'Apr11-Mar12 Billed-RETAIL'!$B120,Adjustments!$C$5:$C$684,'Apr11-Mar12 Billed-RETAIL'!$C120)</f>
        <v>0</v>
      </c>
      <c r="AM120" s="238">
        <f>SUMIFS(Adjustments!P$5:P$684,Adjustments!$B$5:$B$684,'Apr11-Mar12 Billed-RETAIL'!$B120,Adjustments!$C$5:$C$684,'Apr11-Mar12 Billed-RETAIL'!$C120)</f>
        <v>0</v>
      </c>
      <c r="AN120" s="225">
        <f t="shared" si="86"/>
        <v>18600</v>
      </c>
      <c r="AO120" s="225">
        <f t="shared" si="79"/>
        <v>0</v>
      </c>
      <c r="AP120" s="225">
        <f t="shared" si="80"/>
        <v>116.37586</v>
      </c>
      <c r="AQ120" s="225">
        <f t="shared" si="81"/>
        <v>0</v>
      </c>
      <c r="AR120" s="232">
        <f ca="1">SUMIF('SBR Feb12'!$D$4:$S$90,'Apr11-Mar12 Billed-RETAIL'!$C120,'SBR Feb12'!$N$4:$N$90)</f>
        <v>305.07</v>
      </c>
      <c r="AS120" s="232">
        <f ca="1">SUMIF('SBR Feb12'!$D$4:$S$90,'Apr11-Mar12 Billed-RETAIL'!$C120,'SBR Feb12'!$M$4:$M$90)</f>
        <v>0</v>
      </c>
      <c r="AT120" s="232">
        <f ca="1">SUMIF('SBR Feb12'!$D$4:$S$90,'Apr11-Mar12 Billed-RETAIL'!$C120,'SBR Feb12'!$O$4:$O$90)</f>
        <v>0</v>
      </c>
      <c r="AU120" s="225">
        <f t="shared" si="82"/>
        <v>0</v>
      </c>
      <c r="AV120" s="225"/>
      <c r="AW120" s="232">
        <f t="shared" ca="1" si="91"/>
        <v>19021.45</v>
      </c>
      <c r="AX120" s="232">
        <f t="shared" ca="1" si="85"/>
        <v>19021.45</v>
      </c>
      <c r="AY120" s="233">
        <f t="shared" ca="1" si="94"/>
        <v>1</v>
      </c>
      <c r="AZ120" s="232">
        <f ca="1">SUMIF('SBR Feb12'!$D$4:$S$90,'Apr11-Mar12 Billed-RETAIL'!$C120,'SBR Feb12'!$M$4:$M$90)</f>
        <v>0</v>
      </c>
      <c r="BA120" s="232">
        <f ca="1">SUMIF('SBR Feb12'!$D$4:$S$90,'Apr11-Mar12 Billed-RETAIL'!$C120,'SBR Feb12'!$N$4:$N$90)</f>
        <v>305.07</v>
      </c>
      <c r="BB120" s="232">
        <f ca="1">SUMIF('SBR Feb12'!$D$4:$S$90,'Apr11-Mar12 Billed-RETAIL'!$C120,'SBR Feb12'!$O$4:$O$90)</f>
        <v>0</v>
      </c>
      <c r="BC120" s="232">
        <f ca="1">SUMIF('SBR Feb12'!$D$4:$S$90,'Apr11-Mar12 Billed-RETAIL'!$C120,'SBR Feb12'!$Q$4:$Q$90)</f>
        <v>0</v>
      </c>
      <c r="BD120" s="232">
        <f ca="1">SUMIF('SBR Feb12'!$D$4:$S$90,'Apr11-Mar12 Billed-RETAIL'!$C120,'SBR Feb12'!$K$4:$K$90)</f>
        <v>18600</v>
      </c>
      <c r="BE120" s="232">
        <f ca="1">SUMIF('SBR Feb12'!$D$4:$S$90,'Apr11-Mar12 Billed-RETAIL'!$C120,'SBR Feb12'!$L$4:$L$90)</f>
        <v>116.38</v>
      </c>
    </row>
    <row r="121" spans="1:58" ht="15" customHeight="1" x14ac:dyDescent="0.25">
      <c r="A121" s="196">
        <f t="shared" si="58"/>
        <v>116</v>
      </c>
      <c r="B121" s="211">
        <v>40940</v>
      </c>
      <c r="C121" s="211" t="str">
        <f>+'Retail Rates'!B18</f>
        <v>LGCMG875</v>
      </c>
      <c r="D121" s="197" t="str">
        <f t="shared" si="93"/>
        <v>875</v>
      </c>
      <c r="E121" s="197" t="str">
        <f>VLOOKUP(C121,'Retail Rates'!$B$7:$D$35,3,FALSE)</f>
        <v>DGGS-C</v>
      </c>
      <c r="F121" s="222">
        <f>SUMIFS('Data-Retail'!$G$4:$G$269,'Data-Retail'!$A$4:$A$269,'Apr11-Mar12 Billed-RETAIL'!$B121,'Data-Retail'!$D$4:$D$269,'Apr11-Mar12 Billed-RETAIL'!$C121)</f>
        <v>0</v>
      </c>
      <c r="G121" s="222"/>
      <c r="H121" s="222"/>
      <c r="I121" s="222">
        <f>SUMIFS('Data-Retail'!$H$4:$H$269,'Data-Retail'!$A$4:$A$269,'Apr11-Mar12 Billed-RETAIL'!$B121,'Data-Retail'!$D$4:$D$269,'Apr11-Mar12 Billed-RETAIL'!$C121)</f>
        <v>0</v>
      </c>
      <c r="J121" s="222">
        <f>SUMIFS('Data-Retail'!$I$4:$I$269,'Data-Retail'!$A$4:$A$269,'Apr11-Mar12 Billed-RETAIL'!$B121,'Data-Retail'!$D$4:$D$269,'Apr11-Mar12 Billed-RETAIL'!$C121)</f>
        <v>0</v>
      </c>
      <c r="K121" s="222"/>
      <c r="L121" s="223">
        <f>VLOOKUP($C121,'Retail Rates'!$B$7:$M$35,5,FALSE)</f>
        <v>30</v>
      </c>
      <c r="M121" s="223">
        <f>VLOOKUP($C121,'Retail Rates'!$B$7:$M$35,6,FALSE)</f>
        <v>170</v>
      </c>
      <c r="N121" s="224">
        <f>VLOOKUP($C121,'Retail Rates'!$B$7:$M$35,7,FALSE)</f>
        <v>2.7439999999999999E-2</v>
      </c>
      <c r="O121" s="224">
        <f>VLOOKUP($C121,'Retail Rates'!$B$7:$M$35,8,FALSE)</f>
        <v>0</v>
      </c>
      <c r="P121" s="224">
        <f>VLOOKUP($B121,'GSC-DSM Factors'!$A$1:$B$46,2,FALSE)</f>
        <v>0.47422999999999998</v>
      </c>
      <c r="Q121" s="223">
        <f>VLOOKUP($C121,'Retail Rates'!$B$7:$M$35,9,FALSE)</f>
        <v>0</v>
      </c>
      <c r="R121" s="224">
        <f>VLOOKUP($C121,'Retail Rates'!$B$7:$M$35,10,FALSE)</f>
        <v>0</v>
      </c>
      <c r="S121" s="223">
        <f>VLOOKUP($C121,'Retail Rates'!$B$7:$M$35,11,FALSE)</f>
        <v>1.0109999999999999</v>
      </c>
      <c r="T121" s="223"/>
      <c r="U121" s="225">
        <f t="shared" si="83"/>
        <v>0</v>
      </c>
      <c r="V121" s="225"/>
      <c r="W121" s="225"/>
      <c r="X121" s="225">
        <f t="shared" si="92"/>
        <v>0</v>
      </c>
      <c r="Y121" s="225">
        <f t="shared" si="89"/>
        <v>0</v>
      </c>
      <c r="Z121" s="225">
        <f t="shared" ref="Z121:Z126" si="95">SUM(I121:J121)*P121</f>
        <v>0</v>
      </c>
      <c r="AA121" s="225"/>
      <c r="AB121" s="225"/>
      <c r="AC121" s="225"/>
      <c r="AD121" s="225"/>
      <c r="AE121" s="244">
        <f>SUMIFS(Adjustments!H$5:H$684,Adjustments!$B$5:$B$684,'Apr11-Mar12 Billed-RETAIL'!$B121,Adjustments!$C$5:$C$684,'Apr11-Mar12 Billed-RETAIL'!$C121)</f>
        <v>0</v>
      </c>
      <c r="AF121" s="244">
        <f>SUMIFS(Adjustments!I$5:I$684,Adjustments!$B$5:$B$684,'Apr11-Mar12 Billed-RETAIL'!$B121,Adjustments!$C$5:$C$684,'Apr11-Mar12 Billed-RETAIL'!$C121)</f>
        <v>0</v>
      </c>
      <c r="AG121" s="238">
        <f>SUMIFS(Adjustments!J$5:J$684,Adjustments!$B$5:$B$684,'Apr11-Mar12 Billed-RETAIL'!$B121,Adjustments!$C$5:$C$684,'Apr11-Mar12 Billed-RETAIL'!$C121)</f>
        <v>0</v>
      </c>
      <c r="AH121" s="238">
        <f>SUMIFS(Adjustments!K$5:K$684,Adjustments!$B$5:$B$684,'Apr11-Mar12 Billed-RETAIL'!$B121,Adjustments!$C$5:$C$684,'Apr11-Mar12 Billed-RETAIL'!$C121)</f>
        <v>0</v>
      </c>
      <c r="AI121" s="238">
        <f>SUMIFS(Adjustments!L$5:L$684,Adjustments!$B$5:$B$684,'Apr11-Mar12 Billed-RETAIL'!$B121,Adjustments!$C$5:$C$684,'Apr11-Mar12 Billed-RETAIL'!$C121)</f>
        <v>0</v>
      </c>
      <c r="AJ121" s="238">
        <f>SUMIFS(Adjustments!M$5:M$684,Adjustments!$B$5:$B$684,'Apr11-Mar12 Billed-RETAIL'!$B121,Adjustments!$C$5:$C$684,'Apr11-Mar12 Billed-RETAIL'!$C121)</f>
        <v>0</v>
      </c>
      <c r="AK121" s="238">
        <f>SUMIFS(Adjustments!N$5:N$684,Adjustments!$B$5:$B$684,'Apr11-Mar12 Billed-RETAIL'!$B121,Adjustments!$C$5:$C$684,'Apr11-Mar12 Billed-RETAIL'!$C121)</f>
        <v>0</v>
      </c>
      <c r="AL121" s="238">
        <f>SUMIFS(Adjustments!O$5:O$684,Adjustments!$B$5:$B$684,'Apr11-Mar12 Billed-RETAIL'!$B121,Adjustments!$C$5:$C$684,'Apr11-Mar12 Billed-RETAIL'!$C121)</f>
        <v>0</v>
      </c>
      <c r="AM121" s="238">
        <f>SUMIFS(Adjustments!P$5:P$684,Adjustments!$B$5:$B$684,'Apr11-Mar12 Billed-RETAIL'!$B121,Adjustments!$C$5:$C$684,'Apr11-Mar12 Billed-RETAIL'!$C121)</f>
        <v>0</v>
      </c>
      <c r="AN121" s="225">
        <f t="shared" si="86"/>
        <v>0</v>
      </c>
      <c r="AO121" s="225">
        <f t="shared" ref="AO121:AO137" si="96">+W121+AH121</f>
        <v>0</v>
      </c>
      <c r="AP121" s="225">
        <f t="shared" ref="AP121:AP137" si="97">+X121+AI121</f>
        <v>0</v>
      </c>
      <c r="AQ121" s="225">
        <f t="shared" ref="AQ121:AQ137" si="98">+Y121+AJ121</f>
        <v>0</v>
      </c>
      <c r="AR121" s="232">
        <f ca="1">SUMIF('SBR Feb12'!$D$4:$S$90,'Apr11-Mar12 Billed-RETAIL'!$C121,'SBR Feb12'!$N$4:$N$90)</f>
        <v>0</v>
      </c>
      <c r="AS121" s="232">
        <f ca="1">SUMIF('SBR Feb12'!$D$4:$S$90,'Apr11-Mar12 Billed-RETAIL'!$C121,'SBR Feb12'!$M$4:$M$90)</f>
        <v>0</v>
      </c>
      <c r="AT121" s="232">
        <f ca="1">SUMIF('SBR Feb12'!$D$4:$S$90,'Apr11-Mar12 Billed-RETAIL'!$C121,'SBR Feb12'!$O$4:$O$90)</f>
        <v>0</v>
      </c>
      <c r="AU121" s="225">
        <f t="shared" ref="AU121:AU137" si="99">+AC121+AM121</f>
        <v>0</v>
      </c>
      <c r="AV121" s="225"/>
      <c r="AW121" s="232">
        <f t="shared" ca="1" si="91"/>
        <v>0</v>
      </c>
      <c r="AX121" s="232">
        <f t="shared" ca="1" si="85"/>
        <v>0</v>
      </c>
      <c r="AY121" s="233">
        <v>1</v>
      </c>
      <c r="AZ121" s="232">
        <f ca="1">SUMIF('SBR Feb12'!$D$4:$S$90,'Apr11-Mar12 Billed-RETAIL'!$C121,'SBR Feb12'!$M$4:$M$90)</f>
        <v>0</v>
      </c>
      <c r="BA121" s="232">
        <f ca="1">SUMIF('SBR Feb12'!$D$4:$S$90,'Apr11-Mar12 Billed-RETAIL'!$C121,'SBR Feb12'!$N$4:$N$90)</f>
        <v>0</v>
      </c>
      <c r="BB121" s="232">
        <f ca="1">SUMIF('SBR Feb12'!$D$4:$S$90,'Apr11-Mar12 Billed-RETAIL'!$C121,'SBR Feb12'!$O$4:$O$90)</f>
        <v>0</v>
      </c>
      <c r="BC121" s="232">
        <f ca="1">SUMIF('SBR Feb12'!$D$4:$S$90,'Apr11-Mar12 Billed-RETAIL'!$C121,'SBR Feb12'!$Q$4:$Q$90)</f>
        <v>0</v>
      </c>
      <c r="BD121" s="232">
        <f ca="1">SUMIF('SBR Feb12'!$D$4:$S$90,'Apr11-Mar12 Billed-RETAIL'!$C121,'SBR Feb12'!$K$4:$K$90)</f>
        <v>0</v>
      </c>
      <c r="BE121" s="232">
        <f ca="1">SUMIF('SBR Feb12'!$D$4:$S$90,'Apr11-Mar12 Billed-RETAIL'!$C121,'SBR Feb12'!$L$4:$L$90)</f>
        <v>0</v>
      </c>
    </row>
    <row r="122" spans="1:58" ht="15" customHeight="1" x14ac:dyDescent="0.25">
      <c r="A122" s="196">
        <f t="shared" si="58"/>
        <v>117</v>
      </c>
      <c r="B122" s="211">
        <v>40940</v>
      </c>
      <c r="C122" s="211" t="str">
        <f>+'Retail Rates'!B23</f>
        <v>LGING855</v>
      </c>
      <c r="D122" s="197" t="str">
        <f t="shared" si="93"/>
        <v>855</v>
      </c>
      <c r="E122" s="197" t="str">
        <f>VLOOKUP(C122,'Retail Rates'!$B$7:$D$35,3,FALSE)</f>
        <v>IGS</v>
      </c>
      <c r="F122" s="222"/>
      <c r="G122" s="222">
        <f>SUMIFS(Adjustments!F$5:F$151,Adjustments!$B$5:$B$151,'Apr11-Mar12 Billed-RETAIL'!$B122,Adjustments!$C$5:$C$151,'Apr11-Mar12 Billed-RETAIL'!$C122)</f>
        <v>113</v>
      </c>
      <c r="H122" s="222">
        <f>SUMIFS(Adjustments!G$5:G$151,Adjustments!$B$5:$B$151,'Apr11-Mar12 Billed-RETAIL'!$B122,Adjustments!$C$5:$C$151,'Apr11-Mar12 Billed-RETAIL'!$C122)</f>
        <v>95</v>
      </c>
      <c r="I122" s="222">
        <f>SUMIFS('Data-Retail'!$H$4:$H$269,'Data-Retail'!$A$4:$A$269,'Apr11-Mar12 Billed-RETAIL'!$B122,'Data-Retail'!$D$4:$D$269,'Apr11-Mar12 Billed-RETAIL'!$C122)</f>
        <v>1083763</v>
      </c>
      <c r="J122" s="222">
        <f>SUMIFS('Data-Retail'!$I$4:$I$269,'Data-Retail'!$A$4:$A$269,'Apr11-Mar12 Billed-RETAIL'!$B122,'Data-Retail'!$D$4:$D$269,'Apr11-Mar12 Billed-RETAIL'!$C122)</f>
        <v>0</v>
      </c>
      <c r="K122" s="222"/>
      <c r="L122" s="223">
        <f>VLOOKUP($C122,'Retail Rates'!$B$7:$M$35,5,FALSE)</f>
        <v>30</v>
      </c>
      <c r="M122" s="223">
        <f>VLOOKUP($C122,'Retail Rates'!$B$7:$M$35,6,FALSE)</f>
        <v>170</v>
      </c>
      <c r="N122" s="224">
        <f>VLOOKUP($C122,'Retail Rates'!$B$7:$M$35,7,FALSE)</f>
        <v>0.19022</v>
      </c>
      <c r="O122" s="224">
        <f>VLOOKUP($C122,'Retail Rates'!$B$7:$M$35,8,FALSE)</f>
        <v>0.14022000000000001</v>
      </c>
      <c r="P122" s="224">
        <f>VLOOKUP($B122,'GSC-DSM Factors'!$A$1:$B$46,2,FALSE)</f>
        <v>0.47422999999999998</v>
      </c>
      <c r="Q122" s="223">
        <f>VLOOKUP($C122,'Retail Rates'!$B$7:$M$35,9,FALSE)</f>
        <v>0</v>
      </c>
      <c r="R122" s="224">
        <f>VLOOKUP($C122,'Retail Rates'!$B$7:$M$35,10,FALSE)</f>
        <v>0</v>
      </c>
      <c r="S122" s="223">
        <f>VLOOKUP($C122,'Retail Rates'!$B$7:$M$35,11,FALSE)</f>
        <v>0</v>
      </c>
      <c r="T122" s="223"/>
      <c r="U122" s="225">
        <f t="shared" si="83"/>
        <v>3390</v>
      </c>
      <c r="V122" s="225"/>
      <c r="W122" s="225">
        <f>+H122*M122</f>
        <v>16150</v>
      </c>
      <c r="X122" s="225">
        <f>+I122*N122</f>
        <v>206153.39786</v>
      </c>
      <c r="Y122" s="225">
        <f t="shared" si="89"/>
        <v>0</v>
      </c>
      <c r="Z122" s="225">
        <f t="shared" si="95"/>
        <v>513952.92748999997</v>
      </c>
      <c r="AA122" s="225"/>
      <c r="AB122" s="225"/>
      <c r="AC122" s="225"/>
      <c r="AD122" s="225"/>
      <c r="AE122" s="244">
        <f>SUMIFS(Adjustments!H$5:H$684,Adjustments!$B$5:$B$684,'Apr11-Mar12 Billed-RETAIL'!$B122,Adjustments!$C$5:$C$684,'Apr11-Mar12 Billed-RETAIL'!$C122)</f>
        <v>0</v>
      </c>
      <c r="AF122" s="244">
        <f>SUMIFS(Adjustments!I$5:I$684,Adjustments!$B$5:$B$684,'Apr11-Mar12 Billed-RETAIL'!$B122,Adjustments!$C$5:$C$684,'Apr11-Mar12 Billed-RETAIL'!$C122)</f>
        <v>0</v>
      </c>
      <c r="AG122" s="238">
        <f>SUMIFS(Adjustments!J$5:J$684,Adjustments!$B$5:$B$684,'Apr11-Mar12 Billed-RETAIL'!$B122,Adjustments!$C$5:$C$684,'Apr11-Mar12 Billed-RETAIL'!$C122)</f>
        <v>-13</v>
      </c>
      <c r="AH122" s="238">
        <f>SUMIFS(Adjustments!K$5:K$684,Adjustments!$B$5:$B$684,'Apr11-Mar12 Billed-RETAIL'!$B122,Adjustments!$C$5:$C$684,'Apr11-Mar12 Billed-RETAIL'!$C122)</f>
        <v>-56.67</v>
      </c>
      <c r="AI122" s="238">
        <f>SUMIFS(Adjustments!L$5:L$684,Adjustments!$B$5:$B$684,'Apr11-Mar12 Billed-RETAIL'!$B122,Adjustments!$C$5:$C$684,'Apr11-Mar12 Billed-RETAIL'!$C122)</f>
        <v>0</v>
      </c>
      <c r="AJ122" s="238">
        <f>SUMIFS(Adjustments!M$5:M$684,Adjustments!$B$5:$B$684,'Apr11-Mar12 Billed-RETAIL'!$B122,Adjustments!$C$5:$C$684,'Apr11-Mar12 Billed-RETAIL'!$C122)</f>
        <v>0</v>
      </c>
      <c r="AK122" s="238">
        <f>SUMIFS(Adjustments!N$5:N$684,Adjustments!$B$5:$B$684,'Apr11-Mar12 Billed-RETAIL'!$B122,Adjustments!$C$5:$C$684,'Apr11-Mar12 Billed-RETAIL'!$C122)</f>
        <v>0</v>
      </c>
      <c r="AL122" s="238">
        <f>SUMIFS(Adjustments!O$5:O$684,Adjustments!$B$5:$B$684,'Apr11-Mar12 Billed-RETAIL'!$B122,Adjustments!$C$5:$C$684,'Apr11-Mar12 Billed-RETAIL'!$C122)</f>
        <v>0</v>
      </c>
      <c r="AM122" s="238">
        <f>SUMIFS(Adjustments!P$5:P$684,Adjustments!$B$5:$B$684,'Apr11-Mar12 Billed-RETAIL'!$B122,Adjustments!$C$5:$C$684,'Apr11-Mar12 Billed-RETAIL'!$C122)</f>
        <v>0</v>
      </c>
      <c r="AN122" s="225">
        <f t="shared" si="86"/>
        <v>3377</v>
      </c>
      <c r="AO122" s="225">
        <f t="shared" si="96"/>
        <v>16093.33</v>
      </c>
      <c r="AP122" s="225">
        <f t="shared" si="97"/>
        <v>206153.39786</v>
      </c>
      <c r="AQ122" s="225">
        <f t="shared" si="98"/>
        <v>0</v>
      </c>
      <c r="AR122" s="232">
        <f ca="1">SUMIF('SBR Feb12'!$D$4:$S$90,'Apr11-Mar12 Billed-RETAIL'!$C122,'SBR Feb12'!$N$4:$N$90)</f>
        <v>532021.57999999996</v>
      </c>
      <c r="AS122" s="232">
        <f ca="1">SUMIF('SBR Feb12'!$D$4:$S$90,'Apr11-Mar12 Billed-RETAIL'!$C122,'SBR Feb12'!$M$4:$M$90)</f>
        <v>0</v>
      </c>
      <c r="AT122" s="232">
        <f ca="1">SUMIF('SBR Feb12'!$D$4:$S$90,'Apr11-Mar12 Billed-RETAIL'!$C122,'SBR Feb12'!$O$4:$O$90)</f>
        <v>0</v>
      </c>
      <c r="AU122" s="225">
        <f t="shared" si="99"/>
        <v>0</v>
      </c>
      <c r="AV122" s="225"/>
      <c r="AW122" s="232">
        <f t="shared" ca="1" si="91"/>
        <v>757645.31</v>
      </c>
      <c r="AX122" s="232">
        <f t="shared" ca="1" si="85"/>
        <v>757645.25</v>
      </c>
      <c r="AY122" s="233">
        <f t="shared" ca="1" si="94"/>
        <v>1</v>
      </c>
      <c r="AZ122" s="232">
        <f ca="1">SUMIF('SBR Feb12'!$D$4:$S$90,'Apr11-Mar12 Billed-RETAIL'!$C122,'SBR Feb12'!$M$4:$M$90)</f>
        <v>0</v>
      </c>
      <c r="BA122" s="232">
        <f ca="1">SUMIF('SBR Feb12'!$D$4:$S$90,'Apr11-Mar12 Billed-RETAIL'!$C122,'SBR Feb12'!$N$4:$N$90)</f>
        <v>532021.57999999996</v>
      </c>
      <c r="BB122" s="232">
        <f ca="1">SUMIF('SBR Feb12'!$D$4:$S$90,'Apr11-Mar12 Billed-RETAIL'!$C122,'SBR Feb12'!$O$4:$O$90)</f>
        <v>0</v>
      </c>
      <c r="BC122" s="232">
        <f ca="1">SUMIF('SBR Feb12'!$D$4:$S$90,'Apr11-Mar12 Billed-RETAIL'!$C122,'SBR Feb12'!$Q$4:$Q$90)</f>
        <v>0</v>
      </c>
      <c r="BD122" s="232">
        <f ca="1">SUMIF('SBR Feb12'!$D$4:$S$90,'Apr11-Mar12 Billed-RETAIL'!$C122,'SBR Feb12'!$K$4:$K$90)</f>
        <v>19470.330000000002</v>
      </c>
      <c r="BE122" s="232">
        <f ca="1">SUMIF('SBR Feb12'!$D$4:$S$90,'Apr11-Mar12 Billed-RETAIL'!$C122,'SBR Feb12'!$L$4:$L$90)</f>
        <v>206153.34000000003</v>
      </c>
    </row>
    <row r="123" spans="1:58" ht="15" customHeight="1" x14ac:dyDescent="0.25">
      <c r="A123" s="196">
        <f t="shared" si="58"/>
        <v>118</v>
      </c>
      <c r="B123" s="211">
        <v>40940</v>
      </c>
      <c r="C123" s="211" t="str">
        <f>+'Retail Rates'!B26</f>
        <v>LGRSG811</v>
      </c>
      <c r="D123" s="197" t="str">
        <f>MID(C123,6,3)</f>
        <v>811</v>
      </c>
      <c r="E123" s="197" t="str">
        <f>VLOOKUP(C123,'Retail Rates'!$B$7:$D$35,3,FALSE)</f>
        <v>RGS</v>
      </c>
      <c r="F123" s="222">
        <f>SUMIFS('Data-Retail'!$G$4:$G$269,'Data-Retail'!$A$4:$A$269,'Apr11-Mar12 Billed-RETAIL'!$B123,'Data-Retail'!$D$4:$D$269,'Apr11-Mar12 Billed-RETAIL'!$C123)</f>
        <v>292416</v>
      </c>
      <c r="G123" s="222"/>
      <c r="H123" s="222"/>
      <c r="I123" s="222">
        <f>SUMIFS('Data-Retail'!$H$4:$H$269,'Data-Retail'!$A$4:$A$269,'Apr11-Mar12 Billed-RETAIL'!$B123,'Data-Retail'!$D$4:$D$269,'Apr11-Mar12 Billed-RETAIL'!$C123)</f>
        <v>32952339</v>
      </c>
      <c r="J123" s="222">
        <f>SUMIFS('Data-Retail'!$I$4:$I$269,'Data-Retail'!$A$4:$A$269,'Apr11-Mar12 Billed-RETAIL'!$B123,'Data-Retail'!$D$4:$D$269,'Apr11-Mar12 Billed-RETAIL'!$C123)</f>
        <v>0</v>
      </c>
      <c r="K123" s="222"/>
      <c r="L123" s="223">
        <f>VLOOKUP($C123,'Retail Rates'!$B$7:$M$35,5,FALSE)</f>
        <v>12.5</v>
      </c>
      <c r="M123" s="223">
        <f>VLOOKUP($C123,'Retail Rates'!$B$7:$M$35,6,FALSE)</f>
        <v>0</v>
      </c>
      <c r="N123" s="224">
        <f>VLOOKUP($C123,'Retail Rates'!$B$7:$M$35,7,FALSE)</f>
        <v>0.22395999999999999</v>
      </c>
      <c r="O123" s="224">
        <f>VLOOKUP($C123,'Retail Rates'!$B$7:$M$35,8,FALSE)</f>
        <v>0</v>
      </c>
      <c r="P123" s="224">
        <f>VLOOKUP($B123,'GSC-DSM Factors'!$A$1:$B$46,2,FALSE)</f>
        <v>0.47422999999999998</v>
      </c>
      <c r="Q123" s="223">
        <f>VLOOKUP($C123,'Retail Rates'!$B$7:$M$35,9,FALSE)</f>
        <v>0</v>
      </c>
      <c r="R123" s="224">
        <f>VLOOKUP($C123,'Retail Rates'!$B$7:$M$35,10,FALSE)</f>
        <v>0</v>
      </c>
      <c r="S123" s="223">
        <f>VLOOKUP($C123,'Retail Rates'!$B$7:$M$35,11,FALSE)</f>
        <v>0</v>
      </c>
      <c r="T123" s="223"/>
      <c r="U123" s="225">
        <f t="shared" si="83"/>
        <v>3655200</v>
      </c>
      <c r="V123" s="225"/>
      <c r="W123" s="225"/>
      <c r="X123" s="225">
        <f>+I123*N123</f>
        <v>7380005.8424399998</v>
      </c>
      <c r="Y123" s="225">
        <f t="shared" si="89"/>
        <v>0</v>
      </c>
      <c r="Z123" s="225">
        <f t="shared" si="95"/>
        <v>15626987.72397</v>
      </c>
      <c r="AA123" s="225"/>
      <c r="AB123" s="225"/>
      <c r="AC123" s="225"/>
      <c r="AD123" s="225"/>
      <c r="AE123" s="244">
        <f>SUMIFS(Adjustments!H$5:H$684,Adjustments!$B$5:$B$684,'Apr11-Mar12 Billed-RETAIL'!$B123,Adjustments!$C$5:$C$684,'Apr11-Mar12 Billed-RETAIL'!$C123)</f>
        <v>-711</v>
      </c>
      <c r="AF123" s="244">
        <f>SUMIFS(Adjustments!I$5:I$684,Adjustments!$B$5:$B$684,'Apr11-Mar12 Billed-RETAIL'!$B123,Adjustments!$C$5:$C$684,'Apr11-Mar12 Billed-RETAIL'!$C123)</f>
        <v>0</v>
      </c>
      <c r="AG123" s="238">
        <f>SUMIFS(Adjustments!J$5:J$684,Adjustments!$B$5:$B$684,'Apr11-Mar12 Billed-RETAIL'!$B123,Adjustments!$C$5:$C$684,'Apr11-Mar12 Billed-RETAIL'!$C123)</f>
        <v>-3.16</v>
      </c>
      <c r="AH123" s="238">
        <f>SUMIFS(Adjustments!K$5:K$684,Adjustments!$B$5:$B$684,'Apr11-Mar12 Billed-RETAIL'!$B123,Adjustments!$C$5:$C$684,'Apr11-Mar12 Billed-RETAIL'!$C123)</f>
        <v>0</v>
      </c>
      <c r="AI123" s="238">
        <f>SUMIFS(Adjustments!L$5:L$684,Adjustments!$B$5:$B$684,'Apr11-Mar12 Billed-RETAIL'!$B123,Adjustments!$C$5:$C$684,'Apr11-Mar12 Billed-RETAIL'!$C123)</f>
        <v>9.6300000000000008</v>
      </c>
      <c r="AJ123" s="238">
        <f>SUMIFS(Adjustments!M$5:M$684,Adjustments!$B$5:$B$684,'Apr11-Mar12 Billed-RETAIL'!$B123,Adjustments!$C$5:$C$684,'Apr11-Mar12 Billed-RETAIL'!$C123)</f>
        <v>0</v>
      </c>
      <c r="AK123" s="238">
        <f>SUMIFS(Adjustments!N$5:N$684,Adjustments!$B$5:$B$684,'Apr11-Mar12 Billed-RETAIL'!$B123,Adjustments!$C$5:$C$684,'Apr11-Mar12 Billed-RETAIL'!$C123)</f>
        <v>0</v>
      </c>
      <c r="AL123" s="238">
        <f>SUMIFS(Adjustments!O$5:O$684,Adjustments!$B$5:$B$684,'Apr11-Mar12 Billed-RETAIL'!$B123,Adjustments!$C$5:$C$684,'Apr11-Mar12 Billed-RETAIL'!$C123)</f>
        <v>0</v>
      </c>
      <c r="AM123" s="238">
        <f>SUMIFS(Adjustments!P$5:P$684,Adjustments!$B$5:$B$684,'Apr11-Mar12 Billed-RETAIL'!$B123,Adjustments!$C$5:$C$684,'Apr11-Mar12 Billed-RETAIL'!$C123)</f>
        <v>0</v>
      </c>
      <c r="AN123" s="225">
        <f t="shared" si="86"/>
        <v>3646309.34</v>
      </c>
      <c r="AO123" s="225">
        <f t="shared" si="96"/>
        <v>0</v>
      </c>
      <c r="AP123" s="225">
        <f t="shared" si="97"/>
        <v>7380015.4724399997</v>
      </c>
      <c r="AQ123" s="225">
        <f t="shared" si="98"/>
        <v>0</v>
      </c>
      <c r="AR123" s="232">
        <f ca="1">SUMIF('SBR Feb12'!$D$4:$S$90,'Apr11-Mar12 Billed-RETAIL'!$C123,'SBR Feb12'!$N$4:$N$90)</f>
        <v>16349868.439999999</v>
      </c>
      <c r="AS123" s="232">
        <f ca="1">SUMIF('SBR Feb12'!$D$4:$S$90,'Apr11-Mar12 Billed-RETAIL'!$C123,'SBR Feb12'!$M$4:$M$90)</f>
        <v>845397.6</v>
      </c>
      <c r="AT123" s="232">
        <f ca="1">SUMIF('SBR Feb12'!$D$4:$S$90,'Apr11-Mar12 Billed-RETAIL'!$C123,'SBR Feb12'!$O$4:$O$90)</f>
        <v>950088.09000000008</v>
      </c>
      <c r="AU123" s="225">
        <f t="shared" si="99"/>
        <v>0</v>
      </c>
      <c r="AV123" s="225"/>
      <c r="AW123" s="232">
        <f t="shared" ca="1" si="91"/>
        <v>29171678.940000001</v>
      </c>
      <c r="AX123" s="232">
        <f t="shared" ca="1" si="85"/>
        <v>29171678.939999998</v>
      </c>
      <c r="AY123" s="233">
        <f t="shared" ca="1" si="94"/>
        <v>1</v>
      </c>
      <c r="AZ123" s="232">
        <f ca="1">SUMIF('SBR Feb12'!$D$4:$S$90,'Apr11-Mar12 Billed-RETAIL'!$C123,'SBR Feb12'!$M$4:$M$90)</f>
        <v>845397.6</v>
      </c>
      <c r="BA123" s="232">
        <f ca="1">SUMIF('SBR Feb12'!$D$4:$S$90,'Apr11-Mar12 Billed-RETAIL'!$C123,'SBR Feb12'!$N$4:$N$90)</f>
        <v>16349868.439999999</v>
      </c>
      <c r="BB123" s="232">
        <f ca="1">SUMIF('SBR Feb12'!$D$4:$S$90,'Apr11-Mar12 Billed-RETAIL'!$C123,'SBR Feb12'!$O$4:$O$90)</f>
        <v>950088.09000000008</v>
      </c>
      <c r="BC123" s="232">
        <f ca="1">SUMIF('SBR Feb12'!$D$4:$S$90,'Apr11-Mar12 Billed-RETAIL'!$C123,'SBR Feb12'!$Q$4:$Q$90)</f>
        <v>47119.009999999995</v>
      </c>
      <c r="BD123" s="232">
        <f ca="1">SUMIF('SBR Feb12'!$D$4:$S$90,'Apr11-Mar12 Billed-RETAIL'!$C123,'SBR Feb12'!$K$4:$K$90)</f>
        <v>3646309.34</v>
      </c>
      <c r="BE123" s="232">
        <f ca="1">SUMIF('SBR Feb12'!$D$4:$S$90,'Apr11-Mar12 Billed-RETAIL'!$C123,'SBR Feb12'!$L$4:$L$90)</f>
        <v>7380015.4699999997</v>
      </c>
    </row>
    <row r="124" spans="1:58" ht="15" customHeight="1" x14ac:dyDescent="0.25">
      <c r="A124" s="196">
        <f t="shared" si="58"/>
        <v>119</v>
      </c>
      <c r="B124" s="211">
        <v>40940</v>
      </c>
      <c r="C124" s="211" t="str">
        <f>+'Retail Rates'!B27</f>
        <v>LGRSG811S1</v>
      </c>
      <c r="D124" s="197" t="str">
        <f>MID(C124,6,3)</f>
        <v>811</v>
      </c>
      <c r="E124" s="197" t="str">
        <f>VLOOKUP(C124,'Retail Rates'!$B$7:$D$35,3,FALSE)</f>
        <v>RGS</v>
      </c>
      <c r="F124" s="222">
        <f>SUMIFS('Data-Retail'!$G$4:$G$269,'Data-Retail'!$A$4:$A$269,'Apr11-Mar12 Billed-RETAIL'!$B124,'Data-Retail'!$D$4:$D$269,'Apr11-Mar12 Billed-RETAIL'!$C124)</f>
        <v>0</v>
      </c>
      <c r="G124" s="222"/>
      <c r="H124" s="222"/>
      <c r="I124" s="222">
        <f>SUMIFS('Data-Retail'!$H$4:$H$269,'Data-Retail'!$A$4:$A$269,'Apr11-Mar12 Billed-RETAIL'!$B124,'Data-Retail'!$D$4:$D$269,'Apr11-Mar12 Billed-RETAIL'!$C124)</f>
        <v>0</v>
      </c>
      <c r="J124" s="222">
        <f>SUMIFS('Data-Retail'!$I$4:$I$269,'Data-Retail'!$A$4:$A$269,'Apr11-Mar12 Billed-RETAIL'!$B124,'Data-Retail'!$D$4:$D$269,'Apr11-Mar12 Billed-RETAIL'!$C124)</f>
        <v>0</v>
      </c>
      <c r="K124" s="222"/>
      <c r="L124" s="223">
        <f>VLOOKUP($C124,'Retail Rates'!$B$7:$M$35,5,FALSE)</f>
        <v>12.5</v>
      </c>
      <c r="M124" s="223">
        <f>VLOOKUP($C124,'Retail Rates'!$B$7:$M$35,6,FALSE)</f>
        <v>0</v>
      </c>
      <c r="N124" s="224">
        <f>VLOOKUP($C124,'Retail Rates'!$B$7:$M$35,7,FALSE)</f>
        <v>0.22395999999999999</v>
      </c>
      <c r="O124" s="224">
        <f>VLOOKUP($C124,'Retail Rates'!$B$7:$M$35,8,FALSE)</f>
        <v>0</v>
      </c>
      <c r="P124" s="224">
        <f>VLOOKUP($B124,'GSC-DSM Factors'!$A$1:$B$46,2,FALSE)</f>
        <v>0.47422999999999998</v>
      </c>
      <c r="Q124" s="223">
        <f>VLOOKUP($C124,'Retail Rates'!$B$7:$M$35,9,FALSE)</f>
        <v>0</v>
      </c>
      <c r="R124" s="224">
        <f>VLOOKUP($C124,'Retail Rates'!$B$7:$M$35,10,FALSE)</f>
        <v>0</v>
      </c>
      <c r="S124" s="223">
        <f>VLOOKUP($C124,'Retail Rates'!$B$7:$M$35,11,FALSE)</f>
        <v>0</v>
      </c>
      <c r="T124" s="223"/>
      <c r="U124" s="225">
        <f t="shared" si="83"/>
        <v>0</v>
      </c>
      <c r="V124" s="225"/>
      <c r="W124" s="225"/>
      <c r="X124" s="225">
        <f>+I124*N124</f>
        <v>0</v>
      </c>
      <c r="Y124" s="225">
        <f t="shared" si="89"/>
        <v>0</v>
      </c>
      <c r="Z124" s="225">
        <f t="shared" si="95"/>
        <v>0</v>
      </c>
      <c r="AA124" s="225"/>
      <c r="AB124" s="225"/>
      <c r="AC124" s="225"/>
      <c r="AD124" s="225"/>
      <c r="AE124" s="244">
        <f>SUMIFS(Adjustments!H$5:H$684,Adjustments!$B$5:$B$684,'Apr11-Mar12 Billed-RETAIL'!$B124,Adjustments!$C$5:$C$684,'Apr11-Mar12 Billed-RETAIL'!$C124)</f>
        <v>0</v>
      </c>
      <c r="AF124" s="244">
        <f>SUMIFS(Adjustments!I$5:I$684,Adjustments!$B$5:$B$684,'Apr11-Mar12 Billed-RETAIL'!$B124,Adjustments!$C$5:$C$684,'Apr11-Mar12 Billed-RETAIL'!$C124)</f>
        <v>0</v>
      </c>
      <c r="AG124" s="238">
        <f>SUMIFS(Adjustments!J$5:J$684,Adjustments!$B$5:$B$684,'Apr11-Mar12 Billed-RETAIL'!$B124,Adjustments!$C$5:$C$684,'Apr11-Mar12 Billed-RETAIL'!$C124)</f>
        <v>0</v>
      </c>
      <c r="AH124" s="238">
        <f>SUMIFS(Adjustments!K$5:K$684,Adjustments!$B$5:$B$684,'Apr11-Mar12 Billed-RETAIL'!$B124,Adjustments!$C$5:$C$684,'Apr11-Mar12 Billed-RETAIL'!$C124)</f>
        <v>0</v>
      </c>
      <c r="AI124" s="238">
        <f>SUMIFS(Adjustments!L$5:L$684,Adjustments!$B$5:$B$684,'Apr11-Mar12 Billed-RETAIL'!$B124,Adjustments!$C$5:$C$684,'Apr11-Mar12 Billed-RETAIL'!$C124)</f>
        <v>0</v>
      </c>
      <c r="AJ124" s="238">
        <f>SUMIFS(Adjustments!M$5:M$684,Adjustments!$B$5:$B$684,'Apr11-Mar12 Billed-RETAIL'!$B124,Adjustments!$C$5:$C$684,'Apr11-Mar12 Billed-RETAIL'!$C124)</f>
        <v>0</v>
      </c>
      <c r="AK124" s="238">
        <f>SUMIFS(Adjustments!N$5:N$684,Adjustments!$B$5:$B$684,'Apr11-Mar12 Billed-RETAIL'!$B124,Adjustments!$C$5:$C$684,'Apr11-Mar12 Billed-RETAIL'!$C124)</f>
        <v>0</v>
      </c>
      <c r="AL124" s="238">
        <f>SUMIFS(Adjustments!O$5:O$684,Adjustments!$B$5:$B$684,'Apr11-Mar12 Billed-RETAIL'!$B124,Adjustments!$C$5:$C$684,'Apr11-Mar12 Billed-RETAIL'!$C124)</f>
        <v>0</v>
      </c>
      <c r="AM124" s="238">
        <f>SUMIFS(Adjustments!P$5:P$684,Adjustments!$B$5:$B$684,'Apr11-Mar12 Billed-RETAIL'!$B124,Adjustments!$C$5:$C$684,'Apr11-Mar12 Billed-RETAIL'!$C124)</f>
        <v>0</v>
      </c>
      <c r="AN124" s="225">
        <f t="shared" si="86"/>
        <v>0</v>
      </c>
      <c r="AO124" s="225">
        <f t="shared" si="96"/>
        <v>0</v>
      </c>
      <c r="AP124" s="225">
        <f t="shared" si="97"/>
        <v>0</v>
      </c>
      <c r="AQ124" s="225">
        <f t="shared" si="98"/>
        <v>0</v>
      </c>
      <c r="AR124" s="232">
        <f ca="1">SUMIF('SBR Feb12'!$D$4:$S$90,'Apr11-Mar12 Billed-RETAIL'!$C124,'SBR Feb12'!$N$4:$N$90)</f>
        <v>0</v>
      </c>
      <c r="AS124" s="232">
        <f ca="1">SUMIF('SBR Feb12'!$D$4:$S$90,'Apr11-Mar12 Billed-RETAIL'!$C124,'SBR Feb12'!$M$4:$M$90)</f>
        <v>0</v>
      </c>
      <c r="AT124" s="232">
        <f ca="1">SUMIF('SBR Feb12'!$D$4:$S$90,'Apr11-Mar12 Billed-RETAIL'!$C124,'SBR Feb12'!$O$4:$O$90)</f>
        <v>0</v>
      </c>
      <c r="AU124" s="225">
        <f t="shared" si="99"/>
        <v>0</v>
      </c>
      <c r="AV124" s="225"/>
      <c r="AW124" s="232">
        <f t="shared" ca="1" si="91"/>
        <v>0</v>
      </c>
      <c r="AX124" s="232">
        <f t="shared" ca="1" si="85"/>
        <v>0</v>
      </c>
      <c r="AY124" s="233">
        <v>1</v>
      </c>
      <c r="AZ124" s="232">
        <f ca="1">SUMIF('SBR Feb12'!$D$4:$S$90,'Apr11-Mar12 Billed-RETAIL'!$C124,'SBR Feb12'!$M$4:$M$90)</f>
        <v>0</v>
      </c>
      <c r="BA124" s="232">
        <f ca="1">SUMIF('SBR Feb12'!$D$4:$S$90,'Apr11-Mar12 Billed-RETAIL'!$C124,'SBR Feb12'!$N$4:$N$90)</f>
        <v>0</v>
      </c>
      <c r="BB124" s="232">
        <f ca="1">SUMIF('SBR Feb12'!$D$4:$S$90,'Apr11-Mar12 Billed-RETAIL'!$C124,'SBR Feb12'!$O$4:$O$90)</f>
        <v>0</v>
      </c>
      <c r="BC124" s="232">
        <f ca="1">SUMIF('SBR Feb12'!$D$4:$S$90,'Apr11-Mar12 Billed-RETAIL'!$C124,'SBR Feb12'!$Q$4:$Q$90)</f>
        <v>0</v>
      </c>
      <c r="BD124" s="232">
        <f ca="1">SUMIF('SBR Feb12'!$D$4:$S$90,'Apr11-Mar12 Billed-RETAIL'!$C124,'SBR Feb12'!$K$4:$K$90)</f>
        <v>0</v>
      </c>
      <c r="BE124" s="232">
        <f ca="1">SUMIF('SBR Feb12'!$D$4:$S$90,'Apr11-Mar12 Billed-RETAIL'!$C124,'SBR Feb12'!$L$4:$L$90)</f>
        <v>0</v>
      </c>
    </row>
    <row r="125" spans="1:58" ht="15" customHeight="1" x14ac:dyDescent="0.25">
      <c r="A125" s="196">
        <f t="shared" si="58"/>
        <v>120</v>
      </c>
      <c r="B125" s="211">
        <v>40940</v>
      </c>
      <c r="C125" s="211" t="str">
        <f>+'Retail Rates'!B28</f>
        <v>LGRSG840</v>
      </c>
      <c r="D125" s="197" t="str">
        <f>MID(C125,6,3)</f>
        <v>840</v>
      </c>
      <c r="E125" s="197" t="str">
        <f>VLOOKUP(C125,'Retail Rates'!$B$7:$D$35,3,FALSE)</f>
        <v>RGS</v>
      </c>
      <c r="F125" s="222">
        <f>SUMIFS('Data-Retail'!$G$4:$G$269,'Data-Retail'!$A$4:$A$269,'Apr11-Mar12 Billed-RETAIL'!$B125,'Data-Retail'!$D$4:$D$269,'Apr11-Mar12 Billed-RETAIL'!$C125)</f>
        <v>4</v>
      </c>
      <c r="G125" s="222"/>
      <c r="H125" s="222"/>
      <c r="I125" s="222">
        <f>SUMIFS('Data-Retail'!$H$4:$H$269,'Data-Retail'!$A$4:$A$269,'Apr11-Mar12 Billed-RETAIL'!$B125,'Data-Retail'!$D$4:$D$269,'Apr11-Mar12 Billed-RETAIL'!$C125)</f>
        <v>2659</v>
      </c>
      <c r="J125" s="222">
        <f>SUMIFS('Data-Retail'!$I$4:$I$269,'Data-Retail'!$A$4:$A$269,'Apr11-Mar12 Billed-RETAIL'!$B125,'Data-Retail'!$D$4:$D$269,'Apr11-Mar12 Billed-RETAIL'!$C125)</f>
        <v>0</v>
      </c>
      <c r="K125" s="222"/>
      <c r="L125" s="223">
        <f>VLOOKUP($C125,'Retail Rates'!$B$7:$M$35,5,FALSE)</f>
        <v>12.5</v>
      </c>
      <c r="M125" s="223">
        <f>VLOOKUP($C125,'Retail Rates'!$B$7:$M$35,6,FALSE)</f>
        <v>0</v>
      </c>
      <c r="N125" s="224">
        <f>VLOOKUP($C125,'Retail Rates'!$B$7:$M$35,7,FALSE)</f>
        <v>0.22395999999999999</v>
      </c>
      <c r="O125" s="224">
        <f>VLOOKUP($C125,'Retail Rates'!$B$7:$M$35,8,FALSE)</f>
        <v>0</v>
      </c>
      <c r="P125" s="224">
        <f>VLOOKUP($B125,'GSC-DSM Factors'!$A$1:$B$46,2,FALSE)</f>
        <v>0.47422999999999998</v>
      </c>
      <c r="Q125" s="223">
        <f>VLOOKUP($C125,'Retail Rates'!$B$7:$M$35,9,FALSE)</f>
        <v>0</v>
      </c>
      <c r="R125" s="224">
        <f>VLOOKUP($C125,'Retail Rates'!$B$7:$M$35,10,FALSE)</f>
        <v>0</v>
      </c>
      <c r="S125" s="223">
        <f>VLOOKUP($C125,'Retail Rates'!$B$7:$M$35,11,FALSE)</f>
        <v>0</v>
      </c>
      <c r="T125" s="223"/>
      <c r="U125" s="225">
        <f t="shared" si="83"/>
        <v>50</v>
      </c>
      <c r="V125" s="225"/>
      <c r="W125" s="225"/>
      <c r="X125" s="225">
        <f>+I125*N125</f>
        <v>595.50963999999999</v>
      </c>
      <c r="Y125" s="225">
        <f t="shared" si="89"/>
        <v>0</v>
      </c>
      <c r="Z125" s="225">
        <f t="shared" si="95"/>
        <v>1260.97757</v>
      </c>
      <c r="AA125" s="225"/>
      <c r="AB125" s="225"/>
      <c r="AC125" s="225"/>
      <c r="AD125" s="225"/>
      <c r="AE125" s="244">
        <f>SUMIFS(Adjustments!H$5:H$684,Adjustments!$B$5:$B$684,'Apr11-Mar12 Billed-RETAIL'!$B125,Adjustments!$C$5:$C$684,'Apr11-Mar12 Billed-RETAIL'!$C125)</f>
        <v>0</v>
      </c>
      <c r="AF125" s="244">
        <f>SUMIFS(Adjustments!I$5:I$684,Adjustments!$B$5:$B$684,'Apr11-Mar12 Billed-RETAIL'!$B125,Adjustments!$C$5:$C$684,'Apr11-Mar12 Billed-RETAIL'!$C125)</f>
        <v>0</v>
      </c>
      <c r="AG125" s="238">
        <f>SUMIFS(Adjustments!J$5:J$684,Adjustments!$B$5:$B$684,'Apr11-Mar12 Billed-RETAIL'!$B125,Adjustments!$C$5:$C$684,'Apr11-Mar12 Billed-RETAIL'!$C125)</f>
        <v>0</v>
      </c>
      <c r="AH125" s="238">
        <f>SUMIFS(Adjustments!K$5:K$684,Adjustments!$B$5:$B$684,'Apr11-Mar12 Billed-RETAIL'!$B125,Adjustments!$C$5:$C$684,'Apr11-Mar12 Billed-RETAIL'!$C125)</f>
        <v>0</v>
      </c>
      <c r="AI125" s="238">
        <f>SUMIFS(Adjustments!L$5:L$684,Adjustments!$B$5:$B$684,'Apr11-Mar12 Billed-RETAIL'!$B125,Adjustments!$C$5:$C$684,'Apr11-Mar12 Billed-RETAIL'!$C125)</f>
        <v>0</v>
      </c>
      <c r="AJ125" s="238">
        <f>SUMIFS(Adjustments!M$5:M$684,Adjustments!$B$5:$B$684,'Apr11-Mar12 Billed-RETAIL'!$B125,Adjustments!$C$5:$C$684,'Apr11-Mar12 Billed-RETAIL'!$C125)</f>
        <v>0</v>
      </c>
      <c r="AK125" s="238">
        <f>SUMIFS(Adjustments!N$5:N$684,Adjustments!$B$5:$B$684,'Apr11-Mar12 Billed-RETAIL'!$B125,Adjustments!$C$5:$C$684,'Apr11-Mar12 Billed-RETAIL'!$C125)</f>
        <v>0</v>
      </c>
      <c r="AL125" s="238">
        <f>SUMIFS(Adjustments!O$5:O$684,Adjustments!$B$5:$B$684,'Apr11-Mar12 Billed-RETAIL'!$B125,Adjustments!$C$5:$C$684,'Apr11-Mar12 Billed-RETAIL'!$C125)</f>
        <v>0</v>
      </c>
      <c r="AM125" s="238">
        <f>SUMIFS(Adjustments!P$5:P$684,Adjustments!$B$5:$B$684,'Apr11-Mar12 Billed-RETAIL'!$B125,Adjustments!$C$5:$C$684,'Apr11-Mar12 Billed-RETAIL'!$C125)</f>
        <v>0</v>
      </c>
      <c r="AN125" s="225">
        <f t="shared" si="86"/>
        <v>50</v>
      </c>
      <c r="AO125" s="225">
        <f t="shared" si="96"/>
        <v>0</v>
      </c>
      <c r="AP125" s="225">
        <f t="shared" si="97"/>
        <v>595.50963999999999</v>
      </c>
      <c r="AQ125" s="225">
        <f t="shared" si="98"/>
        <v>0</v>
      </c>
      <c r="AR125" s="232">
        <f ca="1">SUMIF('SBR Feb12'!$D$4:$S$90,'Apr11-Mar12 Billed-RETAIL'!$C125,'SBR Feb12'!$N$4:$N$90)</f>
        <v>1311.9</v>
      </c>
      <c r="AS125" s="232">
        <f ca="1">SUMIF('SBR Feb12'!$D$4:$S$90,'Apr11-Mar12 Billed-RETAIL'!$C125,'SBR Feb12'!$M$4:$M$90)</f>
        <v>68.23</v>
      </c>
      <c r="AT125" s="232">
        <f ca="1">SUMIF('SBR Feb12'!$D$4:$S$90,'Apr11-Mar12 Billed-RETAIL'!$C125,'SBR Feb12'!$O$4:$O$90)</f>
        <v>72.509999999999991</v>
      </c>
      <c r="AU125" s="225">
        <f t="shared" si="99"/>
        <v>0</v>
      </c>
      <c r="AV125" s="225"/>
      <c r="AW125" s="232">
        <f t="shared" ca="1" si="91"/>
        <v>2098.15</v>
      </c>
      <c r="AX125" s="232">
        <f t="shared" ca="1" si="85"/>
        <v>2098.15</v>
      </c>
      <c r="AY125" s="233">
        <f t="shared" ca="1" si="94"/>
        <v>1</v>
      </c>
      <c r="AZ125" s="232">
        <f ca="1">SUMIF('SBR Feb12'!$D$4:$S$90,'Apr11-Mar12 Billed-RETAIL'!$C125,'SBR Feb12'!$M$4:$M$90)</f>
        <v>68.23</v>
      </c>
      <c r="BA125" s="232">
        <f ca="1">SUMIF('SBR Feb12'!$D$4:$S$90,'Apr11-Mar12 Billed-RETAIL'!$C125,'SBR Feb12'!$N$4:$N$90)</f>
        <v>1311.9</v>
      </c>
      <c r="BB125" s="232">
        <f ca="1">SUMIF('SBR Feb12'!$D$4:$S$90,'Apr11-Mar12 Billed-RETAIL'!$C125,'SBR Feb12'!$O$4:$O$90)</f>
        <v>72.509999999999991</v>
      </c>
      <c r="BC125" s="232">
        <f ca="1">SUMIF('SBR Feb12'!$D$4:$S$90,'Apr11-Mar12 Billed-RETAIL'!$C125,'SBR Feb12'!$Q$4:$Q$90)</f>
        <v>0</v>
      </c>
      <c r="BD125" s="232">
        <f ca="1">SUMIF('SBR Feb12'!$D$4:$S$90,'Apr11-Mar12 Billed-RETAIL'!$C125,'SBR Feb12'!$K$4:$K$90)</f>
        <v>50</v>
      </c>
      <c r="BE125" s="232">
        <f ca="1">SUMIF('SBR Feb12'!$D$4:$S$90,'Apr11-Mar12 Billed-RETAIL'!$C125,'SBR Feb12'!$L$4:$L$90)</f>
        <v>595.51</v>
      </c>
    </row>
    <row r="126" spans="1:58" ht="15" customHeight="1" x14ac:dyDescent="0.25">
      <c r="A126" s="196">
        <f t="shared" si="58"/>
        <v>121</v>
      </c>
      <c r="B126" s="211">
        <v>40940</v>
      </c>
      <c r="C126" s="211" t="str">
        <f>+'Retail Rates'!B29</f>
        <v>LGUMG830</v>
      </c>
      <c r="D126" s="197" t="str">
        <f>MID(C126,6,3)</f>
        <v>830</v>
      </c>
      <c r="E126" s="197" t="str">
        <f>VLOOKUP(C126,'Retail Rates'!$B$7:$D$35,3,FALSE)</f>
        <v>RGS</v>
      </c>
      <c r="F126" s="222">
        <f>SUMIFS('Data-Retail'!$G$4:$G$269,'Data-Retail'!$A$4:$A$269,'Apr11-Mar12 Billed-RETAIL'!$B126,'Data-Retail'!$D$4:$D$269,'Apr11-Mar12 Billed-RETAIL'!$C126)</f>
        <v>1</v>
      </c>
      <c r="G126" s="222"/>
      <c r="H126" s="222"/>
      <c r="I126" s="222">
        <f>SUMIFS('Data-Retail'!$H$4:$H$269,'Data-Retail'!$A$4:$A$269,'Apr11-Mar12 Billed-RETAIL'!$B126,'Data-Retail'!$D$4:$D$269,'Apr11-Mar12 Billed-RETAIL'!$C126)</f>
        <v>32</v>
      </c>
      <c r="J126" s="222">
        <f>SUMIFS('Data-Retail'!$I$4:$I$269,'Data-Retail'!$A$4:$A$269,'Apr11-Mar12 Billed-RETAIL'!$B126,'Data-Retail'!$D$4:$D$269,'Apr11-Mar12 Billed-RETAIL'!$C126)</f>
        <v>0</v>
      </c>
      <c r="K126" s="222"/>
      <c r="L126" s="223">
        <f>VLOOKUP($C126,'Retail Rates'!$B$7:$M$35,5,FALSE)</f>
        <v>12.5</v>
      </c>
      <c r="M126" s="223">
        <f>VLOOKUP($C126,'Retail Rates'!$B$7:$M$35,6,FALSE)</f>
        <v>0</v>
      </c>
      <c r="N126" s="224">
        <f>VLOOKUP($C126,'Retail Rates'!$B$7:$M$35,7,FALSE)</f>
        <v>0.22395999999999999</v>
      </c>
      <c r="O126" s="224">
        <f>VLOOKUP($C126,'Retail Rates'!$B$7:$M$35,8,FALSE)</f>
        <v>0</v>
      </c>
      <c r="P126" s="224">
        <f>VLOOKUP($B126,'GSC-DSM Factors'!$A$1:$B$46,2,FALSE)</f>
        <v>0.47422999999999998</v>
      </c>
      <c r="Q126" s="223">
        <f>VLOOKUP($C126,'Retail Rates'!$B$7:$M$35,9,FALSE)</f>
        <v>0</v>
      </c>
      <c r="R126" s="224">
        <f>VLOOKUP($C126,'Retail Rates'!$B$7:$M$35,10,FALSE)</f>
        <v>0</v>
      </c>
      <c r="S126" s="223">
        <f>VLOOKUP($C126,'Retail Rates'!$B$7:$M$35,11,FALSE)</f>
        <v>0</v>
      </c>
      <c r="T126" s="223"/>
      <c r="U126" s="225">
        <f t="shared" si="83"/>
        <v>12.5</v>
      </c>
      <c r="V126" s="225"/>
      <c r="W126" s="225"/>
      <c r="X126" s="225">
        <f>+I126*N126</f>
        <v>7.1667199999999998</v>
      </c>
      <c r="Y126" s="225">
        <f t="shared" si="89"/>
        <v>0</v>
      </c>
      <c r="Z126" s="225">
        <f t="shared" si="95"/>
        <v>15.17536</v>
      </c>
      <c r="AA126" s="225"/>
      <c r="AB126" s="225"/>
      <c r="AC126" s="225"/>
      <c r="AD126" s="225"/>
      <c r="AE126" s="244">
        <f>SUMIFS(Adjustments!H$5:H$684,Adjustments!$B$5:$B$684,'Apr11-Mar12 Billed-RETAIL'!$B126,Adjustments!$C$5:$C$684,'Apr11-Mar12 Billed-RETAIL'!$C126)</f>
        <v>1</v>
      </c>
      <c r="AF126" s="244">
        <f>SUMIFS(Adjustments!I$5:I$684,Adjustments!$B$5:$B$684,'Apr11-Mar12 Billed-RETAIL'!$B126,Adjustments!$C$5:$C$684,'Apr11-Mar12 Billed-RETAIL'!$C126)</f>
        <v>0</v>
      </c>
      <c r="AG126" s="238">
        <f>SUMIFS(Adjustments!J$5:J$684,Adjustments!$B$5:$B$684,'Apr11-Mar12 Billed-RETAIL'!$B126,Adjustments!$C$5:$C$684,'Apr11-Mar12 Billed-RETAIL'!$C126)</f>
        <v>0</v>
      </c>
      <c r="AH126" s="238">
        <f>SUMIFS(Adjustments!K$5:K$684,Adjustments!$B$5:$B$684,'Apr11-Mar12 Billed-RETAIL'!$B126,Adjustments!$C$5:$C$684,'Apr11-Mar12 Billed-RETAIL'!$C126)</f>
        <v>0</v>
      </c>
      <c r="AI126" s="238">
        <f>SUMIFS(Adjustments!L$5:L$684,Adjustments!$B$5:$B$684,'Apr11-Mar12 Billed-RETAIL'!$B126,Adjustments!$C$5:$C$684,'Apr11-Mar12 Billed-RETAIL'!$C126)</f>
        <v>0</v>
      </c>
      <c r="AJ126" s="238">
        <f>SUMIFS(Adjustments!M$5:M$684,Adjustments!$B$5:$B$684,'Apr11-Mar12 Billed-RETAIL'!$B126,Adjustments!$C$5:$C$684,'Apr11-Mar12 Billed-RETAIL'!$C126)</f>
        <v>0</v>
      </c>
      <c r="AK126" s="238">
        <f>SUMIFS(Adjustments!N$5:N$684,Adjustments!$B$5:$B$684,'Apr11-Mar12 Billed-RETAIL'!$B126,Adjustments!$C$5:$C$684,'Apr11-Mar12 Billed-RETAIL'!$C126)</f>
        <v>0</v>
      </c>
      <c r="AL126" s="238">
        <f>SUMIFS(Adjustments!O$5:O$684,Adjustments!$B$5:$B$684,'Apr11-Mar12 Billed-RETAIL'!$B126,Adjustments!$C$5:$C$684,'Apr11-Mar12 Billed-RETAIL'!$C126)</f>
        <v>0</v>
      </c>
      <c r="AM126" s="238">
        <f>SUMIFS(Adjustments!P$5:P$684,Adjustments!$B$5:$B$684,'Apr11-Mar12 Billed-RETAIL'!$B126,Adjustments!$C$5:$C$684,'Apr11-Mar12 Billed-RETAIL'!$C126)</f>
        <v>0</v>
      </c>
      <c r="AN126" s="225">
        <f t="shared" si="86"/>
        <v>25</v>
      </c>
      <c r="AO126" s="225">
        <f t="shared" si="96"/>
        <v>0</v>
      </c>
      <c r="AP126" s="225">
        <f t="shared" si="97"/>
        <v>7.1667199999999998</v>
      </c>
      <c r="AQ126" s="225">
        <f t="shared" si="98"/>
        <v>0</v>
      </c>
      <c r="AR126" s="232">
        <f ca="1">SUMIF('SBR Feb12'!$D$4:$S$90,'Apr11-Mar12 Billed-RETAIL'!$C126,'SBR Feb12'!$N$4:$N$90)</f>
        <v>15.51</v>
      </c>
      <c r="AS126" s="232">
        <f ca="1">SUMIF('SBR Feb12'!$D$4:$S$90,'Apr11-Mar12 Billed-RETAIL'!$C126,'SBR Feb12'!$M$4:$M$90)</f>
        <v>0.82</v>
      </c>
      <c r="AT126" s="232">
        <f ca="1">SUMIF('SBR Feb12'!$D$4:$S$90,'Apr11-Mar12 Billed-RETAIL'!$C126,'SBR Feb12'!$O$4:$O$90)</f>
        <v>0</v>
      </c>
      <c r="AU126" s="225">
        <f t="shared" si="99"/>
        <v>0</v>
      </c>
      <c r="AV126" s="225"/>
      <c r="AW126" s="232">
        <f t="shared" ca="1" si="91"/>
        <v>48.5</v>
      </c>
      <c r="AX126" s="232">
        <f t="shared" ca="1" si="85"/>
        <v>48.5</v>
      </c>
      <c r="AY126" s="233">
        <f t="shared" ca="1" si="94"/>
        <v>1</v>
      </c>
      <c r="AZ126" s="232">
        <f ca="1">SUMIF('SBR Feb12'!$D$4:$S$90,'Apr11-Mar12 Billed-RETAIL'!$C126,'SBR Feb12'!$M$4:$M$90)</f>
        <v>0.82</v>
      </c>
      <c r="BA126" s="232">
        <f ca="1">SUMIF('SBR Feb12'!$D$4:$S$90,'Apr11-Mar12 Billed-RETAIL'!$C126,'SBR Feb12'!$N$4:$N$90)</f>
        <v>15.51</v>
      </c>
      <c r="BB126" s="232">
        <f ca="1">SUMIF('SBR Feb12'!$D$4:$S$90,'Apr11-Mar12 Billed-RETAIL'!$C126,'SBR Feb12'!$O$4:$O$90)</f>
        <v>0</v>
      </c>
      <c r="BC126" s="232">
        <f ca="1">SUMIF('SBR Feb12'!$D$4:$S$90,'Apr11-Mar12 Billed-RETAIL'!$C126,'SBR Feb12'!$Q$4:$Q$90)</f>
        <v>0</v>
      </c>
      <c r="BD126" s="232">
        <f ca="1">SUMIF('SBR Feb12'!$D$4:$S$90,'Apr11-Mar12 Billed-RETAIL'!$C126,'SBR Feb12'!$K$4:$K$90)</f>
        <v>25</v>
      </c>
      <c r="BE126" s="232">
        <f ca="1">SUMIF('SBR Feb12'!$D$4:$S$90,'Apr11-Mar12 Billed-RETAIL'!$C126,'SBR Feb12'!$L$4:$L$90)</f>
        <v>7.17</v>
      </c>
    </row>
    <row r="127" spans="1:58" ht="15" customHeight="1" x14ac:dyDescent="0.25">
      <c r="A127" s="196">
        <f t="shared" si="58"/>
        <v>122</v>
      </c>
      <c r="B127" s="211">
        <v>40969</v>
      </c>
      <c r="C127" s="211" t="str">
        <f>+'Retail Rates'!B7</f>
        <v>LGCMG865</v>
      </c>
      <c r="D127" s="197" t="str">
        <f>MID(C127,6,3)</f>
        <v>865</v>
      </c>
      <c r="E127" s="197" t="str">
        <f>VLOOKUP(C127,'Retail Rates'!$B$7:$D$35,3,FALSE)</f>
        <v>AAGS-C</v>
      </c>
      <c r="F127" s="222">
        <f>SUMIFS('Data-Retail'!$G$4:$G$269,'Data-Retail'!$A$4:$A$269,'Apr11-Mar12 Billed-RETAIL'!$B127,'Data-Retail'!$D$4:$D$269,'Apr11-Mar12 Billed-RETAIL'!$C127)</f>
        <v>5</v>
      </c>
      <c r="G127" s="222"/>
      <c r="H127" s="222"/>
      <c r="I127" s="222">
        <f>SUMIFS('Data-Retail'!$H$4:$H$269,'Data-Retail'!$A$4:$A$269,'Apr11-Mar12 Billed-RETAIL'!$B127,'Data-Retail'!$D$4:$D$269,'Apr11-Mar12 Billed-RETAIL'!$C127)</f>
        <v>104356</v>
      </c>
      <c r="J127" s="222">
        <f>SUMIFS('Data-Retail'!$I$4:$I$269,'Data-Retail'!$A$4:$A$269,'Apr11-Mar12 Billed-RETAIL'!$B127,'Data-Retail'!$D$4:$D$269,'Apr11-Mar12 Billed-RETAIL'!$C127)</f>
        <v>0</v>
      </c>
      <c r="K127" s="222"/>
      <c r="L127" s="223">
        <f>VLOOKUP($C127,'Retail Rates'!$B$7:$M$35,5,FALSE)</f>
        <v>275</v>
      </c>
      <c r="M127" s="223">
        <f>VLOOKUP($C127,'Retail Rates'!$B$7:$M$35,6,FALSE)</f>
        <v>0</v>
      </c>
      <c r="N127" s="224">
        <f>VLOOKUP($C127,'Retail Rates'!$B$7:$M$35,7,FALSE)</f>
        <v>5.2519999999999997E-2</v>
      </c>
      <c r="O127" s="224">
        <f>VLOOKUP($C127,'Retail Rates'!$B$7:$M$35,8,FALSE)</f>
        <v>0</v>
      </c>
      <c r="P127" s="224">
        <f>VLOOKUP($B127,'GSC-DSM Factors'!$A$1:$B$46,2,FALSE)</f>
        <v>0.47422999999999998</v>
      </c>
      <c r="Q127" s="223">
        <f>VLOOKUP($C127,'Retail Rates'!$B$7:$M$35,9,FALSE)</f>
        <v>0</v>
      </c>
      <c r="R127" s="224">
        <f>VLOOKUP($C127,'Retail Rates'!$B$7:$M$35,10,FALSE)</f>
        <v>0</v>
      </c>
      <c r="S127" s="223">
        <f>VLOOKUP($C127,'Retail Rates'!$B$7:$M$35,11,FALSE)</f>
        <v>0</v>
      </c>
      <c r="T127" s="223"/>
      <c r="U127" s="225">
        <f t="shared" si="83"/>
        <v>1375</v>
      </c>
      <c r="V127" s="225"/>
      <c r="W127" s="225"/>
      <c r="X127" s="225">
        <f t="shared" ref="X127:X132" si="100">+I127*N127</f>
        <v>5480.7771199999997</v>
      </c>
      <c r="Y127" s="225">
        <f t="shared" si="89"/>
        <v>0</v>
      </c>
      <c r="Z127" s="225">
        <f>SUM(I127:J127)*P127</f>
        <v>49488.745879999995</v>
      </c>
      <c r="AA127" s="225"/>
      <c r="AB127" s="225"/>
      <c r="AC127" s="225"/>
      <c r="AD127" s="225"/>
      <c r="AE127" s="244">
        <f>SUMIFS(Adjustments!H$5:H$684,Adjustments!$B$5:$B$684,'Apr11-Mar12 Billed-RETAIL'!$B127,Adjustments!$C$5:$C$684,'Apr11-Mar12 Billed-RETAIL'!$C127)</f>
        <v>0</v>
      </c>
      <c r="AF127" s="244">
        <f>SUMIFS(Adjustments!I$5:I$684,Adjustments!$B$5:$B$684,'Apr11-Mar12 Billed-RETAIL'!$B127,Adjustments!$C$5:$C$684,'Apr11-Mar12 Billed-RETAIL'!$C127)</f>
        <v>0</v>
      </c>
      <c r="AG127" s="238">
        <f>SUMIFS(Adjustments!J$5:J$684,Adjustments!$B$5:$B$684,'Apr11-Mar12 Billed-RETAIL'!$B127,Adjustments!$C$5:$C$684,'Apr11-Mar12 Billed-RETAIL'!$C127)</f>
        <v>0</v>
      </c>
      <c r="AH127" s="238">
        <f>SUMIFS(Adjustments!K$5:K$684,Adjustments!$B$5:$B$684,'Apr11-Mar12 Billed-RETAIL'!$B127,Adjustments!$C$5:$C$684,'Apr11-Mar12 Billed-RETAIL'!$C127)</f>
        <v>0</v>
      </c>
      <c r="AI127" s="238">
        <f>SUMIFS(Adjustments!L$5:L$684,Adjustments!$B$5:$B$684,'Apr11-Mar12 Billed-RETAIL'!$B127,Adjustments!$C$5:$C$684,'Apr11-Mar12 Billed-RETAIL'!$C127)</f>
        <v>0</v>
      </c>
      <c r="AJ127" s="238">
        <f>SUMIFS(Adjustments!M$5:M$684,Adjustments!$B$5:$B$684,'Apr11-Mar12 Billed-RETAIL'!$B127,Adjustments!$C$5:$C$684,'Apr11-Mar12 Billed-RETAIL'!$C127)</f>
        <v>0</v>
      </c>
      <c r="AK127" s="238">
        <f>SUMIFS(Adjustments!N$5:N$684,Adjustments!$B$5:$B$684,'Apr11-Mar12 Billed-RETAIL'!$B127,Adjustments!$C$5:$C$684,'Apr11-Mar12 Billed-RETAIL'!$C127)</f>
        <v>0</v>
      </c>
      <c r="AL127" s="238">
        <f>SUMIFS(Adjustments!O$5:O$684,Adjustments!$B$5:$B$684,'Apr11-Mar12 Billed-RETAIL'!$B127,Adjustments!$C$5:$C$684,'Apr11-Mar12 Billed-RETAIL'!$C127)</f>
        <v>0</v>
      </c>
      <c r="AM127" s="238">
        <f>SUMIFS(Adjustments!P$5:P$684,Adjustments!$B$5:$B$684,'Apr11-Mar12 Billed-RETAIL'!$B127,Adjustments!$C$5:$C$684,'Apr11-Mar12 Billed-RETAIL'!$C127)</f>
        <v>0</v>
      </c>
      <c r="AN127" s="225">
        <f t="shared" si="86"/>
        <v>1375</v>
      </c>
      <c r="AO127" s="225">
        <f t="shared" si="96"/>
        <v>0</v>
      </c>
      <c r="AP127" s="225">
        <f t="shared" si="97"/>
        <v>5480.7771199999997</v>
      </c>
      <c r="AQ127" s="225">
        <f t="shared" si="98"/>
        <v>0</v>
      </c>
      <c r="AR127" s="232">
        <f ca="1">SUMIF('SBR Mar12'!$D$4:$S$90,'Apr11-Mar12 Billed-RETAIL'!$C127,'SBR Mar12'!$N$4:$N$90)</f>
        <v>49488.74</v>
      </c>
      <c r="AS127" s="232">
        <f ca="1">SUMIF('SBR Mar12'!$D$4:$S$90,'Apr11-Mar12 Billed-RETAIL'!$C127,'SBR Mar12'!$M$4:$M$90)</f>
        <v>121.05000000000001</v>
      </c>
      <c r="AT127" s="232">
        <f ca="1">SUMIF('SBR Mar12'!$D$4:$S$90,'Apr11-Mar12 Billed-RETAIL'!$C127,'SBR Mar12'!$P$4:$P$90)</f>
        <v>0</v>
      </c>
      <c r="AU127" s="225">
        <f t="shared" si="99"/>
        <v>0</v>
      </c>
      <c r="AV127" s="225"/>
      <c r="AW127" s="232">
        <f t="shared" ca="1" si="91"/>
        <v>56465.57</v>
      </c>
      <c r="AX127" s="232">
        <f t="shared" ca="1" si="85"/>
        <v>56465.56</v>
      </c>
      <c r="AY127" s="233">
        <f t="shared" ca="1" si="94"/>
        <v>1</v>
      </c>
      <c r="AZ127" s="232">
        <f ca="1">SUMIF('SBR Mar12'!$D$4:$S$90,'Apr11-Mar12 Billed-RETAIL'!$C127,'SBR Mar12'!$M$4:$M$90)</f>
        <v>121.05000000000001</v>
      </c>
      <c r="BA127" s="232">
        <f ca="1">SUMIF('SBR Mar12'!$D$4:$S$90,'Apr11-Mar12 Billed-RETAIL'!$C127,'SBR Mar12'!$N$4:$N$90)</f>
        <v>49488.74</v>
      </c>
      <c r="BB127" s="232">
        <f ca="1">SUMIF('SBR Mar12'!$D$4:$S$90,'Apr11-Mar12 Billed-RETAIL'!$C127,'SBR Mar12'!$P$4:$P$90)</f>
        <v>0</v>
      </c>
      <c r="BC127" s="232">
        <f ca="1">SUMIF('SBR Mar12'!$D$4:$S$90,'Apr11-Mar12 Billed-RETAIL'!$C127,'SBR Mar12'!$Q$4:$Q$90)</f>
        <v>0</v>
      </c>
      <c r="BD127" s="232">
        <f ca="1">SUMIF('SBR Mar12'!$D$4:$S$90,'Apr11-Mar12 Billed-RETAIL'!$C127,'SBR Mar12'!$K$4:$K$90)</f>
        <v>1375</v>
      </c>
      <c r="BE127" s="232">
        <f ca="1">SUMIF('SBR Mar12'!$D$4:$S$90,'Apr11-Mar12 Billed-RETAIL'!$C127,'SBR Mar12'!$L$4:$L$90)</f>
        <v>5480.77</v>
      </c>
    </row>
    <row r="128" spans="1:58" ht="15" customHeight="1" x14ac:dyDescent="0.25">
      <c r="A128" s="196">
        <f t="shared" si="58"/>
        <v>123</v>
      </c>
      <c r="B128" s="211">
        <v>40969</v>
      </c>
      <c r="C128" s="211" t="str">
        <f>+'Retail Rates'!B10</f>
        <v>LGING866</v>
      </c>
      <c r="D128" s="197" t="str">
        <f t="shared" ref="D128:D137" si="101">MID(C128,6,3)</f>
        <v>866</v>
      </c>
      <c r="E128" s="197" t="str">
        <f>VLOOKUP(C128,'Retail Rates'!$B$7:$D$35,3,FALSE)</f>
        <v>AAGS-I</v>
      </c>
      <c r="F128" s="222">
        <f>SUMIFS('Data-Retail'!$G$4:$G$269,'Data-Retail'!$A$4:$A$269,'Apr11-Mar12 Billed-RETAIL'!$B128,'Data-Retail'!$D$4:$D$269,'Apr11-Mar12 Billed-RETAIL'!$C128)</f>
        <v>9</v>
      </c>
      <c r="G128" s="222"/>
      <c r="H128" s="222"/>
      <c r="I128" s="222">
        <f>SUMIFS('Data-Retail'!$H$4:$H$269,'Data-Retail'!$A$4:$A$269,'Apr11-Mar12 Billed-RETAIL'!$B128,'Data-Retail'!$D$4:$D$269,'Apr11-Mar12 Billed-RETAIL'!$C128)</f>
        <v>189840</v>
      </c>
      <c r="J128" s="222">
        <f>SUMIFS('Data-Retail'!$I$4:$I$269,'Data-Retail'!$A$4:$A$269,'Apr11-Mar12 Billed-RETAIL'!$B128,'Data-Retail'!$D$4:$D$269,'Apr11-Mar12 Billed-RETAIL'!$C128)</f>
        <v>0</v>
      </c>
      <c r="K128" s="222"/>
      <c r="L128" s="223">
        <f>VLOOKUP($C128,'Retail Rates'!$B$7:$M$35,5,FALSE)</f>
        <v>275</v>
      </c>
      <c r="M128" s="223">
        <f>VLOOKUP($C128,'Retail Rates'!$B$7:$M$35,6,FALSE)</f>
        <v>0</v>
      </c>
      <c r="N128" s="224">
        <f>VLOOKUP($C128,'Retail Rates'!$B$7:$M$35,7,FALSE)</f>
        <v>5.2519999999999997E-2</v>
      </c>
      <c r="O128" s="224">
        <f>VLOOKUP($C128,'Retail Rates'!$B$7:$M$35,8,FALSE)</f>
        <v>0</v>
      </c>
      <c r="P128" s="224">
        <f>VLOOKUP($B128,'GSC-DSM Factors'!$A$1:$B$46,2,FALSE)</f>
        <v>0.47422999999999998</v>
      </c>
      <c r="Q128" s="223">
        <f>VLOOKUP($C128,'Retail Rates'!$B$7:$M$35,9,FALSE)</f>
        <v>0</v>
      </c>
      <c r="R128" s="224">
        <f>VLOOKUP($C128,'Retail Rates'!$B$7:$M$35,10,FALSE)</f>
        <v>0</v>
      </c>
      <c r="S128" s="223">
        <f>VLOOKUP($C128,'Retail Rates'!$B$7:$M$35,11,FALSE)</f>
        <v>0</v>
      </c>
      <c r="T128" s="223"/>
      <c r="U128" s="225">
        <f t="shared" ref="U128:U137" si="102">(+F128*L128)+(G128*L128)</f>
        <v>2475</v>
      </c>
      <c r="V128" s="225"/>
      <c r="W128" s="225"/>
      <c r="X128" s="225">
        <f t="shared" si="100"/>
        <v>9970.3967999999986</v>
      </c>
      <c r="Y128" s="225">
        <f t="shared" si="89"/>
        <v>0</v>
      </c>
      <c r="Z128" s="225">
        <f>SUM(I128:J128)*P128</f>
        <v>90027.823199999999</v>
      </c>
      <c r="AA128" s="225"/>
      <c r="AB128" s="225"/>
      <c r="AC128" s="225"/>
      <c r="AD128" s="225"/>
      <c r="AE128" s="244">
        <f>SUMIFS(Adjustments!H$5:H$684,Adjustments!$B$5:$B$684,'Apr11-Mar12 Billed-RETAIL'!$B128,Adjustments!$C$5:$C$684,'Apr11-Mar12 Billed-RETAIL'!$C128)</f>
        <v>0</v>
      </c>
      <c r="AF128" s="244">
        <f>SUMIFS(Adjustments!I$5:I$684,Adjustments!$B$5:$B$684,'Apr11-Mar12 Billed-RETAIL'!$B128,Adjustments!$C$5:$C$684,'Apr11-Mar12 Billed-RETAIL'!$C128)</f>
        <v>0</v>
      </c>
      <c r="AG128" s="238">
        <f>SUMIFS(Adjustments!J$5:J$684,Adjustments!$B$5:$B$684,'Apr11-Mar12 Billed-RETAIL'!$B128,Adjustments!$C$5:$C$684,'Apr11-Mar12 Billed-RETAIL'!$C128)</f>
        <v>0</v>
      </c>
      <c r="AH128" s="238">
        <f>SUMIFS(Adjustments!K$5:K$684,Adjustments!$B$5:$B$684,'Apr11-Mar12 Billed-RETAIL'!$B128,Adjustments!$C$5:$C$684,'Apr11-Mar12 Billed-RETAIL'!$C128)</f>
        <v>0</v>
      </c>
      <c r="AI128" s="238">
        <f>SUMIFS(Adjustments!L$5:L$684,Adjustments!$B$5:$B$684,'Apr11-Mar12 Billed-RETAIL'!$B128,Adjustments!$C$5:$C$684,'Apr11-Mar12 Billed-RETAIL'!$C128)</f>
        <v>0</v>
      </c>
      <c r="AJ128" s="238">
        <f>SUMIFS(Adjustments!M$5:M$684,Adjustments!$B$5:$B$684,'Apr11-Mar12 Billed-RETAIL'!$B128,Adjustments!$C$5:$C$684,'Apr11-Mar12 Billed-RETAIL'!$C128)</f>
        <v>0</v>
      </c>
      <c r="AK128" s="238">
        <f>SUMIFS(Adjustments!N$5:N$684,Adjustments!$B$5:$B$684,'Apr11-Mar12 Billed-RETAIL'!$B128,Adjustments!$C$5:$C$684,'Apr11-Mar12 Billed-RETAIL'!$C128)</f>
        <v>0</v>
      </c>
      <c r="AL128" s="238">
        <f>SUMIFS(Adjustments!O$5:O$684,Adjustments!$B$5:$B$684,'Apr11-Mar12 Billed-RETAIL'!$B128,Adjustments!$C$5:$C$684,'Apr11-Mar12 Billed-RETAIL'!$C128)</f>
        <v>0</v>
      </c>
      <c r="AM128" s="238">
        <f>SUMIFS(Adjustments!P$5:P$684,Adjustments!$B$5:$B$684,'Apr11-Mar12 Billed-RETAIL'!$B128,Adjustments!$C$5:$C$684,'Apr11-Mar12 Billed-RETAIL'!$C128)</f>
        <v>0</v>
      </c>
      <c r="AN128" s="225">
        <f t="shared" si="86"/>
        <v>2475</v>
      </c>
      <c r="AO128" s="225">
        <f t="shared" si="96"/>
        <v>0</v>
      </c>
      <c r="AP128" s="225">
        <f t="shared" si="97"/>
        <v>9970.3967999999986</v>
      </c>
      <c r="AQ128" s="225">
        <f t="shared" si="98"/>
        <v>0</v>
      </c>
      <c r="AR128" s="232">
        <f ca="1">SUMIF('SBR Mar12'!$D$4:$S$90,'Apr11-Mar12 Billed-RETAIL'!$C128,'SBR Mar12'!$N$4:$N$90)</f>
        <v>90027.82</v>
      </c>
      <c r="AS128" s="232">
        <f ca="1">SUMIF('SBR Mar12'!$D$4:$S$90,'Apr11-Mar12 Billed-RETAIL'!$C128,'SBR Mar12'!$M$4:$M$90)</f>
        <v>0</v>
      </c>
      <c r="AT128" s="232">
        <f ca="1">SUMIF('SBR Mar12'!$D$4:$S$90,'Apr11-Mar12 Billed-RETAIL'!$C128,'SBR Mar12'!$P$4:$P$90)</f>
        <v>0</v>
      </c>
      <c r="AU128" s="225">
        <f t="shared" si="99"/>
        <v>0</v>
      </c>
      <c r="AV128" s="225"/>
      <c r="AW128" s="232">
        <f t="shared" ca="1" si="91"/>
        <v>102473.22</v>
      </c>
      <c r="AX128" s="232">
        <f t="shared" ref="AX128:AX137" ca="1" si="103">SUM(AZ128:BF128)-BC128</f>
        <v>102473.21</v>
      </c>
      <c r="AY128" s="233">
        <f t="shared" ref="AY128:AY137" ca="1" si="104">IF(AX128=0,0,ROUND(AX128/AW128,6))</f>
        <v>1</v>
      </c>
      <c r="AZ128" s="232">
        <f ca="1">SUMIF('SBR Mar12'!$D$4:$S$90,'Apr11-Mar12 Billed-RETAIL'!$C128,'SBR Mar12'!$M$4:$M$90)</f>
        <v>0</v>
      </c>
      <c r="BA128" s="232">
        <f ca="1">SUMIF('SBR Mar12'!$D$4:$S$90,'Apr11-Mar12 Billed-RETAIL'!$C128,'SBR Mar12'!$N$4:$N$90)</f>
        <v>90027.82</v>
      </c>
      <c r="BB128" s="232">
        <f ca="1">SUMIF('SBR Mar12'!$D$4:$S$90,'Apr11-Mar12 Billed-RETAIL'!$C128,'SBR Mar12'!$P$4:$P$90)</f>
        <v>0</v>
      </c>
      <c r="BC128" s="232">
        <f ca="1">SUMIF('SBR Mar12'!$D$4:$S$90,'Apr11-Mar12 Billed-RETAIL'!$C128,'SBR Mar12'!$Q$4:$Q$90)</f>
        <v>0</v>
      </c>
      <c r="BD128" s="232">
        <f ca="1">SUMIF('SBR Mar12'!$D$4:$S$90,'Apr11-Mar12 Billed-RETAIL'!$C128,'SBR Mar12'!$K$4:$K$90)</f>
        <v>2475</v>
      </c>
      <c r="BE128" s="232">
        <f ca="1">SUMIF('SBR Mar12'!$D$4:$S$90,'Apr11-Mar12 Billed-RETAIL'!$C128,'SBR Mar12'!$L$4:$L$90)</f>
        <v>9970.3900000000012</v>
      </c>
    </row>
    <row r="129" spans="1:57" ht="15" x14ac:dyDescent="0.25">
      <c r="A129" s="196">
        <f t="shared" si="58"/>
        <v>124</v>
      </c>
      <c r="B129" s="211">
        <v>40969</v>
      </c>
      <c r="C129" s="211" t="str">
        <f>+'Retail Rates'!B13</f>
        <v>LGCMG851</v>
      </c>
      <c r="D129" s="197" t="str">
        <f t="shared" si="101"/>
        <v>851</v>
      </c>
      <c r="E129" s="197" t="str">
        <f>VLOOKUP(C129,'Retail Rates'!$B$7:$D$35,3,FALSE)</f>
        <v>CGS</v>
      </c>
      <c r="F129" s="222"/>
      <c r="G129" s="222">
        <f>SUMIFS(Adjustments!F$5:F$151,Adjustments!$B$5:$B$151,'Apr11-Mar12 Billed-RETAIL'!$B129,Adjustments!$C$5:$C$151,'Apr11-Mar12 Billed-RETAIL'!$C129)</f>
        <v>24166</v>
      </c>
      <c r="H129" s="222">
        <f>SUMIFS(Adjustments!G$5:G$151,Adjustments!$B$5:$B$151,'Apr11-Mar12 Billed-RETAIL'!$B129,Adjustments!$C$5:$C$151,'Apr11-Mar12 Billed-RETAIL'!$C129)</f>
        <v>1068</v>
      </c>
      <c r="I129" s="222">
        <f>SUMIFS('Data-Retail'!$H$4:$H$269,'Data-Retail'!$A$4:$A$269,'Apr11-Mar12 Billed-RETAIL'!$B129,'Data-Retail'!$D$4:$D$269,'Apr11-Mar12 Billed-RETAIL'!$C129)</f>
        <v>11177944</v>
      </c>
      <c r="J129" s="222">
        <f>SUMIFS('Data-Retail'!$I$4:$I$269,'Data-Retail'!$A$4:$A$269,'Apr11-Mar12 Billed-RETAIL'!$B129,'Data-Retail'!$D$4:$D$269,'Apr11-Mar12 Billed-RETAIL'!$C129)</f>
        <v>0</v>
      </c>
      <c r="K129" s="222"/>
      <c r="L129" s="223">
        <f>VLOOKUP($C129,'Retail Rates'!$B$7:$M$35,5,FALSE)</f>
        <v>30</v>
      </c>
      <c r="M129" s="223">
        <f>VLOOKUP($C129,'Retail Rates'!$B$7:$M$35,6,FALSE)</f>
        <v>170</v>
      </c>
      <c r="N129" s="224">
        <f>VLOOKUP($C129,'Retail Rates'!$B$7:$M$35,7,FALSE)</f>
        <v>0.18722</v>
      </c>
      <c r="O129" s="224">
        <f>VLOOKUP($C129,'Retail Rates'!$B$7:$M$35,8,FALSE)</f>
        <v>0.13722000000000001</v>
      </c>
      <c r="P129" s="224">
        <f>VLOOKUP($B129,'GSC-DSM Factors'!$A$1:$B$46,2,FALSE)</f>
        <v>0.47422999999999998</v>
      </c>
      <c r="Q129" s="223">
        <f>VLOOKUP($C129,'Retail Rates'!$B$7:$M$35,9,FALSE)</f>
        <v>0</v>
      </c>
      <c r="R129" s="224">
        <f>VLOOKUP($C129,'Retail Rates'!$B$7:$M$35,10,FALSE)</f>
        <v>0</v>
      </c>
      <c r="S129" s="223">
        <f>VLOOKUP($C129,'Retail Rates'!$B$7:$M$35,11,FALSE)</f>
        <v>0</v>
      </c>
      <c r="T129" s="223"/>
      <c r="U129" s="225">
        <f t="shared" si="102"/>
        <v>724980</v>
      </c>
      <c r="V129" s="225"/>
      <c r="W129" s="225">
        <f>+H129*M129</f>
        <v>181560</v>
      </c>
      <c r="X129" s="225">
        <f t="shared" si="100"/>
        <v>2092734.6756799999</v>
      </c>
      <c r="Y129" s="225">
        <f t="shared" si="89"/>
        <v>0</v>
      </c>
      <c r="Z129" s="225">
        <f>SUM(I129:J129)*P129</f>
        <v>5300916.3831199994</v>
      </c>
      <c r="AA129" s="225"/>
      <c r="AB129" s="225"/>
      <c r="AC129" s="225"/>
      <c r="AD129" s="225"/>
      <c r="AE129" s="244">
        <f>SUMIFS(Adjustments!H$5:H$684,Adjustments!$B$5:$B$684,'Apr11-Mar12 Billed-RETAIL'!$B129,Adjustments!$C$5:$C$684,'Apr11-Mar12 Billed-RETAIL'!$C129)</f>
        <v>0</v>
      </c>
      <c r="AF129" s="244">
        <f>SUMIFS(Adjustments!I$5:I$684,Adjustments!$B$5:$B$684,'Apr11-Mar12 Billed-RETAIL'!$B129,Adjustments!$C$5:$C$684,'Apr11-Mar12 Billed-RETAIL'!$C129)</f>
        <v>0</v>
      </c>
      <c r="AG129" s="238">
        <f>SUMIFS(Adjustments!J$5:J$684,Adjustments!$B$5:$B$684,'Apr11-Mar12 Billed-RETAIL'!$B129,Adjustments!$C$5:$C$684,'Apr11-Mar12 Billed-RETAIL'!$C129)</f>
        <v>40.54</v>
      </c>
      <c r="AH129" s="238">
        <f>SUMIFS(Adjustments!K$5:K$684,Adjustments!$B$5:$B$684,'Apr11-Mar12 Billed-RETAIL'!$B129,Adjustments!$C$5:$C$684,'Apr11-Mar12 Billed-RETAIL'!$C129)</f>
        <v>0</v>
      </c>
      <c r="AI129" s="238">
        <f>SUMIFS(Adjustments!L$5:L$684,Adjustments!$B$5:$B$684,'Apr11-Mar12 Billed-RETAIL'!$B129,Adjustments!$C$5:$C$684,'Apr11-Mar12 Billed-RETAIL'!$C129)</f>
        <v>3.61</v>
      </c>
      <c r="AJ129" s="238">
        <f>SUMIFS(Adjustments!M$5:M$684,Adjustments!$B$5:$B$684,'Apr11-Mar12 Billed-RETAIL'!$B129,Adjustments!$C$5:$C$684,'Apr11-Mar12 Billed-RETAIL'!$C129)</f>
        <v>0</v>
      </c>
      <c r="AK129" s="238">
        <f>SUMIFS(Adjustments!N$5:N$684,Adjustments!$B$5:$B$684,'Apr11-Mar12 Billed-RETAIL'!$B129,Adjustments!$C$5:$C$684,'Apr11-Mar12 Billed-RETAIL'!$C129)</f>
        <v>0</v>
      </c>
      <c r="AL129" s="238">
        <f>SUMIFS(Adjustments!O$5:O$684,Adjustments!$B$5:$B$684,'Apr11-Mar12 Billed-RETAIL'!$B129,Adjustments!$C$5:$C$684,'Apr11-Mar12 Billed-RETAIL'!$C129)</f>
        <v>0</v>
      </c>
      <c r="AM129" s="238">
        <f>SUMIFS(Adjustments!P$5:P$684,Adjustments!$B$5:$B$684,'Apr11-Mar12 Billed-RETAIL'!$B129,Adjustments!$C$5:$C$684,'Apr11-Mar12 Billed-RETAIL'!$C129)</f>
        <v>0</v>
      </c>
      <c r="AN129" s="225">
        <f t="shared" si="86"/>
        <v>725020.54</v>
      </c>
      <c r="AO129" s="225">
        <f t="shared" si="96"/>
        <v>181560</v>
      </c>
      <c r="AP129" s="225">
        <f t="shared" si="97"/>
        <v>2092738.28568</v>
      </c>
      <c r="AQ129" s="225">
        <f t="shared" si="98"/>
        <v>0</v>
      </c>
      <c r="AR129" s="232">
        <f ca="1">SUMIF('SBR Mar12'!$D$4:$S$90,'Apr11-Mar12 Billed-RETAIL'!$C129,'SBR Mar12'!$N$4:$N$90)</f>
        <v>5305205.26</v>
      </c>
      <c r="AS129" s="232">
        <f ca="1">SUMIF('SBR Mar12'!$D$4:$S$90,'Apr11-Mar12 Billed-RETAIL'!$C129,'SBR Mar12'!$M$4:$M$90)</f>
        <v>12964.45</v>
      </c>
      <c r="AT129" s="232">
        <f ca="1">SUMIF('SBR Mar12'!$D$4:$S$90,'Apr11-Mar12 Billed-RETAIL'!$C129,'SBR Mar12'!$P$4:$P$90)</f>
        <v>529225.04</v>
      </c>
      <c r="AU129" s="225">
        <f t="shared" si="99"/>
        <v>0</v>
      </c>
      <c r="AV129" s="225"/>
      <c r="AW129" s="232">
        <f t="shared" ca="1" si="91"/>
        <v>8846713.5800000001</v>
      </c>
      <c r="AX129" s="232">
        <f t="shared" ca="1" si="103"/>
        <v>8846713.5800000001</v>
      </c>
      <c r="AY129" s="233">
        <f t="shared" ca="1" si="104"/>
        <v>1</v>
      </c>
      <c r="AZ129" s="232">
        <f ca="1">SUMIF('SBR Mar12'!$D$4:$S$90,'Apr11-Mar12 Billed-RETAIL'!$C129,'SBR Mar12'!$M$4:$M$90)</f>
        <v>12964.45</v>
      </c>
      <c r="BA129" s="232">
        <f ca="1">SUMIF('SBR Mar12'!$D$4:$S$90,'Apr11-Mar12 Billed-RETAIL'!$C129,'SBR Mar12'!$N$4:$N$90)</f>
        <v>5305205.26</v>
      </c>
      <c r="BB129" s="232">
        <f ca="1">SUMIF('SBR Mar12'!$D$4:$S$90,'Apr11-Mar12 Billed-RETAIL'!$C129,'SBR Mar12'!$P$4:$P$90)</f>
        <v>529225.04</v>
      </c>
      <c r="BC129" s="232">
        <f ca="1">SUMIF('SBR Mar12'!$D$4:$S$90,'Apr11-Mar12 Billed-RETAIL'!$C129,'SBR Mar12'!$Q$4:$Q$90)</f>
        <v>0</v>
      </c>
      <c r="BD129" s="232">
        <f ca="1">SUMIF('SBR Mar12'!$D$4:$S$90,'Apr11-Mar12 Billed-RETAIL'!$C129,'SBR Mar12'!$K$4:$K$90)</f>
        <v>906580.54</v>
      </c>
      <c r="BE129" s="232">
        <f ca="1">SUMIF('SBR Mar12'!$D$4:$S$90,'Apr11-Mar12 Billed-RETAIL'!$C129,'SBR Mar12'!$L$4:$L$90)</f>
        <v>2092738.29</v>
      </c>
    </row>
    <row r="130" spans="1:57" ht="15" x14ac:dyDescent="0.25">
      <c r="A130" s="196">
        <f t="shared" si="58"/>
        <v>125</v>
      </c>
      <c r="B130" s="211">
        <v>40969</v>
      </c>
      <c r="C130" s="211" t="str">
        <f>+'Retail Rates'!B14</f>
        <v>LGUMG860</v>
      </c>
      <c r="D130" s="197" t="str">
        <f t="shared" si="101"/>
        <v>860</v>
      </c>
      <c r="E130" s="197" t="str">
        <f>VLOOKUP(C130,'Retail Rates'!$B$7:$D$35,3,FALSE)</f>
        <v>CGS</v>
      </c>
      <c r="F130" s="222"/>
      <c r="G130" s="222">
        <f>SUMIFS(Adjustments!F$5:F$151,Adjustments!$B$5:$B$151,'Apr11-Mar12 Billed-RETAIL'!$B130,Adjustments!$C$5:$C$151,'Apr11-Mar12 Billed-RETAIL'!$C130)</f>
        <v>19</v>
      </c>
      <c r="H130" s="222">
        <f>SUMIFS(Adjustments!G$5:G$151,Adjustments!$B$5:$B$151,'Apr11-Mar12 Billed-RETAIL'!$B130,Adjustments!$C$5:$C$151,'Apr11-Mar12 Billed-RETAIL'!$C130)</f>
        <v>0</v>
      </c>
      <c r="I130" s="222">
        <f>SUMIFS('Data-Retail'!$H$4:$H$269,'Data-Retail'!$A$4:$A$269,'Apr11-Mar12 Billed-RETAIL'!$B130,'Data-Retail'!$D$4:$D$269,'Apr11-Mar12 Billed-RETAIL'!$C130)</f>
        <v>358</v>
      </c>
      <c r="J130" s="222">
        <f>SUMIFS('Data-Retail'!$I$4:$I$269,'Data-Retail'!$A$4:$A$269,'Apr11-Mar12 Billed-RETAIL'!$B130,'Data-Retail'!$D$4:$D$269,'Apr11-Mar12 Billed-RETAIL'!$C130)</f>
        <v>0</v>
      </c>
      <c r="K130" s="222"/>
      <c r="L130" s="223">
        <f>VLOOKUP($C130,'Retail Rates'!$B$7:$M$35,5,FALSE)</f>
        <v>30</v>
      </c>
      <c r="M130" s="223">
        <f>VLOOKUP($C130,'Retail Rates'!$B$7:$M$35,6,FALSE)</f>
        <v>170</v>
      </c>
      <c r="N130" s="224">
        <f>VLOOKUP($C130,'Retail Rates'!$B$7:$M$35,7,FALSE)</f>
        <v>0.18722</v>
      </c>
      <c r="O130" s="224">
        <f>VLOOKUP($C130,'Retail Rates'!$B$7:$M$35,8,FALSE)</f>
        <v>0.13722000000000001</v>
      </c>
      <c r="P130" s="224">
        <f>VLOOKUP($B130,'GSC-DSM Factors'!$A$1:$B$46,2,FALSE)</f>
        <v>0.47422999999999998</v>
      </c>
      <c r="Q130" s="223">
        <f>VLOOKUP($C130,'Retail Rates'!$B$7:$M$35,9,FALSE)</f>
        <v>0</v>
      </c>
      <c r="R130" s="224">
        <f>VLOOKUP($C130,'Retail Rates'!$B$7:$M$35,10,FALSE)</f>
        <v>0</v>
      </c>
      <c r="S130" s="223">
        <f>VLOOKUP($C130,'Retail Rates'!$B$7:$M$35,11,FALSE)</f>
        <v>0</v>
      </c>
      <c r="T130" s="223"/>
      <c r="U130" s="225">
        <f t="shared" si="102"/>
        <v>570</v>
      </c>
      <c r="V130" s="225"/>
      <c r="W130" s="225">
        <f>+H130*M130</f>
        <v>0</v>
      </c>
      <c r="X130" s="225">
        <f t="shared" si="100"/>
        <v>67.024760000000001</v>
      </c>
      <c r="Y130" s="225">
        <f t="shared" si="89"/>
        <v>0</v>
      </c>
      <c r="Z130" s="225">
        <f>SUM(I130:J130)*P130</f>
        <v>169.77434</v>
      </c>
      <c r="AA130" s="225"/>
      <c r="AB130" s="225"/>
      <c r="AC130" s="225"/>
      <c r="AD130" s="225"/>
      <c r="AE130" s="244">
        <f>SUMIFS(Adjustments!H$5:H$684,Adjustments!$B$5:$B$684,'Apr11-Mar12 Billed-RETAIL'!$B130,Adjustments!$C$5:$C$684,'Apr11-Mar12 Billed-RETAIL'!$C130)</f>
        <v>0</v>
      </c>
      <c r="AF130" s="244">
        <f>SUMIFS(Adjustments!I$5:I$684,Adjustments!$B$5:$B$684,'Apr11-Mar12 Billed-RETAIL'!$B130,Adjustments!$C$5:$C$684,'Apr11-Mar12 Billed-RETAIL'!$C130)</f>
        <v>0</v>
      </c>
      <c r="AG130" s="238">
        <f>SUMIFS(Adjustments!J$5:J$684,Adjustments!$B$5:$B$684,'Apr11-Mar12 Billed-RETAIL'!$B130,Adjustments!$C$5:$C$684,'Apr11-Mar12 Billed-RETAIL'!$C130)</f>
        <v>0</v>
      </c>
      <c r="AH130" s="238">
        <f>SUMIFS(Adjustments!K$5:K$684,Adjustments!$B$5:$B$684,'Apr11-Mar12 Billed-RETAIL'!$B130,Adjustments!$C$5:$C$684,'Apr11-Mar12 Billed-RETAIL'!$C130)</f>
        <v>0</v>
      </c>
      <c r="AI130" s="238">
        <f>SUMIFS(Adjustments!L$5:L$684,Adjustments!$B$5:$B$684,'Apr11-Mar12 Billed-RETAIL'!$B130,Adjustments!$C$5:$C$684,'Apr11-Mar12 Billed-RETAIL'!$C130)</f>
        <v>0</v>
      </c>
      <c r="AJ130" s="238">
        <f>SUMIFS(Adjustments!M$5:M$684,Adjustments!$B$5:$B$684,'Apr11-Mar12 Billed-RETAIL'!$B130,Adjustments!$C$5:$C$684,'Apr11-Mar12 Billed-RETAIL'!$C130)</f>
        <v>0</v>
      </c>
      <c r="AK130" s="238">
        <f>SUMIFS(Adjustments!N$5:N$684,Adjustments!$B$5:$B$684,'Apr11-Mar12 Billed-RETAIL'!$B130,Adjustments!$C$5:$C$684,'Apr11-Mar12 Billed-RETAIL'!$C130)</f>
        <v>0</v>
      </c>
      <c r="AL130" s="238">
        <f>SUMIFS(Adjustments!O$5:O$684,Adjustments!$B$5:$B$684,'Apr11-Mar12 Billed-RETAIL'!$B130,Adjustments!$C$5:$C$684,'Apr11-Mar12 Billed-RETAIL'!$C130)</f>
        <v>0</v>
      </c>
      <c r="AM130" s="238">
        <f>SUMIFS(Adjustments!P$5:P$684,Adjustments!$B$5:$B$684,'Apr11-Mar12 Billed-RETAIL'!$B130,Adjustments!$C$5:$C$684,'Apr11-Mar12 Billed-RETAIL'!$C130)</f>
        <v>0</v>
      </c>
      <c r="AN130" s="225">
        <f t="shared" si="86"/>
        <v>570</v>
      </c>
      <c r="AO130" s="225">
        <f t="shared" si="96"/>
        <v>0</v>
      </c>
      <c r="AP130" s="225">
        <f t="shared" si="97"/>
        <v>67.024760000000001</v>
      </c>
      <c r="AQ130" s="225">
        <f t="shared" si="98"/>
        <v>0</v>
      </c>
      <c r="AR130" s="232">
        <f ca="1">SUMIF('SBR Mar12'!$D$4:$S$90,'Apr11-Mar12 Billed-RETAIL'!$C130,'SBR Mar12'!$N$4:$N$90)</f>
        <v>169.77999999999997</v>
      </c>
      <c r="AS130" s="232">
        <f ca="1">SUMIF('SBR Mar12'!$D$4:$S$90,'Apr11-Mar12 Billed-RETAIL'!$C130,'SBR Mar12'!$M$4:$M$90)</f>
        <v>0.41</v>
      </c>
      <c r="AT130" s="232">
        <f ca="1">SUMIF('SBR Mar12'!$D$4:$S$90,'Apr11-Mar12 Billed-RETAIL'!$C130,'SBR Mar12'!$P$4:$P$90)</f>
        <v>0</v>
      </c>
      <c r="AU130" s="225">
        <f t="shared" si="99"/>
        <v>0</v>
      </c>
      <c r="AV130" s="225"/>
      <c r="AW130" s="232">
        <f t="shared" ca="1" si="91"/>
        <v>807.21</v>
      </c>
      <c r="AX130" s="232">
        <f t="shared" ca="1" si="103"/>
        <v>807.20999999999992</v>
      </c>
      <c r="AY130" s="233">
        <f t="shared" ca="1" si="104"/>
        <v>1</v>
      </c>
      <c r="AZ130" s="232">
        <f ca="1">SUMIF('SBR Mar12'!$D$4:$S$90,'Apr11-Mar12 Billed-RETAIL'!$C130,'SBR Mar12'!$M$4:$M$90)</f>
        <v>0.41</v>
      </c>
      <c r="BA130" s="232">
        <f ca="1">SUMIF('SBR Mar12'!$D$4:$S$90,'Apr11-Mar12 Billed-RETAIL'!$C130,'SBR Mar12'!$N$4:$N$90)</f>
        <v>169.77999999999997</v>
      </c>
      <c r="BB130" s="232">
        <f ca="1">SUMIF('SBR Mar12'!$D$4:$S$90,'Apr11-Mar12 Billed-RETAIL'!$C130,'SBR Mar12'!$P$4:$P$90)</f>
        <v>0</v>
      </c>
      <c r="BC130" s="232">
        <f ca="1">SUMIF('SBR Mar12'!$D$4:$S$90,'Apr11-Mar12 Billed-RETAIL'!$C130,'SBR Mar12'!$Q$4:$Q$90)</f>
        <v>0</v>
      </c>
      <c r="BD130" s="232">
        <f ca="1">SUMIF('SBR Mar12'!$D$4:$S$90,'Apr11-Mar12 Billed-RETAIL'!$C130,'SBR Mar12'!$K$4:$K$90)</f>
        <v>570</v>
      </c>
      <c r="BE130" s="232">
        <f ca="1">SUMIF('SBR Mar12'!$D$4:$S$90,'Apr11-Mar12 Billed-RETAIL'!$C130,'SBR Mar12'!$L$4:$L$90)</f>
        <v>67.02</v>
      </c>
    </row>
    <row r="131" spans="1:57" ht="15" x14ac:dyDescent="0.25">
      <c r="A131" s="196">
        <f t="shared" si="58"/>
        <v>126</v>
      </c>
      <c r="B131" s="211">
        <v>40969</v>
      </c>
      <c r="C131" s="211" t="str">
        <f>+'Retail Rates'!B15</f>
        <v>LGUMG861</v>
      </c>
      <c r="D131" s="197" t="str">
        <f t="shared" si="101"/>
        <v>861</v>
      </c>
      <c r="E131" s="197" t="str">
        <f>VLOOKUP(C131,'Retail Rates'!$B$7:$D$35,3,FALSE)</f>
        <v>CGS</v>
      </c>
      <c r="F131" s="222"/>
      <c r="G131" s="222">
        <f>SUMIFS(Adjustments!F$5:F$151,Adjustments!$B$5:$B$151,'Apr11-Mar12 Billed-RETAIL'!$B131,Adjustments!$C$5:$C$151,'Apr11-Mar12 Billed-RETAIL'!$C131)</f>
        <v>620</v>
      </c>
      <c r="H131" s="222">
        <f>SUMIFS(Adjustments!G$5:G$151,Adjustments!$B$5:$B$151,'Apr11-Mar12 Billed-RETAIL'!$B131,Adjustments!$C$5:$C$151,'Apr11-Mar12 Billed-RETAIL'!$C131)</f>
        <v>0</v>
      </c>
      <c r="I131" s="222">
        <f>SUMIFS('Data-Retail'!$H$4:$H$269,'Data-Retail'!$A$4:$A$269,'Apr11-Mar12 Billed-RETAIL'!$B131,'Data-Retail'!$D$4:$D$269,'Apr11-Mar12 Billed-RETAIL'!$C131)</f>
        <v>613</v>
      </c>
      <c r="J131" s="222">
        <f>SUMIFS('Data-Retail'!$I$4:$I$269,'Data-Retail'!$A$4:$A$269,'Apr11-Mar12 Billed-RETAIL'!$B131,'Data-Retail'!$D$4:$D$269,'Apr11-Mar12 Billed-RETAIL'!$C131)</f>
        <v>0</v>
      </c>
      <c r="K131" s="222"/>
      <c r="L131" s="223">
        <f>VLOOKUP($C131,'Retail Rates'!$B$7:$M$35,5,FALSE)</f>
        <v>30</v>
      </c>
      <c r="M131" s="223">
        <f>VLOOKUP($C131,'Retail Rates'!$B$7:$M$35,6,FALSE)</f>
        <v>170</v>
      </c>
      <c r="N131" s="224">
        <f>VLOOKUP($C131,'Retail Rates'!$B$7:$M$35,7,FALSE)</f>
        <v>0.18722</v>
      </c>
      <c r="O131" s="224">
        <f>VLOOKUP($C131,'Retail Rates'!$B$7:$M$35,8,FALSE)</f>
        <v>0.13722000000000001</v>
      </c>
      <c r="P131" s="224">
        <f>VLOOKUP($B131,'GSC-DSM Factors'!$A$1:$B$46,2,FALSE)</f>
        <v>0.47422999999999998</v>
      </c>
      <c r="Q131" s="223">
        <f>VLOOKUP($C131,'Retail Rates'!$B$7:$M$35,9,FALSE)</f>
        <v>0</v>
      </c>
      <c r="R131" s="224">
        <f>VLOOKUP($C131,'Retail Rates'!$B$7:$M$35,10,FALSE)</f>
        <v>0</v>
      </c>
      <c r="S131" s="223">
        <f>VLOOKUP($C131,'Retail Rates'!$B$7:$M$35,11,FALSE)</f>
        <v>0</v>
      </c>
      <c r="T131" s="223"/>
      <c r="U131" s="225">
        <f t="shared" si="102"/>
        <v>18600</v>
      </c>
      <c r="V131" s="225"/>
      <c r="W131" s="225">
        <f>+H131*M131</f>
        <v>0</v>
      </c>
      <c r="X131" s="225">
        <f t="shared" si="100"/>
        <v>114.76586</v>
      </c>
      <c r="Y131" s="225">
        <f t="shared" si="89"/>
        <v>0</v>
      </c>
      <c r="Z131" s="225">
        <f>SUM(I131:J131)*P131</f>
        <v>290.70299</v>
      </c>
      <c r="AA131" s="225"/>
      <c r="AB131" s="225"/>
      <c r="AC131" s="225"/>
      <c r="AD131" s="225"/>
      <c r="AE131" s="244">
        <f>SUMIFS(Adjustments!H$5:H$684,Adjustments!$B$5:$B$684,'Apr11-Mar12 Billed-RETAIL'!$B131,Adjustments!$C$5:$C$684,'Apr11-Mar12 Billed-RETAIL'!$C131)</f>
        <v>0</v>
      </c>
      <c r="AF131" s="244">
        <f>SUMIFS(Adjustments!I$5:I$684,Adjustments!$B$5:$B$684,'Apr11-Mar12 Billed-RETAIL'!$B131,Adjustments!$C$5:$C$684,'Apr11-Mar12 Billed-RETAIL'!$C131)</f>
        <v>0</v>
      </c>
      <c r="AG131" s="238">
        <f>SUMIFS(Adjustments!J$5:J$684,Adjustments!$B$5:$B$684,'Apr11-Mar12 Billed-RETAIL'!$B131,Adjustments!$C$5:$C$684,'Apr11-Mar12 Billed-RETAIL'!$C131)</f>
        <v>0</v>
      </c>
      <c r="AH131" s="238">
        <f>SUMIFS(Adjustments!K$5:K$684,Adjustments!$B$5:$B$684,'Apr11-Mar12 Billed-RETAIL'!$B131,Adjustments!$C$5:$C$684,'Apr11-Mar12 Billed-RETAIL'!$C131)</f>
        <v>0</v>
      </c>
      <c r="AI131" s="238">
        <f>SUMIFS(Adjustments!L$5:L$684,Adjustments!$B$5:$B$684,'Apr11-Mar12 Billed-RETAIL'!$B131,Adjustments!$C$5:$C$684,'Apr11-Mar12 Billed-RETAIL'!$C131)</f>
        <v>1.61</v>
      </c>
      <c r="AJ131" s="238">
        <f>SUMIFS(Adjustments!M$5:M$684,Adjustments!$B$5:$B$684,'Apr11-Mar12 Billed-RETAIL'!$B131,Adjustments!$C$5:$C$684,'Apr11-Mar12 Billed-RETAIL'!$C131)</f>
        <v>0</v>
      </c>
      <c r="AK131" s="238">
        <f>SUMIFS(Adjustments!N$5:N$684,Adjustments!$B$5:$B$684,'Apr11-Mar12 Billed-RETAIL'!$B131,Adjustments!$C$5:$C$684,'Apr11-Mar12 Billed-RETAIL'!$C131)</f>
        <v>0</v>
      </c>
      <c r="AL131" s="238">
        <f>SUMIFS(Adjustments!O$5:O$684,Adjustments!$B$5:$B$684,'Apr11-Mar12 Billed-RETAIL'!$B131,Adjustments!$C$5:$C$684,'Apr11-Mar12 Billed-RETAIL'!$C131)</f>
        <v>0</v>
      </c>
      <c r="AM131" s="238">
        <f>SUMIFS(Adjustments!P$5:P$684,Adjustments!$B$5:$B$684,'Apr11-Mar12 Billed-RETAIL'!$B131,Adjustments!$C$5:$C$684,'Apr11-Mar12 Billed-RETAIL'!$C131)</f>
        <v>0</v>
      </c>
      <c r="AN131" s="225">
        <f t="shared" ref="AN131:AN137" si="105">+U131+AG131+(AE131*L131)</f>
        <v>18600</v>
      </c>
      <c r="AO131" s="225">
        <f t="shared" si="96"/>
        <v>0</v>
      </c>
      <c r="AP131" s="225">
        <f t="shared" si="97"/>
        <v>116.37586</v>
      </c>
      <c r="AQ131" s="225">
        <f t="shared" si="98"/>
        <v>0</v>
      </c>
      <c r="AR131" s="232">
        <f ca="1">SUMIF('SBR Mar12'!$D$4:$S$90,'Apr11-Mar12 Billed-RETAIL'!$C131,'SBR Mar12'!$N$4:$N$90)</f>
        <v>288.2</v>
      </c>
      <c r="AS131" s="232">
        <f ca="1">SUMIF('SBR Mar12'!$D$4:$S$90,'Apr11-Mar12 Billed-RETAIL'!$C131,'SBR Mar12'!$M$4:$M$90)</f>
        <v>0</v>
      </c>
      <c r="AT131" s="232">
        <f ca="1">SUMIF('SBR Mar12'!$D$4:$S$90,'Apr11-Mar12 Billed-RETAIL'!$C131,'SBR Mar12'!$P$4:$P$90)</f>
        <v>0</v>
      </c>
      <c r="AU131" s="225">
        <f t="shared" si="99"/>
        <v>0</v>
      </c>
      <c r="AV131" s="225"/>
      <c r="AW131" s="232">
        <f t="shared" ca="1" si="91"/>
        <v>19004.580000000002</v>
      </c>
      <c r="AX131" s="232">
        <f t="shared" ca="1" si="103"/>
        <v>19004.580000000002</v>
      </c>
      <c r="AY131" s="233">
        <f t="shared" ca="1" si="104"/>
        <v>1</v>
      </c>
      <c r="AZ131" s="232">
        <f ca="1">SUMIF('SBR Mar12'!$D$4:$S$90,'Apr11-Mar12 Billed-RETAIL'!$C131,'SBR Mar12'!$M$4:$M$90)</f>
        <v>0</v>
      </c>
      <c r="BA131" s="232">
        <f ca="1">SUMIF('SBR Mar12'!$D$4:$S$90,'Apr11-Mar12 Billed-RETAIL'!$C131,'SBR Mar12'!$N$4:$N$90)</f>
        <v>288.2</v>
      </c>
      <c r="BB131" s="232">
        <f ca="1">SUMIF('SBR Mar12'!$D$4:$S$90,'Apr11-Mar12 Billed-RETAIL'!$C131,'SBR Mar12'!$P$4:$P$90)</f>
        <v>0</v>
      </c>
      <c r="BC131" s="232">
        <f ca="1">SUMIF('SBR Mar12'!$D$4:$S$90,'Apr11-Mar12 Billed-RETAIL'!$C131,'SBR Mar12'!$Q$4:$Q$90)</f>
        <v>0</v>
      </c>
      <c r="BD131" s="232">
        <f ca="1">SUMIF('SBR Mar12'!$D$4:$S$90,'Apr11-Mar12 Billed-RETAIL'!$C131,'SBR Mar12'!$K$4:$K$90)</f>
        <v>18600</v>
      </c>
      <c r="BE131" s="232">
        <f ca="1">SUMIF('SBR Mar12'!$D$4:$S$90,'Apr11-Mar12 Billed-RETAIL'!$C131,'SBR Mar12'!$L$4:$L$90)</f>
        <v>116.38</v>
      </c>
    </row>
    <row r="132" spans="1:57" ht="15" customHeight="1" x14ac:dyDescent="0.25">
      <c r="A132" s="196">
        <f t="shared" si="58"/>
        <v>127</v>
      </c>
      <c r="B132" s="211">
        <v>40969</v>
      </c>
      <c r="C132" s="211" t="str">
        <f>+'Retail Rates'!B18</f>
        <v>LGCMG875</v>
      </c>
      <c r="D132" s="197" t="str">
        <f t="shared" si="101"/>
        <v>875</v>
      </c>
      <c r="E132" s="197" t="str">
        <f>VLOOKUP(C132,'Retail Rates'!$B$7:$D$35,3,FALSE)</f>
        <v>DGGS-C</v>
      </c>
      <c r="F132" s="222">
        <f>SUMIFS('Data-Retail'!$G$4:$G$269,'Data-Retail'!$A$4:$A$269,'Apr11-Mar12 Billed-RETAIL'!$B132,'Data-Retail'!$D$4:$D$269,'Apr11-Mar12 Billed-RETAIL'!$C132)</f>
        <v>1</v>
      </c>
      <c r="G132" s="222"/>
      <c r="H132" s="222"/>
      <c r="I132" s="222">
        <f>SUMIFS('Data-Retail'!$H$4:$H$269,'Data-Retail'!$A$4:$A$269,'Apr11-Mar12 Billed-RETAIL'!$B132,'Data-Retail'!$D$4:$D$269,'Apr11-Mar12 Billed-RETAIL'!$C132)</f>
        <v>2</v>
      </c>
      <c r="J132" s="222">
        <f>SUMIFS('Data-Retail'!$I$4:$I$269,'Data-Retail'!$A$4:$A$269,'Apr11-Mar12 Billed-RETAIL'!$B132,'Data-Retail'!$D$4:$D$269,'Apr11-Mar12 Billed-RETAIL'!$C132)</f>
        <v>0</v>
      </c>
      <c r="K132" s="222"/>
      <c r="L132" s="223">
        <f>VLOOKUP($C132,'Retail Rates'!$B$7:$M$35,5,FALSE)</f>
        <v>30</v>
      </c>
      <c r="M132" s="223">
        <f>VLOOKUP($C132,'Retail Rates'!$B$7:$M$35,6,FALSE)</f>
        <v>170</v>
      </c>
      <c r="N132" s="224">
        <f>VLOOKUP($C132,'Retail Rates'!$B$7:$M$35,7,FALSE)</f>
        <v>2.7439999999999999E-2</v>
      </c>
      <c r="O132" s="224">
        <f>VLOOKUP($C132,'Retail Rates'!$B$7:$M$35,8,FALSE)</f>
        <v>0</v>
      </c>
      <c r="P132" s="224">
        <f>VLOOKUP($B132,'GSC-DSM Factors'!$A$1:$B$46,2,FALSE)</f>
        <v>0.47422999999999998</v>
      </c>
      <c r="Q132" s="223">
        <f>VLOOKUP($C132,'Retail Rates'!$B$7:$M$35,9,FALSE)</f>
        <v>0</v>
      </c>
      <c r="R132" s="224">
        <f>VLOOKUP($C132,'Retail Rates'!$B$7:$M$35,10,FALSE)</f>
        <v>0</v>
      </c>
      <c r="S132" s="223">
        <f>VLOOKUP($C132,'Retail Rates'!$B$7:$M$35,11,FALSE)</f>
        <v>1.0109999999999999</v>
      </c>
      <c r="T132" s="223"/>
      <c r="U132" s="225">
        <f t="shared" si="102"/>
        <v>30</v>
      </c>
      <c r="V132" s="225"/>
      <c r="W132" s="225"/>
      <c r="X132" s="225">
        <f t="shared" si="100"/>
        <v>5.4879999999999998E-2</v>
      </c>
      <c r="Y132" s="225">
        <f t="shared" si="89"/>
        <v>0</v>
      </c>
      <c r="Z132" s="225">
        <f t="shared" ref="Z132:Z137" si="106">SUM(I132:J132)*P132</f>
        <v>0.94845999999999997</v>
      </c>
      <c r="AA132" s="225"/>
      <c r="AB132" s="225"/>
      <c r="AC132" s="225"/>
      <c r="AD132" s="225"/>
      <c r="AE132" s="244">
        <f>SUMIFS(Adjustments!H$5:H$684,Adjustments!$B$5:$B$684,'Apr11-Mar12 Billed-RETAIL'!$B132,Adjustments!$C$5:$C$684,'Apr11-Mar12 Billed-RETAIL'!$C132)</f>
        <v>0</v>
      </c>
      <c r="AF132" s="244">
        <f>SUMIFS(Adjustments!I$5:I$684,Adjustments!$B$5:$B$684,'Apr11-Mar12 Billed-RETAIL'!$B132,Adjustments!$C$5:$C$684,'Apr11-Mar12 Billed-RETAIL'!$C132)</f>
        <v>0</v>
      </c>
      <c r="AG132" s="238">
        <f>SUMIFS(Adjustments!J$5:J$684,Adjustments!$B$5:$B$684,'Apr11-Mar12 Billed-RETAIL'!$B132,Adjustments!$C$5:$C$684,'Apr11-Mar12 Billed-RETAIL'!$C132)</f>
        <v>0</v>
      </c>
      <c r="AH132" s="238">
        <f>SUMIFS(Adjustments!K$5:K$684,Adjustments!$B$5:$B$684,'Apr11-Mar12 Billed-RETAIL'!$B132,Adjustments!$C$5:$C$684,'Apr11-Mar12 Billed-RETAIL'!$C132)</f>
        <v>0</v>
      </c>
      <c r="AI132" s="238">
        <f>SUMIFS(Adjustments!L$5:L$684,Adjustments!$B$5:$B$684,'Apr11-Mar12 Billed-RETAIL'!$B132,Adjustments!$C$5:$C$684,'Apr11-Mar12 Billed-RETAIL'!$C132)</f>
        <v>0</v>
      </c>
      <c r="AJ132" s="238">
        <f>SUMIFS(Adjustments!M$5:M$684,Adjustments!$B$5:$B$684,'Apr11-Mar12 Billed-RETAIL'!$B132,Adjustments!$C$5:$C$684,'Apr11-Mar12 Billed-RETAIL'!$C132)</f>
        <v>0</v>
      </c>
      <c r="AK132" s="238">
        <f>SUMIFS(Adjustments!N$5:N$684,Adjustments!$B$5:$B$684,'Apr11-Mar12 Billed-RETAIL'!$B132,Adjustments!$C$5:$C$684,'Apr11-Mar12 Billed-RETAIL'!$C132)</f>
        <v>0</v>
      </c>
      <c r="AL132" s="238">
        <f>SUMIFS(Adjustments!O$5:O$684,Adjustments!$B$5:$B$684,'Apr11-Mar12 Billed-RETAIL'!$B132,Adjustments!$C$5:$C$684,'Apr11-Mar12 Billed-RETAIL'!$C132)</f>
        <v>0</v>
      </c>
      <c r="AM132" s="238">
        <f>SUMIFS(Adjustments!P$5:P$684,Adjustments!$B$5:$B$684,'Apr11-Mar12 Billed-RETAIL'!$B132,Adjustments!$C$5:$C$684,'Apr11-Mar12 Billed-RETAIL'!$C132)</f>
        <v>0</v>
      </c>
      <c r="AN132" s="225">
        <f t="shared" si="105"/>
        <v>30</v>
      </c>
      <c r="AO132" s="225">
        <f t="shared" si="96"/>
        <v>0</v>
      </c>
      <c r="AP132" s="225">
        <f t="shared" si="97"/>
        <v>5.4879999999999998E-2</v>
      </c>
      <c r="AQ132" s="225">
        <f t="shared" si="98"/>
        <v>0</v>
      </c>
      <c r="AR132" s="232">
        <f ca="1">SUMIF('SBR Mar12'!$D$4:$S$90,'Apr11-Mar12 Billed-RETAIL'!$C132,'SBR Mar12'!$N$4:$N$90)</f>
        <v>0.95</v>
      </c>
      <c r="AS132" s="232">
        <f ca="1">SUMIF('SBR Mar12'!$D$4:$S$90,'Apr11-Mar12 Billed-RETAIL'!$C132,'SBR Mar12'!$M$4:$M$90)</f>
        <v>0</v>
      </c>
      <c r="AT132" s="232">
        <f ca="1">SUMIF('SBR Mar12'!$D$4:$S$90,'Apr11-Mar12 Billed-RETAIL'!$C132,'SBR Mar12'!$P$4:$P$90)</f>
        <v>0</v>
      </c>
      <c r="AU132" s="225">
        <f t="shared" si="99"/>
        <v>0</v>
      </c>
      <c r="AV132" s="225"/>
      <c r="AW132" s="232">
        <f t="shared" ref="AW132:AW137" ca="1" si="107">ROUND(SUM(AN132:AV132),2)</f>
        <v>31</v>
      </c>
      <c r="AX132" s="232">
        <f t="shared" ca="1" si="103"/>
        <v>1</v>
      </c>
      <c r="AY132" s="233">
        <f t="shared" ca="1" si="104"/>
        <v>3.2258000000000002E-2</v>
      </c>
      <c r="AZ132" s="232">
        <f ca="1">SUMIF('SBR Mar12'!$D$4:$S$90,'Apr11-Mar12 Billed-RETAIL'!$C132,'SBR Mar12'!$M$4:$M$90)</f>
        <v>0</v>
      </c>
      <c r="BA132" s="232">
        <f ca="1">SUMIF('SBR Mar12'!$D$4:$S$90,'Apr11-Mar12 Billed-RETAIL'!$C132,'SBR Mar12'!$N$4:$N$90)</f>
        <v>0.95</v>
      </c>
      <c r="BB132" s="232">
        <f ca="1">SUMIF('SBR Mar12'!$D$4:$S$90,'Apr11-Mar12 Billed-RETAIL'!$C132,'SBR Mar12'!$P$4:$P$90)</f>
        <v>0</v>
      </c>
      <c r="BC132" s="232">
        <f ca="1">SUMIF('SBR Mar12'!$D$4:$S$90,'Apr11-Mar12 Billed-RETAIL'!$C132,'SBR Mar12'!$Q$4:$Q$90)</f>
        <v>0</v>
      </c>
      <c r="BD132" s="232">
        <f ca="1">SUMIF('SBR Mar12'!$D$4:$S$90,'Apr11-Mar12 Billed-RETAIL'!$C132,'SBR Mar12'!$K$4:$K$90)</f>
        <v>0</v>
      </c>
      <c r="BE132" s="232">
        <f ca="1">SUMIF('SBR Mar12'!$D$4:$S$90,'Apr11-Mar12 Billed-RETAIL'!$C132,'SBR Mar12'!$L$4:$L$90)</f>
        <v>0.05</v>
      </c>
    </row>
    <row r="133" spans="1:57" ht="15" customHeight="1" x14ac:dyDescent="0.25">
      <c r="A133" s="196">
        <f t="shared" si="58"/>
        <v>128</v>
      </c>
      <c r="B133" s="211">
        <v>40969</v>
      </c>
      <c r="C133" s="211" t="str">
        <f>+'Retail Rates'!B23</f>
        <v>LGING855</v>
      </c>
      <c r="D133" s="197" t="str">
        <f t="shared" si="101"/>
        <v>855</v>
      </c>
      <c r="E133" s="197" t="str">
        <f>VLOOKUP(C133,'Retail Rates'!$B$7:$D$35,3,FALSE)</f>
        <v>IGS</v>
      </c>
      <c r="F133" s="222"/>
      <c r="G133" s="222">
        <f>SUMIFS(Adjustments!F$5:F$151,Adjustments!$B$5:$B$151,'Apr11-Mar12 Billed-RETAIL'!$B133,Adjustments!$C$5:$C$151,'Apr11-Mar12 Billed-RETAIL'!$C133)</f>
        <v>114</v>
      </c>
      <c r="H133" s="222">
        <f>SUMIFS(Adjustments!G$5:G$151,Adjustments!$B$5:$B$151,'Apr11-Mar12 Billed-RETAIL'!$B133,Adjustments!$C$5:$C$151,'Apr11-Mar12 Billed-RETAIL'!$C133)</f>
        <v>100</v>
      </c>
      <c r="I133" s="222">
        <f>SUMIFS('Data-Retail'!$H$4:$H$269,'Data-Retail'!$A$4:$A$269,'Apr11-Mar12 Billed-RETAIL'!$B133,'Data-Retail'!$D$4:$D$269,'Apr11-Mar12 Billed-RETAIL'!$C133)</f>
        <v>804262</v>
      </c>
      <c r="J133" s="222">
        <f>SUMIFS('Data-Retail'!$I$4:$I$269,'Data-Retail'!$A$4:$A$269,'Apr11-Mar12 Billed-RETAIL'!$B133,'Data-Retail'!$D$4:$D$269,'Apr11-Mar12 Billed-RETAIL'!$C133)</f>
        <v>0</v>
      </c>
      <c r="K133" s="222"/>
      <c r="L133" s="223">
        <f>VLOOKUP($C133,'Retail Rates'!$B$7:$M$35,5,FALSE)</f>
        <v>30</v>
      </c>
      <c r="M133" s="223">
        <f>VLOOKUP($C133,'Retail Rates'!$B$7:$M$35,6,FALSE)</f>
        <v>170</v>
      </c>
      <c r="N133" s="224">
        <f>VLOOKUP($C133,'Retail Rates'!$B$7:$M$35,7,FALSE)</f>
        <v>0.19022</v>
      </c>
      <c r="O133" s="224">
        <f>VLOOKUP($C133,'Retail Rates'!$B$7:$M$35,8,FALSE)</f>
        <v>0.14022000000000001</v>
      </c>
      <c r="P133" s="224">
        <f>VLOOKUP($B133,'GSC-DSM Factors'!$A$1:$B$46,2,FALSE)</f>
        <v>0.47422999999999998</v>
      </c>
      <c r="Q133" s="223">
        <f>VLOOKUP($C133,'Retail Rates'!$B$7:$M$35,9,FALSE)</f>
        <v>0</v>
      </c>
      <c r="R133" s="224">
        <f>VLOOKUP($C133,'Retail Rates'!$B$7:$M$35,10,FALSE)</f>
        <v>0</v>
      </c>
      <c r="S133" s="223">
        <f>VLOOKUP($C133,'Retail Rates'!$B$7:$M$35,11,FALSE)</f>
        <v>0</v>
      </c>
      <c r="T133" s="223"/>
      <c r="U133" s="225">
        <f t="shared" si="102"/>
        <v>3420</v>
      </c>
      <c r="V133" s="225"/>
      <c r="W133" s="225">
        <f>+H133*M133</f>
        <v>17000</v>
      </c>
      <c r="X133" s="225">
        <f>+I133*N133</f>
        <v>152986.71763999999</v>
      </c>
      <c r="Y133" s="225">
        <f>+J133*O133</f>
        <v>0</v>
      </c>
      <c r="Z133" s="225">
        <f t="shared" si="106"/>
        <v>381405.16826000001</v>
      </c>
      <c r="AA133" s="225"/>
      <c r="AB133" s="225"/>
      <c r="AC133" s="225"/>
      <c r="AD133" s="225"/>
      <c r="AE133" s="244">
        <f>SUMIFS(Adjustments!H$5:H$684,Adjustments!$B$5:$B$684,'Apr11-Mar12 Billed-RETAIL'!$B133,Adjustments!$C$5:$C$684,'Apr11-Mar12 Billed-RETAIL'!$C133)</f>
        <v>0</v>
      </c>
      <c r="AF133" s="244">
        <f>SUMIFS(Adjustments!I$5:I$684,Adjustments!$B$5:$B$684,'Apr11-Mar12 Billed-RETAIL'!$B133,Adjustments!$C$5:$C$684,'Apr11-Mar12 Billed-RETAIL'!$C133)</f>
        <v>0</v>
      </c>
      <c r="AG133" s="238">
        <f>SUMIFS(Adjustments!J$5:J$684,Adjustments!$B$5:$B$684,'Apr11-Mar12 Billed-RETAIL'!$B133,Adjustments!$C$5:$C$684,'Apr11-Mar12 Billed-RETAIL'!$C133)</f>
        <v>12</v>
      </c>
      <c r="AH133" s="238">
        <f>SUMIFS(Adjustments!K$5:K$684,Adjustments!$B$5:$B$684,'Apr11-Mar12 Billed-RETAIL'!$B133,Adjustments!$C$5:$C$684,'Apr11-Mar12 Billed-RETAIL'!$C133)</f>
        <v>0</v>
      </c>
      <c r="AI133" s="238">
        <f>SUMIFS(Adjustments!L$5:L$684,Adjustments!$B$5:$B$684,'Apr11-Mar12 Billed-RETAIL'!$B133,Adjustments!$C$5:$C$684,'Apr11-Mar12 Billed-RETAIL'!$C133)</f>
        <v>-0.04</v>
      </c>
      <c r="AJ133" s="238">
        <f>SUMIFS(Adjustments!M$5:M$684,Adjustments!$B$5:$B$684,'Apr11-Mar12 Billed-RETAIL'!$B133,Adjustments!$C$5:$C$684,'Apr11-Mar12 Billed-RETAIL'!$C133)</f>
        <v>0</v>
      </c>
      <c r="AK133" s="238">
        <f>SUMIFS(Adjustments!N$5:N$684,Adjustments!$B$5:$B$684,'Apr11-Mar12 Billed-RETAIL'!$B133,Adjustments!$C$5:$C$684,'Apr11-Mar12 Billed-RETAIL'!$C133)</f>
        <v>0</v>
      </c>
      <c r="AL133" s="238">
        <f>SUMIFS(Adjustments!O$5:O$684,Adjustments!$B$5:$B$684,'Apr11-Mar12 Billed-RETAIL'!$B133,Adjustments!$C$5:$C$684,'Apr11-Mar12 Billed-RETAIL'!$C133)</f>
        <v>0</v>
      </c>
      <c r="AM133" s="238">
        <f>SUMIFS(Adjustments!P$5:P$684,Adjustments!$B$5:$B$684,'Apr11-Mar12 Billed-RETAIL'!$B133,Adjustments!$C$5:$C$684,'Apr11-Mar12 Billed-RETAIL'!$C133)</f>
        <v>0</v>
      </c>
      <c r="AN133" s="225">
        <f t="shared" si="105"/>
        <v>3432</v>
      </c>
      <c r="AO133" s="225">
        <f t="shared" si="96"/>
        <v>17000</v>
      </c>
      <c r="AP133" s="225">
        <f t="shared" si="97"/>
        <v>152986.67763999998</v>
      </c>
      <c r="AQ133" s="225">
        <f t="shared" si="98"/>
        <v>0</v>
      </c>
      <c r="AR133" s="232">
        <f ca="1">SUMIF('SBR Mar12'!$D$4:$S$90,'Apr11-Mar12 Billed-RETAIL'!$C133,'SBR Mar12'!$N$4:$N$90)</f>
        <v>380961.15</v>
      </c>
      <c r="AS133" s="232">
        <f ca="1">SUMIF('SBR Mar12'!$D$4:$S$90,'Apr11-Mar12 Billed-RETAIL'!$C133,'SBR Mar12'!$M$4:$M$90)</f>
        <v>0</v>
      </c>
      <c r="AT133" s="232">
        <f ca="1">SUMIF('SBR Mar12'!$D$4:$S$90,'Apr11-Mar12 Billed-RETAIL'!$C133,'SBR Mar12'!$P$4:$P$90)</f>
        <v>0</v>
      </c>
      <c r="AU133" s="225">
        <f t="shared" si="99"/>
        <v>0</v>
      </c>
      <c r="AV133" s="225"/>
      <c r="AW133" s="232">
        <f t="shared" ca="1" si="107"/>
        <v>554379.82999999996</v>
      </c>
      <c r="AX133" s="232">
        <f t="shared" ca="1" si="103"/>
        <v>554379.83000000007</v>
      </c>
      <c r="AY133" s="233">
        <f t="shared" ca="1" si="104"/>
        <v>1</v>
      </c>
      <c r="AZ133" s="232">
        <f ca="1">SUMIF('SBR Mar12'!$D$4:$S$90,'Apr11-Mar12 Billed-RETAIL'!$C133,'SBR Mar12'!$M$4:$M$90)</f>
        <v>0</v>
      </c>
      <c r="BA133" s="232">
        <f ca="1">SUMIF('SBR Mar12'!$D$4:$S$90,'Apr11-Mar12 Billed-RETAIL'!$C133,'SBR Mar12'!$N$4:$N$90)</f>
        <v>380961.15</v>
      </c>
      <c r="BB133" s="232">
        <f ca="1">SUMIF('SBR Mar12'!$D$4:$S$90,'Apr11-Mar12 Billed-RETAIL'!$C133,'SBR Mar12'!$P$4:$P$90)</f>
        <v>0</v>
      </c>
      <c r="BC133" s="232">
        <f ca="1">SUMIF('SBR Mar12'!$D$4:$S$90,'Apr11-Mar12 Billed-RETAIL'!$C133,'SBR Mar12'!$Q$4:$Q$90)</f>
        <v>0</v>
      </c>
      <c r="BD133" s="232">
        <f ca="1">SUMIF('SBR Mar12'!$D$4:$S$90,'Apr11-Mar12 Billed-RETAIL'!$C133,'SBR Mar12'!$K$4:$K$90)</f>
        <v>20432</v>
      </c>
      <c r="BE133" s="232">
        <f ca="1">SUMIF('SBR Mar12'!$D$4:$S$90,'Apr11-Mar12 Billed-RETAIL'!$C133,'SBR Mar12'!$L$4:$L$90)</f>
        <v>152986.68</v>
      </c>
    </row>
    <row r="134" spans="1:57" ht="15" customHeight="1" x14ac:dyDescent="0.25">
      <c r="A134" s="196">
        <f t="shared" si="58"/>
        <v>129</v>
      </c>
      <c r="B134" s="211">
        <v>40969</v>
      </c>
      <c r="C134" s="211" t="str">
        <f>+'Retail Rates'!B26</f>
        <v>LGRSG811</v>
      </c>
      <c r="D134" s="197" t="str">
        <f t="shared" si="101"/>
        <v>811</v>
      </c>
      <c r="E134" s="197" t="str">
        <f>VLOOKUP(C134,'Retail Rates'!$B$7:$D$35,3,FALSE)</f>
        <v>RGS</v>
      </c>
      <c r="F134" s="222">
        <f>SUMIFS('Data-Retail'!$G$4:$G$269,'Data-Retail'!$A$4:$A$269,'Apr11-Mar12 Billed-RETAIL'!$B134,'Data-Retail'!$D$4:$D$269,'Apr11-Mar12 Billed-RETAIL'!$C134)</f>
        <v>292623</v>
      </c>
      <c r="G134" s="222"/>
      <c r="H134" s="222"/>
      <c r="I134" s="222">
        <f>SUMIFS('Data-Retail'!$H$4:$H$269,'Data-Retail'!$A$4:$A$269,'Apr11-Mar12 Billed-RETAIL'!$B134,'Data-Retail'!$D$4:$D$269,'Apr11-Mar12 Billed-RETAIL'!$C134)</f>
        <v>22365514</v>
      </c>
      <c r="J134" s="222">
        <f>SUMIFS('Data-Retail'!$I$4:$I$269,'Data-Retail'!$A$4:$A$269,'Apr11-Mar12 Billed-RETAIL'!$B134,'Data-Retail'!$D$4:$D$269,'Apr11-Mar12 Billed-RETAIL'!$C134)</f>
        <v>0</v>
      </c>
      <c r="K134" s="222"/>
      <c r="L134" s="223">
        <f>VLOOKUP($C134,'Retail Rates'!$B$7:$M$35,5,FALSE)</f>
        <v>12.5</v>
      </c>
      <c r="M134" s="223">
        <f>VLOOKUP($C134,'Retail Rates'!$B$7:$M$35,6,FALSE)</f>
        <v>0</v>
      </c>
      <c r="N134" s="224">
        <f>VLOOKUP($C134,'Retail Rates'!$B$7:$M$35,7,FALSE)</f>
        <v>0.22395999999999999</v>
      </c>
      <c r="O134" s="224">
        <f>VLOOKUP($C134,'Retail Rates'!$B$7:$M$35,8,FALSE)</f>
        <v>0</v>
      </c>
      <c r="P134" s="224">
        <f>VLOOKUP($B134,'GSC-DSM Factors'!$A$1:$B$46,2,FALSE)</f>
        <v>0.47422999999999998</v>
      </c>
      <c r="Q134" s="223">
        <f>VLOOKUP($C134,'Retail Rates'!$B$7:$M$35,9,FALSE)</f>
        <v>0</v>
      </c>
      <c r="R134" s="224">
        <f>VLOOKUP($C134,'Retail Rates'!$B$7:$M$35,10,FALSE)</f>
        <v>0</v>
      </c>
      <c r="S134" s="223">
        <f>VLOOKUP($C134,'Retail Rates'!$B$7:$M$35,11,FALSE)</f>
        <v>0</v>
      </c>
      <c r="T134" s="223"/>
      <c r="U134" s="225">
        <f t="shared" si="102"/>
        <v>3657787.5</v>
      </c>
      <c r="V134" s="225"/>
      <c r="W134" s="225"/>
      <c r="X134" s="225">
        <f t="shared" ref="X134:Y137" si="108">+I134*N134</f>
        <v>5008980.5154400002</v>
      </c>
      <c r="Y134" s="225">
        <f t="shared" si="108"/>
        <v>0</v>
      </c>
      <c r="Z134" s="225">
        <f t="shared" si="106"/>
        <v>10606397.704219999</v>
      </c>
      <c r="AA134" s="225"/>
      <c r="AB134" s="225"/>
      <c r="AC134" s="225"/>
      <c r="AD134" s="225"/>
      <c r="AE134" s="244">
        <f>SUMIFS(Adjustments!H$5:H$684,Adjustments!$B$5:$B$684,'Apr11-Mar12 Billed-RETAIL'!$B134,Adjustments!$C$5:$C$684,'Apr11-Mar12 Billed-RETAIL'!$C134)</f>
        <v>-535</v>
      </c>
      <c r="AF134" s="244">
        <f>SUMIFS(Adjustments!I$5:I$684,Adjustments!$B$5:$B$684,'Apr11-Mar12 Billed-RETAIL'!$B134,Adjustments!$C$5:$C$684,'Apr11-Mar12 Billed-RETAIL'!$C134)</f>
        <v>0</v>
      </c>
      <c r="AG134" s="238">
        <f>SUMIFS(Adjustments!J$5:J$684,Adjustments!$B$5:$B$684,'Apr11-Mar12 Billed-RETAIL'!$B134,Adjustments!$C$5:$C$684,'Apr11-Mar12 Billed-RETAIL'!$C134)</f>
        <v>-2.23</v>
      </c>
      <c r="AH134" s="238">
        <f>SUMIFS(Adjustments!K$5:K$684,Adjustments!$B$5:$B$684,'Apr11-Mar12 Billed-RETAIL'!$B134,Adjustments!$C$5:$C$684,'Apr11-Mar12 Billed-RETAIL'!$C134)</f>
        <v>0</v>
      </c>
      <c r="AI134" s="238">
        <f>SUMIFS(Adjustments!L$5:L$684,Adjustments!$B$5:$B$684,'Apr11-Mar12 Billed-RETAIL'!$B134,Adjustments!$C$5:$C$684,'Apr11-Mar12 Billed-RETAIL'!$C134)</f>
        <v>2.2200000000000002</v>
      </c>
      <c r="AJ134" s="238">
        <f>SUMIFS(Adjustments!M$5:M$684,Adjustments!$B$5:$B$684,'Apr11-Mar12 Billed-RETAIL'!$B134,Adjustments!$C$5:$C$684,'Apr11-Mar12 Billed-RETAIL'!$C134)</f>
        <v>0</v>
      </c>
      <c r="AK134" s="238">
        <f>SUMIFS(Adjustments!N$5:N$684,Adjustments!$B$5:$B$684,'Apr11-Mar12 Billed-RETAIL'!$B134,Adjustments!$C$5:$C$684,'Apr11-Mar12 Billed-RETAIL'!$C134)</f>
        <v>0</v>
      </c>
      <c r="AL134" s="238">
        <f>SUMIFS(Adjustments!O$5:O$684,Adjustments!$B$5:$B$684,'Apr11-Mar12 Billed-RETAIL'!$B134,Adjustments!$C$5:$C$684,'Apr11-Mar12 Billed-RETAIL'!$C134)</f>
        <v>0</v>
      </c>
      <c r="AM134" s="238">
        <f>SUMIFS(Adjustments!P$5:P$684,Adjustments!$B$5:$B$684,'Apr11-Mar12 Billed-RETAIL'!$B134,Adjustments!$C$5:$C$684,'Apr11-Mar12 Billed-RETAIL'!$C134)</f>
        <v>0</v>
      </c>
      <c r="AN134" s="225">
        <f t="shared" si="105"/>
        <v>3651097.77</v>
      </c>
      <c r="AO134" s="225">
        <f t="shared" si="96"/>
        <v>0</v>
      </c>
      <c r="AP134" s="225">
        <f t="shared" si="97"/>
        <v>5008982.73544</v>
      </c>
      <c r="AQ134" s="225">
        <f t="shared" si="98"/>
        <v>0</v>
      </c>
      <c r="AR134" s="232">
        <f ca="1">SUMIF('SBR Mar12'!$D$4:$S$90,'Apr11-Mar12 Billed-RETAIL'!$C134,'SBR Mar12'!$N$4:$N$90)</f>
        <v>10606677.719999999</v>
      </c>
      <c r="AS134" s="232">
        <f ca="1">SUMIF('SBR Mar12'!$D$4:$S$90,'Apr11-Mar12 Billed-RETAIL'!$C134,'SBR Mar12'!$M$4:$M$90)+AL134</f>
        <v>573847.35</v>
      </c>
      <c r="AT134" s="232">
        <f ca="1">SUMIF('SBR Mar12'!$D$4:$S$90,'Apr11-Mar12 Billed-RETAIL'!$C134,'SBR Mar12'!$P$4:$P$90)</f>
        <v>1302856.6399999999</v>
      </c>
      <c r="AU134" s="225">
        <f t="shared" si="99"/>
        <v>0</v>
      </c>
      <c r="AV134" s="225"/>
      <c r="AW134" s="232">
        <f t="shared" ca="1" si="107"/>
        <v>21143462.219999999</v>
      </c>
      <c r="AX134" s="232">
        <f t="shared" ca="1" si="103"/>
        <v>21143462.219999999</v>
      </c>
      <c r="AY134" s="233">
        <f t="shared" ca="1" si="104"/>
        <v>1</v>
      </c>
      <c r="AZ134" s="232">
        <f ca="1">SUMIF('SBR Mar12'!$D$4:$S$90,'Apr11-Mar12 Billed-RETAIL'!$C134,'SBR Mar12'!$M$4:$M$90)+'SBR Mar12'!M38</f>
        <v>573847.35</v>
      </c>
      <c r="BA134" s="232">
        <f ca="1">SUMIF('SBR Mar12'!$D$4:$S$90,'Apr11-Mar12 Billed-RETAIL'!$C134,'SBR Mar12'!$N$4:$N$90)</f>
        <v>10606677.719999999</v>
      </c>
      <c r="BB134" s="232">
        <f ca="1">SUMIF('SBR Mar12'!$D$4:$S$90,'Apr11-Mar12 Billed-RETAIL'!$C134,'SBR Mar12'!$P$4:$P$90)</f>
        <v>1302856.6399999999</v>
      </c>
      <c r="BC134" s="232">
        <f ca="1">SUMIF('SBR Mar12'!$D$4:$S$90,'Apr11-Mar12 Billed-RETAIL'!$C134,'SBR Mar12'!$Q$4:$Q$90)</f>
        <v>0</v>
      </c>
      <c r="BD134" s="232">
        <f ca="1">SUMIF('SBR Mar12'!$D$4:$S$90,'Apr11-Mar12 Billed-RETAIL'!$C134,'SBR Mar12'!$K$4:$K$90)</f>
        <v>3651097.77</v>
      </c>
      <c r="BE134" s="232">
        <f ca="1">SUMIF('SBR Mar12'!$D$4:$S$90,'Apr11-Mar12 Billed-RETAIL'!$C134,'SBR Mar12'!$L$4:$L$90)</f>
        <v>5008982.7399999993</v>
      </c>
    </row>
    <row r="135" spans="1:57" ht="15" customHeight="1" x14ac:dyDescent="0.25">
      <c r="A135" s="196">
        <f t="shared" si="58"/>
        <v>130</v>
      </c>
      <c r="B135" s="211">
        <v>40969</v>
      </c>
      <c r="C135" s="211" t="str">
        <f>+'Retail Rates'!B27</f>
        <v>LGRSG811S1</v>
      </c>
      <c r="D135" s="197" t="str">
        <f t="shared" si="101"/>
        <v>811</v>
      </c>
      <c r="E135" s="197" t="str">
        <f>VLOOKUP(C135,'Retail Rates'!$B$7:$D$35,3,FALSE)</f>
        <v>RGS</v>
      </c>
      <c r="F135" s="222">
        <f>SUMIFS('Data-Retail'!$G$4:$G$269,'Data-Retail'!$A$4:$A$269,'Apr11-Mar12 Billed-RETAIL'!$B135,'Data-Retail'!$D$4:$D$269,'Apr11-Mar12 Billed-RETAIL'!$C135)</f>
        <v>0</v>
      </c>
      <c r="G135" s="222"/>
      <c r="H135" s="222"/>
      <c r="I135" s="222">
        <f>SUMIFS('Data-Retail'!$H$4:$H$269,'Data-Retail'!$A$4:$A$269,'Apr11-Mar12 Billed-RETAIL'!$B135,'Data-Retail'!$D$4:$D$269,'Apr11-Mar12 Billed-RETAIL'!$C135)</f>
        <v>0</v>
      </c>
      <c r="J135" s="222">
        <f>SUMIFS('Data-Retail'!$I$4:$I$269,'Data-Retail'!$A$4:$A$269,'Apr11-Mar12 Billed-RETAIL'!$B135,'Data-Retail'!$D$4:$D$269,'Apr11-Mar12 Billed-RETAIL'!$C135)</f>
        <v>0</v>
      </c>
      <c r="K135" s="222"/>
      <c r="L135" s="223">
        <f>VLOOKUP($C135,'Retail Rates'!$B$7:$M$35,5,FALSE)</f>
        <v>12.5</v>
      </c>
      <c r="M135" s="223">
        <f>VLOOKUP($C135,'Retail Rates'!$B$7:$M$35,6,FALSE)</f>
        <v>0</v>
      </c>
      <c r="N135" s="224">
        <f>VLOOKUP($C135,'Retail Rates'!$B$7:$M$35,7,FALSE)</f>
        <v>0.22395999999999999</v>
      </c>
      <c r="O135" s="224">
        <f>VLOOKUP($C135,'Retail Rates'!$B$7:$M$35,8,FALSE)</f>
        <v>0</v>
      </c>
      <c r="P135" s="224">
        <f>VLOOKUP($B135,'GSC-DSM Factors'!$A$1:$B$46,2,FALSE)</f>
        <v>0.47422999999999998</v>
      </c>
      <c r="Q135" s="223">
        <f>VLOOKUP($C135,'Retail Rates'!$B$7:$M$35,9,FALSE)</f>
        <v>0</v>
      </c>
      <c r="R135" s="224">
        <f>VLOOKUP($C135,'Retail Rates'!$B$7:$M$35,10,FALSE)</f>
        <v>0</v>
      </c>
      <c r="S135" s="223">
        <f>VLOOKUP($C135,'Retail Rates'!$B$7:$M$35,11,FALSE)</f>
        <v>0</v>
      </c>
      <c r="T135" s="223"/>
      <c r="U135" s="225">
        <f t="shared" si="102"/>
        <v>0</v>
      </c>
      <c r="V135" s="225"/>
      <c r="W135" s="225"/>
      <c r="X135" s="225">
        <f t="shared" si="108"/>
        <v>0</v>
      </c>
      <c r="Y135" s="225">
        <f t="shared" si="108"/>
        <v>0</v>
      </c>
      <c r="Z135" s="225">
        <f t="shared" si="106"/>
        <v>0</v>
      </c>
      <c r="AA135" s="225"/>
      <c r="AB135" s="225"/>
      <c r="AC135" s="225"/>
      <c r="AD135" s="225"/>
      <c r="AE135" s="244">
        <f>SUMIFS(Adjustments!H$5:H$684,Adjustments!$B$5:$B$684,'Apr11-Mar12 Billed-RETAIL'!$B135,Adjustments!$C$5:$C$684,'Apr11-Mar12 Billed-RETAIL'!$C135)</f>
        <v>0</v>
      </c>
      <c r="AF135" s="244">
        <f>SUMIFS(Adjustments!I$5:I$684,Adjustments!$B$5:$B$684,'Apr11-Mar12 Billed-RETAIL'!$B135,Adjustments!$C$5:$C$684,'Apr11-Mar12 Billed-RETAIL'!$C135)</f>
        <v>0</v>
      </c>
      <c r="AG135" s="238">
        <f>SUMIFS(Adjustments!J$5:J$684,Adjustments!$B$5:$B$684,'Apr11-Mar12 Billed-RETAIL'!$B135,Adjustments!$C$5:$C$684,'Apr11-Mar12 Billed-RETAIL'!$C135)</f>
        <v>0</v>
      </c>
      <c r="AH135" s="238">
        <f>SUMIFS(Adjustments!K$5:K$684,Adjustments!$B$5:$B$684,'Apr11-Mar12 Billed-RETAIL'!$B135,Adjustments!$C$5:$C$684,'Apr11-Mar12 Billed-RETAIL'!$C135)</f>
        <v>0</v>
      </c>
      <c r="AI135" s="238">
        <f>SUMIFS(Adjustments!L$5:L$684,Adjustments!$B$5:$B$684,'Apr11-Mar12 Billed-RETAIL'!$B135,Adjustments!$C$5:$C$684,'Apr11-Mar12 Billed-RETAIL'!$C135)</f>
        <v>0</v>
      </c>
      <c r="AJ135" s="238">
        <f>SUMIFS(Adjustments!M$5:M$684,Adjustments!$B$5:$B$684,'Apr11-Mar12 Billed-RETAIL'!$B135,Adjustments!$C$5:$C$684,'Apr11-Mar12 Billed-RETAIL'!$C135)</f>
        <v>0</v>
      </c>
      <c r="AK135" s="238">
        <f>SUMIFS(Adjustments!N$5:N$684,Adjustments!$B$5:$B$684,'Apr11-Mar12 Billed-RETAIL'!$B135,Adjustments!$C$5:$C$684,'Apr11-Mar12 Billed-RETAIL'!$C135)</f>
        <v>0</v>
      </c>
      <c r="AL135" s="238">
        <f>SUMIFS(Adjustments!O$5:O$684,Adjustments!$B$5:$B$684,'Apr11-Mar12 Billed-RETAIL'!$B135,Adjustments!$C$5:$C$684,'Apr11-Mar12 Billed-RETAIL'!$C135)</f>
        <v>0</v>
      </c>
      <c r="AM135" s="238">
        <f>SUMIFS(Adjustments!P$5:P$684,Adjustments!$B$5:$B$684,'Apr11-Mar12 Billed-RETAIL'!$B135,Adjustments!$C$5:$C$684,'Apr11-Mar12 Billed-RETAIL'!$C135)</f>
        <v>0</v>
      </c>
      <c r="AN135" s="225">
        <f t="shared" si="105"/>
        <v>0</v>
      </c>
      <c r="AO135" s="225">
        <f t="shared" si="96"/>
        <v>0</v>
      </c>
      <c r="AP135" s="225">
        <f t="shared" si="97"/>
        <v>0</v>
      </c>
      <c r="AQ135" s="225">
        <f t="shared" si="98"/>
        <v>0</v>
      </c>
      <c r="AR135" s="232">
        <f ca="1">SUMIF('SBR Mar12'!$D$4:$S$90,'Apr11-Mar12 Billed-RETAIL'!$C135,'SBR Mar12'!$N$4:$N$90)</f>
        <v>0</v>
      </c>
      <c r="AS135" s="232">
        <f ca="1">SUMIF('SBR Mar12'!$D$4:$S$90,'Apr11-Mar12 Billed-RETAIL'!$C135,'SBR Mar12'!$M$4:$M$90)</f>
        <v>0</v>
      </c>
      <c r="AT135" s="232">
        <f ca="1">SUMIF('SBR Mar12'!$D$4:$S$90,'Apr11-Mar12 Billed-RETAIL'!$C135,'SBR Mar12'!$P$4:$P$90)</f>
        <v>0</v>
      </c>
      <c r="AU135" s="225">
        <f t="shared" si="99"/>
        <v>0</v>
      </c>
      <c r="AV135" s="225"/>
      <c r="AW135" s="232">
        <f t="shared" ca="1" si="107"/>
        <v>0</v>
      </c>
      <c r="AX135" s="232">
        <f t="shared" ca="1" si="103"/>
        <v>0</v>
      </c>
      <c r="AY135" s="233">
        <f t="shared" ca="1" si="104"/>
        <v>0</v>
      </c>
      <c r="AZ135" s="232">
        <f ca="1">SUMIF('SBR Mar12'!$D$4:$S$90,'Apr11-Mar12 Billed-RETAIL'!$C135,'SBR Mar12'!$M$4:$M$90)</f>
        <v>0</v>
      </c>
      <c r="BA135" s="232">
        <f ca="1">SUMIF('SBR Mar12'!$D$4:$S$90,'Apr11-Mar12 Billed-RETAIL'!$C135,'SBR Mar12'!$N$4:$N$90)</f>
        <v>0</v>
      </c>
      <c r="BB135" s="232">
        <f ca="1">SUMIF('SBR Mar12'!$D$4:$S$90,'Apr11-Mar12 Billed-RETAIL'!$C135,'SBR Mar12'!$P$4:$P$90)</f>
        <v>0</v>
      </c>
      <c r="BC135" s="232">
        <f ca="1">SUMIF('SBR Mar12'!$D$4:$S$90,'Apr11-Mar12 Billed-RETAIL'!$C135,'SBR Mar12'!$Q$4:$Q$90)</f>
        <v>0</v>
      </c>
      <c r="BD135" s="232">
        <f ca="1">SUMIF('SBR Mar12'!$D$4:$S$90,'Apr11-Mar12 Billed-RETAIL'!$C135,'SBR Mar12'!$K$4:$K$90)</f>
        <v>0</v>
      </c>
      <c r="BE135" s="232">
        <f ca="1">SUMIF('SBR Mar12'!$D$4:$S$90,'Apr11-Mar12 Billed-RETAIL'!$C135,'SBR Mar12'!$L$4:$L$90)</f>
        <v>0</v>
      </c>
    </row>
    <row r="136" spans="1:57" ht="15" customHeight="1" x14ac:dyDescent="0.25">
      <c r="A136" s="196">
        <f t="shared" ref="A136:A146" si="109">+A135+1</f>
        <v>131</v>
      </c>
      <c r="B136" s="211">
        <v>40969</v>
      </c>
      <c r="C136" s="211" t="str">
        <f>+'Retail Rates'!B28</f>
        <v>LGRSG840</v>
      </c>
      <c r="D136" s="197" t="str">
        <f t="shared" si="101"/>
        <v>840</v>
      </c>
      <c r="E136" s="197" t="str">
        <f>VLOOKUP(C136,'Retail Rates'!$B$7:$D$35,3,FALSE)</f>
        <v>RGS</v>
      </c>
      <c r="F136" s="222">
        <f>SUMIFS('Data-Retail'!$G$4:$G$269,'Data-Retail'!$A$4:$A$269,'Apr11-Mar12 Billed-RETAIL'!$B136,'Data-Retail'!$D$4:$D$269,'Apr11-Mar12 Billed-RETAIL'!$C136)</f>
        <v>4</v>
      </c>
      <c r="G136" s="222"/>
      <c r="H136" s="222"/>
      <c r="I136" s="222">
        <f>SUMIFS('Data-Retail'!$H$4:$H$269,'Data-Retail'!$A$4:$A$269,'Apr11-Mar12 Billed-RETAIL'!$B136,'Data-Retail'!$D$4:$D$269,'Apr11-Mar12 Billed-RETAIL'!$C136)</f>
        <v>1566</v>
      </c>
      <c r="J136" s="222">
        <f>SUMIFS('Data-Retail'!$I$4:$I$269,'Data-Retail'!$A$4:$A$269,'Apr11-Mar12 Billed-RETAIL'!$B136,'Data-Retail'!$D$4:$D$269,'Apr11-Mar12 Billed-RETAIL'!$C136)</f>
        <v>0</v>
      </c>
      <c r="K136" s="222"/>
      <c r="L136" s="223">
        <f>VLOOKUP($C136,'Retail Rates'!$B$7:$M$35,5,FALSE)</f>
        <v>12.5</v>
      </c>
      <c r="M136" s="223">
        <f>VLOOKUP($C136,'Retail Rates'!$B$7:$M$35,6,FALSE)</f>
        <v>0</v>
      </c>
      <c r="N136" s="224">
        <f>VLOOKUP($C136,'Retail Rates'!$B$7:$M$35,7,FALSE)</f>
        <v>0.22395999999999999</v>
      </c>
      <c r="O136" s="224">
        <f>VLOOKUP($C136,'Retail Rates'!$B$7:$M$35,8,FALSE)</f>
        <v>0</v>
      </c>
      <c r="P136" s="224">
        <f>VLOOKUP($B136,'GSC-DSM Factors'!$A$1:$B$46,2,FALSE)</f>
        <v>0.47422999999999998</v>
      </c>
      <c r="Q136" s="223">
        <f>VLOOKUP($C136,'Retail Rates'!$B$7:$M$35,9,FALSE)</f>
        <v>0</v>
      </c>
      <c r="R136" s="224">
        <f>VLOOKUP($C136,'Retail Rates'!$B$7:$M$35,10,FALSE)</f>
        <v>0</v>
      </c>
      <c r="S136" s="223">
        <f>VLOOKUP($C136,'Retail Rates'!$B$7:$M$35,11,FALSE)</f>
        <v>0</v>
      </c>
      <c r="T136" s="223"/>
      <c r="U136" s="225">
        <f t="shared" si="102"/>
        <v>50</v>
      </c>
      <c r="V136" s="225"/>
      <c r="W136" s="225"/>
      <c r="X136" s="225">
        <f t="shared" si="108"/>
        <v>350.72136</v>
      </c>
      <c r="Y136" s="225">
        <f t="shared" si="108"/>
        <v>0</v>
      </c>
      <c r="Z136" s="225">
        <f t="shared" si="106"/>
        <v>742.64418000000001</v>
      </c>
      <c r="AA136" s="225"/>
      <c r="AB136" s="225"/>
      <c r="AC136" s="225"/>
      <c r="AD136" s="225"/>
      <c r="AE136" s="244">
        <f>SUMIFS(Adjustments!H$5:H$684,Adjustments!$B$5:$B$684,'Apr11-Mar12 Billed-RETAIL'!$B136,Adjustments!$C$5:$C$684,'Apr11-Mar12 Billed-RETAIL'!$C136)</f>
        <v>0</v>
      </c>
      <c r="AF136" s="244">
        <f>SUMIFS(Adjustments!I$5:I$684,Adjustments!$B$5:$B$684,'Apr11-Mar12 Billed-RETAIL'!$B136,Adjustments!$C$5:$C$684,'Apr11-Mar12 Billed-RETAIL'!$C136)</f>
        <v>0</v>
      </c>
      <c r="AG136" s="238">
        <f>SUMIFS(Adjustments!J$5:J$684,Adjustments!$B$5:$B$684,'Apr11-Mar12 Billed-RETAIL'!$B136,Adjustments!$C$5:$C$684,'Apr11-Mar12 Billed-RETAIL'!$C136)</f>
        <v>-0.56999999999999995</v>
      </c>
      <c r="AH136" s="238">
        <f>SUMIFS(Adjustments!K$5:K$684,Adjustments!$B$5:$B$684,'Apr11-Mar12 Billed-RETAIL'!$B136,Adjustments!$C$5:$C$684,'Apr11-Mar12 Billed-RETAIL'!$C136)</f>
        <v>0</v>
      </c>
      <c r="AI136" s="238">
        <f>SUMIFS(Adjustments!L$5:L$684,Adjustments!$B$5:$B$684,'Apr11-Mar12 Billed-RETAIL'!$B136,Adjustments!$C$5:$C$684,'Apr11-Mar12 Billed-RETAIL'!$C136)</f>
        <v>0</v>
      </c>
      <c r="AJ136" s="238">
        <f>SUMIFS(Adjustments!M$5:M$684,Adjustments!$B$5:$B$684,'Apr11-Mar12 Billed-RETAIL'!$B136,Adjustments!$C$5:$C$684,'Apr11-Mar12 Billed-RETAIL'!$C136)</f>
        <v>0</v>
      </c>
      <c r="AK136" s="238">
        <f>SUMIFS(Adjustments!N$5:N$684,Adjustments!$B$5:$B$684,'Apr11-Mar12 Billed-RETAIL'!$B136,Adjustments!$C$5:$C$684,'Apr11-Mar12 Billed-RETAIL'!$C136)</f>
        <v>0</v>
      </c>
      <c r="AL136" s="238">
        <f>SUMIFS(Adjustments!O$5:O$684,Adjustments!$B$5:$B$684,'Apr11-Mar12 Billed-RETAIL'!$B136,Adjustments!$C$5:$C$684,'Apr11-Mar12 Billed-RETAIL'!$C136)</f>
        <v>0</v>
      </c>
      <c r="AM136" s="238">
        <f>SUMIFS(Adjustments!P$5:P$684,Adjustments!$B$5:$B$684,'Apr11-Mar12 Billed-RETAIL'!$B136,Adjustments!$C$5:$C$684,'Apr11-Mar12 Billed-RETAIL'!$C136)</f>
        <v>0</v>
      </c>
      <c r="AN136" s="225">
        <f t="shared" si="105"/>
        <v>49.43</v>
      </c>
      <c r="AO136" s="225">
        <f t="shared" si="96"/>
        <v>0</v>
      </c>
      <c r="AP136" s="225">
        <f t="shared" si="97"/>
        <v>350.72136</v>
      </c>
      <c r="AQ136" s="225">
        <f t="shared" si="98"/>
        <v>0</v>
      </c>
      <c r="AR136" s="232">
        <f ca="1">SUMIF('SBR Mar12'!$D$4:$S$90,'Apr11-Mar12 Billed-RETAIL'!$C136,'SBR Mar12'!$N$4:$N$90)</f>
        <v>742.65000000000009</v>
      </c>
      <c r="AS136" s="232">
        <f ca="1">SUMIF('SBR Mar12'!$D$4:$S$90,'Apr11-Mar12 Billed-RETAIL'!$C136,'SBR Mar12'!$M$4:$M$90)</f>
        <v>40.180000000000007</v>
      </c>
      <c r="AT136" s="232">
        <f ca="1">SUMIF('SBR Mar12'!$D$4:$S$90,'Apr11-Mar12 Billed-RETAIL'!$C136,'SBR Mar12'!$P$4:$P$90)</f>
        <v>77.180000000000007</v>
      </c>
      <c r="AU136" s="225">
        <f t="shared" si="99"/>
        <v>0</v>
      </c>
      <c r="AV136" s="225"/>
      <c r="AW136" s="232">
        <f t="shared" ca="1" si="107"/>
        <v>1260.1600000000001</v>
      </c>
      <c r="AX136" s="232">
        <f t="shared" ca="1" si="103"/>
        <v>1260.1600000000003</v>
      </c>
      <c r="AY136" s="233">
        <f t="shared" ca="1" si="104"/>
        <v>1</v>
      </c>
      <c r="AZ136" s="232">
        <f ca="1">SUMIF('SBR Mar12'!$D$4:$S$90,'Apr11-Mar12 Billed-RETAIL'!$C136,'SBR Mar12'!$M$4:$M$90)</f>
        <v>40.180000000000007</v>
      </c>
      <c r="BA136" s="232">
        <f ca="1">SUMIF('SBR Mar12'!$D$4:$S$90,'Apr11-Mar12 Billed-RETAIL'!$C136,'SBR Mar12'!$N$4:$N$90)</f>
        <v>742.65000000000009</v>
      </c>
      <c r="BB136" s="232">
        <f ca="1">SUMIF('SBR Mar12'!$D$4:$S$90,'Apr11-Mar12 Billed-RETAIL'!$C136,'SBR Mar12'!$P$4:$P$90)</f>
        <v>77.180000000000007</v>
      </c>
      <c r="BC136" s="232">
        <f ca="1">SUMIF('SBR Mar12'!$D$4:$S$90,'Apr11-Mar12 Billed-RETAIL'!$C136,'SBR Mar12'!$Q$4:$Q$90)</f>
        <v>0</v>
      </c>
      <c r="BD136" s="232">
        <f ca="1">SUMIF('SBR Mar12'!$D$4:$S$90,'Apr11-Mar12 Billed-RETAIL'!$C136,'SBR Mar12'!$K$4:$K$90)</f>
        <v>49.43</v>
      </c>
      <c r="BE136" s="232">
        <f ca="1">SUMIF('SBR Mar12'!$D$4:$S$90,'Apr11-Mar12 Billed-RETAIL'!$C136,'SBR Mar12'!$L$4:$L$90)</f>
        <v>350.72</v>
      </c>
    </row>
    <row r="137" spans="1:57" ht="15" customHeight="1" x14ac:dyDescent="0.25">
      <c r="A137" s="196">
        <f t="shared" si="109"/>
        <v>132</v>
      </c>
      <c r="B137" s="211">
        <v>40969</v>
      </c>
      <c r="C137" s="211" t="str">
        <f>+'Retail Rates'!B29</f>
        <v>LGUMG830</v>
      </c>
      <c r="D137" s="197" t="str">
        <f t="shared" si="101"/>
        <v>830</v>
      </c>
      <c r="E137" s="197" t="str">
        <f>VLOOKUP(C137,'Retail Rates'!$B$7:$D$35,3,FALSE)</f>
        <v>RGS</v>
      </c>
      <c r="F137" s="222">
        <f>SUMIFS('Data-Retail'!$G$4:$G$269,'Data-Retail'!$A$4:$A$269,'Apr11-Mar12 Billed-RETAIL'!$B137,'Data-Retail'!$D$4:$D$269,'Apr11-Mar12 Billed-RETAIL'!$C137)</f>
        <v>1</v>
      </c>
      <c r="G137" s="222"/>
      <c r="H137" s="222"/>
      <c r="I137" s="222">
        <f>SUMIFS('Data-Retail'!$H$4:$H$269,'Data-Retail'!$A$4:$A$269,'Apr11-Mar12 Billed-RETAIL'!$B137,'Data-Retail'!$D$4:$D$269,'Apr11-Mar12 Billed-RETAIL'!$C137)</f>
        <v>32</v>
      </c>
      <c r="J137" s="222">
        <f>SUMIFS('Data-Retail'!$I$4:$I$269,'Data-Retail'!$A$4:$A$269,'Apr11-Mar12 Billed-RETAIL'!$B137,'Data-Retail'!$D$4:$D$269,'Apr11-Mar12 Billed-RETAIL'!$C137)</f>
        <v>0</v>
      </c>
      <c r="K137" s="222"/>
      <c r="L137" s="223">
        <f>VLOOKUP($C137,'Retail Rates'!$B$7:$M$35,5,FALSE)</f>
        <v>12.5</v>
      </c>
      <c r="M137" s="223">
        <f>VLOOKUP($C137,'Retail Rates'!$B$7:$M$35,6,FALSE)</f>
        <v>0</v>
      </c>
      <c r="N137" s="224">
        <f>VLOOKUP($C137,'Retail Rates'!$B$7:$M$35,7,FALSE)</f>
        <v>0.22395999999999999</v>
      </c>
      <c r="O137" s="224">
        <f>VLOOKUP($C137,'Retail Rates'!$B$7:$M$35,8,FALSE)</f>
        <v>0</v>
      </c>
      <c r="P137" s="224">
        <f>VLOOKUP($B137,'GSC-DSM Factors'!$A$1:$B$46,2,FALSE)</f>
        <v>0.47422999999999998</v>
      </c>
      <c r="Q137" s="223">
        <f>VLOOKUP($C137,'Retail Rates'!$B$7:$M$35,9,FALSE)</f>
        <v>0</v>
      </c>
      <c r="R137" s="224">
        <f>VLOOKUP($C137,'Retail Rates'!$B$7:$M$35,10,FALSE)</f>
        <v>0</v>
      </c>
      <c r="S137" s="223">
        <f>VLOOKUP($C137,'Retail Rates'!$B$7:$M$35,11,FALSE)</f>
        <v>0</v>
      </c>
      <c r="T137" s="223"/>
      <c r="U137" s="225">
        <f t="shared" si="102"/>
        <v>12.5</v>
      </c>
      <c r="V137" s="225"/>
      <c r="W137" s="225"/>
      <c r="X137" s="225">
        <f t="shared" si="108"/>
        <v>7.1667199999999998</v>
      </c>
      <c r="Y137" s="225">
        <f t="shared" si="108"/>
        <v>0</v>
      </c>
      <c r="Z137" s="225">
        <f t="shared" si="106"/>
        <v>15.17536</v>
      </c>
      <c r="AA137" s="225"/>
      <c r="AB137" s="225"/>
      <c r="AC137" s="225"/>
      <c r="AD137" s="225"/>
      <c r="AE137" s="244">
        <f>SUMIFS(Adjustments!H$5:H$684,Adjustments!$B$5:$B$684,'Apr11-Mar12 Billed-RETAIL'!$B137,Adjustments!$C$5:$C$684,'Apr11-Mar12 Billed-RETAIL'!$C137)</f>
        <v>1</v>
      </c>
      <c r="AF137" s="244">
        <f>SUMIFS(Adjustments!I$5:I$684,Adjustments!$B$5:$B$684,'Apr11-Mar12 Billed-RETAIL'!$B137,Adjustments!$C$5:$C$684,'Apr11-Mar12 Billed-RETAIL'!$C137)</f>
        <v>0</v>
      </c>
      <c r="AG137" s="238">
        <f>SUMIFS(Adjustments!J$5:J$684,Adjustments!$B$5:$B$684,'Apr11-Mar12 Billed-RETAIL'!$B137,Adjustments!$C$5:$C$684,'Apr11-Mar12 Billed-RETAIL'!$C137)</f>
        <v>0</v>
      </c>
      <c r="AH137" s="238">
        <f>SUMIFS(Adjustments!K$5:K$684,Adjustments!$B$5:$B$684,'Apr11-Mar12 Billed-RETAIL'!$B137,Adjustments!$C$5:$C$684,'Apr11-Mar12 Billed-RETAIL'!$C137)</f>
        <v>0</v>
      </c>
      <c r="AI137" s="238">
        <f>SUMIFS(Adjustments!L$5:L$684,Adjustments!$B$5:$B$684,'Apr11-Mar12 Billed-RETAIL'!$B137,Adjustments!$C$5:$C$684,'Apr11-Mar12 Billed-RETAIL'!$C137)</f>
        <v>0</v>
      </c>
      <c r="AJ137" s="238">
        <f>SUMIFS(Adjustments!M$5:M$684,Adjustments!$B$5:$B$684,'Apr11-Mar12 Billed-RETAIL'!$B137,Adjustments!$C$5:$C$684,'Apr11-Mar12 Billed-RETAIL'!$C137)</f>
        <v>0</v>
      </c>
      <c r="AK137" s="238">
        <f>SUMIFS(Adjustments!N$5:N$684,Adjustments!$B$5:$B$684,'Apr11-Mar12 Billed-RETAIL'!$B137,Adjustments!$C$5:$C$684,'Apr11-Mar12 Billed-RETAIL'!$C137)</f>
        <v>0</v>
      </c>
      <c r="AL137" s="238">
        <f>SUMIFS(Adjustments!O$5:O$684,Adjustments!$B$5:$B$684,'Apr11-Mar12 Billed-RETAIL'!$B137,Adjustments!$C$5:$C$684,'Apr11-Mar12 Billed-RETAIL'!$C137)</f>
        <v>0</v>
      </c>
      <c r="AM137" s="238">
        <f>SUMIFS(Adjustments!P$5:P$684,Adjustments!$B$5:$B$684,'Apr11-Mar12 Billed-RETAIL'!$B137,Adjustments!$C$5:$C$684,'Apr11-Mar12 Billed-RETAIL'!$C137)</f>
        <v>0</v>
      </c>
      <c r="AN137" s="225">
        <f t="shared" si="105"/>
        <v>25</v>
      </c>
      <c r="AO137" s="225">
        <f t="shared" si="96"/>
        <v>0</v>
      </c>
      <c r="AP137" s="225">
        <f t="shared" si="97"/>
        <v>7.1667199999999998</v>
      </c>
      <c r="AQ137" s="225">
        <f t="shared" si="98"/>
        <v>0</v>
      </c>
      <c r="AR137" s="232">
        <f ca="1">SUMIF('SBR Mar12'!$D$4:$S$90,'Apr11-Mar12 Billed-RETAIL'!$C137,'SBR Mar12'!$N$4:$N$90)</f>
        <v>15.18</v>
      </c>
      <c r="AS137" s="232">
        <f ca="1">SUMIF('SBR Mar12'!$D$4:$S$90,'Apr11-Mar12 Billed-RETAIL'!$C137,'SBR Mar12'!$M$4:$M$90)</f>
        <v>0.82</v>
      </c>
      <c r="AT137" s="232">
        <f ca="1">SUMIF('SBR Mar12'!$D$4:$S$90,'Apr11-Mar12 Billed-RETAIL'!$C137,'SBR Mar12'!$P$4:$P$90)</f>
        <v>0</v>
      </c>
      <c r="AU137" s="225">
        <f t="shared" si="99"/>
        <v>0</v>
      </c>
      <c r="AV137" s="225"/>
      <c r="AW137" s="232">
        <f t="shared" ca="1" si="107"/>
        <v>48.17</v>
      </c>
      <c r="AX137" s="232">
        <f t="shared" ca="1" si="103"/>
        <v>48.17</v>
      </c>
      <c r="AY137" s="233">
        <f t="shared" ca="1" si="104"/>
        <v>1</v>
      </c>
      <c r="AZ137" s="232">
        <f ca="1">SUMIF('SBR Mar12'!$D$4:$S$90,'Apr11-Mar12 Billed-RETAIL'!$C137,'SBR Mar12'!$M$4:$M$90)</f>
        <v>0.82</v>
      </c>
      <c r="BA137" s="232">
        <f ca="1">SUMIF('SBR Mar12'!$D$4:$S$90,'Apr11-Mar12 Billed-RETAIL'!$C137,'SBR Mar12'!$N$4:$N$90)</f>
        <v>15.18</v>
      </c>
      <c r="BB137" s="232">
        <f ca="1">SUMIF('SBR Mar12'!$D$4:$S$90,'Apr11-Mar12 Billed-RETAIL'!$C137,'SBR Mar12'!$P$4:$P$90)</f>
        <v>0</v>
      </c>
      <c r="BC137" s="232">
        <f ca="1">SUMIF('SBR Mar12'!$D$4:$S$90,'Apr11-Mar12 Billed-RETAIL'!$C137,'SBR Mar12'!$Q$4:$Q$90)</f>
        <v>0</v>
      </c>
      <c r="BD137" s="232">
        <f ca="1">SUMIF('SBR Mar12'!$D$4:$S$90,'Apr11-Mar12 Billed-RETAIL'!$C137,'SBR Mar12'!$K$4:$K$90)</f>
        <v>25</v>
      </c>
      <c r="BE137" s="232">
        <f ca="1">SUMIF('SBR Mar12'!$D$4:$S$90,'Apr11-Mar12 Billed-RETAIL'!$C137,'SBR Mar12'!$L$4:$L$90)</f>
        <v>7.17</v>
      </c>
    </row>
    <row r="138" spans="1:57" ht="12.75" customHeight="1" x14ac:dyDescent="0.2">
      <c r="A138" s="196">
        <f t="shared" si="109"/>
        <v>133</v>
      </c>
      <c r="B138" s="211"/>
      <c r="C138" s="211"/>
      <c r="D138" s="197"/>
      <c r="E138" s="197"/>
    </row>
    <row r="139" spans="1:57" ht="12.75" customHeight="1" x14ac:dyDescent="0.2">
      <c r="A139" s="196">
        <f t="shared" si="109"/>
        <v>134</v>
      </c>
      <c r="B139" s="211"/>
      <c r="C139" s="211"/>
      <c r="D139" s="197"/>
      <c r="E139" s="197"/>
    </row>
    <row r="140" spans="1:57" ht="12.75" customHeight="1" x14ac:dyDescent="0.2">
      <c r="A140" s="196">
        <f t="shared" si="109"/>
        <v>135</v>
      </c>
      <c r="B140" s="211"/>
      <c r="C140" s="211"/>
      <c r="D140" s="197"/>
      <c r="E140" s="197"/>
    </row>
    <row r="141" spans="1:57" ht="12.75" customHeight="1" x14ac:dyDescent="0.2">
      <c r="A141" s="196">
        <f t="shared" si="109"/>
        <v>136</v>
      </c>
      <c r="B141" s="211"/>
      <c r="C141" s="211"/>
      <c r="D141" s="197"/>
      <c r="E141" s="197"/>
    </row>
    <row r="142" spans="1:57" ht="12.75" customHeight="1" x14ac:dyDescent="0.2">
      <c r="A142" s="196">
        <f t="shared" si="109"/>
        <v>137</v>
      </c>
      <c r="B142" s="211"/>
      <c r="C142" s="211"/>
      <c r="D142" s="197"/>
      <c r="E142" s="197"/>
    </row>
    <row r="143" spans="1:57" ht="12.75" customHeight="1" x14ac:dyDescent="0.2">
      <c r="A143" s="196">
        <f t="shared" si="109"/>
        <v>138</v>
      </c>
      <c r="B143" s="211"/>
      <c r="C143" s="211"/>
      <c r="D143" s="197"/>
      <c r="E143" s="197"/>
    </row>
    <row r="144" spans="1:57" ht="12.75" customHeight="1" x14ac:dyDescent="0.2">
      <c r="A144" s="196">
        <f t="shared" si="109"/>
        <v>139</v>
      </c>
      <c r="B144" s="211"/>
      <c r="C144" s="211"/>
      <c r="D144" s="197"/>
      <c r="E144" s="197"/>
    </row>
    <row r="145" spans="1:57" ht="12.75" customHeight="1" x14ac:dyDescent="0.2">
      <c r="A145" s="196">
        <f t="shared" si="109"/>
        <v>140</v>
      </c>
      <c r="B145" s="211"/>
      <c r="C145" s="211"/>
      <c r="D145" s="197"/>
      <c r="E145" s="197"/>
    </row>
    <row r="146" spans="1:57" ht="12.75" customHeight="1" x14ac:dyDescent="0.2">
      <c r="A146" s="196">
        <f t="shared" si="109"/>
        <v>141</v>
      </c>
      <c r="B146" s="211"/>
      <c r="C146" s="211"/>
      <c r="D146" s="197"/>
      <c r="E146" s="197"/>
    </row>
    <row r="147" spans="1:57" x14ac:dyDescent="0.2">
      <c r="F147" s="415"/>
      <c r="G147" s="415"/>
      <c r="H147" s="415"/>
      <c r="I147" s="415"/>
      <c r="J147" s="415"/>
      <c r="K147" s="415"/>
      <c r="L147" s="415"/>
      <c r="M147" s="415"/>
      <c r="N147" s="415"/>
      <c r="O147" s="415"/>
      <c r="P147" s="415"/>
      <c r="Q147" s="415"/>
    </row>
    <row r="148" spans="1:57" x14ac:dyDescent="0.2">
      <c r="F148" s="616"/>
      <c r="G148" s="616"/>
      <c r="H148" s="616"/>
      <c r="I148" s="616"/>
      <c r="J148" s="616"/>
      <c r="K148" s="616"/>
      <c r="L148" s="616"/>
      <c r="M148" s="616"/>
      <c r="N148" s="616"/>
      <c r="O148" s="616"/>
      <c r="P148" s="616"/>
      <c r="Q148" s="616"/>
      <c r="BE148" s="316" t="s">
        <v>242</v>
      </c>
    </row>
    <row r="149" spans="1:57" x14ac:dyDescent="0.2">
      <c r="F149" s="273"/>
    </row>
    <row r="150" spans="1:57" x14ac:dyDescent="0.2">
      <c r="F150" s="615"/>
      <c r="I150" s="272"/>
      <c r="J150" s="272"/>
    </row>
    <row r="151" spans="1:57" x14ac:dyDescent="0.2">
      <c r="I151" s="272"/>
      <c r="AG151" s="245"/>
      <c r="AN151" s="245"/>
    </row>
    <row r="152" spans="1:57" x14ac:dyDescent="0.2">
      <c r="I152" s="272"/>
      <c r="J152" s="273"/>
      <c r="AN152" s="249"/>
    </row>
    <row r="153" spans="1:57" x14ac:dyDescent="0.2">
      <c r="AN153" s="245"/>
    </row>
  </sheetData>
  <conditionalFormatting sqref="AY6:AY137">
    <cfRule type="cellIs" dxfId="56" priority="16" operator="notBetween">
      <formula>0.998</formula>
      <formula>1.002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 tint="0.39997558519241921"/>
    <pageSetUpPr fitToPage="1"/>
  </sheetPr>
  <dimension ref="A1:K25"/>
  <sheetViews>
    <sheetView tabSelected="1" zoomScaleNormal="100" zoomScaleSheetLayoutView="90" workbookViewId="0">
      <selection activeCell="O10" sqref="O10"/>
    </sheetView>
  </sheetViews>
  <sheetFormatPr defaultRowHeight="12.75" x14ac:dyDescent="0.2"/>
  <cols>
    <col min="1" max="1" width="48.42578125" style="777" customWidth="1"/>
    <col min="2" max="2" width="14.28515625" style="777" bestFit="1" customWidth="1"/>
    <col min="3" max="3" width="12" style="777" customWidth="1"/>
    <col min="4" max="4" width="11.5703125" style="777" customWidth="1"/>
    <col min="5" max="5" width="12.5703125" style="777" customWidth="1"/>
    <col min="6" max="6" width="12.42578125" style="777" customWidth="1"/>
    <col min="7" max="7" width="1.85546875" style="777" customWidth="1"/>
    <col min="8" max="8" width="13.7109375" style="777" customWidth="1"/>
    <col min="9" max="9" width="12.85546875" style="777" customWidth="1"/>
    <col min="10" max="10" width="11.85546875" style="777" customWidth="1"/>
    <col min="11" max="11" width="12.7109375" style="777" customWidth="1"/>
    <col min="12" max="16384" width="9.140625" style="777"/>
  </cols>
  <sheetData>
    <row r="1" spans="1:11" x14ac:dyDescent="0.2">
      <c r="A1" s="777" t="s">
        <v>405</v>
      </c>
    </row>
    <row r="5" spans="1:11" x14ac:dyDescent="0.2">
      <c r="F5" s="923" t="s">
        <v>457</v>
      </c>
    </row>
    <row r="6" spans="1:11" x14ac:dyDescent="0.2">
      <c r="A6" s="924"/>
      <c r="B6" s="923" t="s">
        <v>522</v>
      </c>
      <c r="C6" s="923" t="s">
        <v>1086</v>
      </c>
      <c r="D6" s="923" t="s">
        <v>1087</v>
      </c>
      <c r="E6" s="923" t="s">
        <v>1088</v>
      </c>
      <c r="F6" s="925" t="s">
        <v>1089</v>
      </c>
      <c r="G6" s="923"/>
      <c r="H6" s="926" t="s">
        <v>1078</v>
      </c>
      <c r="I6" s="926" t="s">
        <v>1152</v>
      </c>
      <c r="J6" s="923"/>
      <c r="K6" s="923" t="s">
        <v>1159</v>
      </c>
    </row>
    <row r="7" spans="1:11" x14ac:dyDescent="0.2">
      <c r="A7" s="924"/>
      <c r="B7" s="923" t="s">
        <v>1014</v>
      </c>
      <c r="C7" s="923" t="s">
        <v>1014</v>
      </c>
      <c r="D7" s="923" t="s">
        <v>1090</v>
      </c>
      <c r="E7" s="923" t="s">
        <v>1091</v>
      </c>
      <c r="F7" s="923" t="s">
        <v>1092</v>
      </c>
      <c r="G7" s="923"/>
      <c r="H7" s="926" t="s">
        <v>1158</v>
      </c>
      <c r="I7" s="926" t="s">
        <v>1158</v>
      </c>
      <c r="J7" s="927" t="s">
        <v>1082</v>
      </c>
      <c r="K7" s="926" t="s">
        <v>1082</v>
      </c>
    </row>
    <row r="9" spans="1:11" x14ac:dyDescent="0.2">
      <c r="C9" s="928"/>
    </row>
    <row r="10" spans="1:11" x14ac:dyDescent="0.2">
      <c r="A10" s="777" t="s">
        <v>1065</v>
      </c>
      <c r="B10" s="959">
        <f ca="1">+'Exh R10-Summary of Increase'!I12</f>
        <v>11950450.375773191</v>
      </c>
      <c r="C10" s="929">
        <f ca="1">+'Exh R10-Summary of Increase'!J12</f>
        <v>7.5650882659665047E-2</v>
      </c>
      <c r="D10" s="957">
        <f ca="1">J10</f>
        <v>3.4218819171017216</v>
      </c>
      <c r="E10" s="928">
        <f ca="1">D10/H10</f>
        <v>7.5650882659665117E-2</v>
      </c>
      <c r="F10" s="931">
        <f>+'Exh R11Proposed Increase Detail'!G29/'Exh R11Proposed Increase Detail'!F9</f>
        <v>5.706973876133115</v>
      </c>
      <c r="H10" s="957">
        <f ca="1">+'Exh R11Proposed Increase Detail'!J29/'Exh R11Proposed Increase Detail'!F9</f>
        <v>45.232544509704326</v>
      </c>
      <c r="I10" s="957">
        <f ca="1">+'Exh R11Proposed Increase Detail'!M29/'Exh R11Proposed Increase Detail'!F9</f>
        <v>48.654426426806047</v>
      </c>
      <c r="J10" s="958">
        <f ca="1">I10-H10</f>
        <v>3.4218819171017216</v>
      </c>
      <c r="K10" s="928">
        <f ca="1">J10/H10</f>
        <v>7.5650882659665117E-2</v>
      </c>
    </row>
    <row r="11" spans="1:11" x14ac:dyDescent="0.2">
      <c r="B11" s="959"/>
      <c r="C11" s="929"/>
      <c r="D11" s="957"/>
      <c r="H11" s="958"/>
      <c r="I11" s="958"/>
      <c r="J11" s="958"/>
    </row>
    <row r="12" spans="1:11" x14ac:dyDescent="0.2">
      <c r="A12" s="777" t="s">
        <v>1066</v>
      </c>
      <c r="B12" s="959">
        <f ca="1">+'Exh R10-Summary of Increase'!I14</f>
        <v>4186991.9503189176</v>
      </c>
      <c r="C12" s="929">
        <f ca="1">+'Exh R10-Summary of Increase'!J14</f>
        <v>6.0700039283250032E-2</v>
      </c>
      <c r="D12" s="957">
        <f ca="1">J12</f>
        <v>13.568534518712795</v>
      </c>
      <c r="E12" s="928">
        <f ca="1">K12</f>
        <v>6.0700039283249962E-2</v>
      </c>
      <c r="F12" s="931">
        <f>+'Exh R11Proposed Increase Detail'!G76/SUM('Exh R11Proposed Increase Detail'!F39:F40)</f>
        <v>35.282475265813517</v>
      </c>
      <c r="H12" s="957">
        <f ca="1">+'Exh R11Proposed Increase Detail'!J76/SUM('Exh R11Proposed Increase Detail'!F39:F40)</f>
        <v>223.53419666496001</v>
      </c>
      <c r="I12" s="957">
        <f ca="1">+'Exh R11Proposed Increase Detail'!M76/SUM('Exh R11Proposed Increase Detail'!F39:F40)</f>
        <v>237.1027311836728</v>
      </c>
      <c r="J12" s="958">
        <f ca="1">I12-H12</f>
        <v>13.568534518712795</v>
      </c>
      <c r="K12" s="928">
        <f ca="1">J12/H12</f>
        <v>6.0700039283249962E-2</v>
      </c>
    </row>
    <row r="13" spans="1:11" x14ac:dyDescent="0.2">
      <c r="B13" s="959"/>
      <c r="C13" s="929"/>
      <c r="D13" s="957"/>
      <c r="H13" s="958"/>
      <c r="I13" s="958"/>
      <c r="J13" s="958"/>
    </row>
    <row r="14" spans="1:11" x14ac:dyDescent="0.2">
      <c r="A14" s="777" t="s">
        <v>1067</v>
      </c>
      <c r="B14" s="959">
        <f ca="1">+'Exh R10-Summary of Increase'!I16</f>
        <v>237585.33406931628</v>
      </c>
      <c r="C14" s="929">
        <f ca="1">+'Exh R10-Summary of Increase'!J16</f>
        <v>5.0891492842277404E-2</v>
      </c>
      <c r="D14" s="957">
        <f ca="1">J14</f>
        <v>90.994000026547837</v>
      </c>
      <c r="E14" s="928">
        <f ca="1">K14</f>
        <v>5.0891492842277432E-2</v>
      </c>
      <c r="F14" s="931">
        <f>+'Exh R11Proposed Increase Detail'!G123/SUM('Exh R11Proposed Increase Detail'!F86:F87,'Exh R11Proposed Increase Detail'!F98)</f>
        <v>334.5105964917035</v>
      </c>
      <c r="H14" s="957">
        <f ca="1">+'Exh R11Proposed Increase Detail'!J123/SUM('Exh R11Proposed Increase Detail'!F86:F87,'Exh R11Proposed Increase Detail'!F98)</f>
        <v>1788.0002126987279</v>
      </c>
      <c r="I14" s="957">
        <f ca="1">+'Exh R11Proposed Increase Detail'!M123/SUM('Exh R11Proposed Increase Detail'!F86:F87,'Exh R11Proposed Increase Detail'!F98)</f>
        <v>1878.9942127252757</v>
      </c>
      <c r="J14" s="958">
        <f ca="1">I14-H14</f>
        <v>90.994000026547837</v>
      </c>
      <c r="K14" s="928">
        <f ca="1">J14/H14</f>
        <v>5.0891492842277432E-2</v>
      </c>
    </row>
    <row r="15" spans="1:11" x14ac:dyDescent="0.2">
      <c r="B15" s="959"/>
      <c r="C15" s="929"/>
      <c r="D15" s="957"/>
      <c r="H15" s="958"/>
      <c r="I15" s="958"/>
      <c r="J15" s="958"/>
    </row>
    <row r="16" spans="1:11" x14ac:dyDescent="0.2">
      <c r="A16" s="777" t="s">
        <v>1068</v>
      </c>
      <c r="B16" s="959">
        <f ca="1">+'Exh R10-Summary of Increase'!I18</f>
        <v>31551.080734700197</v>
      </c>
      <c r="C16" s="929">
        <f ca="1">+'Exh R10-Summary of Increase'!J18</f>
        <v>2.095505377423304E-2</v>
      </c>
      <c r="D16" s="957">
        <f ca="1">J16</f>
        <v>207.57289957039575</v>
      </c>
      <c r="E16" s="928">
        <f ca="1">K16</f>
        <v>2.0955053774233012E-2</v>
      </c>
      <c r="F16" s="931">
        <f ca="1">+'Exh R11Proposed Increase Detail'!G152/SUM('Exh R11Proposed Increase Detail'!F132,'Exh R11Proposed Increase Detail'!F149)</f>
        <v>2398.0324320594823</v>
      </c>
      <c r="H16" s="957">
        <f ca="1">+'Exh R11Proposed Increase Detail'!J155/SUM('Exh R11Proposed Increase Detail'!F132,'Exh R11Proposed Increase Detail'!F149)</f>
        <v>9905.6247627306911</v>
      </c>
      <c r="I16" s="957">
        <f ca="1">+'Exh R11Proposed Increase Detail'!M155/SUM('Exh R11Proposed Increase Detail'!F132,'Exh R11Proposed Increase Detail'!F149)</f>
        <v>10113.197662301087</v>
      </c>
      <c r="J16" s="958">
        <f ca="1">I16-H16</f>
        <v>207.57289957039575</v>
      </c>
      <c r="K16" s="928">
        <f ca="1">J16/H16</f>
        <v>2.0955053774233012E-2</v>
      </c>
    </row>
    <row r="17" spans="1:11" x14ac:dyDescent="0.2">
      <c r="B17" s="959"/>
      <c r="C17" s="929"/>
      <c r="D17" s="957"/>
      <c r="H17" s="958"/>
      <c r="I17" s="958"/>
      <c r="J17" s="958"/>
    </row>
    <row r="18" spans="1:11" x14ac:dyDescent="0.2">
      <c r="A18" s="777" t="s">
        <v>1069</v>
      </c>
      <c r="B18" s="959">
        <f>+'Exh R10-Summary of Increase'!I20</f>
        <v>333010.63162602577</v>
      </c>
      <c r="C18" s="960">
        <f>+'Exh R10-Summary of Increase'!J20</f>
        <v>6.4523964231601394E-2</v>
      </c>
      <c r="D18" s="957">
        <f>J18</f>
        <v>370.01181291780631</v>
      </c>
      <c r="E18" s="928">
        <f>K18</f>
        <v>6.452396423160138E-2</v>
      </c>
      <c r="F18" s="931">
        <f>+'Exh R11Proposed Increase Detail'!G190/SUM('Exh R11Proposed Increase Detail'!F164,'Exh R11Proposed Increase Detail'!F185)</f>
        <v>11945.249147645487</v>
      </c>
      <c r="H18" s="957">
        <f>+'Exh R11Proposed Increase Detail'!J190/SUM('Exh R11Proposed Increase Detail'!F164,'Exh R11Proposed Increase Detail'!F185)</f>
        <v>5734.4866721097806</v>
      </c>
      <c r="I18" s="957">
        <f>+'Exh R11Proposed Increase Detail'!M190/SUM('Exh R11Proposed Increase Detail'!F164,'Exh R11Proposed Increase Detail'!F185)</f>
        <v>6104.4984850275869</v>
      </c>
      <c r="J18" s="958">
        <f>I18-H18</f>
        <v>370.01181291780631</v>
      </c>
      <c r="K18" s="928">
        <f>J18/H18</f>
        <v>6.452396423160138E-2</v>
      </c>
    </row>
    <row r="19" spans="1:11" x14ac:dyDescent="0.2">
      <c r="B19" s="959"/>
      <c r="C19" s="929"/>
    </row>
    <row r="20" spans="1:11" x14ac:dyDescent="0.2">
      <c r="A20" s="777" t="s">
        <v>1070</v>
      </c>
      <c r="B20" s="959">
        <f>+'Exh R10-Summary of Increase'!I22</f>
        <v>0</v>
      </c>
      <c r="C20" s="929">
        <f>+'Exh R10-Summary of Increase'!J22</f>
        <v>0</v>
      </c>
    </row>
    <row r="21" spans="1:11" x14ac:dyDescent="0.2">
      <c r="B21" s="959"/>
      <c r="C21" s="929"/>
    </row>
    <row r="22" spans="1:11" x14ac:dyDescent="0.2">
      <c r="A22" s="777" t="s">
        <v>375</v>
      </c>
      <c r="B22" s="959">
        <f>SUM('Exh R10-Summary of Increase'!I24:I26)</f>
        <v>462921.88131000032</v>
      </c>
      <c r="C22" s="929">
        <f>+'Exh R10-Summary of Increase'!K26</f>
        <v>6.202176777743286E-2</v>
      </c>
    </row>
    <row r="23" spans="1:11" x14ac:dyDescent="0.2">
      <c r="B23" s="959"/>
      <c r="C23" s="929"/>
    </row>
    <row r="24" spans="1:11" x14ac:dyDescent="0.2">
      <c r="A24" s="777" t="s">
        <v>334</v>
      </c>
      <c r="B24" s="959">
        <f ca="1">+'Exh R10-Summary of Increase'!I28</f>
        <v>17202511.25383215</v>
      </c>
      <c r="C24" s="928">
        <f ca="1">+'Exh R10-Summary of Increase'!J28</f>
        <v>6.9983564836596485E-2</v>
      </c>
      <c r="D24" s="930"/>
      <c r="E24" s="928"/>
    </row>
    <row r="25" spans="1:11" x14ac:dyDescent="0.2">
      <c r="C25" s="928"/>
    </row>
  </sheetData>
  <pageMargins left="0.7" right="0.7" top="0.75" bottom="0.75" header="0.3" footer="0.3"/>
  <pageSetup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B2:AB462"/>
  <sheetViews>
    <sheetView topLeftCell="A153" zoomScale="60" zoomScaleNormal="60" workbookViewId="0">
      <selection activeCell="L181" sqref="L181"/>
    </sheetView>
  </sheetViews>
  <sheetFormatPr defaultRowHeight="12.75" x14ac:dyDescent="0.2"/>
  <cols>
    <col min="1" max="1" width="2.42578125" style="561" customWidth="1"/>
    <col min="2" max="2" width="26.140625" style="561" customWidth="1"/>
    <col min="3" max="3" width="13.85546875" style="561" customWidth="1"/>
    <col min="4" max="4" width="10.42578125" style="561" customWidth="1"/>
    <col min="5" max="5" width="14.85546875" style="561" customWidth="1"/>
    <col min="6" max="6" width="31.140625" style="561" customWidth="1"/>
    <col min="7" max="7" width="14.140625" style="561" customWidth="1"/>
    <col min="8" max="19" width="16.7109375" style="561" customWidth="1"/>
    <col min="20" max="20" width="19" style="1030" customWidth="1"/>
    <col min="21" max="21" width="11.7109375" style="561" bestFit="1" customWidth="1"/>
    <col min="22" max="22" width="12.7109375" style="561" bestFit="1" customWidth="1"/>
    <col min="23" max="24" width="12.5703125" style="561" bestFit="1" customWidth="1"/>
    <col min="25" max="25" width="13" style="561" customWidth="1"/>
    <col min="26" max="26" width="13.85546875" style="561" bestFit="1" customWidth="1"/>
    <col min="27" max="27" width="9.140625" style="561"/>
    <col min="28" max="28" width="10.42578125" style="561" customWidth="1"/>
    <col min="29" max="16384" width="9.140625" style="561"/>
  </cols>
  <sheetData>
    <row r="2" spans="2:20" ht="15" x14ac:dyDescent="0.25">
      <c r="B2" s="508"/>
      <c r="F2" s="982"/>
    </row>
    <row r="3" spans="2:20" ht="15" x14ac:dyDescent="0.25">
      <c r="B3" s="508"/>
      <c r="F3" s="982"/>
    </row>
    <row r="4" spans="2:20" ht="15" x14ac:dyDescent="0.25">
      <c r="B4" s="983"/>
      <c r="F4" s="982"/>
      <c r="G4" s="984" t="s">
        <v>846</v>
      </c>
      <c r="H4" s="985">
        <v>40940</v>
      </c>
      <c r="I4" s="985">
        <v>40969</v>
      </c>
      <c r="J4" s="985">
        <v>41000</v>
      </c>
      <c r="K4" s="985">
        <v>40664</v>
      </c>
      <c r="L4" s="985">
        <v>40695</v>
      </c>
      <c r="M4" s="985">
        <v>40725</v>
      </c>
      <c r="N4" s="985">
        <v>40756</v>
      </c>
      <c r="O4" s="985">
        <v>40787</v>
      </c>
      <c r="P4" s="985">
        <v>40817</v>
      </c>
      <c r="Q4" s="985">
        <v>40848</v>
      </c>
      <c r="R4" s="985">
        <v>40878</v>
      </c>
      <c r="S4" s="985">
        <v>40909</v>
      </c>
    </row>
    <row r="5" spans="2:20" x14ac:dyDescent="0.2">
      <c r="F5" s="982"/>
      <c r="G5" s="984" t="s">
        <v>845</v>
      </c>
      <c r="H5" s="985">
        <v>40909</v>
      </c>
      <c r="I5" s="985">
        <v>40940</v>
      </c>
      <c r="J5" s="985">
        <v>40969</v>
      </c>
      <c r="K5" s="985">
        <v>40634</v>
      </c>
      <c r="L5" s="985">
        <v>40664</v>
      </c>
      <c r="M5" s="985">
        <v>40695</v>
      </c>
      <c r="N5" s="985">
        <v>40725</v>
      </c>
      <c r="O5" s="985">
        <v>40756</v>
      </c>
      <c r="P5" s="985">
        <v>40787</v>
      </c>
      <c r="Q5" s="985">
        <v>40817</v>
      </c>
      <c r="R5" s="985">
        <v>40848</v>
      </c>
      <c r="S5" s="985">
        <v>40878</v>
      </c>
      <c r="T5" s="1042" t="s">
        <v>810</v>
      </c>
    </row>
    <row r="6" spans="2:20" ht="15" x14ac:dyDescent="0.35">
      <c r="B6" s="559" t="s">
        <v>128</v>
      </c>
      <c r="C6" s="559" t="s">
        <v>17</v>
      </c>
      <c r="D6" s="560" t="s">
        <v>260</v>
      </c>
      <c r="E6" s="560" t="s">
        <v>261</v>
      </c>
      <c r="F6" s="560"/>
      <c r="G6" s="987" t="s">
        <v>811</v>
      </c>
      <c r="H6" s="987" t="s">
        <v>816</v>
      </c>
      <c r="I6" s="987" t="s">
        <v>816</v>
      </c>
      <c r="J6" s="987" t="s">
        <v>816</v>
      </c>
      <c r="K6" s="987" t="s">
        <v>816</v>
      </c>
      <c r="L6" s="987" t="s">
        <v>816</v>
      </c>
      <c r="M6" s="987" t="s">
        <v>816</v>
      </c>
      <c r="N6" s="987" t="s">
        <v>816</v>
      </c>
      <c r="O6" s="987" t="s">
        <v>816</v>
      </c>
      <c r="P6" s="987" t="s">
        <v>816</v>
      </c>
      <c r="Q6" s="987" t="s">
        <v>816</v>
      </c>
      <c r="R6" s="987" t="s">
        <v>816</v>
      </c>
      <c r="S6" s="987" t="s">
        <v>816</v>
      </c>
    </row>
    <row r="8" spans="2:20" x14ac:dyDescent="0.2">
      <c r="F8" s="324" t="s">
        <v>840</v>
      </c>
      <c r="G8" s="324"/>
    </row>
    <row r="9" spans="2:20" x14ac:dyDescent="0.2">
      <c r="B9" s="561" t="str">
        <f>VLOOKUP($C9,'Retail Rates'!$B$46:$Q$55,13,FALSE)</f>
        <v>FT Commercial</v>
      </c>
      <c r="C9" s="633" t="s">
        <v>97</v>
      </c>
      <c r="D9" s="633" t="str">
        <f>MID(C9,6,3)</f>
        <v>895</v>
      </c>
      <c r="E9" s="561" t="str">
        <f>VLOOKUP($C9,'Retail Rates'!$B$46:$Q$55,3,FALSE)</f>
        <v>FT-C</v>
      </c>
      <c r="F9" s="988" t="s">
        <v>407</v>
      </c>
      <c r="G9" s="989"/>
      <c r="H9" s="990">
        <f>+H18/H11</f>
        <v>12</v>
      </c>
      <c r="I9" s="990">
        <f t="shared" ref="I9:S9" si="0">+I18/I11</f>
        <v>12</v>
      </c>
      <c r="J9" s="990">
        <f t="shared" si="0"/>
        <v>12</v>
      </c>
      <c r="K9" s="990">
        <f t="shared" si="0"/>
        <v>12</v>
      </c>
      <c r="L9" s="990">
        <f t="shared" si="0"/>
        <v>12</v>
      </c>
      <c r="M9" s="990">
        <f t="shared" si="0"/>
        <v>12</v>
      </c>
      <c r="N9" s="990">
        <f t="shared" si="0"/>
        <v>12</v>
      </c>
      <c r="O9" s="990">
        <f t="shared" si="0"/>
        <v>12</v>
      </c>
      <c r="P9" s="990">
        <f t="shared" si="0"/>
        <v>11</v>
      </c>
      <c r="Q9" s="990">
        <f t="shared" si="0"/>
        <v>13</v>
      </c>
      <c r="R9" s="990">
        <f t="shared" si="0"/>
        <v>11</v>
      </c>
      <c r="S9" s="990">
        <f t="shared" si="0"/>
        <v>13</v>
      </c>
      <c r="T9" s="1043">
        <f>SUM(H9:S9)</f>
        <v>144</v>
      </c>
    </row>
    <row r="10" spans="2:20" x14ac:dyDescent="0.2">
      <c r="B10" s="561" t="str">
        <f>VLOOKUP($C10,'Retail Rates'!$B$46:$Q$55,13,FALSE)</f>
        <v>FT Commercial</v>
      </c>
      <c r="C10" s="633" t="s">
        <v>97</v>
      </c>
      <c r="D10" s="633" t="str">
        <f t="shared" ref="D10:D27" si="1">MID(C10,6,3)</f>
        <v>895</v>
      </c>
      <c r="E10" s="561" t="str">
        <f>VLOOKUP($C10,'Retail Rates'!$B$46:$Q$55,3,FALSE)</f>
        <v>FT-C</v>
      </c>
      <c r="F10" s="991" t="s">
        <v>408</v>
      </c>
      <c r="G10" s="987" t="s">
        <v>812</v>
      </c>
      <c r="H10" s="992">
        <f>SUMIFS('Data FT-TS-Cashout-Paddys'!$G$5:$G$756,'Data FT-TS-Cashout-Paddys'!$F$5:$F$756,'Apr11-Mar12 FT-TS-Cashout-LG&amp;E'!$G10,'Data FT-TS-Cashout-Paddys'!$B$5:$B$756,'Apr11-Mar12 FT-TS-Cashout-LG&amp;E'!H$5,'Data FT-TS-Cashout-Paddys'!$C$5:$C$756,'Apr11-Mar12 FT-TS-Cashout-LG&amp;E'!$C10,'Data FT-TS-Cashout-Paddys'!$E$5:$E$756,'Apr11-Mar12 FT-TS-Cashout-LG&amp;E'!H$6)/10</f>
        <v>87075.5</v>
      </c>
      <c r="I10" s="992">
        <f>SUMIFS('Data FT-TS-Cashout-Paddys'!$G$5:$G$756,'Data FT-TS-Cashout-Paddys'!$F$5:$F$756,'Apr11-Mar12 FT-TS-Cashout-LG&amp;E'!$G10,'Data FT-TS-Cashout-Paddys'!$B$5:$B$756,'Apr11-Mar12 FT-TS-Cashout-LG&amp;E'!I$5,'Data FT-TS-Cashout-Paddys'!$C$5:$C$756,'Apr11-Mar12 FT-TS-Cashout-LG&amp;E'!$C10,'Data FT-TS-Cashout-Paddys'!$E$5:$E$756,'Apr11-Mar12 FT-TS-Cashout-LG&amp;E'!I$6)/10</f>
        <v>70875.600000000006</v>
      </c>
      <c r="J10" s="993">
        <v>57055.599999999991</v>
      </c>
      <c r="K10" s="992">
        <f>SUMIFS('Data FT-TS-Cashout-Paddys'!$G$5:$G$756,'Data FT-TS-Cashout-Paddys'!$F$5:$F$756,'Apr11-Mar12 FT-TS-Cashout-LG&amp;E'!$G10,'Data FT-TS-Cashout-Paddys'!$B$5:$B$756,'Apr11-Mar12 FT-TS-Cashout-LG&amp;E'!K$5,'Data FT-TS-Cashout-Paddys'!$C$5:$C$756,'Apr11-Mar12 FT-TS-Cashout-LG&amp;E'!$C10,'Data FT-TS-Cashout-Paddys'!$E$5:$E$756,'Apr11-Mar12 FT-TS-Cashout-LG&amp;E'!K$6)/10</f>
        <v>59275.8</v>
      </c>
      <c r="L10" s="992">
        <f>SUMIFS('Data FT-TS-Cashout-Paddys'!$G$5:$G$756,'Data FT-TS-Cashout-Paddys'!$F$5:$F$756,'Apr11-Mar12 FT-TS-Cashout-LG&amp;E'!$G10,'Data FT-TS-Cashout-Paddys'!$B$5:$B$756,'Apr11-Mar12 FT-TS-Cashout-LG&amp;E'!L$5,'Data FT-TS-Cashout-Paddys'!$C$5:$C$756,'Apr11-Mar12 FT-TS-Cashout-LG&amp;E'!$C10,'Data FT-TS-Cashout-Paddys'!$E$5:$E$756,'Apr11-Mar12 FT-TS-Cashout-LG&amp;E'!L$6)/10</f>
        <v>53924.9</v>
      </c>
      <c r="M10" s="992">
        <f>SUMIFS('Data FT-TS-Cashout-Paddys'!$G$5:$G$756,'Data FT-TS-Cashout-Paddys'!$F$5:$F$756,'Apr11-Mar12 FT-TS-Cashout-LG&amp;E'!$G10,'Data FT-TS-Cashout-Paddys'!$B$5:$B$756,'Apr11-Mar12 FT-TS-Cashout-LG&amp;E'!M$5,'Data FT-TS-Cashout-Paddys'!$C$5:$C$756,'Apr11-Mar12 FT-TS-Cashout-LG&amp;E'!$C10,'Data FT-TS-Cashout-Paddys'!$E$5:$E$756,'Apr11-Mar12 FT-TS-Cashout-LG&amp;E'!M$6)/10</f>
        <v>43310.6</v>
      </c>
      <c r="N10" s="992">
        <f>SUMIFS('Data FT-TS-Cashout-Paddys'!$G$5:$G$756,'Data FT-TS-Cashout-Paddys'!$F$5:$F$756,'Apr11-Mar12 FT-TS-Cashout-LG&amp;E'!$G10,'Data FT-TS-Cashout-Paddys'!$B$5:$B$756,'Apr11-Mar12 FT-TS-Cashout-LG&amp;E'!N$5,'Data FT-TS-Cashout-Paddys'!$C$5:$C$756,'Apr11-Mar12 FT-TS-Cashout-LG&amp;E'!$C10,'Data FT-TS-Cashout-Paddys'!$E$5:$E$756,'Apr11-Mar12 FT-TS-Cashout-LG&amp;E'!N$6)/10</f>
        <v>39485.800000000003</v>
      </c>
      <c r="O10" s="992">
        <f>SUMIFS('Data FT-TS-Cashout-Paddys'!$G$5:$G$756,'Data FT-TS-Cashout-Paddys'!$F$5:$F$756,'Apr11-Mar12 FT-TS-Cashout-LG&amp;E'!$G10,'Data FT-TS-Cashout-Paddys'!$B$5:$B$756,'Apr11-Mar12 FT-TS-Cashout-LG&amp;E'!O$5,'Data FT-TS-Cashout-Paddys'!$C$5:$C$756,'Apr11-Mar12 FT-TS-Cashout-LG&amp;E'!$C10,'Data FT-TS-Cashout-Paddys'!$E$5:$E$756,'Apr11-Mar12 FT-TS-Cashout-LG&amp;E'!O$6)/10</f>
        <v>43129.3</v>
      </c>
      <c r="P10" s="992">
        <f>SUMIFS('Data FT-TS-Cashout-Paddys'!$G$5:$G$756,'Data FT-TS-Cashout-Paddys'!$F$5:$F$756,'Apr11-Mar12 FT-TS-Cashout-LG&amp;E'!$G10,'Data FT-TS-Cashout-Paddys'!$B$5:$B$756,'Apr11-Mar12 FT-TS-Cashout-LG&amp;E'!P$5,'Data FT-TS-Cashout-Paddys'!$C$5:$C$756,'Apr11-Mar12 FT-TS-Cashout-LG&amp;E'!$C10,'Data FT-TS-Cashout-Paddys'!$E$5:$E$756,'Apr11-Mar12 FT-TS-Cashout-LG&amp;E'!P$6)/10</f>
        <v>45391.8</v>
      </c>
      <c r="Q10" s="992">
        <f>SUMIFS('Data FT-TS-Cashout-Paddys'!$G$5:$G$756,'Data FT-TS-Cashout-Paddys'!$F$5:$F$756,'Apr11-Mar12 FT-TS-Cashout-LG&amp;E'!$G10,'Data FT-TS-Cashout-Paddys'!$B$5:$B$756,'Apr11-Mar12 FT-TS-Cashout-LG&amp;E'!Q$5,'Data FT-TS-Cashout-Paddys'!$C$5:$C$756,'Apr11-Mar12 FT-TS-Cashout-LG&amp;E'!$C10,'Data FT-TS-Cashout-Paddys'!$E$5:$E$756,'Apr11-Mar12 FT-TS-Cashout-LG&amp;E'!Q$6)/10</f>
        <v>62241.3</v>
      </c>
      <c r="R10" s="992">
        <f>SUMIFS('Data FT-TS-Cashout-Paddys'!$G$5:$G$756,'Data FT-TS-Cashout-Paddys'!$F$5:$F$756,'Apr11-Mar12 FT-TS-Cashout-LG&amp;E'!$G10,'Data FT-TS-Cashout-Paddys'!$B$5:$B$756,'Apr11-Mar12 FT-TS-Cashout-LG&amp;E'!R$5,'Data FT-TS-Cashout-Paddys'!$C$5:$C$756,'Apr11-Mar12 FT-TS-Cashout-LG&amp;E'!$C10,'Data FT-TS-Cashout-Paddys'!$E$5:$E$756,'Apr11-Mar12 FT-TS-Cashout-LG&amp;E'!R$6)/10</f>
        <v>65508.7</v>
      </c>
      <c r="S10" s="992">
        <f>SUMIFS('Data FT-TS-Cashout-Paddys'!$G$5:$G$756,'Data FT-TS-Cashout-Paddys'!$F$5:$F$756,'Apr11-Mar12 FT-TS-Cashout-LG&amp;E'!$G10,'Data FT-TS-Cashout-Paddys'!$B$5:$B$756,'Apr11-Mar12 FT-TS-Cashout-LG&amp;E'!S$5,'Data FT-TS-Cashout-Paddys'!$C$5:$C$756,'Apr11-Mar12 FT-TS-Cashout-LG&amp;E'!$C10,'Data FT-TS-Cashout-Paddys'!$E$5:$E$756,'Apr11-Mar12 FT-TS-Cashout-LG&amp;E'!S$6)/10</f>
        <v>82379.899999999994</v>
      </c>
      <c r="T10" s="1044">
        <f>SUM(H10:S10)</f>
        <v>709654.79999999993</v>
      </c>
    </row>
    <row r="11" spans="2:20" x14ac:dyDescent="0.2">
      <c r="B11" s="561" t="str">
        <f>VLOOKUP($C11,'Retail Rates'!$B$46:$Q$55,13,FALSE)</f>
        <v>FT Commercial</v>
      </c>
      <c r="C11" s="633" t="s">
        <v>97</v>
      </c>
      <c r="D11" s="633" t="str">
        <f t="shared" si="1"/>
        <v>895</v>
      </c>
      <c r="E11" s="561" t="str">
        <f>VLOOKUP($C11,'Retail Rates'!$B$46:$Q$55,3,FALSE)</f>
        <v>FT-C</v>
      </c>
      <c r="F11" s="991" t="s">
        <v>409</v>
      </c>
      <c r="G11" s="991"/>
      <c r="H11" s="994">
        <f>VLOOKUP($C11,'Retail Rates'!$B$45:$N$55,5,FALSE)</f>
        <v>230</v>
      </c>
      <c r="I11" s="994">
        <f>VLOOKUP($C11,'Retail Rates'!$B$45:$N$55,5,FALSE)</f>
        <v>230</v>
      </c>
      <c r="J11" s="994">
        <f>VLOOKUP($C11,'Retail Rates'!$B$45:$N$55,5,FALSE)</f>
        <v>230</v>
      </c>
      <c r="K11" s="994">
        <f>VLOOKUP($C11,'Retail Rates'!$B$45:$N$55,5,FALSE)</f>
        <v>230</v>
      </c>
      <c r="L11" s="994">
        <f>VLOOKUP($C11,'Retail Rates'!$B$45:$N$55,5,FALSE)</f>
        <v>230</v>
      </c>
      <c r="M11" s="994">
        <f>VLOOKUP($C11,'Retail Rates'!$B$45:$N$55,5,FALSE)</f>
        <v>230</v>
      </c>
      <c r="N11" s="994">
        <f>VLOOKUP($C11,'Retail Rates'!$B$45:$N$55,5,FALSE)</f>
        <v>230</v>
      </c>
      <c r="O11" s="994">
        <f>VLOOKUP($C11,'Retail Rates'!$B$45:$N$55,5,FALSE)</f>
        <v>230</v>
      </c>
      <c r="P11" s="994">
        <f>VLOOKUP($C11,'Retail Rates'!$B$45:$N$55,5,FALSE)</f>
        <v>230</v>
      </c>
      <c r="Q11" s="994">
        <f>VLOOKUP($C11,'Retail Rates'!$B$45:$N$55,5,FALSE)</f>
        <v>230</v>
      </c>
      <c r="R11" s="994">
        <f>VLOOKUP($C11,'Retail Rates'!$B$45:$N$55,5,FALSE)</f>
        <v>230</v>
      </c>
      <c r="S11" s="994">
        <f>VLOOKUP($C11,'Retail Rates'!$B$45:$N$55,5,FALSE)</f>
        <v>230</v>
      </c>
    </row>
    <row r="12" spans="2:20" x14ac:dyDescent="0.2">
      <c r="B12" s="561" t="str">
        <f>VLOOKUP($C12,'Retail Rates'!$B$46:$Q$55,13,FALSE)</f>
        <v>FT Commercial</v>
      </c>
      <c r="C12" s="633" t="s">
        <v>97</v>
      </c>
      <c r="D12" s="633" t="str">
        <f t="shared" si="1"/>
        <v>895</v>
      </c>
      <c r="E12" s="561" t="str">
        <f>VLOOKUP($C12,'Retail Rates'!$B$46:$Q$55,3,FALSE)</f>
        <v>FT-C</v>
      </c>
      <c r="F12" s="991" t="s">
        <v>410</v>
      </c>
      <c r="G12" s="991"/>
      <c r="H12" s="995">
        <f>VLOOKUP($C12,'Retail Rates'!$B$45:$N$55,7,FALSE)</f>
        <v>0.43</v>
      </c>
      <c r="I12" s="995">
        <f>VLOOKUP($C12,'Retail Rates'!$B$45:$N$55,7,FALSE)</f>
        <v>0.43</v>
      </c>
      <c r="J12" s="995">
        <f>VLOOKUP($C12,'Retail Rates'!$B$45:$N$55,7,FALSE)</f>
        <v>0.43</v>
      </c>
      <c r="K12" s="995">
        <f>VLOOKUP($C12,'Retail Rates'!$B$45:$N$55,7,FALSE)</f>
        <v>0.43</v>
      </c>
      <c r="L12" s="995">
        <f>VLOOKUP($C12,'Retail Rates'!$B$45:$N$55,7,FALSE)</f>
        <v>0.43</v>
      </c>
      <c r="M12" s="995">
        <f>VLOOKUP($C12,'Retail Rates'!$B$45:$N$55,7,FALSE)</f>
        <v>0.43</v>
      </c>
      <c r="N12" s="995">
        <f>VLOOKUP($C12,'Retail Rates'!$B$45:$N$55,7,FALSE)</f>
        <v>0.43</v>
      </c>
      <c r="O12" s="995">
        <f>VLOOKUP($C12,'Retail Rates'!$B$45:$N$55,7,FALSE)</f>
        <v>0.43</v>
      </c>
      <c r="P12" s="995">
        <f>VLOOKUP($C12,'Retail Rates'!$B$45:$N$55,7,FALSE)</f>
        <v>0.43</v>
      </c>
      <c r="Q12" s="995">
        <f>VLOOKUP($C12,'Retail Rates'!$B$45:$N$55,7,FALSE)</f>
        <v>0.43</v>
      </c>
      <c r="R12" s="995">
        <f>VLOOKUP($C12,'Retail Rates'!$B$45:$N$55,7,FALSE)</f>
        <v>0.43</v>
      </c>
      <c r="S12" s="995">
        <f>VLOOKUP($C12,'Retail Rates'!$B$45:$N$55,7,FALSE)</f>
        <v>0.43</v>
      </c>
    </row>
    <row r="13" spans="2:20" x14ac:dyDescent="0.2">
      <c r="B13" s="561" t="str">
        <f>VLOOKUP($C13,'Retail Rates'!$B$46:$Q$55,13,FALSE)</f>
        <v>FT Commercial</v>
      </c>
      <c r="C13" s="633" t="s">
        <v>97</v>
      </c>
      <c r="D13" s="633" t="str">
        <f t="shared" si="1"/>
        <v>895</v>
      </c>
      <c r="E13" s="561" t="str">
        <f>VLOOKUP($C13,'Retail Rates'!$B$46:$Q$55,3,FALSE)</f>
        <v>FT-C</v>
      </c>
      <c r="F13" s="991" t="s">
        <v>411</v>
      </c>
      <c r="G13" s="991"/>
      <c r="H13" s="995">
        <f>SUMIF('GSC-DSM Factors'!$A$14:$A$44,'Apr11-Mar12 FT-TS-Cashout-LG&amp;E'!H$5,'GSC-DSM Factors'!$J$14:$J$44)</f>
        <v>1.1599999999999999E-2</v>
      </c>
      <c r="I13" s="995">
        <f>SUMIF('GSC-DSM Factors'!$A$14:$A$44,'Apr11-Mar12 FT-TS-Cashout-LG&amp;E'!I$5,'GSC-DSM Factors'!$J$14:$J$44)</f>
        <v>1.1599999999999999E-2</v>
      </c>
      <c r="J13" s="995">
        <f>SUMIF('GSC-DSM Factors'!$A$14:$A$44,'Apr11-Mar12 FT-TS-Cashout-LG&amp;E'!J$5,'GSC-DSM Factors'!$J$14:$J$44)</f>
        <v>1.1599999999999999E-2</v>
      </c>
      <c r="K13" s="995">
        <f>SUMIF('GSC-DSM Factors'!$A$14:$A$44,'Apr11-Mar12 FT-TS-Cashout-LG&amp;E'!K$5,'GSC-DSM Factors'!$J$14:$J$44)</f>
        <v>8.8999999999999982E-3</v>
      </c>
      <c r="L13" s="995">
        <f>SUMIF('GSC-DSM Factors'!$A$14:$A$44,'Apr11-Mar12 FT-TS-Cashout-LG&amp;E'!L$5,'GSC-DSM Factors'!$J$14:$J$44)</f>
        <v>8.8999999999999982E-3</v>
      </c>
      <c r="M13" s="995">
        <f>SUMIF('GSC-DSM Factors'!$A$14:$A$44,'Apr11-Mar12 FT-TS-Cashout-LG&amp;E'!M$5,'GSC-DSM Factors'!$J$14:$J$44)</f>
        <v>9.5999999999999992E-3</v>
      </c>
      <c r="N13" s="995">
        <f>SUMIF('GSC-DSM Factors'!$A$14:$A$44,'Apr11-Mar12 FT-TS-Cashout-LG&amp;E'!N$5,'GSC-DSM Factors'!$J$14:$J$44)</f>
        <v>9.5999999999999992E-3</v>
      </c>
      <c r="O13" s="995">
        <f>SUMIF('GSC-DSM Factors'!$A$14:$A$44,'Apr11-Mar12 FT-TS-Cashout-LG&amp;E'!O$5,'GSC-DSM Factors'!$J$14:$J$44)</f>
        <v>9.5999999999999992E-3</v>
      </c>
      <c r="P13" s="995">
        <f>SUMIF('GSC-DSM Factors'!$A$14:$A$44,'Apr11-Mar12 FT-TS-Cashout-LG&amp;E'!P$5,'GSC-DSM Factors'!$J$14:$J$44)</f>
        <v>9.5999999999999992E-3</v>
      </c>
      <c r="Q13" s="995">
        <f>SUMIF('GSC-DSM Factors'!$A$14:$A$44,'Apr11-Mar12 FT-TS-Cashout-LG&amp;E'!Q$5,'GSC-DSM Factors'!$J$14:$J$44)</f>
        <v>9.5999999999999992E-3</v>
      </c>
      <c r="R13" s="995">
        <f>SUMIF('GSC-DSM Factors'!$A$14:$A$44,'Apr11-Mar12 FT-TS-Cashout-LG&amp;E'!R$5,'GSC-DSM Factors'!$J$14:$J$44)</f>
        <v>9.5999999999999992E-3</v>
      </c>
      <c r="S13" s="995">
        <f>SUMIF('GSC-DSM Factors'!$A$14:$A$44,'Apr11-Mar12 FT-TS-Cashout-LG&amp;E'!S$5,'GSC-DSM Factors'!$J$14:$J$44)</f>
        <v>9.5999999999999992E-3</v>
      </c>
    </row>
    <row r="14" spans="2:20" x14ac:dyDescent="0.2">
      <c r="B14" s="561" t="str">
        <f>VLOOKUP($C14,'Retail Rates'!$B$46:$Q$55,13,FALSE)</f>
        <v>FT Commercial</v>
      </c>
      <c r="C14" s="633" t="s">
        <v>97</v>
      </c>
      <c r="D14" s="633" t="str">
        <f t="shared" si="1"/>
        <v>895</v>
      </c>
      <c r="E14" s="561" t="str">
        <f>VLOOKUP($C14,'Retail Rates'!$B$46:$Q$55,3,FALSE)</f>
        <v>FT-C</v>
      </c>
      <c r="F14" s="996" t="s">
        <v>843</v>
      </c>
      <c r="G14" s="996"/>
      <c r="H14" s="995">
        <f>SUMIF('GSC-DSM Factors'!$A$14:$A$44,'Apr11-Mar12 FT-TS-Cashout-LG&amp;E'!H$5,'GSC-DSM Factors'!$I$14:$I$44)</f>
        <v>0.17199999999999999</v>
      </c>
      <c r="I14" s="995">
        <f>SUMIF('GSC-DSM Factors'!$A$14:$A$44,'Apr11-Mar12 FT-TS-Cashout-LG&amp;E'!I$5,'GSC-DSM Factors'!$I$14:$I$44)</f>
        <v>0.17219999999999999</v>
      </c>
      <c r="J14" s="995">
        <f>SUMIF('GSC-DSM Factors'!$A$14:$A$44,'Apr11-Mar12 FT-TS-Cashout-LG&amp;E'!J$5,'GSC-DSM Factors'!$I$14:$I$44)</f>
        <v>0.17219999999999999</v>
      </c>
      <c r="K14" s="995">
        <f>SUMIF('GSC-DSM Factors'!$A$14:$A$44,'Apr11-Mar12 FT-TS-Cashout-LG&amp;E'!K$5,'GSC-DSM Factors'!$I$14:$I$44)</f>
        <v>0.1847</v>
      </c>
      <c r="L14" s="995">
        <f>SUMIF('GSC-DSM Factors'!$A$14:$A$44,'Apr11-Mar12 FT-TS-Cashout-LG&amp;E'!L$5,'GSC-DSM Factors'!$I$14:$I$44)</f>
        <v>0.185</v>
      </c>
      <c r="M14" s="995">
        <f>SUMIF('GSC-DSM Factors'!$A$14:$A$44,'Apr11-Mar12 FT-TS-Cashout-LG&amp;E'!M$5,'GSC-DSM Factors'!$I$14:$I$44)</f>
        <v>0.185</v>
      </c>
      <c r="N14" s="995">
        <f>SUMIF('GSC-DSM Factors'!$A$14:$A$44,'Apr11-Mar12 FT-TS-Cashout-LG&amp;E'!N$5,'GSC-DSM Factors'!$I$14:$I$44)</f>
        <v>0.185</v>
      </c>
      <c r="O14" s="995">
        <f>SUMIF('GSC-DSM Factors'!$A$14:$A$44,'Apr11-Mar12 FT-TS-Cashout-LG&amp;E'!O$5,'GSC-DSM Factors'!$I$14:$I$44)</f>
        <v>0.18459999999999999</v>
      </c>
      <c r="P14" s="995">
        <f>SUMIF('GSC-DSM Factors'!$A$14:$A$44,'Apr11-Mar12 FT-TS-Cashout-LG&amp;E'!P$5,'GSC-DSM Factors'!$I$14:$I$44)</f>
        <v>0.18459999999999999</v>
      </c>
      <c r="Q14" s="995">
        <f>SUMIF('GSC-DSM Factors'!$A$14:$A$44,'Apr11-Mar12 FT-TS-Cashout-LG&amp;E'!Q$5,'GSC-DSM Factors'!$I$14:$I$44)</f>
        <v>0.18459999999999999</v>
      </c>
      <c r="R14" s="995">
        <f>SUMIF('GSC-DSM Factors'!$A$14:$A$44,'Apr11-Mar12 FT-TS-Cashout-LG&amp;E'!R$5,'GSC-DSM Factors'!$I$14:$I$44)</f>
        <v>0.17199999999999999</v>
      </c>
      <c r="S14" s="995">
        <f>SUMIF('GSC-DSM Factors'!$A$14:$A$44,'Apr11-Mar12 FT-TS-Cashout-LG&amp;E'!S$5,'GSC-DSM Factors'!$I$14:$I$44)</f>
        <v>0.17199999999999999</v>
      </c>
    </row>
    <row r="15" spans="2:20" x14ac:dyDescent="0.2">
      <c r="B15" s="561" t="str">
        <f>VLOOKUP($C15,'Retail Rates'!$B$46:$Q$55,13,FALSE)</f>
        <v>FT Commercial</v>
      </c>
      <c r="C15" s="633" t="s">
        <v>97</v>
      </c>
      <c r="D15" s="633" t="str">
        <f t="shared" si="1"/>
        <v>895</v>
      </c>
      <c r="E15" s="561" t="str">
        <f>VLOOKUP($C15,'Retail Rates'!$B$46:$Q$55,3,FALSE)</f>
        <v>FT-C</v>
      </c>
      <c r="F15" s="996" t="s">
        <v>844</v>
      </c>
      <c r="G15" s="996"/>
      <c r="H15" s="995">
        <f>VLOOKUP($C15,'Retail Rates'!$B$45:$N$55,10,FALSE)</f>
        <v>0.18329999999999999</v>
      </c>
      <c r="I15" s="995">
        <f>VLOOKUP($C15,'Retail Rates'!$B$45:$N$55,10,FALSE)</f>
        <v>0.18329999999999999</v>
      </c>
      <c r="J15" s="995">
        <f>VLOOKUP($C15,'Retail Rates'!$B$45:$N$55,10,FALSE)</f>
        <v>0.18329999999999999</v>
      </c>
      <c r="K15" s="995">
        <f>VLOOKUP($C15,'Retail Rates'!$B$45:$N$55,10,FALSE)</f>
        <v>0.18329999999999999</v>
      </c>
      <c r="L15" s="995">
        <f>VLOOKUP($C15,'Retail Rates'!$B$45:$N$55,10,FALSE)</f>
        <v>0.18329999999999999</v>
      </c>
      <c r="M15" s="995">
        <f>VLOOKUP($C15,'Retail Rates'!$B$45:$N$55,10,FALSE)</f>
        <v>0.18329999999999999</v>
      </c>
      <c r="N15" s="995">
        <f>VLOOKUP($C15,'Retail Rates'!$B$45:$N$55,10,FALSE)</f>
        <v>0.18329999999999999</v>
      </c>
      <c r="O15" s="995">
        <f>VLOOKUP($C15,'Retail Rates'!$B$45:$N$55,10,FALSE)</f>
        <v>0.18329999999999999</v>
      </c>
      <c r="P15" s="995">
        <f>VLOOKUP($C15,'Retail Rates'!$B$45:$N$55,10,FALSE)</f>
        <v>0.18329999999999999</v>
      </c>
      <c r="Q15" s="995">
        <f>VLOOKUP($C15,'Retail Rates'!$B$45:$N$55,10,FALSE)</f>
        <v>0.18329999999999999</v>
      </c>
      <c r="R15" s="995">
        <f>VLOOKUP($C15,'Retail Rates'!$B$45:$N$55,10,FALSE)</f>
        <v>0.18329999999999999</v>
      </c>
      <c r="S15" s="995">
        <f>VLOOKUP($C15,'Retail Rates'!$B$45:$N$55,10,FALSE)</f>
        <v>0.18329999999999999</v>
      </c>
    </row>
    <row r="16" spans="2:20" x14ac:dyDescent="0.2">
      <c r="B16" s="561" t="str">
        <f>VLOOKUP($C16,'Retail Rates'!$B$46:$Q$55,13,FALSE)</f>
        <v>FT Commercial</v>
      </c>
      <c r="C16" s="633" t="s">
        <v>97</v>
      </c>
      <c r="D16" s="633" t="str">
        <f t="shared" si="1"/>
        <v>895</v>
      </c>
      <c r="E16" s="561" t="str">
        <f>VLOOKUP($C16,'Retail Rates'!$B$46:$Q$55,3,FALSE)</f>
        <v>FT-C</v>
      </c>
      <c r="F16" s="997"/>
      <c r="G16" s="997"/>
    </row>
    <row r="17" spans="2:21" x14ac:dyDescent="0.2">
      <c r="B17" s="561" t="str">
        <f>VLOOKUP($C17,'Retail Rates'!$B$46:$Q$55,13,FALSE)</f>
        <v>FT Commercial</v>
      </c>
      <c r="C17" s="633" t="s">
        <v>97</v>
      </c>
      <c r="D17" s="633" t="str">
        <f t="shared" si="1"/>
        <v>895</v>
      </c>
      <c r="E17" s="561" t="str">
        <f>VLOOKUP($C17,'Retail Rates'!$B$46:$Q$55,3,FALSE)</f>
        <v>FT-C</v>
      </c>
      <c r="F17" s="998" t="s">
        <v>412</v>
      </c>
      <c r="G17" s="998"/>
      <c r="J17" s="993"/>
      <c r="K17" s="999"/>
    </row>
    <row r="18" spans="2:21" x14ac:dyDescent="0.2">
      <c r="B18" s="561" t="str">
        <f>VLOOKUP($C18,'Retail Rates'!$B$46:$Q$55,13,FALSE)</f>
        <v>FT Commercial</v>
      </c>
      <c r="C18" s="633" t="s">
        <v>97</v>
      </c>
      <c r="D18" s="633" t="str">
        <f t="shared" si="1"/>
        <v>895</v>
      </c>
      <c r="E18" s="561" t="str">
        <f>VLOOKUP($C18,'Retail Rates'!$B$46:$Q$55,3,FALSE)</f>
        <v>FT-C</v>
      </c>
      <c r="F18" s="991" t="s">
        <v>413</v>
      </c>
      <c r="G18" s="987" t="s">
        <v>821</v>
      </c>
      <c r="H18" s="999">
        <f>SUMIFS('Data FT-TS-Cashout-Paddys'!$H$5:$H$756,'Data FT-TS-Cashout-Paddys'!$F$5:$F$756,'Apr11-Mar12 FT-TS-Cashout-LG&amp;E'!$G18,'Data FT-TS-Cashout-Paddys'!$B$5:$B$756,'Apr11-Mar12 FT-TS-Cashout-LG&amp;E'!H$5,'Data FT-TS-Cashout-Paddys'!$C$5:$C$756,'Apr11-Mar12 FT-TS-Cashout-LG&amp;E'!$C18)</f>
        <v>2760</v>
      </c>
      <c r="I18" s="999">
        <f>SUMIFS('Data FT-TS-Cashout-Paddys'!$H$5:$H$756,'Data FT-TS-Cashout-Paddys'!$F$5:$F$756,'Apr11-Mar12 FT-TS-Cashout-LG&amp;E'!$G18,'Data FT-TS-Cashout-Paddys'!$B$5:$B$756,'Apr11-Mar12 FT-TS-Cashout-LG&amp;E'!I$5,'Data FT-TS-Cashout-Paddys'!$C$5:$C$756,'Apr11-Mar12 FT-TS-Cashout-LG&amp;E'!$C18)</f>
        <v>2760</v>
      </c>
      <c r="J18" s="999">
        <v>2760</v>
      </c>
      <c r="K18" s="999">
        <f>SUMIFS('Data FT-TS-Cashout-Paddys'!$H$5:$H$756,'Data FT-TS-Cashout-Paddys'!$F$5:$F$756,'Apr11-Mar12 FT-TS-Cashout-LG&amp;E'!$G18,'Data FT-TS-Cashout-Paddys'!$B$5:$B$756,'Apr11-Mar12 FT-TS-Cashout-LG&amp;E'!K$5,'Data FT-TS-Cashout-Paddys'!$C$5:$C$756,'Apr11-Mar12 FT-TS-Cashout-LG&amp;E'!$C18)</f>
        <v>2760</v>
      </c>
      <c r="L18" s="999">
        <f>SUMIFS('Data FT-TS-Cashout-Paddys'!$H$5:$H$756,'Data FT-TS-Cashout-Paddys'!$F$5:$F$756,'Apr11-Mar12 FT-TS-Cashout-LG&amp;E'!$G18,'Data FT-TS-Cashout-Paddys'!$B$5:$B$756,'Apr11-Mar12 FT-TS-Cashout-LG&amp;E'!L$5,'Data FT-TS-Cashout-Paddys'!$C$5:$C$756,'Apr11-Mar12 FT-TS-Cashout-LG&amp;E'!$C18)</f>
        <v>2760</v>
      </c>
      <c r="M18" s="999">
        <f>SUMIFS('Data FT-TS-Cashout-Paddys'!$H$5:$H$756,'Data FT-TS-Cashout-Paddys'!$F$5:$F$756,'Apr11-Mar12 FT-TS-Cashout-LG&amp;E'!$G18,'Data FT-TS-Cashout-Paddys'!$B$5:$B$756,'Apr11-Mar12 FT-TS-Cashout-LG&amp;E'!M$5,'Data FT-TS-Cashout-Paddys'!$C$5:$C$756,'Apr11-Mar12 FT-TS-Cashout-LG&amp;E'!$C18)</f>
        <v>2760</v>
      </c>
      <c r="N18" s="999">
        <f>SUMIFS('Data FT-TS-Cashout-Paddys'!$H$5:$H$756,'Data FT-TS-Cashout-Paddys'!$F$5:$F$756,'Apr11-Mar12 FT-TS-Cashout-LG&amp;E'!$G18,'Data FT-TS-Cashout-Paddys'!$B$5:$B$756,'Apr11-Mar12 FT-TS-Cashout-LG&amp;E'!N$5,'Data FT-TS-Cashout-Paddys'!$C$5:$C$756,'Apr11-Mar12 FT-TS-Cashout-LG&amp;E'!$C18)</f>
        <v>2760</v>
      </c>
      <c r="O18" s="999">
        <f>SUMIFS('Data FT-TS-Cashout-Paddys'!$H$5:$H$756,'Data FT-TS-Cashout-Paddys'!$F$5:$F$756,'Apr11-Mar12 FT-TS-Cashout-LG&amp;E'!$G18,'Data FT-TS-Cashout-Paddys'!$B$5:$B$756,'Apr11-Mar12 FT-TS-Cashout-LG&amp;E'!O$5,'Data FT-TS-Cashout-Paddys'!$C$5:$C$756,'Apr11-Mar12 FT-TS-Cashout-LG&amp;E'!$C18)</f>
        <v>2760</v>
      </c>
      <c r="P18" s="999">
        <f>SUMIFS('Data FT-TS-Cashout-Paddys'!$H$5:$H$756,'Data FT-TS-Cashout-Paddys'!$F$5:$F$756,'Apr11-Mar12 FT-TS-Cashout-LG&amp;E'!$G18,'Data FT-TS-Cashout-Paddys'!$B$5:$B$756,'Apr11-Mar12 FT-TS-Cashout-LG&amp;E'!P$5,'Data FT-TS-Cashout-Paddys'!$C$5:$C$756,'Apr11-Mar12 FT-TS-Cashout-LG&amp;E'!$C18)</f>
        <v>2530</v>
      </c>
      <c r="Q18" s="999">
        <f>SUMIFS('Data FT-TS-Cashout-Paddys'!$H$5:$H$756,'Data FT-TS-Cashout-Paddys'!$F$5:$F$756,'Apr11-Mar12 FT-TS-Cashout-LG&amp;E'!$G18,'Data FT-TS-Cashout-Paddys'!$B$5:$B$756,'Apr11-Mar12 FT-TS-Cashout-LG&amp;E'!Q$5,'Data FT-TS-Cashout-Paddys'!$C$5:$C$756,'Apr11-Mar12 FT-TS-Cashout-LG&amp;E'!$C18)</f>
        <v>2990</v>
      </c>
      <c r="R18" s="999">
        <f>SUMIFS('Data FT-TS-Cashout-Paddys'!$H$5:$H$756,'Data FT-TS-Cashout-Paddys'!$F$5:$F$756,'Apr11-Mar12 FT-TS-Cashout-LG&amp;E'!$G18,'Data FT-TS-Cashout-Paddys'!$B$5:$B$756,'Apr11-Mar12 FT-TS-Cashout-LG&amp;E'!R$5,'Data FT-TS-Cashout-Paddys'!$C$5:$C$756,'Apr11-Mar12 FT-TS-Cashout-LG&amp;E'!$C18)</f>
        <v>2530</v>
      </c>
      <c r="S18" s="999">
        <f>SUMIFS('Data FT-TS-Cashout-Paddys'!$H$5:$H$756,'Data FT-TS-Cashout-Paddys'!$F$5:$F$756,'Apr11-Mar12 FT-TS-Cashout-LG&amp;E'!$G18,'Data FT-TS-Cashout-Paddys'!$B$5:$B$756,'Apr11-Mar12 FT-TS-Cashout-LG&amp;E'!S$5,'Data FT-TS-Cashout-Paddys'!$C$5:$C$756,'Apr11-Mar12 FT-TS-Cashout-LG&amp;E'!$C18)</f>
        <v>2990</v>
      </c>
      <c r="T18" s="1001">
        <f t="shared" ref="T18:T23" si="2">SUM(H18:S18)</f>
        <v>33120</v>
      </c>
      <c r="U18" s="999"/>
    </row>
    <row r="19" spans="2:21" x14ac:dyDescent="0.2">
      <c r="B19" s="561" t="str">
        <f>VLOOKUP($C19,'Retail Rates'!$B$46:$Q$55,13,FALSE)</f>
        <v>FT Commercial</v>
      </c>
      <c r="C19" s="633" t="s">
        <v>97</v>
      </c>
      <c r="D19" s="633" t="str">
        <f t="shared" si="1"/>
        <v>895</v>
      </c>
      <c r="E19" s="561" t="str">
        <f>VLOOKUP($C19,'Retail Rates'!$B$46:$Q$55,3,FALSE)</f>
        <v>FT-C</v>
      </c>
      <c r="F19" s="991" t="s">
        <v>414</v>
      </c>
      <c r="G19" s="991"/>
      <c r="H19" s="1000">
        <f>ROUND(H10*H12,2)</f>
        <v>37442.47</v>
      </c>
      <c r="I19" s="1000">
        <f t="shared" ref="I19:S19" si="3">ROUND(I10*I12,2)</f>
        <v>30476.51</v>
      </c>
      <c r="J19" s="1000">
        <f>ROUND(J10*J12,2)</f>
        <v>24533.91</v>
      </c>
      <c r="K19" s="1000">
        <f t="shared" si="3"/>
        <v>25488.59</v>
      </c>
      <c r="L19" s="1000">
        <f t="shared" si="3"/>
        <v>23187.71</v>
      </c>
      <c r="M19" s="1000">
        <f t="shared" si="3"/>
        <v>18623.560000000001</v>
      </c>
      <c r="N19" s="1000">
        <f t="shared" si="3"/>
        <v>16978.89</v>
      </c>
      <c r="O19" s="1000">
        <f t="shared" si="3"/>
        <v>18545.599999999999</v>
      </c>
      <c r="P19" s="1000">
        <f t="shared" si="3"/>
        <v>19518.47</v>
      </c>
      <c r="Q19" s="1000">
        <f t="shared" si="3"/>
        <v>26763.759999999998</v>
      </c>
      <c r="R19" s="1000">
        <f t="shared" si="3"/>
        <v>28168.74</v>
      </c>
      <c r="S19" s="1000">
        <f t="shared" si="3"/>
        <v>35423.360000000001</v>
      </c>
      <c r="T19" s="1001">
        <f t="shared" si="2"/>
        <v>305151.57</v>
      </c>
      <c r="U19" s="999"/>
    </row>
    <row r="20" spans="2:21" x14ac:dyDescent="0.2">
      <c r="B20" s="561" t="str">
        <f>VLOOKUP($C20,'Retail Rates'!$B$46:$Q$55,13,FALSE)</f>
        <v>FT Commercial</v>
      </c>
      <c r="C20" s="633" t="s">
        <v>97</v>
      </c>
      <c r="D20" s="633" t="str">
        <f t="shared" si="1"/>
        <v>895</v>
      </c>
      <c r="E20" s="561" t="str">
        <f>VLOOKUP($C20,'Retail Rates'!$B$46:$Q$55,3,FALSE)</f>
        <v>FT-C</v>
      </c>
      <c r="F20" s="991" t="s">
        <v>415</v>
      </c>
      <c r="G20" s="991"/>
      <c r="H20" s="999">
        <f>SUM(H18:H19)</f>
        <v>40202.47</v>
      </c>
      <c r="I20" s="999">
        <f t="shared" ref="I20:S20" si="4">SUM(I18:I19)</f>
        <v>33236.509999999995</v>
      </c>
      <c r="J20" s="999">
        <f>SUM(J18:J19)</f>
        <v>27293.91</v>
      </c>
      <c r="K20" s="999">
        <f t="shared" si="4"/>
        <v>28248.59</v>
      </c>
      <c r="L20" s="999">
        <f t="shared" si="4"/>
        <v>25947.71</v>
      </c>
      <c r="M20" s="999">
        <f t="shared" si="4"/>
        <v>21383.56</v>
      </c>
      <c r="N20" s="999">
        <f t="shared" si="4"/>
        <v>19738.89</v>
      </c>
      <c r="O20" s="999">
        <f t="shared" si="4"/>
        <v>21305.599999999999</v>
      </c>
      <c r="P20" s="999">
        <f t="shared" si="4"/>
        <v>22048.47</v>
      </c>
      <c r="Q20" s="999">
        <f t="shared" si="4"/>
        <v>29753.759999999998</v>
      </c>
      <c r="R20" s="999">
        <f t="shared" si="4"/>
        <v>30698.74</v>
      </c>
      <c r="S20" s="999">
        <f t="shared" si="4"/>
        <v>38413.360000000001</v>
      </c>
      <c r="T20" s="1001">
        <f t="shared" si="2"/>
        <v>338271.57</v>
      </c>
    </row>
    <row r="21" spans="2:21" x14ac:dyDescent="0.2">
      <c r="B21" s="561" t="str">
        <f>VLOOKUP($C21,'Retail Rates'!$B$46:$Q$55,13,FALSE)</f>
        <v>FT Commercial</v>
      </c>
      <c r="C21" s="633" t="s">
        <v>97</v>
      </c>
      <c r="D21" s="633" t="str">
        <f t="shared" si="1"/>
        <v>895</v>
      </c>
      <c r="E21" s="561" t="str">
        <f>VLOOKUP($C21,'Retail Rates'!$B$46:$Q$55,3,FALSE)</f>
        <v>FT-C</v>
      </c>
      <c r="F21" s="991" t="s">
        <v>416</v>
      </c>
      <c r="G21" s="991"/>
      <c r="H21" s="1001">
        <f>ROUND(+H10*H13,2)</f>
        <v>1010.08</v>
      </c>
      <c r="I21" s="1001">
        <f t="shared" ref="I21:S21" si="5">ROUND(+I10*I13,2)</f>
        <v>822.16</v>
      </c>
      <c r="J21" s="1001">
        <f>ROUND(+J10*J13,2)</f>
        <v>661.84</v>
      </c>
      <c r="K21" s="1001">
        <f t="shared" si="5"/>
        <v>527.54999999999995</v>
      </c>
      <c r="L21" s="1001">
        <f t="shared" si="5"/>
        <v>479.93</v>
      </c>
      <c r="M21" s="1001">
        <f t="shared" si="5"/>
        <v>415.78</v>
      </c>
      <c r="N21" s="1001">
        <f t="shared" si="5"/>
        <v>379.06</v>
      </c>
      <c r="O21" s="1001">
        <f t="shared" si="5"/>
        <v>414.04</v>
      </c>
      <c r="P21" s="1001">
        <f t="shared" si="5"/>
        <v>435.76</v>
      </c>
      <c r="Q21" s="1001">
        <f t="shared" si="5"/>
        <v>597.52</v>
      </c>
      <c r="R21" s="1001">
        <f t="shared" si="5"/>
        <v>628.88</v>
      </c>
      <c r="S21" s="1001">
        <f t="shared" si="5"/>
        <v>790.85</v>
      </c>
      <c r="T21" s="1001">
        <f t="shared" si="2"/>
        <v>7163.4500000000016</v>
      </c>
    </row>
    <row r="22" spans="2:21" x14ac:dyDescent="0.2">
      <c r="B22" s="561" t="str">
        <f>VLOOKUP($C22,'Retail Rates'!$B$46:$Q$55,13,FALSE)</f>
        <v>FT Commercial</v>
      </c>
      <c r="C22" s="633" t="s">
        <v>97</v>
      </c>
      <c r="D22" s="633" t="str">
        <f t="shared" si="1"/>
        <v>895</v>
      </c>
      <c r="E22" s="561" t="str">
        <f>VLOOKUP($C22,'Retail Rates'!$B$46:$Q$55,3,FALSE)</f>
        <v>FT-C</v>
      </c>
      <c r="F22" s="991" t="s">
        <v>848</v>
      </c>
      <c r="G22" s="987" t="s">
        <v>830</v>
      </c>
      <c r="H22" s="1000">
        <f>SUMIFS('Data FT-TS-Cashout-Paddys'!$H$5:$H$756,'Data FT-TS-Cashout-Paddys'!$F$5:$F$756,'Apr11-Mar12 FT-TS-Cashout-LG&amp;E'!$G22,'Data FT-TS-Cashout-Paddys'!$A$5:$A$756,'Apr11-Mar12 FT-TS-Cashout-LG&amp;E'!H$4,'Data FT-TS-Cashout-Paddys'!$C$5:$C$756,'Apr11-Mar12 FT-TS-Cashout-LG&amp;E'!$C22)</f>
        <v>100.98</v>
      </c>
      <c r="I22" s="1000">
        <v>636.55999999999995</v>
      </c>
      <c r="J22" s="1000">
        <f>6.21+6.62+123.76+131.74</f>
        <v>268.33000000000004</v>
      </c>
      <c r="K22" s="1000">
        <f>SUMIFS('Data FT-TS-Cashout-Paddys'!$H$5:$H$756,'Data FT-TS-Cashout-Paddys'!$F$5:$F$756,'Apr11-Mar12 FT-TS-Cashout-LG&amp;E'!$G22,'Data FT-TS-Cashout-Paddys'!$A$5:$A$756,'Apr11-Mar12 FT-TS-Cashout-LG&amp;E'!K$4,'Data FT-TS-Cashout-Paddys'!$C$5:$C$756,'Apr11-Mar12 FT-TS-Cashout-LG&amp;E'!$C22)</f>
        <v>45.3</v>
      </c>
      <c r="L22" s="1000">
        <f>SUMIFS('Data FT-TS-Cashout-Paddys'!$H$5:$H$756,'Data FT-TS-Cashout-Paddys'!$F$5:$F$756,'Apr11-Mar12 FT-TS-Cashout-LG&amp;E'!$G22,'Data FT-TS-Cashout-Paddys'!$A$5:$A$756,'Apr11-Mar12 FT-TS-Cashout-LG&amp;E'!L$4,'Data FT-TS-Cashout-Paddys'!$C$5:$C$756,'Apr11-Mar12 FT-TS-Cashout-LG&amp;E'!$C22)</f>
        <v>170.3</v>
      </c>
      <c r="M22" s="1000">
        <f>SUMIFS('Data FT-TS-Cashout-Paddys'!$H$5:$H$756,'Data FT-TS-Cashout-Paddys'!$F$5:$F$756,'Apr11-Mar12 FT-TS-Cashout-LG&amp;E'!$G22,'Data FT-TS-Cashout-Paddys'!$A$5:$A$756,'Apr11-Mar12 FT-TS-Cashout-LG&amp;E'!M$4,'Data FT-TS-Cashout-Paddys'!$C$5:$C$756,'Apr11-Mar12 FT-TS-Cashout-LG&amp;E'!$C22)</f>
        <v>16.309999999999999</v>
      </c>
      <c r="N22" s="1000">
        <f>SUMIFS('Data FT-TS-Cashout-Paddys'!$H$5:$H$756,'Data FT-TS-Cashout-Paddys'!$F$5:$F$756,'Apr11-Mar12 FT-TS-Cashout-LG&amp;E'!$G22,'Data FT-TS-Cashout-Paddys'!$A$5:$A$756,'Apr11-Mar12 FT-TS-Cashout-LG&amp;E'!N$4,'Data FT-TS-Cashout-Paddys'!$C$5:$C$756,'Apr11-Mar12 FT-TS-Cashout-LG&amp;E'!$C22)</f>
        <v>73.33</v>
      </c>
      <c r="O22" s="1000">
        <f>SUMIFS('Data FT-TS-Cashout-Paddys'!$H$5:$H$756,'Data FT-TS-Cashout-Paddys'!$F$5:$F$756,'Apr11-Mar12 FT-TS-Cashout-LG&amp;E'!$G22,'Data FT-TS-Cashout-Paddys'!$A$5:$A$756,'Apr11-Mar12 FT-TS-Cashout-LG&amp;E'!O$4,'Data FT-TS-Cashout-Paddys'!$C$5:$C$756,'Apr11-Mar12 FT-TS-Cashout-LG&amp;E'!$C22)</f>
        <v>22.04</v>
      </c>
      <c r="P22" s="1000">
        <f>SUMIFS('Data FT-TS-Cashout-Paddys'!$H$5:$H$756,'Data FT-TS-Cashout-Paddys'!$F$5:$F$756,'Apr11-Mar12 FT-TS-Cashout-LG&amp;E'!$G22,'Data FT-TS-Cashout-Paddys'!$A$5:$A$756,'Apr11-Mar12 FT-TS-Cashout-LG&amp;E'!P$4,'Data FT-TS-Cashout-Paddys'!$C$5:$C$756,'Apr11-Mar12 FT-TS-Cashout-LG&amp;E'!$C22)</f>
        <v>29.28</v>
      </c>
      <c r="Q22" s="1000">
        <f>SUMIFS('Data FT-TS-Cashout-Paddys'!$H$5:$H$756,'Data FT-TS-Cashout-Paddys'!$F$5:$F$756,'Apr11-Mar12 FT-TS-Cashout-LG&amp;E'!$G22,'Data FT-TS-Cashout-Paddys'!$A$5:$A$756,'Apr11-Mar12 FT-TS-Cashout-LG&amp;E'!Q$4,'Data FT-TS-Cashout-Paddys'!$C$5:$C$756,'Apr11-Mar12 FT-TS-Cashout-LG&amp;E'!$C22)</f>
        <v>186.05</v>
      </c>
      <c r="R22" s="1000">
        <f>SUMIFS('Data FT-TS-Cashout-Paddys'!$H$5:$H$756,'Data FT-TS-Cashout-Paddys'!$F$5:$F$756,'Apr11-Mar12 FT-TS-Cashout-LG&amp;E'!$G22,'Data FT-TS-Cashout-Paddys'!$A$5:$A$756,'Apr11-Mar12 FT-TS-Cashout-LG&amp;E'!R$4,'Data FT-TS-Cashout-Paddys'!$C$5:$C$756,'Apr11-Mar12 FT-TS-Cashout-LG&amp;E'!$C22)</f>
        <v>94.12</v>
      </c>
      <c r="S22" s="1000">
        <f>SUMIFS('Data FT-TS-Cashout-Paddys'!$H$5:$H$756,'Data FT-TS-Cashout-Paddys'!$F$5:$F$756,'Apr11-Mar12 FT-TS-Cashout-LG&amp;E'!$G22,'Data FT-TS-Cashout-Paddys'!$A$5:$A$756,'Apr11-Mar12 FT-TS-Cashout-LG&amp;E'!S$4,'Data FT-TS-Cashout-Paddys'!$C$5:$C$756,'Apr11-Mar12 FT-TS-Cashout-LG&amp;E'!$C22)</f>
        <v>148.16</v>
      </c>
      <c r="T22" s="1001">
        <f t="shared" si="2"/>
        <v>1790.76</v>
      </c>
    </row>
    <row r="23" spans="2:21" x14ac:dyDescent="0.2">
      <c r="B23" s="561" t="str">
        <f>VLOOKUP($C23,'Retail Rates'!$B$46:$Q$55,13,FALSE)</f>
        <v>FT Commercial</v>
      </c>
      <c r="C23" s="633" t="s">
        <v>97</v>
      </c>
      <c r="D23" s="633" t="str">
        <f t="shared" si="1"/>
        <v>895</v>
      </c>
      <c r="E23" s="561" t="str">
        <f>VLOOKUP($C23,'Retail Rates'!$B$46:$Q$55,3,FALSE)</f>
        <v>FT-C</v>
      </c>
      <c r="F23" s="991" t="s">
        <v>417</v>
      </c>
      <c r="G23" s="991"/>
      <c r="H23" s="999">
        <f>SUM(H20:H22)</f>
        <v>41313.530000000006</v>
      </c>
      <c r="I23" s="999">
        <f t="shared" ref="I23:S23" si="6">SUM(I20:I22)</f>
        <v>34695.229999999996</v>
      </c>
      <c r="J23" s="999">
        <f>SUM(J20:J22)</f>
        <v>28224.080000000002</v>
      </c>
      <c r="K23" s="999">
        <f t="shared" si="6"/>
        <v>28821.439999999999</v>
      </c>
      <c r="L23" s="999">
        <f t="shared" si="6"/>
        <v>26597.94</v>
      </c>
      <c r="M23" s="999">
        <f t="shared" si="6"/>
        <v>21815.65</v>
      </c>
      <c r="N23" s="999">
        <f t="shared" si="6"/>
        <v>20191.280000000002</v>
      </c>
      <c r="O23" s="999">
        <f t="shared" si="6"/>
        <v>21741.68</v>
      </c>
      <c r="P23" s="999">
        <f t="shared" si="6"/>
        <v>22513.51</v>
      </c>
      <c r="Q23" s="999">
        <f t="shared" si="6"/>
        <v>30537.329999999998</v>
      </c>
      <c r="R23" s="999">
        <f t="shared" si="6"/>
        <v>31421.74</v>
      </c>
      <c r="S23" s="999">
        <f t="shared" si="6"/>
        <v>39352.370000000003</v>
      </c>
      <c r="T23" s="1045">
        <f t="shared" si="2"/>
        <v>347225.77999999997</v>
      </c>
    </row>
    <row r="24" spans="2:21" x14ac:dyDescent="0.2">
      <c r="B24" s="561" t="str">
        <f>VLOOKUP($C24,'Retail Rates'!$B$46:$Q$55,13,FALSE)</f>
        <v>FT Commercial</v>
      </c>
      <c r="C24" s="633" t="s">
        <v>97</v>
      </c>
      <c r="D24" s="633" t="str">
        <f t="shared" si="1"/>
        <v>895</v>
      </c>
      <c r="E24" s="561" t="str">
        <f>VLOOKUP($C24,'Retail Rates'!$B$46:$Q$55,3,FALSE)</f>
        <v>FT-C</v>
      </c>
      <c r="F24" s="991"/>
      <c r="G24" s="991"/>
      <c r="H24" s="999"/>
      <c r="I24" s="999"/>
      <c r="J24" s="999"/>
      <c r="K24" s="999"/>
      <c r="L24" s="999"/>
      <c r="M24" s="999"/>
      <c r="N24" s="999"/>
      <c r="O24" s="999"/>
      <c r="P24" s="999"/>
      <c r="Q24" s="999"/>
      <c r="R24" s="999"/>
      <c r="S24" s="999"/>
      <c r="T24" s="1001"/>
    </row>
    <row r="25" spans="2:21" x14ac:dyDescent="0.2">
      <c r="B25" s="561" t="str">
        <f>VLOOKUP($C25,'Retail Rates'!$B$46:$Q$55,13,FALSE)</f>
        <v>FT Commercial</v>
      </c>
      <c r="C25" s="633" t="s">
        <v>97</v>
      </c>
      <c r="D25" s="633" t="str">
        <f t="shared" si="1"/>
        <v>895</v>
      </c>
      <c r="E25" s="561" t="str">
        <f>VLOOKUP($C25,'Retail Rates'!$B$46:$Q$55,3,FALSE)</f>
        <v>FT-C</v>
      </c>
      <c r="F25" s="991" t="s">
        <v>841</v>
      </c>
      <c r="G25" s="991"/>
      <c r="H25" s="999">
        <f>SUMIFS('FT_Cashouts_IntraCo-PR'!$F$4:$F$130,'FT_Cashouts_IntraCo-PR'!$A$4:$A$130,'Apr11-Mar12 FT-TS-Cashout-LG&amp;E'!$C25,'FT_Cashouts_IntraCo-PR'!$D$4:$D$130,'Apr11-Mar12 FT-TS-Cashout-LG&amp;E'!H$5)</f>
        <v>41313.520000000004</v>
      </c>
      <c r="I25" s="999">
        <f>SUMIFS('FT_Cashouts_IntraCo-PR'!$F$4:$F$130,'FT_Cashouts_IntraCo-PR'!$A$4:$A$130,'Apr11-Mar12 FT-TS-Cashout-LG&amp;E'!$C25,'FT_Cashouts_IntraCo-PR'!$D$4:$D$130,'Apr11-Mar12 FT-TS-Cashout-LG&amp;E'!I$5)</f>
        <v>34695.22</v>
      </c>
      <c r="J25" s="999">
        <f>SUMIFS('FT_Cashouts_IntraCo-PR'!$F$4:$F$130,'FT_Cashouts_IntraCo-PR'!$A$4:$A$130,'Apr11-Mar12 FT-TS-Cashout-LG&amp;E'!$C25,'FT_Cashouts_IntraCo-PR'!$D$4:$D$130,'Apr11-Mar12 FT-TS-Cashout-LG&amp;E'!J$5)</f>
        <v>0</v>
      </c>
      <c r="K25" s="999">
        <f>SUMIFS('FT_Cashouts_IntraCo-PR'!$F$4:$F$130,'FT_Cashouts_IntraCo-PR'!$A$4:$A$130,'Apr11-Mar12 FT-TS-Cashout-LG&amp;E'!$C25,'FT_Cashouts_IntraCo-PR'!$D$4:$D$130,'Apr11-Mar12 FT-TS-Cashout-LG&amp;E'!K$5)</f>
        <v>28821.449999999997</v>
      </c>
      <c r="L25" s="999">
        <f>SUMIFS('FT_Cashouts_IntraCo-PR'!$F$4:$F$130,'FT_Cashouts_IntraCo-PR'!$A$4:$A$130,'Apr11-Mar12 FT-TS-Cashout-LG&amp;E'!$C25,'FT_Cashouts_IntraCo-PR'!$D$4:$D$130,'Apr11-Mar12 FT-TS-Cashout-LG&amp;E'!L$5)</f>
        <v>26597.950000000004</v>
      </c>
      <c r="M25" s="999">
        <f>SUMIFS('FT_Cashouts_IntraCo-PR'!$F$4:$F$130,'FT_Cashouts_IntraCo-PR'!$A$4:$A$130,'Apr11-Mar12 FT-TS-Cashout-LG&amp;E'!$C25,'FT_Cashouts_IntraCo-PR'!$D$4:$D$130,'Apr11-Mar12 FT-TS-Cashout-LG&amp;E'!M$5)</f>
        <v>21815.679999999997</v>
      </c>
      <c r="N25" s="999">
        <f>SUMIFS('FT_Cashouts_IntraCo-PR'!$F$4:$F$130,'FT_Cashouts_IntraCo-PR'!$A$4:$A$130,'Apr11-Mar12 FT-TS-Cashout-LG&amp;E'!$C25,'FT_Cashouts_IntraCo-PR'!$D$4:$D$130,'Apr11-Mar12 FT-TS-Cashout-LG&amp;E'!N$5)</f>
        <v>20191.29</v>
      </c>
      <c r="O25" s="999">
        <f>SUMIFS('FT_Cashouts_IntraCo-PR'!$F$4:$F$130,'FT_Cashouts_IntraCo-PR'!$A$4:$A$130,'Apr11-Mar12 FT-TS-Cashout-LG&amp;E'!$C25,'FT_Cashouts_IntraCo-PR'!$D$4:$D$130,'Apr11-Mar12 FT-TS-Cashout-LG&amp;E'!O$5)</f>
        <v>21741.69</v>
      </c>
      <c r="P25" s="999">
        <f>SUMIFS('FT_Cashouts_IntraCo-PR'!$F$4:$F$130,'FT_Cashouts_IntraCo-PR'!$A$4:$A$130,'Apr11-Mar12 FT-TS-Cashout-LG&amp;E'!$C25,'FT_Cashouts_IntraCo-PR'!$D$4:$D$130,'Apr11-Mar12 FT-TS-Cashout-LG&amp;E'!P$5)</f>
        <v>23930.880000000001</v>
      </c>
      <c r="Q25" s="999">
        <f>SUMIFS('FT_Cashouts_IntraCo-PR'!$F$4:$F$130,'FT_Cashouts_IntraCo-PR'!$A$4:$A$130,'Apr11-Mar12 FT-TS-Cashout-LG&amp;E'!$C25,'FT_Cashouts_IntraCo-PR'!$D$4:$D$130,'Apr11-Mar12 FT-TS-Cashout-LG&amp;E'!Q$5)</f>
        <v>29119.96</v>
      </c>
      <c r="R25" s="999">
        <f>SUMIFS('FT_Cashouts_IntraCo-PR'!$F$4:$F$130,'FT_Cashouts_IntraCo-PR'!$A$4:$A$130,'Apr11-Mar12 FT-TS-Cashout-LG&amp;E'!$C25,'FT_Cashouts_IntraCo-PR'!$D$4:$D$130,'Apr11-Mar12 FT-TS-Cashout-LG&amp;E'!R$5)</f>
        <v>32805.24</v>
      </c>
      <c r="S25" s="999">
        <f>SUMIFS('FT_Cashouts_IntraCo-PR'!$F$4:$F$130,'FT_Cashouts_IntraCo-PR'!$A$4:$A$130,'Apr11-Mar12 FT-TS-Cashout-LG&amp;E'!$C25,'FT_Cashouts_IntraCo-PR'!$D$4:$D$130,'Apr11-Mar12 FT-TS-Cashout-LG&amp;E'!S$5)</f>
        <v>37968.86</v>
      </c>
      <c r="T25" s="1001">
        <f>SUM(H25:S25)</f>
        <v>319001.74</v>
      </c>
    </row>
    <row r="26" spans="2:21" x14ac:dyDescent="0.2">
      <c r="B26" s="561" t="str">
        <f>VLOOKUP($C26,'Retail Rates'!$B$46:$Q$55,13,FALSE)</f>
        <v>FT Commercial</v>
      </c>
      <c r="C26" s="633" t="s">
        <v>97</v>
      </c>
      <c r="D26" s="633" t="str">
        <f t="shared" si="1"/>
        <v>895</v>
      </c>
      <c r="E26" s="561" t="str">
        <f>VLOOKUP($C26,'Retail Rates'!$B$46:$Q$55,3,FALSE)</f>
        <v>FT-C</v>
      </c>
      <c r="F26" s="991"/>
      <c r="G26" s="991"/>
      <c r="H26" s="1001"/>
      <c r="I26" s="1001"/>
      <c r="J26" s="1001"/>
      <c r="K26" s="1001"/>
      <c r="L26" s="1001"/>
      <c r="M26" s="1001"/>
      <c r="N26" s="1001"/>
      <c r="O26" s="1001"/>
      <c r="P26" s="1001"/>
      <c r="Q26" s="1001"/>
      <c r="R26" s="1001"/>
      <c r="S26" s="1001"/>
      <c r="T26" s="1001"/>
    </row>
    <row r="27" spans="2:21" x14ac:dyDescent="0.2">
      <c r="B27" s="561" t="str">
        <f>VLOOKUP($C27,'Retail Rates'!$B$46:$Q$55,13,FALSE)</f>
        <v>FT Commercial</v>
      </c>
      <c r="C27" s="633" t="s">
        <v>97</v>
      </c>
      <c r="D27" s="633" t="str">
        <f t="shared" si="1"/>
        <v>895</v>
      </c>
      <c r="E27" s="561" t="str">
        <f>VLOOKUP($C27,'Retail Rates'!$B$46:$Q$55,3,FALSE)</f>
        <v>FT-C</v>
      </c>
      <c r="F27" s="991" t="s">
        <v>386</v>
      </c>
      <c r="G27" s="991"/>
      <c r="H27" s="999">
        <f>+H23-H25</f>
        <v>1.0000000002037268E-2</v>
      </c>
      <c r="I27" s="999">
        <f t="shared" ref="I27:S27" si="7">+I23-I25</f>
        <v>9.9999999947613105E-3</v>
      </c>
      <c r="J27" s="999">
        <f t="shared" si="7"/>
        <v>28224.080000000002</v>
      </c>
      <c r="K27" s="999">
        <f t="shared" si="7"/>
        <v>-9.9999999983992893E-3</v>
      </c>
      <c r="L27" s="999">
        <f t="shared" si="7"/>
        <v>-1.0000000005675247E-2</v>
      </c>
      <c r="M27" s="999">
        <f t="shared" si="7"/>
        <v>-2.9999999995197868E-2</v>
      </c>
      <c r="N27" s="999">
        <f t="shared" si="7"/>
        <v>-9.9999999983992893E-3</v>
      </c>
      <c r="O27" s="999">
        <f t="shared" si="7"/>
        <v>-9.9999999983992893E-3</v>
      </c>
      <c r="P27" s="999">
        <f t="shared" si="7"/>
        <v>-1417.3700000000026</v>
      </c>
      <c r="Q27" s="999">
        <f t="shared" si="7"/>
        <v>1417.369999999999</v>
      </c>
      <c r="R27" s="999">
        <f t="shared" si="7"/>
        <v>-1383.4999999999964</v>
      </c>
      <c r="S27" s="999">
        <f t="shared" si="7"/>
        <v>1383.510000000002</v>
      </c>
      <c r="T27" s="1001">
        <f>SUM(H27:S27)</f>
        <v>28224.040000000005</v>
      </c>
    </row>
    <row r="28" spans="2:21" x14ac:dyDescent="0.2">
      <c r="F28" s="991"/>
      <c r="G28" s="991"/>
    </row>
    <row r="29" spans="2:21" x14ac:dyDescent="0.2">
      <c r="F29" s="324" t="s">
        <v>842</v>
      </c>
      <c r="G29" s="324"/>
    </row>
    <row r="30" spans="2:21" x14ac:dyDescent="0.2">
      <c r="B30" s="561" t="str">
        <f>VLOOKUP($C30,'Retail Rates'!$B$46:$Q$55,13,FALSE)</f>
        <v>FT Industrial</v>
      </c>
      <c r="C30" s="633" t="s">
        <v>99</v>
      </c>
      <c r="D30" s="633" t="str">
        <f t="shared" ref="D30:D45" si="8">MID(C30,6,3)</f>
        <v>896</v>
      </c>
      <c r="E30" s="561" t="str">
        <f>VLOOKUP($C30,'Retail Rates'!$B$46:$Q$55,3,FALSE)</f>
        <v>FT-I</v>
      </c>
      <c r="F30" s="991" t="s">
        <v>407</v>
      </c>
      <c r="G30" s="991"/>
      <c r="H30" s="990">
        <f>ROUND(+H38/H32,0)</f>
        <v>61</v>
      </c>
      <c r="I30" s="990">
        <f t="shared" ref="I30:S30" si="9">+I38/I32</f>
        <v>61</v>
      </c>
      <c r="J30" s="990">
        <f t="shared" si="9"/>
        <v>61</v>
      </c>
      <c r="K30" s="990">
        <f t="shared" si="9"/>
        <v>61</v>
      </c>
      <c r="L30" s="990">
        <f t="shared" si="9"/>
        <v>61</v>
      </c>
      <c r="M30" s="990">
        <f t="shared" si="9"/>
        <v>61</v>
      </c>
      <c r="N30" s="990">
        <f t="shared" si="9"/>
        <v>61</v>
      </c>
      <c r="O30" s="990">
        <f t="shared" si="9"/>
        <v>61</v>
      </c>
      <c r="P30" s="990">
        <f t="shared" si="9"/>
        <v>61</v>
      </c>
      <c r="Q30" s="990">
        <f t="shared" si="9"/>
        <v>61</v>
      </c>
      <c r="R30" s="990">
        <f t="shared" si="9"/>
        <v>61</v>
      </c>
      <c r="S30" s="990">
        <f t="shared" si="9"/>
        <v>61</v>
      </c>
      <c r="T30" s="1043">
        <f>SUM(H30:S30)</f>
        <v>732</v>
      </c>
    </row>
    <row r="31" spans="2:21" x14ac:dyDescent="0.2">
      <c r="B31" s="561" t="str">
        <f>VLOOKUP($C31,'Retail Rates'!$B$46:$Q$55,13,FALSE)</f>
        <v>FT Industrial</v>
      </c>
      <c r="C31" s="633" t="s">
        <v>99</v>
      </c>
      <c r="D31" s="633" t="str">
        <f t="shared" si="8"/>
        <v>896</v>
      </c>
      <c r="E31" s="561" t="str">
        <f>VLOOKUP($C31,'Retail Rates'!$B$46:$Q$55,3,FALSE)</f>
        <v>FT-I</v>
      </c>
      <c r="F31" s="991" t="s">
        <v>408</v>
      </c>
      <c r="G31" s="987" t="s">
        <v>812</v>
      </c>
      <c r="H31" s="992">
        <f>SUMIFS('Data FT-TS-Cashout-Paddys'!$G$5:$G$756,'Data FT-TS-Cashout-Paddys'!$F$5:$F$756,'Apr11-Mar12 FT-TS-Cashout-LG&amp;E'!$G31,'Data FT-TS-Cashout-Paddys'!$A$5:$A$756,'Apr11-Mar12 FT-TS-Cashout-LG&amp;E'!H$4,'Data FT-TS-Cashout-Paddys'!$C$5:$C$756,'Apr11-Mar12 FT-TS-Cashout-LG&amp;E'!$C31,'Data FT-TS-Cashout-Paddys'!$E$5:$E$756,'Apr11-Mar12 FT-TS-Cashout-LG&amp;E'!H$6)/10</f>
        <v>1149807.3999999999</v>
      </c>
      <c r="I31" s="992">
        <f>SUMIFS('Data FT-TS-Cashout-Paddys'!$G$5:$G$756,'Data FT-TS-Cashout-Paddys'!$F$5:$F$756,'Apr11-Mar12 FT-TS-Cashout-LG&amp;E'!$G31,'Data FT-TS-Cashout-Paddys'!$A$5:$A$756,'Apr11-Mar12 FT-TS-Cashout-LG&amp;E'!I$4,'Data FT-TS-Cashout-Paddys'!$C$5:$C$756,'Apr11-Mar12 FT-TS-Cashout-LG&amp;E'!$C31,'Data FT-TS-Cashout-Paddys'!$E$5:$E$756,'Apr11-Mar12 FT-TS-Cashout-LG&amp;E'!I$6)/10</f>
        <v>1059681</v>
      </c>
      <c r="J31" s="993">
        <v>864741.8</v>
      </c>
      <c r="K31" s="992">
        <f>SUMIFS('Data FT-TS-Cashout-Paddys'!$G$5:$G$756,'Data FT-TS-Cashout-Paddys'!$F$5:$F$756,'Apr11-Mar12 FT-TS-Cashout-LG&amp;E'!$G31,'Data FT-TS-Cashout-Paddys'!$A$5:$A$756,'Apr11-Mar12 FT-TS-Cashout-LG&amp;E'!K$4,'Data FT-TS-Cashout-Paddys'!$C$5:$C$756,'Apr11-Mar12 FT-TS-Cashout-LG&amp;E'!$C31,'Data FT-TS-Cashout-Paddys'!$E$5:$E$756,'Apr11-Mar12 FT-TS-Cashout-LG&amp;E'!K$6)/10</f>
        <v>662484.9</v>
      </c>
      <c r="L31" s="992">
        <f>SUMIFS('Data FT-TS-Cashout-Paddys'!$G$5:$G$756,'Data FT-TS-Cashout-Paddys'!$F$5:$F$756,'Apr11-Mar12 FT-TS-Cashout-LG&amp;E'!$G31,'Data FT-TS-Cashout-Paddys'!$A$5:$A$756,'Apr11-Mar12 FT-TS-Cashout-LG&amp;E'!L$4,'Data FT-TS-Cashout-Paddys'!$C$5:$C$756,'Apr11-Mar12 FT-TS-Cashout-LG&amp;E'!$C31,'Data FT-TS-Cashout-Paddys'!$E$5:$E$756,'Apr11-Mar12 FT-TS-Cashout-LG&amp;E'!L$6)/10</f>
        <v>643730.1</v>
      </c>
      <c r="M31" s="992">
        <f>SUMIFS('Data FT-TS-Cashout-Paddys'!$G$5:$G$756,'Data FT-TS-Cashout-Paddys'!$F$5:$F$756,'Apr11-Mar12 FT-TS-Cashout-LG&amp;E'!$G31,'Data FT-TS-Cashout-Paddys'!$A$5:$A$756,'Apr11-Mar12 FT-TS-Cashout-LG&amp;E'!M$4,'Data FT-TS-Cashout-Paddys'!$C$5:$C$756,'Apr11-Mar12 FT-TS-Cashout-LG&amp;E'!$C31,'Data FT-TS-Cashout-Paddys'!$E$5:$E$756,'Apr11-Mar12 FT-TS-Cashout-LG&amp;E'!M$6)/10</f>
        <v>565022.19999999995</v>
      </c>
      <c r="N31" s="992">
        <f>SUMIFS('Data FT-TS-Cashout-Paddys'!$G$5:$G$756,'Data FT-TS-Cashout-Paddys'!$F$5:$F$756,'Apr11-Mar12 FT-TS-Cashout-LG&amp;E'!$G31,'Data FT-TS-Cashout-Paddys'!$A$5:$A$756,'Apr11-Mar12 FT-TS-Cashout-LG&amp;E'!N$4,'Data FT-TS-Cashout-Paddys'!$C$5:$C$756,'Apr11-Mar12 FT-TS-Cashout-LG&amp;E'!$C31,'Data FT-TS-Cashout-Paddys'!$E$5:$E$756,'Apr11-Mar12 FT-TS-Cashout-LG&amp;E'!N$6)/10</f>
        <v>564236.30000000005</v>
      </c>
      <c r="O31" s="992">
        <f>SUMIFS('Data FT-TS-Cashout-Paddys'!$G$5:$G$756,'Data FT-TS-Cashout-Paddys'!$F$5:$F$756,'Apr11-Mar12 FT-TS-Cashout-LG&amp;E'!$G31,'Data FT-TS-Cashout-Paddys'!$A$5:$A$756,'Apr11-Mar12 FT-TS-Cashout-LG&amp;E'!O$4,'Data FT-TS-Cashout-Paddys'!$C$5:$C$756,'Apr11-Mar12 FT-TS-Cashout-LG&amp;E'!$C31,'Data FT-TS-Cashout-Paddys'!$E$5:$E$756,'Apr11-Mar12 FT-TS-Cashout-LG&amp;E'!O$6)/10</f>
        <v>641958.19999999995</v>
      </c>
      <c r="P31" s="992">
        <f>SUMIFS('Data FT-TS-Cashout-Paddys'!$G$5:$G$756,'Data FT-TS-Cashout-Paddys'!$F$5:$F$756,'Apr11-Mar12 FT-TS-Cashout-LG&amp;E'!$G31,'Data FT-TS-Cashout-Paddys'!$A$5:$A$756,'Apr11-Mar12 FT-TS-Cashout-LG&amp;E'!P$4,'Data FT-TS-Cashout-Paddys'!$C$5:$C$756,'Apr11-Mar12 FT-TS-Cashout-LG&amp;E'!$C31,'Data FT-TS-Cashout-Paddys'!$E$5:$E$756,'Apr11-Mar12 FT-TS-Cashout-LG&amp;E'!P$6)/10</f>
        <v>644148</v>
      </c>
      <c r="Q31" s="992">
        <f>SUMIFS('Data FT-TS-Cashout-Paddys'!$G$5:$G$756,'Data FT-TS-Cashout-Paddys'!$F$5:$F$756,'Apr11-Mar12 FT-TS-Cashout-LG&amp;E'!$G31,'Data FT-TS-Cashout-Paddys'!$A$5:$A$756,'Apr11-Mar12 FT-TS-Cashout-LG&amp;E'!Q$4,'Data FT-TS-Cashout-Paddys'!$C$5:$C$756,'Apr11-Mar12 FT-TS-Cashout-LG&amp;E'!$C31,'Data FT-TS-Cashout-Paddys'!$E$5:$E$756,'Apr11-Mar12 FT-TS-Cashout-LG&amp;E'!Q$6)/10</f>
        <v>812822.1</v>
      </c>
      <c r="R31" s="992">
        <f>SUMIFS('Data FT-TS-Cashout-Paddys'!$G$5:$G$756,'Data FT-TS-Cashout-Paddys'!$F$5:$F$756,'Apr11-Mar12 FT-TS-Cashout-LG&amp;E'!$G31,'Data FT-TS-Cashout-Paddys'!$A$5:$A$756,'Apr11-Mar12 FT-TS-Cashout-LG&amp;E'!R$4,'Data FT-TS-Cashout-Paddys'!$C$5:$C$756,'Apr11-Mar12 FT-TS-Cashout-LG&amp;E'!$C31,'Data FT-TS-Cashout-Paddys'!$E$5:$E$756,'Apr11-Mar12 FT-TS-Cashout-LG&amp;E'!R$6)/10</f>
        <v>793218.2</v>
      </c>
      <c r="S31" s="992">
        <f>SUMIFS('Data FT-TS-Cashout-Paddys'!$G$5:$G$756,'Data FT-TS-Cashout-Paddys'!$F$5:$F$756,'Apr11-Mar12 FT-TS-Cashout-LG&amp;E'!$G31,'Data FT-TS-Cashout-Paddys'!$A$5:$A$756,'Apr11-Mar12 FT-TS-Cashout-LG&amp;E'!S$4,'Data FT-TS-Cashout-Paddys'!$C$5:$C$756,'Apr11-Mar12 FT-TS-Cashout-LG&amp;E'!$C31,'Data FT-TS-Cashout-Paddys'!$E$5:$E$756,'Apr11-Mar12 FT-TS-Cashout-LG&amp;E'!S$6)/10</f>
        <v>967578.3</v>
      </c>
      <c r="T31" s="1044">
        <f>SUM(H31:S31)</f>
        <v>9369428.5</v>
      </c>
    </row>
    <row r="32" spans="2:21" x14ac:dyDescent="0.2">
      <c r="B32" s="561" t="str">
        <f>VLOOKUP($C32,'Retail Rates'!$B$46:$Q$55,13,FALSE)</f>
        <v>FT Industrial</v>
      </c>
      <c r="C32" s="633" t="s">
        <v>99</v>
      </c>
      <c r="D32" s="633" t="str">
        <f t="shared" si="8"/>
        <v>896</v>
      </c>
      <c r="E32" s="561" t="str">
        <f>VLOOKUP($C32,'Retail Rates'!$B$46:$Q$55,3,FALSE)</f>
        <v>FT-I</v>
      </c>
      <c r="F32" s="991" t="s">
        <v>409</v>
      </c>
      <c r="G32" s="991"/>
      <c r="H32" s="994">
        <f>VLOOKUP($C32,'Retail Rates'!$B$45:$N$55,5,FALSE)</f>
        <v>230</v>
      </c>
      <c r="I32" s="994">
        <f>VLOOKUP($C32,'Retail Rates'!$B$45:$N$55,5,FALSE)</f>
        <v>230</v>
      </c>
      <c r="J32" s="994">
        <f>VLOOKUP($C32,'Retail Rates'!$B$45:$N$55,5,FALSE)</f>
        <v>230</v>
      </c>
      <c r="K32" s="994">
        <f>VLOOKUP($C32,'Retail Rates'!$B$45:$N$55,5,FALSE)</f>
        <v>230</v>
      </c>
      <c r="L32" s="994">
        <f>VLOOKUP($C32,'Retail Rates'!$B$45:$N$55,5,FALSE)</f>
        <v>230</v>
      </c>
      <c r="M32" s="994">
        <f>VLOOKUP($C32,'Retail Rates'!$B$45:$N$55,5,FALSE)</f>
        <v>230</v>
      </c>
      <c r="N32" s="994">
        <f>VLOOKUP($C32,'Retail Rates'!$B$45:$N$55,5,FALSE)</f>
        <v>230</v>
      </c>
      <c r="O32" s="994">
        <f>VLOOKUP($C32,'Retail Rates'!$B$45:$N$55,5,FALSE)</f>
        <v>230</v>
      </c>
      <c r="P32" s="994">
        <f>VLOOKUP($C32,'Retail Rates'!$B$45:$N$55,5,FALSE)</f>
        <v>230</v>
      </c>
      <c r="Q32" s="994">
        <f>VLOOKUP($C32,'Retail Rates'!$B$45:$N$55,5,FALSE)</f>
        <v>230</v>
      </c>
      <c r="R32" s="994">
        <f>VLOOKUP($C32,'Retail Rates'!$B$45:$N$55,5,FALSE)</f>
        <v>230</v>
      </c>
      <c r="S32" s="994">
        <f>VLOOKUP($C32,'Retail Rates'!$B$45:$N$55,5,FALSE)</f>
        <v>230</v>
      </c>
    </row>
    <row r="33" spans="2:21" x14ac:dyDescent="0.2">
      <c r="B33" s="561" t="str">
        <f>VLOOKUP($C33,'Retail Rates'!$B$46:$Q$55,13,FALSE)</f>
        <v>FT Industrial</v>
      </c>
      <c r="C33" s="633" t="s">
        <v>99</v>
      </c>
      <c r="D33" s="633" t="str">
        <f t="shared" si="8"/>
        <v>896</v>
      </c>
      <c r="E33" s="561" t="str">
        <f>VLOOKUP($C33,'Retail Rates'!$B$46:$Q$55,3,FALSE)</f>
        <v>FT-I</v>
      </c>
      <c r="F33" s="991" t="s">
        <v>410</v>
      </c>
      <c r="G33" s="991"/>
      <c r="H33" s="995">
        <f>VLOOKUP($C33,'Retail Rates'!$B$45:$N$55,7,FALSE)</f>
        <v>0.43</v>
      </c>
      <c r="I33" s="995">
        <f>VLOOKUP($C33,'Retail Rates'!$B$45:$N$55,7,FALSE)</f>
        <v>0.43</v>
      </c>
      <c r="J33" s="995">
        <f>VLOOKUP($C33,'Retail Rates'!$B$45:$N$55,7,FALSE)</f>
        <v>0.43</v>
      </c>
      <c r="K33" s="995">
        <f>VLOOKUP($C33,'Retail Rates'!$B$45:$N$55,7,FALSE)</f>
        <v>0.43</v>
      </c>
      <c r="L33" s="995">
        <f>VLOOKUP($C33,'Retail Rates'!$B$45:$N$55,7,FALSE)</f>
        <v>0.43</v>
      </c>
      <c r="M33" s="995">
        <f>VLOOKUP($C33,'Retail Rates'!$B$45:$N$55,7,FALSE)</f>
        <v>0.43</v>
      </c>
      <c r="N33" s="995">
        <f>VLOOKUP($C33,'Retail Rates'!$B$45:$N$55,7,FALSE)</f>
        <v>0.43</v>
      </c>
      <c r="O33" s="995">
        <f>VLOOKUP($C33,'Retail Rates'!$B$45:$N$55,7,FALSE)</f>
        <v>0.43</v>
      </c>
      <c r="P33" s="995">
        <f>VLOOKUP($C33,'Retail Rates'!$B$45:$N$55,7,FALSE)</f>
        <v>0.43</v>
      </c>
      <c r="Q33" s="995">
        <f>VLOOKUP($C33,'Retail Rates'!$B$45:$N$55,7,FALSE)</f>
        <v>0.43</v>
      </c>
      <c r="R33" s="995">
        <f>VLOOKUP($C33,'Retail Rates'!$B$45:$N$55,7,FALSE)</f>
        <v>0.43</v>
      </c>
      <c r="S33" s="995">
        <f>VLOOKUP($C33,'Retail Rates'!$B$45:$N$55,7,FALSE)</f>
        <v>0.43</v>
      </c>
    </row>
    <row r="34" spans="2:21" x14ac:dyDescent="0.2">
      <c r="B34" s="561" t="str">
        <f>VLOOKUP($C34,'Retail Rates'!$B$46:$Q$55,13,FALSE)</f>
        <v>FT Industrial</v>
      </c>
      <c r="C34" s="633" t="s">
        <v>99</v>
      </c>
      <c r="D34" s="633" t="str">
        <f t="shared" si="8"/>
        <v>896</v>
      </c>
      <c r="E34" s="561" t="str">
        <f>VLOOKUP($C34,'Retail Rates'!$B$46:$Q$55,3,FALSE)</f>
        <v>FT-I</v>
      </c>
      <c r="F34" s="996" t="s">
        <v>843</v>
      </c>
      <c r="G34" s="996"/>
      <c r="H34" s="995">
        <f>SUMIF('GSC-DSM Factors'!$A$14:$A$44,'Apr11-Mar12 FT-TS-Cashout-LG&amp;E'!H$5,'GSC-DSM Factors'!$I$14:$I$44)</f>
        <v>0.17199999999999999</v>
      </c>
      <c r="I34" s="995">
        <f>SUMIF('GSC-DSM Factors'!$A$14:$A$44,'Apr11-Mar12 FT-TS-Cashout-LG&amp;E'!I$5,'GSC-DSM Factors'!$I$14:$I$44)</f>
        <v>0.17219999999999999</v>
      </c>
      <c r="J34" s="995">
        <f>SUMIF('GSC-DSM Factors'!$A$14:$A$44,'Apr11-Mar12 FT-TS-Cashout-LG&amp;E'!J$5,'GSC-DSM Factors'!$I$14:$I$44)</f>
        <v>0.17219999999999999</v>
      </c>
      <c r="K34" s="995">
        <f>SUMIF('GSC-DSM Factors'!$A$14:$A$44,'Apr11-Mar12 FT-TS-Cashout-LG&amp;E'!K$5,'GSC-DSM Factors'!$I$14:$I$44)</f>
        <v>0.1847</v>
      </c>
      <c r="L34" s="995">
        <f>SUMIF('GSC-DSM Factors'!$A$14:$A$44,'Apr11-Mar12 FT-TS-Cashout-LG&amp;E'!L$5,'GSC-DSM Factors'!$I$14:$I$44)</f>
        <v>0.185</v>
      </c>
      <c r="M34" s="995">
        <f>SUMIF('GSC-DSM Factors'!$A$14:$A$44,'Apr11-Mar12 FT-TS-Cashout-LG&amp;E'!M$5,'GSC-DSM Factors'!$I$14:$I$44)</f>
        <v>0.185</v>
      </c>
      <c r="N34" s="995">
        <f>SUMIF('GSC-DSM Factors'!$A$14:$A$44,'Apr11-Mar12 FT-TS-Cashout-LG&amp;E'!N$5,'GSC-DSM Factors'!$I$14:$I$44)</f>
        <v>0.185</v>
      </c>
      <c r="O34" s="995">
        <f>SUMIF('GSC-DSM Factors'!$A$14:$A$44,'Apr11-Mar12 FT-TS-Cashout-LG&amp;E'!O$5,'GSC-DSM Factors'!$I$14:$I$44)</f>
        <v>0.18459999999999999</v>
      </c>
      <c r="P34" s="995">
        <f>SUMIF('GSC-DSM Factors'!$A$14:$A$44,'Apr11-Mar12 FT-TS-Cashout-LG&amp;E'!P$5,'GSC-DSM Factors'!$I$14:$I$44)</f>
        <v>0.18459999999999999</v>
      </c>
      <c r="Q34" s="995">
        <f>SUMIF('GSC-DSM Factors'!$A$14:$A$44,'Apr11-Mar12 FT-TS-Cashout-LG&amp;E'!Q$5,'GSC-DSM Factors'!$I$14:$I$44)</f>
        <v>0.18459999999999999</v>
      </c>
      <c r="R34" s="995">
        <f>SUMIF('GSC-DSM Factors'!$A$14:$A$44,'Apr11-Mar12 FT-TS-Cashout-LG&amp;E'!R$5,'GSC-DSM Factors'!$I$14:$I$44)</f>
        <v>0.17199999999999999</v>
      </c>
      <c r="S34" s="995">
        <f>SUMIF('GSC-DSM Factors'!$A$14:$A$44,'Apr11-Mar12 FT-TS-Cashout-LG&amp;E'!S$5,'GSC-DSM Factors'!$I$14:$I$44)</f>
        <v>0.17199999999999999</v>
      </c>
    </row>
    <row r="35" spans="2:21" x14ac:dyDescent="0.2">
      <c r="B35" s="561" t="str">
        <f>VLOOKUP($C35,'Retail Rates'!$B$46:$Q$55,13,FALSE)</f>
        <v>FT Industrial</v>
      </c>
      <c r="C35" s="633" t="s">
        <v>99</v>
      </c>
      <c r="D35" s="633" t="str">
        <f t="shared" si="8"/>
        <v>896</v>
      </c>
      <c r="E35" s="561" t="str">
        <f>VLOOKUP($C35,'Retail Rates'!$B$46:$Q$55,3,FALSE)</f>
        <v>FT-I</v>
      </c>
      <c r="F35" s="996" t="s">
        <v>844</v>
      </c>
      <c r="G35" s="996"/>
      <c r="H35" s="995">
        <f>VLOOKUP($C35,'Retail Rates'!$B$45:$N$55,10,FALSE)</f>
        <v>0.18329999999999999</v>
      </c>
      <c r="I35" s="995">
        <f>VLOOKUP($C35,'Retail Rates'!$B$45:$N$55,10,FALSE)</f>
        <v>0.18329999999999999</v>
      </c>
      <c r="J35" s="995">
        <f>VLOOKUP($C35,'Retail Rates'!$B$45:$N$55,10,FALSE)</f>
        <v>0.18329999999999999</v>
      </c>
      <c r="K35" s="995">
        <f>VLOOKUP($C35,'Retail Rates'!$B$45:$N$55,10,FALSE)</f>
        <v>0.18329999999999999</v>
      </c>
      <c r="L35" s="995">
        <f>VLOOKUP($C35,'Retail Rates'!$B$45:$N$55,10,FALSE)</f>
        <v>0.18329999999999999</v>
      </c>
      <c r="M35" s="995">
        <f>VLOOKUP($C35,'Retail Rates'!$B$45:$N$55,10,FALSE)</f>
        <v>0.18329999999999999</v>
      </c>
      <c r="N35" s="995">
        <f>VLOOKUP($C35,'Retail Rates'!$B$45:$N$55,10,FALSE)</f>
        <v>0.18329999999999999</v>
      </c>
      <c r="O35" s="995">
        <f>VLOOKUP($C35,'Retail Rates'!$B$45:$N$55,10,FALSE)</f>
        <v>0.18329999999999999</v>
      </c>
      <c r="P35" s="995">
        <f>VLOOKUP($C35,'Retail Rates'!$B$45:$N$55,10,FALSE)</f>
        <v>0.18329999999999999</v>
      </c>
      <c r="Q35" s="995">
        <f>VLOOKUP($C35,'Retail Rates'!$B$45:$N$55,10,FALSE)</f>
        <v>0.18329999999999999</v>
      </c>
      <c r="R35" s="995">
        <f>VLOOKUP($C35,'Retail Rates'!$B$45:$N$55,10,FALSE)</f>
        <v>0.18329999999999999</v>
      </c>
      <c r="S35" s="995">
        <f>VLOOKUP($C35,'Retail Rates'!$B$45:$N$55,10,FALSE)</f>
        <v>0.18329999999999999</v>
      </c>
    </row>
    <row r="36" spans="2:21" x14ac:dyDescent="0.2">
      <c r="B36" s="561" t="str">
        <f>VLOOKUP($C36,'Retail Rates'!$B$46:$Q$55,13,FALSE)</f>
        <v>FT Industrial</v>
      </c>
      <c r="C36" s="633" t="s">
        <v>99</v>
      </c>
      <c r="D36" s="633" t="str">
        <f t="shared" si="8"/>
        <v>896</v>
      </c>
      <c r="E36" s="561" t="str">
        <f>VLOOKUP($C36,'Retail Rates'!$B$46:$Q$55,3,FALSE)</f>
        <v>FT-I</v>
      </c>
      <c r="F36" s="997"/>
      <c r="G36" s="997"/>
    </row>
    <row r="37" spans="2:21" x14ac:dyDescent="0.2">
      <c r="B37" s="561" t="str">
        <f>VLOOKUP($C37,'Retail Rates'!$B$46:$Q$55,13,FALSE)</f>
        <v>FT Industrial</v>
      </c>
      <c r="C37" s="633" t="s">
        <v>99</v>
      </c>
      <c r="D37" s="633" t="str">
        <f t="shared" si="8"/>
        <v>896</v>
      </c>
      <c r="E37" s="561" t="str">
        <f>VLOOKUP($C37,'Retail Rates'!$B$46:$Q$55,3,FALSE)</f>
        <v>FT-I</v>
      </c>
      <c r="F37" s="998" t="s">
        <v>412</v>
      </c>
      <c r="G37" s="998"/>
      <c r="J37" s="993"/>
    </row>
    <row r="38" spans="2:21" x14ac:dyDescent="0.2">
      <c r="B38" s="561" t="str">
        <f>VLOOKUP($C38,'Retail Rates'!$B$46:$Q$55,13,FALSE)</f>
        <v>FT Industrial</v>
      </c>
      <c r="C38" s="633" t="s">
        <v>99</v>
      </c>
      <c r="D38" s="633" t="str">
        <f t="shared" si="8"/>
        <v>896</v>
      </c>
      <c r="E38" s="561" t="str">
        <f>VLOOKUP($C38,'Retail Rates'!$B$46:$Q$55,3,FALSE)</f>
        <v>FT-I</v>
      </c>
      <c r="F38" s="991" t="s">
        <v>413</v>
      </c>
      <c r="G38" s="987" t="s">
        <v>821</v>
      </c>
      <c r="H38" s="999">
        <f>14030</f>
        <v>14030</v>
      </c>
      <c r="I38" s="999">
        <v>14030</v>
      </c>
      <c r="J38" s="999">
        <v>14030</v>
      </c>
      <c r="K38" s="999">
        <f>SUMIFS('Data FT-TS-Cashout-Paddys'!$H$5:$H$756,'Data FT-TS-Cashout-Paddys'!$F$5:$F$756,'Apr11-Mar12 FT-TS-Cashout-LG&amp;E'!$G38,'Data FT-TS-Cashout-Paddys'!$A$5:$A$756,'Apr11-Mar12 FT-TS-Cashout-LG&amp;E'!K$4,'Data FT-TS-Cashout-Paddys'!$C$5:$C$756,'Apr11-Mar12 FT-TS-Cashout-LG&amp;E'!$C38)</f>
        <v>14030</v>
      </c>
      <c r="L38" s="999">
        <f>SUMIFS('Data FT-TS-Cashout-Paddys'!$H$5:$H$756,'Data FT-TS-Cashout-Paddys'!$F$5:$F$756,'Apr11-Mar12 FT-TS-Cashout-LG&amp;E'!$G38,'Data FT-TS-Cashout-Paddys'!$A$5:$A$756,'Apr11-Mar12 FT-TS-Cashout-LG&amp;E'!L$4,'Data FT-TS-Cashout-Paddys'!$C$5:$C$756,'Apr11-Mar12 FT-TS-Cashout-LG&amp;E'!$C38)</f>
        <v>14030</v>
      </c>
      <c r="M38" s="999">
        <f>SUMIFS('Data FT-TS-Cashout-Paddys'!$H$5:$H$756,'Data FT-TS-Cashout-Paddys'!$F$5:$F$756,'Apr11-Mar12 FT-TS-Cashout-LG&amp;E'!$G38,'Data FT-TS-Cashout-Paddys'!$A$5:$A$756,'Apr11-Mar12 FT-TS-Cashout-LG&amp;E'!M$4,'Data FT-TS-Cashout-Paddys'!$C$5:$C$756,'Apr11-Mar12 FT-TS-Cashout-LG&amp;E'!$C38)</f>
        <v>14030</v>
      </c>
      <c r="N38" s="999">
        <f>SUMIFS('Data FT-TS-Cashout-Paddys'!$H$5:$H$756,'Data FT-TS-Cashout-Paddys'!$F$5:$F$756,'Apr11-Mar12 FT-TS-Cashout-LG&amp;E'!$G38,'Data FT-TS-Cashout-Paddys'!$A$5:$A$756,'Apr11-Mar12 FT-TS-Cashout-LG&amp;E'!N$4,'Data FT-TS-Cashout-Paddys'!$C$5:$C$756,'Apr11-Mar12 FT-TS-Cashout-LG&amp;E'!$C38)</f>
        <v>14030</v>
      </c>
      <c r="O38" s="999">
        <f>SUMIFS('Data FT-TS-Cashout-Paddys'!$H$5:$H$756,'Data FT-TS-Cashout-Paddys'!$F$5:$F$756,'Apr11-Mar12 FT-TS-Cashout-LG&amp;E'!$G38,'Data FT-TS-Cashout-Paddys'!$A$5:$A$756,'Apr11-Mar12 FT-TS-Cashout-LG&amp;E'!O$4,'Data FT-TS-Cashout-Paddys'!$C$5:$C$756,'Apr11-Mar12 FT-TS-Cashout-LG&amp;E'!$C38)</f>
        <v>14030</v>
      </c>
      <c r="P38" s="999">
        <f>SUMIFS('Data FT-TS-Cashout-Paddys'!$H$5:$H$756,'Data FT-TS-Cashout-Paddys'!$F$5:$F$756,'Apr11-Mar12 FT-TS-Cashout-LG&amp;E'!$G38,'Data FT-TS-Cashout-Paddys'!$A$5:$A$756,'Apr11-Mar12 FT-TS-Cashout-LG&amp;E'!P$4,'Data FT-TS-Cashout-Paddys'!$C$5:$C$756,'Apr11-Mar12 FT-TS-Cashout-LG&amp;E'!$C38)</f>
        <v>14030</v>
      </c>
      <c r="Q38" s="999">
        <f>SUMIFS('Data FT-TS-Cashout-Paddys'!$H$5:$H$756,'Data FT-TS-Cashout-Paddys'!$F$5:$F$756,'Apr11-Mar12 FT-TS-Cashout-LG&amp;E'!$G38,'Data FT-TS-Cashout-Paddys'!$A$5:$A$756,'Apr11-Mar12 FT-TS-Cashout-LG&amp;E'!Q$4,'Data FT-TS-Cashout-Paddys'!$C$5:$C$756,'Apr11-Mar12 FT-TS-Cashout-LG&amp;E'!$C38)</f>
        <v>14030</v>
      </c>
      <c r="R38" s="999">
        <f>SUMIFS('Data FT-TS-Cashout-Paddys'!$H$5:$H$756,'Data FT-TS-Cashout-Paddys'!$F$5:$F$756,'Apr11-Mar12 FT-TS-Cashout-LG&amp;E'!$G38,'Data FT-TS-Cashout-Paddys'!$A$5:$A$756,'Apr11-Mar12 FT-TS-Cashout-LG&amp;E'!R$4,'Data FT-TS-Cashout-Paddys'!$C$5:$C$756,'Apr11-Mar12 FT-TS-Cashout-LG&amp;E'!$C38)</f>
        <v>14030</v>
      </c>
      <c r="S38" s="999">
        <f>SUMIFS('Data FT-TS-Cashout-Paddys'!$H$5:$H$756,'Data FT-TS-Cashout-Paddys'!$F$5:$F$756,'Apr11-Mar12 FT-TS-Cashout-LG&amp;E'!$G38,'Data FT-TS-Cashout-Paddys'!$A$5:$A$756,'Apr11-Mar12 FT-TS-Cashout-LG&amp;E'!S$4,'Data FT-TS-Cashout-Paddys'!$C$5:$C$756,'Apr11-Mar12 FT-TS-Cashout-LG&amp;E'!$C38)</f>
        <v>14030</v>
      </c>
      <c r="T38" s="1001">
        <f>SUM(H38:S38)</f>
        <v>168360</v>
      </c>
      <c r="U38" s="999"/>
    </row>
    <row r="39" spans="2:21" x14ac:dyDescent="0.2">
      <c r="B39" s="561" t="str">
        <f>VLOOKUP($C39,'Retail Rates'!$B$46:$Q$55,13,FALSE)</f>
        <v>FT Industrial</v>
      </c>
      <c r="C39" s="633" t="s">
        <v>99</v>
      </c>
      <c r="D39" s="633" t="str">
        <f t="shared" si="8"/>
        <v>896</v>
      </c>
      <c r="E39" s="561" t="str">
        <f>VLOOKUP($C39,'Retail Rates'!$B$46:$Q$55,3,FALSE)</f>
        <v>FT-I</v>
      </c>
      <c r="F39" s="1003" t="s">
        <v>414</v>
      </c>
      <c r="G39" s="1003"/>
      <c r="H39" s="1001">
        <f>ROUND(H31*H33,2)</f>
        <v>494417.18</v>
      </c>
      <c r="I39" s="1001">
        <f t="shared" ref="I39:S39" si="10">ROUND(I31*I33,2)</f>
        <v>455662.83</v>
      </c>
      <c r="J39" s="1001">
        <f t="shared" si="10"/>
        <v>371838.97</v>
      </c>
      <c r="K39" s="1001">
        <f t="shared" si="10"/>
        <v>284868.51</v>
      </c>
      <c r="L39" s="1001">
        <f t="shared" si="10"/>
        <v>276803.94</v>
      </c>
      <c r="M39" s="1001">
        <f t="shared" si="10"/>
        <v>242959.55</v>
      </c>
      <c r="N39" s="1001">
        <f t="shared" si="10"/>
        <v>242621.61</v>
      </c>
      <c r="O39" s="1001">
        <f t="shared" si="10"/>
        <v>276042.03000000003</v>
      </c>
      <c r="P39" s="1001">
        <f t="shared" si="10"/>
        <v>276983.64</v>
      </c>
      <c r="Q39" s="1001">
        <f t="shared" si="10"/>
        <v>349513.5</v>
      </c>
      <c r="R39" s="1001">
        <f t="shared" si="10"/>
        <v>341083.83</v>
      </c>
      <c r="S39" s="1001">
        <f t="shared" si="10"/>
        <v>416058.67</v>
      </c>
      <c r="T39" s="1001">
        <f>SUM(H39:S39)</f>
        <v>4028854.2600000002</v>
      </c>
      <c r="U39" s="999"/>
    </row>
    <row r="40" spans="2:21" x14ac:dyDescent="0.2">
      <c r="B40" s="561" t="str">
        <f>VLOOKUP($C40,'Retail Rates'!$B$46:$Q$55,13,FALSE)</f>
        <v>FT Industrial</v>
      </c>
      <c r="C40" s="633" t="s">
        <v>99</v>
      </c>
      <c r="D40" s="633" t="str">
        <f t="shared" si="8"/>
        <v>896</v>
      </c>
      <c r="E40" s="561" t="str">
        <f>VLOOKUP($C40,'Retail Rates'!$B$46:$Q$55,3,FALSE)</f>
        <v>FT-I</v>
      </c>
      <c r="F40" s="991" t="s">
        <v>848</v>
      </c>
      <c r="G40" s="987" t="s">
        <v>830</v>
      </c>
      <c r="H40" s="1000">
        <f>SUMIFS('Data FT-TS-Cashout-Paddys'!$H$5:$H$756,'Data FT-TS-Cashout-Paddys'!$F$5:$F$756,'Apr11-Mar12 FT-TS-Cashout-LG&amp;E'!$G40,'Data FT-TS-Cashout-Paddys'!$A$5:$A$756,'Apr11-Mar12 FT-TS-Cashout-LG&amp;E'!H$4,'Data FT-TS-Cashout-Paddys'!$C$5:$C$756,'Apr11-Mar12 FT-TS-Cashout-LG&amp;E'!$C40)</f>
        <v>2596.4299999999998</v>
      </c>
      <c r="I40" s="1000">
        <v>3719.4500000000007</v>
      </c>
      <c r="J40" s="1000">
        <v>4550.5800000000017</v>
      </c>
      <c r="K40" s="1000">
        <f>SUMIFS('Data FT-TS-Cashout-Paddys'!$H$5:$H$756,'Data FT-TS-Cashout-Paddys'!$F$5:$F$756,'Apr11-Mar12 FT-TS-Cashout-LG&amp;E'!$G40,'Data FT-TS-Cashout-Paddys'!$A$5:$A$756,'Apr11-Mar12 FT-TS-Cashout-LG&amp;E'!K$4,'Data FT-TS-Cashout-Paddys'!$C$5:$C$756,'Apr11-Mar12 FT-TS-Cashout-LG&amp;E'!$C40)</f>
        <v>6166.31</v>
      </c>
      <c r="L40" s="1000">
        <f>SUMIFS('Data FT-TS-Cashout-Paddys'!$H$5:$H$756,'Data FT-TS-Cashout-Paddys'!$F$5:$F$756,'Apr11-Mar12 FT-TS-Cashout-LG&amp;E'!$G40,'Data FT-TS-Cashout-Paddys'!$A$5:$A$756,'Apr11-Mar12 FT-TS-Cashout-LG&amp;E'!L$4,'Data FT-TS-Cashout-Paddys'!$C$5:$C$756,'Apr11-Mar12 FT-TS-Cashout-LG&amp;E'!$C40)</f>
        <v>6536.15</v>
      </c>
      <c r="M40" s="1000">
        <f>SUMIFS('Data FT-TS-Cashout-Paddys'!$H$5:$H$756,'Data FT-TS-Cashout-Paddys'!$F$5:$F$756,'Apr11-Mar12 FT-TS-Cashout-LG&amp;E'!$G40,'Data FT-TS-Cashout-Paddys'!$A$5:$A$756,'Apr11-Mar12 FT-TS-Cashout-LG&amp;E'!M$4,'Data FT-TS-Cashout-Paddys'!$C$5:$C$756,'Apr11-Mar12 FT-TS-Cashout-LG&amp;E'!$C40)</f>
        <v>5361.68</v>
      </c>
      <c r="N40" s="1000">
        <f>SUMIFS('Data FT-TS-Cashout-Paddys'!$H$5:$H$756,'Data FT-TS-Cashout-Paddys'!$F$5:$F$756,'Apr11-Mar12 FT-TS-Cashout-LG&amp;E'!$G40,'Data FT-TS-Cashout-Paddys'!$A$5:$A$756,'Apr11-Mar12 FT-TS-Cashout-LG&amp;E'!N$4,'Data FT-TS-Cashout-Paddys'!$C$5:$C$756,'Apr11-Mar12 FT-TS-Cashout-LG&amp;E'!$C40)</f>
        <v>3426.89</v>
      </c>
      <c r="O40" s="1000">
        <f>SUMIFS('Data FT-TS-Cashout-Paddys'!$H$5:$H$756,'Data FT-TS-Cashout-Paddys'!$F$5:$F$756,'Apr11-Mar12 FT-TS-Cashout-LG&amp;E'!$G40,'Data FT-TS-Cashout-Paddys'!$A$5:$A$756,'Apr11-Mar12 FT-TS-Cashout-LG&amp;E'!O$4,'Data FT-TS-Cashout-Paddys'!$C$5:$C$756,'Apr11-Mar12 FT-TS-Cashout-LG&amp;E'!$C40)</f>
        <v>3434.16</v>
      </c>
      <c r="P40" s="1000">
        <f>SUMIFS('Data FT-TS-Cashout-Paddys'!$H$5:$H$756,'Data FT-TS-Cashout-Paddys'!$F$5:$F$756,'Apr11-Mar12 FT-TS-Cashout-LG&amp;E'!$G40,'Data FT-TS-Cashout-Paddys'!$A$5:$A$756,'Apr11-Mar12 FT-TS-Cashout-LG&amp;E'!P$4,'Data FT-TS-Cashout-Paddys'!$C$5:$C$756,'Apr11-Mar12 FT-TS-Cashout-LG&amp;E'!$C40)</f>
        <v>3803.61</v>
      </c>
      <c r="Q40" s="1000">
        <f>SUMIFS('Data FT-TS-Cashout-Paddys'!$H$5:$H$756,'Data FT-TS-Cashout-Paddys'!$F$5:$F$756,'Apr11-Mar12 FT-TS-Cashout-LG&amp;E'!$G40,'Data FT-TS-Cashout-Paddys'!$A$5:$A$756,'Apr11-Mar12 FT-TS-Cashout-LG&amp;E'!Q$4,'Data FT-TS-Cashout-Paddys'!$C$5:$C$756,'Apr11-Mar12 FT-TS-Cashout-LG&amp;E'!$C40)</f>
        <v>5755.69</v>
      </c>
      <c r="R40" s="1000">
        <f>SUMIFS('Data FT-TS-Cashout-Paddys'!$H$5:$H$756,'Data FT-TS-Cashout-Paddys'!$F$5:$F$756,'Apr11-Mar12 FT-TS-Cashout-LG&amp;E'!$G40,'Data FT-TS-Cashout-Paddys'!$A$5:$A$756,'Apr11-Mar12 FT-TS-Cashout-LG&amp;E'!R$4,'Data FT-TS-Cashout-Paddys'!$C$5:$C$756,'Apr11-Mar12 FT-TS-Cashout-LG&amp;E'!$C40)</f>
        <v>4049.81</v>
      </c>
      <c r="S40" s="1000">
        <f>SUMIFS('Data FT-TS-Cashout-Paddys'!$H$5:$H$756,'Data FT-TS-Cashout-Paddys'!$F$5:$F$756,'Apr11-Mar12 FT-TS-Cashout-LG&amp;E'!$G40,'Data FT-TS-Cashout-Paddys'!$A$5:$A$756,'Apr11-Mar12 FT-TS-Cashout-LG&amp;E'!S$4,'Data FT-TS-Cashout-Paddys'!$C$5:$C$756,'Apr11-Mar12 FT-TS-Cashout-LG&amp;E'!$C40)</f>
        <v>5525.13</v>
      </c>
      <c r="T40" s="1001">
        <f>SUM(H40:S40)</f>
        <v>54925.890000000007</v>
      </c>
    </row>
    <row r="41" spans="2:21" x14ac:dyDescent="0.2">
      <c r="B41" s="561" t="str">
        <f>VLOOKUP($C41,'Retail Rates'!$B$46:$Q$55,13,FALSE)</f>
        <v>FT Industrial</v>
      </c>
      <c r="C41" s="633" t="s">
        <v>99</v>
      </c>
      <c r="D41" s="633" t="str">
        <f t="shared" si="8"/>
        <v>896</v>
      </c>
      <c r="E41" s="561" t="str">
        <f>VLOOKUP($C41,'Retail Rates'!$B$46:$Q$55,3,FALSE)</f>
        <v>FT-I</v>
      </c>
      <c r="F41" s="991" t="s">
        <v>417</v>
      </c>
      <c r="G41" s="991"/>
      <c r="H41" s="999">
        <f>SUM(H38:H40)</f>
        <v>511043.61</v>
      </c>
      <c r="I41" s="999">
        <f t="shared" ref="I41:S41" si="11">SUM(I38:I40)</f>
        <v>473412.28</v>
      </c>
      <c r="J41" s="999">
        <f t="shared" si="11"/>
        <v>390419.55</v>
      </c>
      <c r="K41" s="999">
        <f t="shared" si="11"/>
        <v>305064.82</v>
      </c>
      <c r="L41" s="999">
        <f t="shared" si="11"/>
        <v>297370.09000000003</v>
      </c>
      <c r="M41" s="999">
        <f t="shared" si="11"/>
        <v>262351.23</v>
      </c>
      <c r="N41" s="999">
        <f t="shared" si="11"/>
        <v>260078.5</v>
      </c>
      <c r="O41" s="999">
        <f t="shared" si="11"/>
        <v>293506.19</v>
      </c>
      <c r="P41" s="999">
        <f t="shared" si="11"/>
        <v>294817.25</v>
      </c>
      <c r="Q41" s="999">
        <f t="shared" si="11"/>
        <v>369299.19</v>
      </c>
      <c r="R41" s="999">
        <f t="shared" si="11"/>
        <v>359163.64</v>
      </c>
      <c r="S41" s="999">
        <f t="shared" si="11"/>
        <v>435613.8</v>
      </c>
      <c r="T41" s="1045">
        <f>SUM(H41:S41)</f>
        <v>4252140.1500000004</v>
      </c>
    </row>
    <row r="42" spans="2:21" x14ac:dyDescent="0.2">
      <c r="B42" s="561" t="str">
        <f>VLOOKUP($C42,'Retail Rates'!$B$46:$Q$55,13,FALSE)</f>
        <v>FT Industrial</v>
      </c>
      <c r="C42" s="633" t="s">
        <v>99</v>
      </c>
      <c r="D42" s="633" t="str">
        <f t="shared" si="8"/>
        <v>896</v>
      </c>
      <c r="E42" s="561" t="str">
        <f>VLOOKUP($C42,'Retail Rates'!$B$46:$Q$55,3,FALSE)</f>
        <v>FT-I</v>
      </c>
    </row>
    <row r="43" spans="2:21" x14ac:dyDescent="0.2">
      <c r="B43" s="561" t="str">
        <f>VLOOKUP($C43,'Retail Rates'!$B$46:$Q$55,13,FALSE)</f>
        <v>FT Industrial</v>
      </c>
      <c r="C43" s="633" t="s">
        <v>99</v>
      </c>
      <c r="D43" s="633" t="str">
        <f t="shared" si="8"/>
        <v>896</v>
      </c>
      <c r="E43" s="561" t="str">
        <f>VLOOKUP($C43,'Retail Rates'!$B$46:$Q$55,3,FALSE)</f>
        <v>FT-I</v>
      </c>
      <c r="F43" s="991" t="s">
        <v>841</v>
      </c>
      <c r="H43" s="999">
        <f>SUMIFS('FT_Cashouts_IntraCo-PR'!$F$4:$F$130,'FT_Cashouts_IntraCo-PR'!$A$4:$A$130,'Apr11-Mar12 FT-TS-Cashout-LG&amp;E'!$C43,'FT_Cashouts_IntraCo-PR'!$D$4:$D$130,'Apr11-Mar12 FT-TS-Cashout-LG&amp;E'!H$5)</f>
        <v>511051.30000000016</v>
      </c>
      <c r="I43" s="999">
        <f>SUMIFS('FT_Cashouts_IntraCo-PR'!$F$4:$F$130,'FT_Cashouts_IntraCo-PR'!$A$4:$A$130,'Apr11-Mar12 FT-TS-Cashout-LG&amp;E'!$C43,'FT_Cashouts_IntraCo-PR'!$D$4:$D$130,'Apr11-Mar12 FT-TS-Cashout-LG&amp;E'!I$5)</f>
        <v>473412.31000000017</v>
      </c>
      <c r="J43" s="999">
        <f>SUMIFS('FT_Cashouts_IntraCo-PR'!$F$4:$F$130,'FT_Cashouts_IntraCo-PR'!$A$4:$A$130,'Apr11-Mar12 FT-TS-Cashout-LG&amp;E'!$C43,'FT_Cashouts_IntraCo-PR'!$D$4:$D$130,'Apr11-Mar12 FT-TS-Cashout-LG&amp;E'!J$5)</f>
        <v>0</v>
      </c>
      <c r="K43" s="999">
        <f>SUMIFS('FT_Cashouts_IntraCo-PR'!$F$4:$F$130,'FT_Cashouts_IntraCo-PR'!$A$4:$A$130,'Apr11-Mar12 FT-TS-Cashout-LG&amp;E'!$C43,'FT_Cashouts_IntraCo-PR'!$D$4:$D$130,'Apr11-Mar12 FT-TS-Cashout-LG&amp;E'!K$5)</f>
        <v>305064.82999999996</v>
      </c>
      <c r="L43" s="999">
        <f>SUMIFS('FT_Cashouts_IntraCo-PR'!$F$4:$F$130,'FT_Cashouts_IntraCo-PR'!$A$4:$A$130,'Apr11-Mar12 FT-TS-Cashout-LG&amp;E'!$C43,'FT_Cashouts_IntraCo-PR'!$D$4:$D$130,'Apr11-Mar12 FT-TS-Cashout-LG&amp;E'!L$5)</f>
        <v>297370.14</v>
      </c>
      <c r="M43" s="999">
        <f>SUMIFS('FT_Cashouts_IntraCo-PR'!$F$4:$F$130,'FT_Cashouts_IntraCo-PR'!$A$4:$A$130,'Apr11-Mar12 FT-TS-Cashout-LG&amp;E'!$C43,'FT_Cashouts_IntraCo-PR'!$D$4:$D$130,'Apr11-Mar12 FT-TS-Cashout-LG&amp;E'!M$5)</f>
        <v>262351.25999999989</v>
      </c>
      <c r="N43" s="999">
        <f>SUMIFS('FT_Cashouts_IntraCo-PR'!$F$4:$F$130,'FT_Cashouts_IntraCo-PR'!$A$4:$A$130,'Apr11-Mar12 FT-TS-Cashout-LG&amp;E'!$C43,'FT_Cashouts_IntraCo-PR'!$D$4:$D$130,'Apr11-Mar12 FT-TS-Cashout-LG&amp;E'!N$5)</f>
        <v>260078.53999999992</v>
      </c>
      <c r="O43" s="999">
        <f>SUMIFS('FT_Cashouts_IntraCo-PR'!$F$4:$F$130,'FT_Cashouts_IntraCo-PR'!$A$4:$A$130,'Apr11-Mar12 FT-TS-Cashout-LG&amp;E'!$C43,'FT_Cashouts_IntraCo-PR'!$D$4:$D$130,'Apr11-Mar12 FT-TS-Cashout-LG&amp;E'!O$5)</f>
        <v>293506.23</v>
      </c>
      <c r="P43" s="999">
        <f>SUMIFS('FT_Cashouts_IntraCo-PR'!$F$4:$F$130,'FT_Cashouts_IntraCo-PR'!$A$4:$A$130,'Apr11-Mar12 FT-TS-Cashout-LG&amp;E'!$C43,'FT_Cashouts_IntraCo-PR'!$D$4:$D$130,'Apr11-Mar12 FT-TS-Cashout-LG&amp;E'!P$5)</f>
        <v>294824.98</v>
      </c>
      <c r="Q43" s="999">
        <f>SUMIFS('FT_Cashouts_IntraCo-PR'!$F$4:$F$130,'FT_Cashouts_IntraCo-PR'!$A$4:$A$130,'Apr11-Mar12 FT-TS-Cashout-LG&amp;E'!$C43,'FT_Cashouts_IntraCo-PR'!$D$4:$D$130,'Apr11-Mar12 FT-TS-Cashout-LG&amp;E'!Q$5)</f>
        <v>369299.2300000001</v>
      </c>
      <c r="R43" s="999">
        <f>SUMIFS('FT_Cashouts_IntraCo-PR'!$F$4:$F$130,'FT_Cashouts_IntraCo-PR'!$A$4:$A$130,'Apr11-Mar12 FT-TS-Cashout-LG&amp;E'!$C43,'FT_Cashouts_IntraCo-PR'!$D$4:$D$130,'Apr11-Mar12 FT-TS-Cashout-LG&amp;E'!R$5)</f>
        <v>359163.68</v>
      </c>
      <c r="S43" s="999">
        <f>SUMIFS('FT_Cashouts_IntraCo-PR'!$F$4:$F$130,'FT_Cashouts_IntraCo-PR'!$A$4:$A$130,'Apr11-Mar12 FT-TS-Cashout-LG&amp;E'!$C43,'FT_Cashouts_IntraCo-PR'!$D$4:$D$130,'Apr11-Mar12 FT-TS-Cashout-LG&amp;E'!S$5)</f>
        <v>435613.83000000013</v>
      </c>
      <c r="T43" s="1001">
        <f>SUM(H43:S43)</f>
        <v>3861736.3300000005</v>
      </c>
    </row>
    <row r="44" spans="2:21" x14ac:dyDescent="0.2">
      <c r="B44" s="561" t="str">
        <f>VLOOKUP($C44,'Retail Rates'!$B$46:$Q$55,13,FALSE)</f>
        <v>FT Industrial</v>
      </c>
      <c r="C44" s="633" t="s">
        <v>99</v>
      </c>
      <c r="D44" s="633" t="str">
        <f t="shared" si="8"/>
        <v>896</v>
      </c>
      <c r="E44" s="561" t="str">
        <f>VLOOKUP($C44,'Retail Rates'!$B$46:$Q$55,3,FALSE)</f>
        <v>FT-I</v>
      </c>
    </row>
    <row r="45" spans="2:21" x14ac:dyDescent="0.2">
      <c r="B45" s="561" t="str">
        <f>VLOOKUP($C45,'Retail Rates'!$B$46:$Q$55,13,FALSE)</f>
        <v>FT Industrial</v>
      </c>
      <c r="C45" s="633" t="s">
        <v>99</v>
      </c>
      <c r="D45" s="633" t="str">
        <f t="shared" si="8"/>
        <v>896</v>
      </c>
      <c r="E45" s="561" t="str">
        <f>VLOOKUP($C45,'Retail Rates'!$B$46:$Q$55,3,FALSE)</f>
        <v>FT-I</v>
      </c>
      <c r="F45" s="991" t="s">
        <v>386</v>
      </c>
      <c r="G45" s="991"/>
      <c r="H45" s="999">
        <f>+H41-H43</f>
        <v>-7.6900000001769513</v>
      </c>
      <c r="I45" s="999">
        <f t="shared" ref="I45:S45" si="12">+I41-I43</f>
        <v>-3.0000000144354999E-2</v>
      </c>
      <c r="J45" s="999">
        <f t="shared" si="12"/>
        <v>390419.55</v>
      </c>
      <c r="K45" s="999">
        <f t="shared" si="12"/>
        <v>-9.9999999511055648E-3</v>
      </c>
      <c r="L45" s="999">
        <f t="shared" si="12"/>
        <v>-4.9999999988358468E-2</v>
      </c>
      <c r="M45" s="999">
        <f t="shared" si="12"/>
        <v>-2.9999999911524355E-2</v>
      </c>
      <c r="N45" s="999">
        <f t="shared" si="12"/>
        <v>-3.9999999920837581E-2</v>
      </c>
      <c r="O45" s="999">
        <f t="shared" si="12"/>
        <v>-3.9999999979045242E-2</v>
      </c>
      <c r="P45" s="999">
        <f t="shared" si="12"/>
        <v>-7.7299999999813735</v>
      </c>
      <c r="Q45" s="999">
        <f t="shared" si="12"/>
        <v>-4.0000000095460564E-2</v>
      </c>
      <c r="R45" s="999">
        <f t="shared" si="12"/>
        <v>-3.9999999979045242E-2</v>
      </c>
      <c r="S45" s="999">
        <f t="shared" si="12"/>
        <v>-3.0000000144354999E-2</v>
      </c>
      <c r="T45" s="1001">
        <f>SUM(H45:S45)</f>
        <v>390403.81999999972</v>
      </c>
    </row>
    <row r="46" spans="2:21" x14ac:dyDescent="0.2">
      <c r="C46" s="633"/>
      <c r="D46" s="633"/>
    </row>
    <row r="47" spans="2:21" x14ac:dyDescent="0.2">
      <c r="C47" s="633"/>
      <c r="D47" s="633"/>
      <c r="F47" s="324" t="s">
        <v>847</v>
      </c>
    </row>
    <row r="48" spans="2:21" x14ac:dyDescent="0.2">
      <c r="B48" s="561" t="str">
        <f>VLOOKUP($C48,'Retail Rates'!$B$46:$Q$55,13,FALSE)</f>
        <v>PS-FT Industrial</v>
      </c>
      <c r="C48" s="633" t="s">
        <v>102</v>
      </c>
      <c r="D48" s="633" t="str">
        <f>MID(C48,6,3)</f>
        <v>896</v>
      </c>
      <c r="E48" s="561" t="str">
        <f>VLOOKUP($C48,'Retail Rates'!$B$46:$Q$55,3,FALSE)</f>
        <v>FT-I-PM</v>
      </c>
      <c r="F48" s="991" t="s">
        <v>407</v>
      </c>
      <c r="H48" s="990">
        <f t="shared" ref="H48:S48" si="13">+H52/H49</f>
        <v>69</v>
      </c>
      <c r="I48" s="990">
        <f t="shared" si="13"/>
        <v>69</v>
      </c>
      <c r="J48" s="990">
        <f t="shared" si="13"/>
        <v>69</v>
      </c>
      <c r="K48" s="990">
        <f t="shared" si="13"/>
        <v>69</v>
      </c>
      <c r="L48" s="990">
        <f t="shared" si="13"/>
        <v>69</v>
      </c>
      <c r="M48" s="990">
        <f t="shared" si="13"/>
        <v>69</v>
      </c>
      <c r="N48" s="990">
        <f t="shared" si="13"/>
        <v>69</v>
      </c>
      <c r="O48" s="990">
        <f t="shared" si="13"/>
        <v>69</v>
      </c>
      <c r="P48" s="990">
        <f t="shared" si="13"/>
        <v>69</v>
      </c>
      <c r="Q48" s="990">
        <f t="shared" si="13"/>
        <v>69</v>
      </c>
      <c r="R48" s="990">
        <f t="shared" si="13"/>
        <v>69</v>
      </c>
      <c r="S48" s="990">
        <f t="shared" si="13"/>
        <v>68</v>
      </c>
      <c r="T48" s="1043">
        <f>SUM(H48:S48)</f>
        <v>827</v>
      </c>
    </row>
    <row r="49" spans="2:22" x14ac:dyDescent="0.2">
      <c r="B49" s="561" t="str">
        <f>VLOOKUP($C49,'Retail Rates'!$B$46:$Q$55,13,FALSE)</f>
        <v>PS-FT Industrial</v>
      </c>
      <c r="C49" s="633" t="s">
        <v>102</v>
      </c>
      <c r="D49" s="633" t="str">
        <f>MID(C49,6,3)</f>
        <v>896</v>
      </c>
      <c r="E49" s="561" t="str">
        <f>VLOOKUP($C49,'Retail Rates'!$B$46:$Q$55,3,FALSE)</f>
        <v>FT-I-PM</v>
      </c>
      <c r="F49" s="991" t="s">
        <v>409</v>
      </c>
      <c r="H49" s="994">
        <f>VLOOKUP($C49,'Retail Rates'!$B$45:$N$55,5,FALSE)</f>
        <v>75</v>
      </c>
      <c r="I49" s="994">
        <f>VLOOKUP($C49,'Retail Rates'!$B$45:$N$55,5,FALSE)</f>
        <v>75</v>
      </c>
      <c r="J49" s="994">
        <f>VLOOKUP($C49,'Retail Rates'!$B$45:$N$55,5,FALSE)</f>
        <v>75</v>
      </c>
      <c r="K49" s="994">
        <f>VLOOKUP($C49,'Retail Rates'!$B$45:$N$55,5,FALSE)</f>
        <v>75</v>
      </c>
      <c r="L49" s="994">
        <f>VLOOKUP($C49,'Retail Rates'!$B$45:$N$55,5,FALSE)</f>
        <v>75</v>
      </c>
      <c r="M49" s="994">
        <f>VLOOKUP($C49,'Retail Rates'!$B$45:$N$55,5,FALSE)</f>
        <v>75</v>
      </c>
      <c r="N49" s="994">
        <f>VLOOKUP($C49,'Retail Rates'!$B$45:$N$55,5,FALSE)</f>
        <v>75</v>
      </c>
      <c r="O49" s="994">
        <f>VLOOKUP($C49,'Retail Rates'!$B$45:$N$55,5,FALSE)</f>
        <v>75</v>
      </c>
      <c r="P49" s="994">
        <f>VLOOKUP($C49,'Retail Rates'!$B$45:$N$55,5,FALSE)</f>
        <v>75</v>
      </c>
      <c r="Q49" s="994">
        <f>VLOOKUP($C49,'Retail Rates'!$B$45:$N$55,5,FALSE)</f>
        <v>75</v>
      </c>
      <c r="R49" s="994">
        <f>VLOOKUP($C49,'Retail Rates'!$B$45:$N$55,5,FALSE)</f>
        <v>75</v>
      </c>
      <c r="S49" s="994">
        <f>VLOOKUP($C49,'Retail Rates'!$B$45:$N$55,5,FALSE)</f>
        <v>75</v>
      </c>
    </row>
    <row r="50" spans="2:22" x14ac:dyDescent="0.2">
      <c r="B50" s="561" t="str">
        <f>VLOOKUP($C50,'Retail Rates'!$B$46:$Q$55,13,FALSE)</f>
        <v>PS-FT Industrial</v>
      </c>
      <c r="C50" s="633" t="s">
        <v>102</v>
      </c>
      <c r="D50" s="633" t="str">
        <f t="shared" ref="D50:D59" si="14">MID(C50,6,3)</f>
        <v>896</v>
      </c>
      <c r="E50" s="561" t="str">
        <f>VLOOKUP($C50,'Retail Rates'!$B$46:$Q$55,3,FALSE)</f>
        <v>FT-I-PM</v>
      </c>
    </row>
    <row r="51" spans="2:22" x14ac:dyDescent="0.2">
      <c r="B51" s="561" t="str">
        <f>VLOOKUP($C51,'Retail Rates'!$B$46:$Q$55,13,FALSE)</f>
        <v>PS-FT Industrial</v>
      </c>
      <c r="C51" s="633" t="s">
        <v>102</v>
      </c>
      <c r="D51" s="633" t="str">
        <f t="shared" si="14"/>
        <v>896</v>
      </c>
      <c r="E51" s="561" t="str">
        <f>VLOOKUP($C51,'Retail Rates'!$B$46:$Q$55,3,FALSE)</f>
        <v>FT-I-PM</v>
      </c>
      <c r="F51" s="998" t="s">
        <v>412</v>
      </c>
    </row>
    <row r="52" spans="2:22" x14ac:dyDescent="0.2">
      <c r="B52" s="561" t="str">
        <f>VLOOKUP($C52,'Retail Rates'!$B$46:$Q$55,13,FALSE)</f>
        <v>PS-FT Industrial</v>
      </c>
      <c r="C52" s="633" t="s">
        <v>102</v>
      </c>
      <c r="D52" s="633" t="str">
        <f t="shared" si="14"/>
        <v>896</v>
      </c>
      <c r="E52" s="561" t="str">
        <f>VLOOKUP($C52,'Retail Rates'!$B$46:$Q$55,3,FALSE)</f>
        <v>FT-I-PM</v>
      </c>
      <c r="F52" s="991" t="s">
        <v>413</v>
      </c>
      <c r="G52" s="987" t="s">
        <v>821</v>
      </c>
      <c r="H52" s="999">
        <f>SUMIFS('Data FT-TS-Cashout-Paddys'!$H$5:$H$756,'Data FT-TS-Cashout-Paddys'!$F$5:$F$756,'Apr11-Mar12 FT-TS-Cashout-LG&amp;E'!$G52,'Data FT-TS-Cashout-Paddys'!$A$5:$A$756,'Apr11-Mar12 FT-TS-Cashout-LG&amp;E'!H$4,'Data FT-TS-Cashout-Paddys'!$C$5:$C$756,'Apr11-Mar12 FT-TS-Cashout-LG&amp;E'!$C50)</f>
        <v>5175</v>
      </c>
      <c r="I52" s="999">
        <v>5175</v>
      </c>
      <c r="J52" s="999">
        <v>5175</v>
      </c>
      <c r="K52" s="999">
        <f>SUMIFS('Data FT-TS-Cashout-Paddys'!$H$5:$H$756,'Data FT-TS-Cashout-Paddys'!$F$5:$F$756,'Apr11-Mar12 FT-TS-Cashout-LG&amp;E'!$G52,'Data FT-TS-Cashout-Paddys'!$A$5:$A$756,'Apr11-Mar12 FT-TS-Cashout-LG&amp;E'!K$4,'Data FT-TS-Cashout-Paddys'!$C$5:$C$756,'Apr11-Mar12 FT-TS-Cashout-LG&amp;E'!$C50)</f>
        <v>5175</v>
      </c>
      <c r="L52" s="999">
        <f>SUMIFS('Data FT-TS-Cashout-Paddys'!$H$5:$H$756,'Data FT-TS-Cashout-Paddys'!$F$5:$F$756,'Apr11-Mar12 FT-TS-Cashout-LG&amp;E'!$G52,'Data FT-TS-Cashout-Paddys'!$A$5:$A$756,'Apr11-Mar12 FT-TS-Cashout-LG&amp;E'!L$4,'Data FT-TS-Cashout-Paddys'!$C$5:$C$756,'Apr11-Mar12 FT-TS-Cashout-LG&amp;E'!$C50)</f>
        <v>5175</v>
      </c>
      <c r="M52" s="999">
        <f>SUMIFS('Data FT-TS-Cashout-Paddys'!$H$5:$H$756,'Data FT-TS-Cashout-Paddys'!$F$5:$F$756,'Apr11-Mar12 FT-TS-Cashout-LG&amp;E'!$G52,'Data FT-TS-Cashout-Paddys'!$A$5:$A$756,'Apr11-Mar12 FT-TS-Cashout-LG&amp;E'!M$4,'Data FT-TS-Cashout-Paddys'!$C$5:$C$756,'Apr11-Mar12 FT-TS-Cashout-LG&amp;E'!$C50)</f>
        <v>5175</v>
      </c>
      <c r="N52" s="999">
        <f>SUMIFS('Data FT-TS-Cashout-Paddys'!$H$5:$H$756,'Data FT-TS-Cashout-Paddys'!$F$5:$F$756,'Apr11-Mar12 FT-TS-Cashout-LG&amp;E'!$G52,'Data FT-TS-Cashout-Paddys'!$A$5:$A$756,'Apr11-Mar12 FT-TS-Cashout-LG&amp;E'!N$4,'Data FT-TS-Cashout-Paddys'!$C$5:$C$756,'Apr11-Mar12 FT-TS-Cashout-LG&amp;E'!$C50)</f>
        <v>5175</v>
      </c>
      <c r="O52" s="999">
        <f>SUMIFS('Data FT-TS-Cashout-Paddys'!$H$5:$H$756,'Data FT-TS-Cashout-Paddys'!$F$5:$F$756,'Apr11-Mar12 FT-TS-Cashout-LG&amp;E'!$G52,'Data FT-TS-Cashout-Paddys'!$A$5:$A$756,'Apr11-Mar12 FT-TS-Cashout-LG&amp;E'!O$4,'Data FT-TS-Cashout-Paddys'!$C$5:$C$756,'Apr11-Mar12 FT-TS-Cashout-LG&amp;E'!$C50)</f>
        <v>5175</v>
      </c>
      <c r="P52" s="999">
        <f>SUMIFS('Data FT-TS-Cashout-Paddys'!$H$5:$H$756,'Data FT-TS-Cashout-Paddys'!$F$5:$F$756,'Apr11-Mar12 FT-TS-Cashout-LG&amp;E'!$G52,'Data FT-TS-Cashout-Paddys'!$A$5:$A$756,'Apr11-Mar12 FT-TS-Cashout-LG&amp;E'!P$4,'Data FT-TS-Cashout-Paddys'!$C$5:$C$756,'Apr11-Mar12 FT-TS-Cashout-LG&amp;E'!$C50)</f>
        <v>5175</v>
      </c>
      <c r="Q52" s="999">
        <f>SUMIFS('Data FT-TS-Cashout-Paddys'!$H$5:$H$756,'Data FT-TS-Cashout-Paddys'!$F$5:$F$756,'Apr11-Mar12 FT-TS-Cashout-LG&amp;E'!$G52,'Data FT-TS-Cashout-Paddys'!$A$5:$A$756,'Apr11-Mar12 FT-TS-Cashout-LG&amp;E'!Q$4,'Data FT-TS-Cashout-Paddys'!$C$5:$C$756,'Apr11-Mar12 FT-TS-Cashout-LG&amp;E'!$C50)</f>
        <v>5175</v>
      </c>
      <c r="R52" s="999">
        <f>SUMIFS('Data FT-TS-Cashout-Paddys'!$H$5:$H$756,'Data FT-TS-Cashout-Paddys'!$F$5:$F$756,'Apr11-Mar12 FT-TS-Cashout-LG&amp;E'!$G52,'Data FT-TS-Cashout-Paddys'!$A$5:$A$756,'Apr11-Mar12 FT-TS-Cashout-LG&amp;E'!R$4,'Data FT-TS-Cashout-Paddys'!$C$5:$C$756,'Apr11-Mar12 FT-TS-Cashout-LG&amp;E'!$C50)</f>
        <v>5175</v>
      </c>
      <c r="S52" s="999">
        <f>SUMIFS('Data FT-TS-Cashout-Paddys'!$H$5:$H$756,'Data FT-TS-Cashout-Paddys'!$F$5:$F$756,'Apr11-Mar12 FT-TS-Cashout-LG&amp;E'!$G52,'Data FT-TS-Cashout-Paddys'!$A$5:$A$756,'Apr11-Mar12 FT-TS-Cashout-LG&amp;E'!S$4,'Data FT-TS-Cashout-Paddys'!$C$5:$C$756,'Apr11-Mar12 FT-TS-Cashout-LG&amp;E'!$C50)</f>
        <v>5100</v>
      </c>
      <c r="T52" s="1001">
        <f>SUM(H52:S52)</f>
        <v>62025</v>
      </c>
      <c r="U52" s="999"/>
    </row>
    <row r="53" spans="2:22" x14ac:dyDescent="0.2">
      <c r="B53" s="561" t="str">
        <f>VLOOKUP($C53,'Retail Rates'!$B$46:$Q$55,13,FALSE)</f>
        <v>PS-FT Industrial</v>
      </c>
      <c r="C53" s="633" t="s">
        <v>102</v>
      </c>
      <c r="D53" s="633" t="str">
        <f t="shared" si="14"/>
        <v>896</v>
      </c>
      <c r="E53" s="561" t="str">
        <f>VLOOKUP($C53,'Retail Rates'!$B$46:$Q$55,3,FALSE)</f>
        <v>FT-I-PM</v>
      </c>
      <c r="F53" s="991" t="s">
        <v>848</v>
      </c>
      <c r="G53" s="987" t="s">
        <v>830</v>
      </c>
      <c r="H53" s="1000">
        <f>SUMIFS('Data FT-TS-Cashout-Paddys'!$H$5:$H$756,'Data FT-TS-Cashout-Paddys'!$F$5:$F$756,'Apr11-Mar12 FT-TS-Cashout-LG&amp;E'!$G53,'Data FT-TS-Cashout-Paddys'!$A$5:$A$756,'Apr11-Mar12 FT-TS-Cashout-LG&amp;E'!H$4,'Data FT-TS-Cashout-Paddys'!$C$5:$C$756,'Apr11-Mar12 FT-TS-Cashout-LG&amp;E'!$C53)</f>
        <v>39891.879999999997</v>
      </c>
      <c r="I53" s="1000">
        <f>5787.77+6160.85</f>
        <v>11948.62</v>
      </c>
      <c r="J53" s="1000">
        <v>20159.439999999999</v>
      </c>
      <c r="K53" s="1000">
        <f>SUMIFS('Data FT-TS-Cashout-Paddys'!$H$5:$H$756,'Data FT-TS-Cashout-Paddys'!$F$5:$F$756,'Apr11-Mar12 FT-TS-Cashout-LG&amp;E'!$G53,'Data FT-TS-Cashout-Paddys'!$A$5:$A$756,'Apr11-Mar12 FT-TS-Cashout-LG&amp;E'!K$4,'Data FT-TS-Cashout-Paddys'!$C$5:$C$756,'Apr11-Mar12 FT-TS-Cashout-LG&amp;E'!$C53)</f>
        <v>22658.720000000001</v>
      </c>
      <c r="L53" s="1000">
        <f>SUMIFS('Data FT-TS-Cashout-Paddys'!$H$5:$H$756,'Data FT-TS-Cashout-Paddys'!$F$5:$F$756,'Apr11-Mar12 FT-TS-Cashout-LG&amp;E'!$G53,'Data FT-TS-Cashout-Paddys'!$A$5:$A$756,'Apr11-Mar12 FT-TS-Cashout-LG&amp;E'!L$4,'Data FT-TS-Cashout-Paddys'!$C$5:$C$756,'Apr11-Mar12 FT-TS-Cashout-LG&amp;E'!$C53)</f>
        <v>22803.4</v>
      </c>
      <c r="M53" s="1000">
        <f>SUMIFS('Data FT-TS-Cashout-Paddys'!$H$5:$H$756,'Data FT-TS-Cashout-Paddys'!$F$5:$F$756,'Apr11-Mar12 FT-TS-Cashout-LG&amp;E'!$G53,'Data FT-TS-Cashout-Paddys'!$A$5:$A$756,'Apr11-Mar12 FT-TS-Cashout-LG&amp;E'!M$4,'Data FT-TS-Cashout-Paddys'!$C$5:$C$756,'Apr11-Mar12 FT-TS-Cashout-LG&amp;E'!$C53)</f>
        <v>11378.88</v>
      </c>
      <c r="N53" s="1000">
        <f>SUMIFS('Data FT-TS-Cashout-Paddys'!$H$5:$H$756,'Data FT-TS-Cashout-Paddys'!$F$5:$F$756,'Apr11-Mar12 FT-TS-Cashout-LG&amp;E'!$G53,'Data FT-TS-Cashout-Paddys'!$A$5:$A$756,'Apr11-Mar12 FT-TS-Cashout-LG&amp;E'!N$4,'Data FT-TS-Cashout-Paddys'!$C$5:$C$756,'Apr11-Mar12 FT-TS-Cashout-LG&amp;E'!$C53)</f>
        <v>20065.57</v>
      </c>
      <c r="O53" s="1000">
        <f>SUMIFS('Data FT-TS-Cashout-Paddys'!$H$5:$H$756,'Data FT-TS-Cashout-Paddys'!$F$5:$F$756,'Apr11-Mar12 FT-TS-Cashout-LG&amp;E'!$G53,'Data FT-TS-Cashout-Paddys'!$A$5:$A$756,'Apr11-Mar12 FT-TS-Cashout-LG&amp;E'!O$4,'Data FT-TS-Cashout-Paddys'!$C$5:$C$756,'Apr11-Mar12 FT-TS-Cashout-LG&amp;E'!$C53)</f>
        <v>14393.17</v>
      </c>
      <c r="P53" s="1000">
        <f>SUMIFS('Data FT-TS-Cashout-Paddys'!$H$5:$H$756,'Data FT-TS-Cashout-Paddys'!$F$5:$F$756,'Apr11-Mar12 FT-TS-Cashout-LG&amp;E'!$G53,'Data FT-TS-Cashout-Paddys'!$A$5:$A$756,'Apr11-Mar12 FT-TS-Cashout-LG&amp;E'!P$4,'Data FT-TS-Cashout-Paddys'!$C$5:$C$756,'Apr11-Mar12 FT-TS-Cashout-LG&amp;E'!$C53)</f>
        <v>21988.84</v>
      </c>
      <c r="Q53" s="1000">
        <f>SUMIFS('Data FT-TS-Cashout-Paddys'!$H$5:$H$756,'Data FT-TS-Cashout-Paddys'!$F$5:$F$756,'Apr11-Mar12 FT-TS-Cashout-LG&amp;E'!$G53,'Data FT-TS-Cashout-Paddys'!$A$5:$A$756,'Apr11-Mar12 FT-TS-Cashout-LG&amp;E'!Q$4,'Data FT-TS-Cashout-Paddys'!$C$5:$C$756,'Apr11-Mar12 FT-TS-Cashout-LG&amp;E'!$C53)</f>
        <v>34655.480000000003</v>
      </c>
      <c r="R53" s="1000">
        <f>SUMIFS('Data FT-TS-Cashout-Paddys'!$H$5:$H$756,'Data FT-TS-Cashout-Paddys'!$F$5:$F$756,'Apr11-Mar12 FT-TS-Cashout-LG&amp;E'!$G53,'Data FT-TS-Cashout-Paddys'!$A$5:$A$756,'Apr11-Mar12 FT-TS-Cashout-LG&amp;E'!R$4,'Data FT-TS-Cashout-Paddys'!$C$5:$C$756,'Apr11-Mar12 FT-TS-Cashout-LG&amp;E'!$C53)</f>
        <v>26486.52</v>
      </c>
      <c r="S53" s="1000">
        <f>SUMIFS('Data FT-TS-Cashout-Paddys'!$H$5:$H$756,'Data FT-TS-Cashout-Paddys'!$F$5:$F$756,'Apr11-Mar12 FT-TS-Cashout-LG&amp;E'!$G53,'Data FT-TS-Cashout-Paddys'!$A$5:$A$756,'Apr11-Mar12 FT-TS-Cashout-LG&amp;E'!S$4,'Data FT-TS-Cashout-Paddys'!$C$5:$C$756,'Apr11-Mar12 FT-TS-Cashout-LG&amp;E'!$C53)</f>
        <v>32386.240000000002</v>
      </c>
      <c r="T53" s="1045">
        <f>SUM(H53:S53)</f>
        <v>278816.76</v>
      </c>
    </row>
    <row r="54" spans="2:22" x14ac:dyDescent="0.2">
      <c r="B54" s="561" t="str">
        <f>VLOOKUP($C54,'Retail Rates'!$B$46:$Q$55,13,FALSE)</f>
        <v>PS-FT Industrial</v>
      </c>
      <c r="C54" s="633" t="s">
        <v>102</v>
      </c>
      <c r="D54" s="633" t="str">
        <f t="shared" si="14"/>
        <v>896</v>
      </c>
      <c r="E54" s="561" t="str">
        <f>VLOOKUP($C54,'Retail Rates'!$B$46:$Q$55,3,FALSE)</f>
        <v>FT-I-PM</v>
      </c>
      <c r="F54" s="991" t="s">
        <v>417</v>
      </c>
      <c r="H54" s="999">
        <f>SUM(H52:H53)</f>
        <v>45066.879999999997</v>
      </c>
      <c r="I54" s="999">
        <f t="shared" ref="I54:S54" si="15">SUM(I52:I53)</f>
        <v>17123.620000000003</v>
      </c>
      <c r="J54" s="999">
        <f t="shared" si="15"/>
        <v>25334.44</v>
      </c>
      <c r="K54" s="999">
        <f t="shared" si="15"/>
        <v>27833.72</v>
      </c>
      <c r="L54" s="999">
        <f t="shared" si="15"/>
        <v>27978.400000000001</v>
      </c>
      <c r="M54" s="999">
        <f t="shared" si="15"/>
        <v>16553.879999999997</v>
      </c>
      <c r="N54" s="999">
        <f t="shared" si="15"/>
        <v>25240.57</v>
      </c>
      <c r="O54" s="999">
        <f t="shared" si="15"/>
        <v>19568.169999999998</v>
      </c>
      <c r="P54" s="999">
        <f t="shared" si="15"/>
        <v>27163.84</v>
      </c>
      <c r="Q54" s="999">
        <f t="shared" si="15"/>
        <v>39830.480000000003</v>
      </c>
      <c r="R54" s="999">
        <f t="shared" si="15"/>
        <v>31661.52</v>
      </c>
      <c r="S54" s="999">
        <f t="shared" si="15"/>
        <v>37486.240000000005</v>
      </c>
      <c r="T54" s="1001">
        <f>SUM(H54:S54)</f>
        <v>340841.76</v>
      </c>
    </row>
    <row r="55" spans="2:22" x14ac:dyDescent="0.2">
      <c r="B55" s="561" t="str">
        <f>VLOOKUP($C55,'Retail Rates'!$B$46:$Q$55,13,FALSE)</f>
        <v>PS-FT Industrial</v>
      </c>
      <c r="C55" s="633" t="s">
        <v>102</v>
      </c>
      <c r="D55" s="633" t="str">
        <f t="shared" si="14"/>
        <v>896</v>
      </c>
      <c r="E55" s="561" t="str">
        <f>VLOOKUP($C55,'Retail Rates'!$B$46:$Q$55,3,FALSE)</f>
        <v>FT-I-PM</v>
      </c>
      <c r="F55" s="991"/>
      <c r="H55" s="999"/>
      <c r="I55" s="999"/>
      <c r="J55" s="999"/>
      <c r="K55" s="999"/>
      <c r="L55" s="999"/>
      <c r="M55" s="999"/>
      <c r="N55" s="999"/>
      <c r="O55" s="999"/>
      <c r="P55" s="999"/>
      <c r="Q55" s="999"/>
      <c r="R55" s="999"/>
      <c r="S55" s="999"/>
      <c r="T55" s="1001"/>
    </row>
    <row r="56" spans="2:22" x14ac:dyDescent="0.2">
      <c r="B56" s="561" t="str">
        <f>VLOOKUP($C56,'Retail Rates'!$B$46:$Q$55,13,FALSE)</f>
        <v>PS-FT Industrial</v>
      </c>
      <c r="C56" s="633" t="s">
        <v>102</v>
      </c>
      <c r="D56" s="633" t="str">
        <f t="shared" si="14"/>
        <v>896</v>
      </c>
      <c r="E56" s="561" t="str">
        <f>VLOOKUP($C56,'Retail Rates'!$B$46:$Q$55,3,FALSE)</f>
        <v>FT-I-PM</v>
      </c>
      <c r="F56" s="991" t="s">
        <v>841</v>
      </c>
      <c r="H56" s="999">
        <f>SUMIFS('FT_Cashouts_IntraCo-PR'!$F$4:$F$130,'FT_Cashouts_IntraCo-PR'!$A$4:$A$130,'Apr11-Mar12 FT-TS-Cashout-LG&amp;E'!$C56,'FT_Cashouts_IntraCo-PR'!$D$4:$D$130,'Apr11-Mar12 FT-TS-Cashout-LG&amp;E'!H$5)</f>
        <v>45066.879999999997</v>
      </c>
      <c r="I56" s="999">
        <f>SUMIFS('FT_Cashouts_IntraCo-PR'!$F$4:$F$130,'FT_Cashouts_IntraCo-PR'!$A$4:$A$130,'Apr11-Mar12 FT-TS-Cashout-LG&amp;E'!$C56,'FT_Cashouts_IntraCo-PR'!$D$4:$D$130,'Apr11-Mar12 FT-TS-Cashout-LG&amp;E'!I$5)</f>
        <v>17246.77</v>
      </c>
      <c r="J56" s="999">
        <f>SUMIFS('FT_Cashouts_IntraCo-PR'!$F$4:$F$130,'FT_Cashouts_IntraCo-PR'!$A$4:$A$130,'Apr11-Mar12 FT-TS-Cashout-LG&amp;E'!$C56,'FT_Cashouts_IntraCo-PR'!$D$4:$D$130,'Apr11-Mar12 FT-TS-Cashout-LG&amp;E'!J$5)</f>
        <v>0</v>
      </c>
      <c r="K56" s="999">
        <f>SUMIFS('FT_Cashouts_IntraCo-PR'!$F$4:$F$130,'FT_Cashouts_IntraCo-PR'!$A$4:$A$130,'Apr11-Mar12 FT-TS-Cashout-LG&amp;E'!$C56,'FT_Cashouts_IntraCo-PR'!$D$4:$D$130,'Apr11-Mar12 FT-TS-Cashout-LG&amp;E'!K$5)</f>
        <v>27833.719999999998</v>
      </c>
      <c r="L56" s="999">
        <f>SUMIFS('FT_Cashouts_IntraCo-PR'!$F$4:$F$130,'FT_Cashouts_IntraCo-PR'!$A$4:$A$130,'Apr11-Mar12 FT-TS-Cashout-LG&amp;E'!$C56,'FT_Cashouts_IntraCo-PR'!$D$4:$D$130,'Apr11-Mar12 FT-TS-Cashout-LG&amp;E'!L$5)</f>
        <v>27978.400000000001</v>
      </c>
      <c r="M56" s="999">
        <f>SUMIFS('FT_Cashouts_IntraCo-PR'!$F$4:$F$130,'FT_Cashouts_IntraCo-PR'!$A$4:$A$130,'Apr11-Mar12 FT-TS-Cashout-LG&amp;E'!$C56,'FT_Cashouts_IntraCo-PR'!$D$4:$D$130,'Apr11-Mar12 FT-TS-Cashout-LG&amp;E'!M$5)</f>
        <v>16553.88</v>
      </c>
      <c r="N56" s="999">
        <f>SUMIFS('FT_Cashouts_IntraCo-PR'!$F$4:$F$130,'FT_Cashouts_IntraCo-PR'!$A$4:$A$130,'Apr11-Mar12 FT-TS-Cashout-LG&amp;E'!$C56,'FT_Cashouts_IntraCo-PR'!$D$4:$D$130,'Apr11-Mar12 FT-TS-Cashout-LG&amp;E'!N$5)</f>
        <v>25240.57</v>
      </c>
      <c r="O56" s="999">
        <f>SUMIFS('FT_Cashouts_IntraCo-PR'!$F$4:$F$130,'FT_Cashouts_IntraCo-PR'!$A$4:$A$130,'Apr11-Mar12 FT-TS-Cashout-LG&amp;E'!$C56,'FT_Cashouts_IntraCo-PR'!$D$4:$D$130,'Apr11-Mar12 FT-TS-Cashout-LG&amp;E'!O$5)</f>
        <v>19568.169999999998</v>
      </c>
      <c r="P56" s="999">
        <f>SUMIFS('FT_Cashouts_IntraCo-PR'!$F$4:$F$130,'FT_Cashouts_IntraCo-PR'!$A$4:$A$130,'Apr11-Mar12 FT-TS-Cashout-LG&amp;E'!$C56,'FT_Cashouts_IntraCo-PR'!$D$4:$D$130,'Apr11-Mar12 FT-TS-Cashout-LG&amp;E'!P$5)</f>
        <v>27163.84</v>
      </c>
      <c r="Q56" s="999">
        <f>SUMIFS('FT_Cashouts_IntraCo-PR'!$F$4:$F$130,'FT_Cashouts_IntraCo-PR'!$A$4:$A$130,'Apr11-Mar12 FT-TS-Cashout-LG&amp;E'!$C56,'FT_Cashouts_IntraCo-PR'!$D$4:$D$130,'Apr11-Mar12 FT-TS-Cashout-LG&amp;E'!Q$5)</f>
        <v>39830.480000000003</v>
      </c>
      <c r="R56" s="999">
        <f>SUMIFS('FT_Cashouts_IntraCo-PR'!$F$4:$F$130,'FT_Cashouts_IntraCo-PR'!$A$4:$A$130,'Apr11-Mar12 FT-TS-Cashout-LG&amp;E'!$C56,'FT_Cashouts_IntraCo-PR'!$D$4:$D$130,'Apr11-Mar12 FT-TS-Cashout-LG&amp;E'!R$5)</f>
        <v>31661.519999999997</v>
      </c>
      <c r="S56" s="999">
        <f>SUMIFS('FT_Cashouts_IntraCo-PR'!$F$4:$F$130,'FT_Cashouts_IntraCo-PR'!$A$4:$A$130,'Apr11-Mar12 FT-TS-Cashout-LG&amp;E'!$C56,'FT_Cashouts_IntraCo-PR'!$D$4:$D$130,'Apr11-Mar12 FT-TS-Cashout-LG&amp;E'!S$5)</f>
        <v>37486.240000000005</v>
      </c>
      <c r="T56" s="1001">
        <f>SUM(H56:S56)</f>
        <v>315630.47000000003</v>
      </c>
    </row>
    <row r="57" spans="2:22" x14ac:dyDescent="0.2">
      <c r="B57" s="561" t="str">
        <f>VLOOKUP($C57,'Retail Rates'!$B$46:$Q$55,13,FALSE)</f>
        <v>PS-FT Industrial</v>
      </c>
      <c r="C57" s="633" t="s">
        <v>102</v>
      </c>
      <c r="D57" s="633" t="str">
        <f t="shared" si="14"/>
        <v>896</v>
      </c>
      <c r="E57" s="561" t="str">
        <f>VLOOKUP($C57,'Retail Rates'!$B$46:$Q$55,3,FALSE)</f>
        <v>FT-I-PM</v>
      </c>
      <c r="F57" s="991"/>
      <c r="H57" s="999"/>
      <c r="I57" s="999"/>
      <c r="J57" s="999"/>
      <c r="K57" s="999"/>
      <c r="L57" s="999"/>
      <c r="M57" s="999"/>
      <c r="N57" s="999"/>
      <c r="O57" s="999"/>
      <c r="P57" s="999"/>
      <c r="Q57" s="999"/>
      <c r="R57" s="999"/>
      <c r="S57" s="999"/>
      <c r="T57" s="1001"/>
    </row>
    <row r="58" spans="2:22" x14ac:dyDescent="0.2">
      <c r="B58" s="561" t="str">
        <f>VLOOKUP($C58,'Retail Rates'!$B$46:$Q$55,13,FALSE)</f>
        <v>PS-FT Industrial</v>
      </c>
      <c r="C58" s="633" t="s">
        <v>102</v>
      </c>
      <c r="D58" s="633" t="str">
        <f t="shared" si="14"/>
        <v>896</v>
      </c>
      <c r="E58" s="561" t="str">
        <f>VLOOKUP($C58,'Retail Rates'!$B$46:$Q$55,3,FALSE)</f>
        <v>FT-I-PM</v>
      </c>
      <c r="F58" s="991" t="s">
        <v>386</v>
      </c>
      <c r="H58" s="999">
        <f>+H54-H56</f>
        <v>0</v>
      </c>
      <c r="I58" s="999">
        <f t="shared" ref="I58:S58" si="16">+I54-I56</f>
        <v>-123.14999999999782</v>
      </c>
      <c r="J58" s="999">
        <f t="shared" si="16"/>
        <v>25334.44</v>
      </c>
      <c r="K58" s="999">
        <f t="shared" si="16"/>
        <v>0</v>
      </c>
      <c r="L58" s="999">
        <f t="shared" si="16"/>
        <v>0</v>
      </c>
      <c r="M58" s="999">
        <f t="shared" si="16"/>
        <v>0</v>
      </c>
      <c r="N58" s="999">
        <f t="shared" si="16"/>
        <v>0</v>
      </c>
      <c r="O58" s="999">
        <f t="shared" si="16"/>
        <v>0</v>
      </c>
      <c r="P58" s="999">
        <f t="shared" si="16"/>
        <v>0</v>
      </c>
      <c r="Q58" s="999">
        <f t="shared" si="16"/>
        <v>0</v>
      </c>
      <c r="R58" s="999">
        <f t="shared" si="16"/>
        <v>0</v>
      </c>
      <c r="S58" s="999">
        <f t="shared" si="16"/>
        <v>0</v>
      </c>
      <c r="T58" s="1001">
        <f>SUM(H58:S58)</f>
        <v>25211.29</v>
      </c>
    </row>
    <row r="59" spans="2:22" x14ac:dyDescent="0.2">
      <c r="B59" s="561" t="str">
        <f>VLOOKUP($C59,'Retail Rates'!$B$46:$Q$55,13,FALSE)</f>
        <v>PS-FT Industrial</v>
      </c>
      <c r="C59" s="633" t="s">
        <v>102</v>
      </c>
      <c r="D59" s="633" t="str">
        <f t="shared" si="14"/>
        <v>896</v>
      </c>
      <c r="E59" s="561" t="str">
        <f>VLOOKUP($C59,'Retail Rates'!$B$46:$Q$55,3,FALSE)</f>
        <v>FT-I-PM</v>
      </c>
      <c r="F59" s="991"/>
      <c r="G59" s="991"/>
      <c r="H59" s="999"/>
      <c r="I59" s="999"/>
      <c r="J59" s="999"/>
      <c r="K59" s="999"/>
      <c r="L59" s="999"/>
      <c r="M59" s="999"/>
      <c r="N59" s="999"/>
      <c r="O59" s="999"/>
      <c r="P59" s="999"/>
      <c r="Q59" s="999"/>
      <c r="R59" s="999"/>
      <c r="S59" s="999"/>
    </row>
    <row r="60" spans="2:22" x14ac:dyDescent="0.2">
      <c r="I60" s="984"/>
    </row>
    <row r="61" spans="2:22" x14ac:dyDescent="0.2">
      <c r="F61" s="1004" t="s">
        <v>422</v>
      </c>
    </row>
    <row r="62" spans="2:22" x14ac:dyDescent="0.2">
      <c r="F62" s="991" t="s">
        <v>414</v>
      </c>
      <c r="H62" s="999">
        <f>+H19+H39</f>
        <v>531859.65</v>
      </c>
      <c r="I62" s="999">
        <f t="shared" ref="I62:S62" si="17">+I19+I39</f>
        <v>486139.34</v>
      </c>
      <c r="J62" s="999">
        <f t="shared" si="17"/>
        <v>396372.87999999995</v>
      </c>
      <c r="K62" s="999">
        <f t="shared" si="17"/>
        <v>310357.10000000003</v>
      </c>
      <c r="L62" s="999">
        <f t="shared" si="17"/>
        <v>299991.65000000002</v>
      </c>
      <c r="M62" s="999">
        <f t="shared" si="17"/>
        <v>261583.11</v>
      </c>
      <c r="N62" s="999">
        <f t="shared" si="17"/>
        <v>259600.5</v>
      </c>
      <c r="O62" s="999">
        <f t="shared" si="17"/>
        <v>294587.63</v>
      </c>
      <c r="P62" s="999">
        <f t="shared" si="17"/>
        <v>296502.11</v>
      </c>
      <c r="Q62" s="999">
        <f t="shared" si="17"/>
        <v>376277.26</v>
      </c>
      <c r="R62" s="999">
        <f t="shared" si="17"/>
        <v>369252.57</v>
      </c>
      <c r="S62" s="999">
        <f t="shared" si="17"/>
        <v>451482.02999999997</v>
      </c>
      <c r="T62" s="1001">
        <f t="shared" ref="T62:T70" si="18">SUM(H62:S62)</f>
        <v>4334005.8299999991</v>
      </c>
      <c r="U62" s="999"/>
    </row>
    <row r="63" spans="2:22" x14ac:dyDescent="0.2">
      <c r="F63" s="991" t="s">
        <v>416</v>
      </c>
      <c r="H63" s="1000">
        <f>+H21</f>
        <v>1010.08</v>
      </c>
      <c r="I63" s="1000">
        <f t="shared" ref="I63:S63" si="19">+I21</f>
        <v>822.16</v>
      </c>
      <c r="J63" s="1000">
        <f t="shared" si="19"/>
        <v>661.84</v>
      </c>
      <c r="K63" s="1000">
        <f t="shared" si="19"/>
        <v>527.54999999999995</v>
      </c>
      <c r="L63" s="1000">
        <f t="shared" si="19"/>
        <v>479.93</v>
      </c>
      <c r="M63" s="1000">
        <f t="shared" si="19"/>
        <v>415.78</v>
      </c>
      <c r="N63" s="1000">
        <f t="shared" si="19"/>
        <v>379.06</v>
      </c>
      <c r="O63" s="1000">
        <f t="shared" si="19"/>
        <v>414.04</v>
      </c>
      <c r="P63" s="1000">
        <f t="shared" si="19"/>
        <v>435.76</v>
      </c>
      <c r="Q63" s="1000">
        <f t="shared" si="19"/>
        <v>597.52</v>
      </c>
      <c r="R63" s="1000">
        <f t="shared" si="19"/>
        <v>628.88</v>
      </c>
      <c r="S63" s="1000">
        <f t="shared" si="19"/>
        <v>790.85</v>
      </c>
      <c r="T63" s="1001">
        <f t="shared" si="18"/>
        <v>7163.4500000000016</v>
      </c>
      <c r="V63" s="999"/>
    </row>
    <row r="64" spans="2:22" x14ac:dyDescent="0.2">
      <c r="F64" s="991" t="s">
        <v>424</v>
      </c>
      <c r="H64" s="999">
        <f>SUM(H62:H63)</f>
        <v>532869.73</v>
      </c>
      <c r="I64" s="999">
        <f t="shared" ref="I64:S64" si="20">SUM(I62:I63)</f>
        <v>486961.5</v>
      </c>
      <c r="J64" s="999">
        <f t="shared" si="20"/>
        <v>397034.72</v>
      </c>
      <c r="K64" s="999">
        <f t="shared" si="20"/>
        <v>310884.65000000002</v>
      </c>
      <c r="L64" s="999">
        <f t="shared" si="20"/>
        <v>300471.58</v>
      </c>
      <c r="M64" s="999">
        <f t="shared" si="20"/>
        <v>261998.88999999998</v>
      </c>
      <c r="N64" s="999">
        <f t="shared" si="20"/>
        <v>259979.56</v>
      </c>
      <c r="O64" s="999">
        <f t="shared" si="20"/>
        <v>295001.67</v>
      </c>
      <c r="P64" s="999">
        <f t="shared" si="20"/>
        <v>296937.87</v>
      </c>
      <c r="Q64" s="999">
        <f t="shared" si="20"/>
        <v>376874.78</v>
      </c>
      <c r="R64" s="999">
        <f t="shared" si="20"/>
        <v>369881.45</v>
      </c>
      <c r="S64" s="999">
        <f t="shared" si="20"/>
        <v>452272.87999999995</v>
      </c>
      <c r="T64" s="1001">
        <f t="shared" si="18"/>
        <v>4341169.28</v>
      </c>
    </row>
    <row r="65" spans="2:22" x14ac:dyDescent="0.2">
      <c r="F65" s="991" t="s">
        <v>425</v>
      </c>
      <c r="H65" s="624">
        <v>20617.381999999998</v>
      </c>
      <c r="I65" s="999">
        <v>7897.7701434599148</v>
      </c>
      <c r="J65" s="999">
        <v>12099.217637130803</v>
      </c>
      <c r="K65" s="624">
        <v>14490.084400000002</v>
      </c>
      <c r="L65" s="624">
        <v>14823.032500000001</v>
      </c>
      <c r="M65" s="624">
        <v>8417.1114999999991</v>
      </c>
      <c r="N65" s="624">
        <v>11837.280500000001</v>
      </c>
      <c r="O65" s="624">
        <v>8956.2197399999986</v>
      </c>
      <c r="P65" s="624">
        <v>12956.483279999999</v>
      </c>
      <c r="Q65" s="624">
        <v>20370.333099999996</v>
      </c>
      <c r="R65" s="624">
        <v>14828.137200000001</v>
      </c>
      <c r="S65" s="624">
        <v>18424.536799999998</v>
      </c>
      <c r="T65" s="1001">
        <f t="shared" si="18"/>
        <v>165717.58880059072</v>
      </c>
    </row>
    <row r="66" spans="2:22" x14ac:dyDescent="0.2">
      <c r="F66" s="991" t="s">
        <v>426</v>
      </c>
      <c r="H66" s="624">
        <v>21971.896050000003</v>
      </c>
      <c r="I66" s="999">
        <v>8406.8598565400862</v>
      </c>
      <c r="J66" s="999">
        <v>12879.132362869199</v>
      </c>
      <c r="K66" s="624">
        <v>14380.2516</v>
      </c>
      <c r="L66" s="624">
        <v>14686.82085</v>
      </c>
      <c r="M66" s="624">
        <v>8339.7650699999995</v>
      </c>
      <c r="N66" s="624">
        <v>11728.505490000001</v>
      </c>
      <c r="O66" s="624">
        <v>8893.1477699999996</v>
      </c>
      <c r="P66" s="624">
        <v>12865.24044</v>
      </c>
      <c r="Q66" s="624">
        <v>20226.88005</v>
      </c>
      <c r="R66" s="624">
        <v>15802.31133</v>
      </c>
      <c r="S66" s="624">
        <v>19634.986019999997</v>
      </c>
      <c r="T66" s="1001">
        <f t="shared" si="18"/>
        <v>169815.79688940925</v>
      </c>
    </row>
    <row r="67" spans="2:22" x14ac:dyDescent="0.2">
      <c r="F67" s="991" t="s">
        <v>420</v>
      </c>
      <c r="H67" s="1005"/>
      <c r="I67" s="1005"/>
      <c r="J67" s="1005"/>
      <c r="K67" s="1000"/>
      <c r="L67" s="1000"/>
      <c r="M67" s="1000"/>
      <c r="N67" s="1000"/>
      <c r="O67" s="1000"/>
      <c r="P67" s="1000"/>
      <c r="Q67" s="1000"/>
      <c r="R67" s="1000"/>
      <c r="S67" s="1000"/>
      <c r="T67" s="1001">
        <f>SUM(H67:S67)</f>
        <v>0</v>
      </c>
    </row>
    <row r="68" spans="2:22" x14ac:dyDescent="0.2">
      <c r="F68" s="991" t="s">
        <v>415</v>
      </c>
      <c r="H68" s="999">
        <f>SUM(H64:H67)</f>
        <v>575459.00804999995</v>
      </c>
      <c r="I68" s="999">
        <f>SUM(I64:I67)</f>
        <v>503266.13</v>
      </c>
      <c r="J68" s="999">
        <f>SUM(J64:J67)</f>
        <v>422013.07</v>
      </c>
      <c r="K68" s="999">
        <f t="shared" ref="K68:S68" si="21">SUM(K64:K67)</f>
        <v>339754.98600000003</v>
      </c>
      <c r="L68" s="999">
        <f t="shared" si="21"/>
        <v>329981.43335000006</v>
      </c>
      <c r="M68" s="999">
        <f t="shared" si="21"/>
        <v>278755.76657000004</v>
      </c>
      <c r="N68" s="999">
        <f t="shared" si="21"/>
        <v>283545.34599</v>
      </c>
      <c r="O68" s="999">
        <f t="shared" si="21"/>
        <v>312851.03750999994</v>
      </c>
      <c r="P68" s="999">
        <f t="shared" si="21"/>
        <v>322759.59372</v>
      </c>
      <c r="Q68" s="999">
        <f t="shared" si="21"/>
        <v>417471.99314999999</v>
      </c>
      <c r="R68" s="999">
        <f t="shared" si="21"/>
        <v>400511.89853000001</v>
      </c>
      <c r="S68" s="999">
        <f t="shared" si="21"/>
        <v>490332.40281999996</v>
      </c>
      <c r="T68" s="1001">
        <f t="shared" si="18"/>
        <v>4676702.6656900002</v>
      </c>
    </row>
    <row r="69" spans="2:22" x14ac:dyDescent="0.2">
      <c r="F69" s="991" t="s">
        <v>427</v>
      </c>
      <c r="G69" s="987" t="s">
        <v>821</v>
      </c>
      <c r="H69" s="1000">
        <f>+H18+H38+H52</f>
        <v>21965</v>
      </c>
      <c r="I69" s="1000">
        <f t="shared" ref="I69:S69" si="22">+I18+I38+I52</f>
        <v>21965</v>
      </c>
      <c r="J69" s="1000">
        <f t="shared" si="22"/>
        <v>21965</v>
      </c>
      <c r="K69" s="1000">
        <f t="shared" si="22"/>
        <v>21965</v>
      </c>
      <c r="L69" s="1000">
        <f t="shared" si="22"/>
        <v>21965</v>
      </c>
      <c r="M69" s="1000">
        <f t="shared" si="22"/>
        <v>21965</v>
      </c>
      <c r="N69" s="1000">
        <f t="shared" si="22"/>
        <v>21965</v>
      </c>
      <c r="O69" s="1000">
        <f t="shared" si="22"/>
        <v>21965</v>
      </c>
      <c r="P69" s="1000">
        <f t="shared" si="22"/>
        <v>21735</v>
      </c>
      <c r="Q69" s="1000">
        <f t="shared" si="22"/>
        <v>22195</v>
      </c>
      <c r="R69" s="1000">
        <f t="shared" si="22"/>
        <v>21735</v>
      </c>
      <c r="S69" s="1000">
        <f t="shared" si="22"/>
        <v>22120</v>
      </c>
      <c r="T69" s="1001">
        <f t="shared" si="18"/>
        <v>263505</v>
      </c>
      <c r="U69" s="999"/>
      <c r="V69" s="999"/>
    </row>
    <row r="70" spans="2:22" x14ac:dyDescent="0.2">
      <c r="F70" s="991" t="s">
        <v>428</v>
      </c>
      <c r="H70" s="999">
        <f>SUM(H68:H69)</f>
        <v>597424.00804999995</v>
      </c>
      <c r="I70" s="999">
        <f t="shared" ref="I70:S70" si="23">SUM(I68:I69)</f>
        <v>525231.13</v>
      </c>
      <c r="J70" s="999">
        <f t="shared" si="23"/>
        <v>443978.07</v>
      </c>
      <c r="K70" s="999">
        <f t="shared" si="23"/>
        <v>361719.98600000003</v>
      </c>
      <c r="L70" s="999">
        <f t="shared" si="23"/>
        <v>351946.43335000006</v>
      </c>
      <c r="M70" s="999">
        <f t="shared" si="23"/>
        <v>300720.76657000004</v>
      </c>
      <c r="N70" s="999">
        <f t="shared" si="23"/>
        <v>305510.34599</v>
      </c>
      <c r="O70" s="999">
        <f t="shared" si="23"/>
        <v>334816.03750999994</v>
      </c>
      <c r="P70" s="999">
        <f t="shared" si="23"/>
        <v>344494.59372</v>
      </c>
      <c r="Q70" s="999">
        <f t="shared" si="23"/>
        <v>439666.99314999999</v>
      </c>
      <c r="R70" s="999">
        <f t="shared" si="23"/>
        <v>422246.89853000001</v>
      </c>
      <c r="S70" s="999">
        <f t="shared" si="23"/>
        <v>512452.40281999996</v>
      </c>
      <c r="T70" s="1001">
        <f t="shared" si="18"/>
        <v>4940207.6656900011</v>
      </c>
    </row>
    <row r="72" spans="2:22" x14ac:dyDescent="0.2">
      <c r="F72" s="991" t="s">
        <v>841</v>
      </c>
      <c r="H72" s="999">
        <f>+H25+H43+H56</f>
        <v>597431.70000000019</v>
      </c>
      <c r="I72" s="999">
        <f t="shared" ref="I72:S72" si="24">+I25+I43+I56</f>
        <v>525354.30000000016</v>
      </c>
      <c r="J72" s="999">
        <f t="shared" si="24"/>
        <v>0</v>
      </c>
      <c r="K72" s="999">
        <f t="shared" si="24"/>
        <v>361719.99999999994</v>
      </c>
      <c r="L72" s="999">
        <f t="shared" si="24"/>
        <v>351946.49000000005</v>
      </c>
      <c r="M72" s="999">
        <f t="shared" si="24"/>
        <v>300720.81999999989</v>
      </c>
      <c r="N72" s="999">
        <f t="shared" si="24"/>
        <v>305510.39999999991</v>
      </c>
      <c r="O72" s="999">
        <f t="shared" si="24"/>
        <v>334816.08999999997</v>
      </c>
      <c r="P72" s="999">
        <f t="shared" si="24"/>
        <v>345919.7</v>
      </c>
      <c r="Q72" s="999">
        <f t="shared" si="24"/>
        <v>438249.6700000001</v>
      </c>
      <c r="R72" s="999">
        <f t="shared" si="24"/>
        <v>423630.44</v>
      </c>
      <c r="S72" s="999">
        <f t="shared" si="24"/>
        <v>511068.93000000011</v>
      </c>
      <c r="T72" s="1001">
        <f>SUM(H72:S72)</f>
        <v>4496368.54</v>
      </c>
    </row>
    <row r="74" spans="2:22" x14ac:dyDescent="0.2">
      <c r="F74" s="991" t="s">
        <v>386</v>
      </c>
      <c r="H74" s="999">
        <f>+H70-H72</f>
        <v>-7.6919500002404675</v>
      </c>
      <c r="I74" s="999">
        <f t="shared" ref="I74:S74" si="25">+I70-I72</f>
        <v>-123.17000000015832</v>
      </c>
      <c r="J74" s="999">
        <f t="shared" si="25"/>
        <v>443978.07</v>
      </c>
      <c r="K74" s="999">
        <f t="shared" si="25"/>
        <v>-1.3999999908264726E-2</v>
      </c>
      <c r="L74" s="999">
        <f t="shared" si="25"/>
        <v>-5.6649999984074384E-2</v>
      </c>
      <c r="M74" s="999">
        <f t="shared" si="25"/>
        <v>-5.3429999854415655E-2</v>
      </c>
      <c r="N74" s="999">
        <f t="shared" si="25"/>
        <v>-5.4009999905247241E-2</v>
      </c>
      <c r="O74" s="999">
        <f t="shared" si="25"/>
        <v>-5.2490000030957162E-2</v>
      </c>
      <c r="P74" s="999">
        <f t="shared" si="25"/>
        <v>-1425.1062800000072</v>
      </c>
      <c r="Q74" s="999">
        <f t="shared" si="25"/>
        <v>1417.3231499998947</v>
      </c>
      <c r="R74" s="999">
        <f t="shared" si="25"/>
        <v>-1383.5414699999965</v>
      </c>
      <c r="S74" s="999">
        <f t="shared" si="25"/>
        <v>1383.4728199998499</v>
      </c>
      <c r="T74" s="1001">
        <f>SUM(H74:S74)</f>
        <v>443839.12568999967</v>
      </c>
    </row>
    <row r="76" spans="2:22" x14ac:dyDescent="0.2">
      <c r="F76" s="324" t="s">
        <v>1164</v>
      </c>
    </row>
    <row r="77" spans="2:22" x14ac:dyDescent="0.2">
      <c r="B77" s="561" t="str">
        <f>VLOOKUP($C77,'Retail Rates'!$B$46:$Q$55,13,FALSE)</f>
        <v>Special Contracts Industrial</v>
      </c>
      <c r="C77" s="633" t="s">
        <v>109</v>
      </c>
      <c r="D77" s="633" t="str">
        <f>MID(C77,6,3)</f>
        <v>992</v>
      </c>
      <c r="F77" s="991" t="s">
        <v>429</v>
      </c>
      <c r="H77" s="1006">
        <v>2336.5</v>
      </c>
      <c r="I77" s="1006">
        <v>2336.5</v>
      </c>
      <c r="J77" s="1006">
        <v>2336.5</v>
      </c>
      <c r="K77" s="1006">
        <v>2316.3000000000002</v>
      </c>
      <c r="L77" s="1006">
        <v>2316.3000000000002</v>
      </c>
      <c r="M77" s="1006">
        <v>2316.3000000000002</v>
      </c>
      <c r="N77" s="1006">
        <v>2316.3000000000002</v>
      </c>
      <c r="O77" s="1006">
        <v>2316.3000000000002</v>
      </c>
      <c r="P77" s="1006">
        <v>2316.3000000000002</v>
      </c>
      <c r="Q77" s="1006">
        <v>2316.3000000000002</v>
      </c>
      <c r="R77" s="1006">
        <v>2336.5</v>
      </c>
      <c r="S77" s="1006">
        <v>2336.5</v>
      </c>
      <c r="T77" s="1043">
        <f>SUM(H77:S77)</f>
        <v>27896.599999999995</v>
      </c>
    </row>
    <row r="78" spans="2:22" x14ac:dyDescent="0.2">
      <c r="B78" s="561" t="str">
        <f>VLOOKUP($C78,'Retail Rates'!$B$46:$Q$55,13,FALSE)</f>
        <v>Special Contracts Industrial</v>
      </c>
      <c r="C78" s="633" t="s">
        <v>109</v>
      </c>
      <c r="D78" s="633" t="str">
        <f t="shared" ref="D78:D99" si="26">MID(C78,6,3)</f>
        <v>992</v>
      </c>
      <c r="F78" s="991" t="s">
        <v>408</v>
      </c>
      <c r="G78" s="987" t="s">
        <v>812</v>
      </c>
      <c r="H78" s="992">
        <f>SUMIFS('Data FT-TS-Cashout-Paddys'!$G$5:$G$756,'Data FT-TS-Cashout-Paddys'!$F$5:$F$756,'Apr11-Mar12 FT-TS-Cashout-LG&amp;E'!$G78,'Data FT-TS-Cashout-Paddys'!$A$5:$A$756,'Apr11-Mar12 FT-TS-Cashout-LG&amp;E'!H$4,'Data FT-TS-Cashout-Paddys'!$C$5:$C$756,'Apr11-Mar12 FT-TS-Cashout-LG&amp;E'!$C78,'Data FT-TS-Cashout-Paddys'!$E$5:$E$756,'Apr11-Mar12 FT-TS-Cashout-LG&amp;E'!H$6)/10</f>
        <v>60864.9</v>
      </c>
      <c r="I78" s="562">
        <v>60457.7</v>
      </c>
      <c r="J78" s="562">
        <v>57197.700000000012</v>
      </c>
      <c r="K78" s="992">
        <f>SUMIFS('Data FT-TS-Cashout-Paddys'!$G$5:$G$756,'Data FT-TS-Cashout-Paddys'!$F$5:$F$756,'Apr11-Mar12 FT-TS-Cashout-LG&amp;E'!$G78,'Data FT-TS-Cashout-Paddys'!$A$5:$A$756,'Apr11-Mar12 FT-TS-Cashout-LG&amp;E'!K$4,'Data FT-TS-Cashout-Paddys'!$C$5:$C$756,'Apr11-Mar12 FT-TS-Cashout-LG&amp;E'!$C78,'Data FT-TS-Cashout-Paddys'!$E$5:$E$756,'Apr11-Mar12 FT-TS-Cashout-LG&amp;E'!K$6)/10</f>
        <v>48871.6</v>
      </c>
      <c r="L78" s="992">
        <f>SUMIFS('Data FT-TS-Cashout-Paddys'!$G$5:$G$756,'Data FT-TS-Cashout-Paddys'!$F$5:$F$756,'Apr11-Mar12 FT-TS-Cashout-LG&amp;E'!$G78,'Data FT-TS-Cashout-Paddys'!$A$5:$A$756,'Apr11-Mar12 FT-TS-Cashout-LG&amp;E'!L$4,'Data FT-TS-Cashout-Paddys'!$C$5:$C$756,'Apr11-Mar12 FT-TS-Cashout-LG&amp;E'!$C78,'Data FT-TS-Cashout-Paddys'!$E$5:$E$756,'Apr11-Mar12 FT-TS-Cashout-LG&amp;E'!L$6)/10</f>
        <v>55350.3</v>
      </c>
      <c r="M78" s="992">
        <f>SUMIFS('Data FT-TS-Cashout-Paddys'!$G$5:$G$756,'Data FT-TS-Cashout-Paddys'!$F$5:$F$756,'Apr11-Mar12 FT-TS-Cashout-LG&amp;E'!$G78,'Data FT-TS-Cashout-Paddys'!$A$5:$A$756,'Apr11-Mar12 FT-TS-Cashout-LG&amp;E'!M$4,'Data FT-TS-Cashout-Paddys'!$C$5:$C$756,'Apr11-Mar12 FT-TS-Cashout-LG&amp;E'!$C78,'Data FT-TS-Cashout-Paddys'!$E$5:$E$756,'Apr11-Mar12 FT-TS-Cashout-LG&amp;E'!M$6)/10</f>
        <v>47513.1</v>
      </c>
      <c r="N78" s="992">
        <f>SUMIFS('Data FT-TS-Cashout-Paddys'!$G$5:$G$756,'Data FT-TS-Cashout-Paddys'!$F$5:$F$756,'Apr11-Mar12 FT-TS-Cashout-LG&amp;E'!$G78,'Data FT-TS-Cashout-Paddys'!$A$5:$A$756,'Apr11-Mar12 FT-TS-Cashout-LG&amp;E'!N$4,'Data FT-TS-Cashout-Paddys'!$C$5:$C$756,'Apr11-Mar12 FT-TS-Cashout-LG&amp;E'!$C78,'Data FT-TS-Cashout-Paddys'!$E$5:$E$756,'Apr11-Mar12 FT-TS-Cashout-LG&amp;E'!N$6)/10</f>
        <v>48970.8</v>
      </c>
      <c r="O78" s="992">
        <f>SUMIFS('Data FT-TS-Cashout-Paddys'!$G$5:$G$756,'Data FT-TS-Cashout-Paddys'!$F$5:$F$756,'Apr11-Mar12 FT-TS-Cashout-LG&amp;E'!$G78,'Data FT-TS-Cashout-Paddys'!$A$5:$A$756,'Apr11-Mar12 FT-TS-Cashout-LG&amp;E'!O$4,'Data FT-TS-Cashout-Paddys'!$C$5:$C$756,'Apr11-Mar12 FT-TS-Cashout-LG&amp;E'!$C78,'Data FT-TS-Cashout-Paddys'!$E$5:$E$756,'Apr11-Mar12 FT-TS-Cashout-LG&amp;E'!O$6)/10</f>
        <v>48698.6</v>
      </c>
      <c r="P78" s="992">
        <f>SUMIFS('Data FT-TS-Cashout-Paddys'!$G$5:$G$756,'Data FT-TS-Cashout-Paddys'!$F$5:$F$756,'Apr11-Mar12 FT-TS-Cashout-LG&amp;E'!$G78,'Data FT-TS-Cashout-Paddys'!$A$5:$A$756,'Apr11-Mar12 FT-TS-Cashout-LG&amp;E'!P$4,'Data FT-TS-Cashout-Paddys'!$C$5:$C$756,'Apr11-Mar12 FT-TS-Cashout-LG&amp;E'!$C78,'Data FT-TS-Cashout-Paddys'!$E$5:$E$756,'Apr11-Mar12 FT-TS-Cashout-LG&amp;E'!P$6)/10</f>
        <v>42584.800000000003</v>
      </c>
      <c r="Q78" s="992">
        <f>SUMIFS('Data FT-TS-Cashout-Paddys'!$G$5:$G$756,'Data FT-TS-Cashout-Paddys'!$F$5:$F$756,'Apr11-Mar12 FT-TS-Cashout-LG&amp;E'!$G78,'Data FT-TS-Cashout-Paddys'!$A$5:$A$756,'Apr11-Mar12 FT-TS-Cashout-LG&amp;E'!Q$4,'Data FT-TS-Cashout-Paddys'!$C$5:$C$756,'Apr11-Mar12 FT-TS-Cashout-LG&amp;E'!$C78,'Data FT-TS-Cashout-Paddys'!$E$5:$E$756,'Apr11-Mar12 FT-TS-Cashout-LG&amp;E'!Q$6)/10</f>
        <v>35728</v>
      </c>
      <c r="R78" s="992">
        <f>SUMIFS('Data FT-TS-Cashout-Paddys'!$G$5:$G$756,'Data FT-TS-Cashout-Paddys'!$F$5:$F$756,'Apr11-Mar12 FT-TS-Cashout-LG&amp;E'!$G78,'Data FT-TS-Cashout-Paddys'!$A$5:$A$756,'Apr11-Mar12 FT-TS-Cashout-LG&amp;E'!R$4,'Data FT-TS-Cashout-Paddys'!$C$5:$C$756,'Apr11-Mar12 FT-TS-Cashout-LG&amp;E'!$C78,'Data FT-TS-Cashout-Paddys'!$E$5:$E$756,'Apr11-Mar12 FT-TS-Cashout-LG&amp;E'!R$6)/10</f>
        <v>60355</v>
      </c>
      <c r="S78" s="992">
        <f>SUMIFS('Data FT-TS-Cashout-Paddys'!$G$5:$G$756,'Data FT-TS-Cashout-Paddys'!$F$5:$F$756,'Apr11-Mar12 FT-TS-Cashout-LG&amp;E'!$G78,'Data FT-TS-Cashout-Paddys'!$A$5:$A$756,'Apr11-Mar12 FT-TS-Cashout-LG&amp;E'!S$4,'Data FT-TS-Cashout-Paddys'!$C$5:$C$756,'Apr11-Mar12 FT-TS-Cashout-LG&amp;E'!$C78,'Data FT-TS-Cashout-Paddys'!$E$5:$E$756,'Apr11-Mar12 FT-TS-Cashout-LG&amp;E'!S$6)/10</f>
        <v>53250.2</v>
      </c>
      <c r="T78" s="1043">
        <f>SUM(H78:S78)</f>
        <v>619842.69999999995</v>
      </c>
    </row>
    <row r="79" spans="2:22" x14ac:dyDescent="0.2">
      <c r="B79" s="561" t="str">
        <f>VLOOKUP($C79,'Retail Rates'!$B$46:$Q$55,13,FALSE)</f>
        <v>Special Contracts Industrial</v>
      </c>
      <c r="C79" s="633" t="s">
        <v>109</v>
      </c>
      <c r="D79" s="633" t="str">
        <f t="shared" si="26"/>
        <v>992</v>
      </c>
      <c r="F79" s="991" t="s">
        <v>262</v>
      </c>
      <c r="G79" s="561" t="s">
        <v>849</v>
      </c>
      <c r="H79" s="994">
        <v>0</v>
      </c>
      <c r="I79" s="994">
        <v>0</v>
      </c>
      <c r="J79" s="994">
        <v>0</v>
      </c>
      <c r="K79" s="994">
        <v>0</v>
      </c>
      <c r="L79" s="994">
        <v>0</v>
      </c>
      <c r="M79" s="994">
        <v>0</v>
      </c>
      <c r="N79" s="994">
        <v>0</v>
      </c>
      <c r="O79" s="994">
        <v>0</v>
      </c>
      <c r="P79" s="994">
        <v>0</v>
      </c>
      <c r="Q79" s="994">
        <v>0</v>
      </c>
      <c r="R79" s="994">
        <v>0</v>
      </c>
      <c r="S79" s="994">
        <v>0</v>
      </c>
    </row>
    <row r="80" spans="2:22" x14ac:dyDescent="0.2">
      <c r="B80" s="561" t="str">
        <f>VLOOKUP($C80,'Retail Rates'!$B$46:$Q$55,13,FALSE)</f>
        <v>Special Contracts Industrial</v>
      </c>
      <c r="C80" s="633" t="s">
        <v>109</v>
      </c>
      <c r="D80" s="633" t="str">
        <f t="shared" si="26"/>
        <v>992</v>
      </c>
      <c r="F80" s="991" t="s">
        <v>409</v>
      </c>
      <c r="H80" s="994">
        <f>VLOOKUP($C80,'Retail Rates'!$B$45:$N$55,5,FALSE)</f>
        <v>230</v>
      </c>
      <c r="I80" s="994">
        <f>VLOOKUP($C80,'Retail Rates'!$B$45:$N$55,5,FALSE)</f>
        <v>230</v>
      </c>
      <c r="J80" s="994">
        <f>VLOOKUP($C80,'Retail Rates'!$B$45:$N$55,5,FALSE)</f>
        <v>230</v>
      </c>
      <c r="K80" s="994">
        <f>VLOOKUP($C80,'Retail Rates'!$B$45:$N$55,5,FALSE)</f>
        <v>230</v>
      </c>
      <c r="L80" s="994">
        <f>VLOOKUP($C80,'Retail Rates'!$B$45:$N$55,5,FALSE)</f>
        <v>230</v>
      </c>
      <c r="M80" s="994">
        <f>VLOOKUP($C80,'Retail Rates'!$B$45:$N$55,5,FALSE)</f>
        <v>230</v>
      </c>
      <c r="N80" s="994">
        <f>VLOOKUP($C80,'Retail Rates'!$B$45:$N$55,5,FALSE)</f>
        <v>230</v>
      </c>
      <c r="O80" s="994">
        <f>VLOOKUP($C80,'Retail Rates'!$B$45:$N$55,5,FALSE)</f>
        <v>230</v>
      </c>
      <c r="P80" s="994">
        <f>VLOOKUP($C80,'Retail Rates'!$B$45:$N$55,5,FALSE)</f>
        <v>230</v>
      </c>
      <c r="Q80" s="994">
        <f>VLOOKUP($C80,'Retail Rates'!$B$45:$N$55,5,FALSE)</f>
        <v>230</v>
      </c>
      <c r="R80" s="994">
        <f>VLOOKUP($C80,'Retail Rates'!$B$45:$N$55,5,FALSE)</f>
        <v>230</v>
      </c>
      <c r="S80" s="994">
        <f>VLOOKUP($C80,'Retail Rates'!$B$45:$N$55,5,FALSE)</f>
        <v>230</v>
      </c>
    </row>
    <row r="81" spans="2:22" x14ac:dyDescent="0.2">
      <c r="B81" s="561" t="str">
        <f>VLOOKUP($C81,'Retail Rates'!$B$46:$Q$55,13,FALSE)</f>
        <v>Special Contracts Industrial</v>
      </c>
      <c r="C81" s="633" t="s">
        <v>109</v>
      </c>
      <c r="D81" s="633" t="str">
        <f t="shared" si="26"/>
        <v>992</v>
      </c>
      <c r="F81" s="991" t="s">
        <v>430</v>
      </c>
      <c r="H81" s="994">
        <f>VLOOKUP($C81,'Retail Rates'!$B$45:$N$55,11,FALSE)</f>
        <v>2.75</v>
      </c>
      <c r="I81" s="994">
        <f>VLOOKUP($C81,'Retail Rates'!$B$45:$N$55,11,FALSE)</f>
        <v>2.75</v>
      </c>
      <c r="J81" s="994">
        <f>VLOOKUP($C81,'Retail Rates'!$B$45:$N$55,11,FALSE)</f>
        <v>2.75</v>
      </c>
      <c r="K81" s="994">
        <f>VLOOKUP($C81,'Retail Rates'!$B$45:$N$55,11,FALSE)</f>
        <v>2.75</v>
      </c>
      <c r="L81" s="994">
        <f>VLOOKUP($C81,'Retail Rates'!$B$45:$N$55,11,FALSE)</f>
        <v>2.75</v>
      </c>
      <c r="M81" s="994">
        <f>VLOOKUP($C81,'Retail Rates'!$B$45:$N$55,11,FALSE)</f>
        <v>2.75</v>
      </c>
      <c r="N81" s="994">
        <f>VLOOKUP($C81,'Retail Rates'!$B$45:$N$55,11,FALSE)</f>
        <v>2.75</v>
      </c>
      <c r="O81" s="994">
        <f>VLOOKUP($C81,'Retail Rates'!$B$45:$N$55,11,FALSE)</f>
        <v>2.75</v>
      </c>
      <c r="P81" s="994">
        <f>VLOOKUP($C81,'Retail Rates'!$B$45:$N$55,11,FALSE)</f>
        <v>2.75</v>
      </c>
      <c r="Q81" s="994">
        <f>VLOOKUP($C81,'Retail Rates'!$B$45:$N$55,11,FALSE)</f>
        <v>2.75</v>
      </c>
      <c r="R81" s="994">
        <f>VLOOKUP($C81,'Retail Rates'!$B$45:$N$55,11,FALSE)</f>
        <v>2.75</v>
      </c>
      <c r="S81" s="994">
        <f>VLOOKUP($C81,'Retail Rates'!$B$45:$N$55,11,FALSE)</f>
        <v>2.75</v>
      </c>
    </row>
    <row r="82" spans="2:22" x14ac:dyDescent="0.2">
      <c r="B82" s="561" t="str">
        <f>VLOOKUP($C82,'Retail Rates'!$B$46:$Q$55,13,FALSE)</f>
        <v>Special Contracts Industrial</v>
      </c>
      <c r="C82" s="633" t="s">
        <v>109</v>
      </c>
      <c r="D82" s="633" t="str">
        <f t="shared" si="26"/>
        <v>992</v>
      </c>
      <c r="F82" s="991" t="s">
        <v>6</v>
      </c>
      <c r="H82" s="995">
        <f>VLOOKUP($C82,'Retail Rates'!$B$45:$N$55,7,FALSE)</f>
        <v>0.10489999999999999</v>
      </c>
      <c r="I82" s="995">
        <f>VLOOKUP($C82,'Retail Rates'!$B$45:$N$55,7,FALSE)</f>
        <v>0.10489999999999999</v>
      </c>
      <c r="J82" s="995">
        <f>VLOOKUP($C82,'Retail Rates'!$B$45:$N$55,7,FALSE)</f>
        <v>0.10489999999999999</v>
      </c>
      <c r="K82" s="995">
        <f>VLOOKUP($C82,'Retail Rates'!$B$45:$N$55,7,FALSE)</f>
        <v>0.10489999999999999</v>
      </c>
      <c r="L82" s="995">
        <f>VLOOKUP($C82,'Retail Rates'!$B$45:$N$55,7,FALSE)</f>
        <v>0.10489999999999999</v>
      </c>
      <c r="M82" s="995">
        <f>VLOOKUP($C82,'Retail Rates'!$B$45:$N$55,7,FALSE)</f>
        <v>0.10489999999999999</v>
      </c>
      <c r="N82" s="995">
        <f>VLOOKUP($C82,'Retail Rates'!$B$45:$N$55,7,FALSE)</f>
        <v>0.10489999999999999</v>
      </c>
      <c r="O82" s="995">
        <f>VLOOKUP($C82,'Retail Rates'!$B$45:$N$55,7,FALSE)</f>
        <v>0.10489999999999999</v>
      </c>
      <c r="P82" s="995">
        <f>VLOOKUP($C82,'Retail Rates'!$B$45:$N$55,7,FALSE)</f>
        <v>0.10489999999999999</v>
      </c>
      <c r="Q82" s="995">
        <f>VLOOKUP($C82,'Retail Rates'!$B$45:$N$55,7,FALSE)</f>
        <v>0.10489999999999999</v>
      </c>
      <c r="R82" s="995">
        <f>VLOOKUP($C82,'Retail Rates'!$B$45:$N$55,7,FALSE)</f>
        <v>0.10489999999999999</v>
      </c>
      <c r="S82" s="995">
        <f>VLOOKUP($C82,'Retail Rates'!$B$45:$N$55,7,FALSE)</f>
        <v>0.10489999999999999</v>
      </c>
    </row>
    <row r="83" spans="2:22" x14ac:dyDescent="0.2">
      <c r="B83" s="561" t="str">
        <f>VLOOKUP($C83,'Retail Rates'!$B$46:$Q$55,13,FALSE)</f>
        <v>Special Contracts Industrial</v>
      </c>
      <c r="C83" s="633" t="s">
        <v>109</v>
      </c>
      <c r="D83" s="633" t="str">
        <f t="shared" si="26"/>
        <v>992</v>
      </c>
      <c r="F83" s="991" t="s">
        <v>418</v>
      </c>
      <c r="H83" s="995">
        <f>SUMIF('GSC-DSM Factors'!$A$14:$A$44,'Apr11-Mar12 FT-TS-Cashout-LG&amp;E'!H$5,'GSC-DSM Factors'!$I$14:$I$44)</f>
        <v>0.17199999999999999</v>
      </c>
      <c r="I83" s="995">
        <f>SUMIF('GSC-DSM Factors'!$A$14:$A$44,'Apr11-Mar12 FT-TS-Cashout-LG&amp;E'!I$5,'GSC-DSM Factors'!$I$14:$I$44)</f>
        <v>0.17219999999999999</v>
      </c>
      <c r="J83" s="995">
        <f>SUMIF('GSC-DSM Factors'!$A$14:$A$44,'Apr11-Mar12 FT-TS-Cashout-LG&amp;E'!J$5,'GSC-DSM Factors'!$I$14:$I$44)</f>
        <v>0.17219999999999999</v>
      </c>
      <c r="K83" s="995">
        <f>SUMIF('GSC-DSM Factors'!$A$14:$A$44,'Apr11-Mar12 FT-TS-Cashout-LG&amp;E'!K$5,'GSC-DSM Factors'!$I$14:$I$44)</f>
        <v>0.1847</v>
      </c>
      <c r="L83" s="995">
        <f>SUMIF('GSC-DSM Factors'!$A$14:$A$44,'Apr11-Mar12 FT-TS-Cashout-LG&amp;E'!L$5,'GSC-DSM Factors'!$I$14:$I$44)</f>
        <v>0.185</v>
      </c>
      <c r="M83" s="995">
        <f>SUMIF('GSC-DSM Factors'!$A$14:$A$44,'Apr11-Mar12 FT-TS-Cashout-LG&amp;E'!M$5,'GSC-DSM Factors'!$I$14:$I$44)</f>
        <v>0.185</v>
      </c>
      <c r="N83" s="995">
        <f>SUMIF('GSC-DSM Factors'!$A$14:$A$44,'Apr11-Mar12 FT-TS-Cashout-LG&amp;E'!N$5,'GSC-DSM Factors'!$I$14:$I$44)</f>
        <v>0.185</v>
      </c>
      <c r="O83" s="995">
        <f>SUMIF('GSC-DSM Factors'!$A$14:$A$44,'Apr11-Mar12 FT-TS-Cashout-LG&amp;E'!O$5,'GSC-DSM Factors'!$I$14:$I$44)</f>
        <v>0.18459999999999999</v>
      </c>
      <c r="P83" s="995">
        <f>SUMIF('GSC-DSM Factors'!$A$14:$A$44,'Apr11-Mar12 FT-TS-Cashout-LG&amp;E'!P$5,'GSC-DSM Factors'!$I$14:$I$44)</f>
        <v>0.18459999999999999</v>
      </c>
      <c r="Q83" s="995">
        <f>SUMIF('GSC-DSM Factors'!$A$14:$A$44,'Apr11-Mar12 FT-TS-Cashout-LG&amp;E'!Q$5,'GSC-DSM Factors'!$I$14:$I$44)</f>
        <v>0.18459999999999999</v>
      </c>
      <c r="R83" s="995">
        <f>SUMIF('GSC-DSM Factors'!$A$14:$A$44,'Apr11-Mar12 FT-TS-Cashout-LG&amp;E'!R$5,'GSC-DSM Factors'!$I$14:$I$44)</f>
        <v>0.17199999999999999</v>
      </c>
      <c r="S83" s="995">
        <f>SUMIF('GSC-DSM Factors'!$A$14:$A$44,'Apr11-Mar12 FT-TS-Cashout-LG&amp;E'!S$5,'GSC-DSM Factors'!$I$14:$I$44)</f>
        <v>0.17199999999999999</v>
      </c>
    </row>
    <row r="84" spans="2:22" x14ac:dyDescent="0.2">
      <c r="B84" s="561" t="str">
        <f>VLOOKUP($C84,'Retail Rates'!$B$46:$Q$55,13,FALSE)</f>
        <v>Special Contracts Industrial</v>
      </c>
      <c r="C84" s="633" t="s">
        <v>109</v>
      </c>
      <c r="D84" s="633" t="str">
        <f t="shared" si="26"/>
        <v>992</v>
      </c>
      <c r="F84" s="991" t="s">
        <v>419</v>
      </c>
      <c r="H84" s="995">
        <f>VLOOKUP($C84,'Retail Rates'!$B$45:$N$55,10,FALSE)</f>
        <v>0.18329999999999999</v>
      </c>
      <c r="I84" s="995">
        <f>VLOOKUP($C84,'Retail Rates'!$B$45:$N$55,10,FALSE)</f>
        <v>0.18329999999999999</v>
      </c>
      <c r="J84" s="995">
        <f>VLOOKUP($C84,'Retail Rates'!$B$45:$N$55,10,FALSE)</f>
        <v>0.18329999999999999</v>
      </c>
      <c r="K84" s="995">
        <f>VLOOKUP($C84,'Retail Rates'!$B$45:$N$55,10,FALSE)</f>
        <v>0.18329999999999999</v>
      </c>
      <c r="L84" s="995">
        <f>VLOOKUP($C84,'Retail Rates'!$B$45:$N$55,10,FALSE)</f>
        <v>0.18329999999999999</v>
      </c>
      <c r="M84" s="995">
        <f>VLOOKUP($C84,'Retail Rates'!$B$45:$N$55,10,FALSE)</f>
        <v>0.18329999999999999</v>
      </c>
      <c r="N84" s="995">
        <f>VLOOKUP($C84,'Retail Rates'!$B$45:$N$55,10,FALSE)</f>
        <v>0.18329999999999999</v>
      </c>
      <c r="O84" s="995">
        <f>VLOOKUP($C84,'Retail Rates'!$B$45:$N$55,10,FALSE)</f>
        <v>0.18329999999999999</v>
      </c>
      <c r="P84" s="995">
        <f>VLOOKUP($C84,'Retail Rates'!$B$45:$N$55,10,FALSE)</f>
        <v>0.18329999999999999</v>
      </c>
      <c r="Q84" s="995">
        <f>VLOOKUP($C84,'Retail Rates'!$B$45:$N$55,10,FALSE)</f>
        <v>0.18329999999999999</v>
      </c>
      <c r="R84" s="995">
        <f>VLOOKUP($C84,'Retail Rates'!$B$45:$N$55,10,FALSE)</f>
        <v>0.18329999999999999</v>
      </c>
      <c r="S84" s="995">
        <f>VLOOKUP($C84,'Retail Rates'!$B$45:$N$55,10,FALSE)</f>
        <v>0.18329999999999999</v>
      </c>
    </row>
    <row r="85" spans="2:22" x14ac:dyDescent="0.2">
      <c r="B85" s="561" t="str">
        <f>VLOOKUP($C85,'Retail Rates'!$B$46:$Q$55,13,FALSE)</f>
        <v>Special Contracts Industrial</v>
      </c>
      <c r="C85" s="633" t="s">
        <v>109</v>
      </c>
      <c r="D85" s="633" t="str">
        <f t="shared" si="26"/>
        <v>992</v>
      </c>
      <c r="F85" s="991"/>
    </row>
    <row r="86" spans="2:22" x14ac:dyDescent="0.2">
      <c r="B86" s="561" t="str">
        <f>VLOOKUP($C86,'Retail Rates'!$B$46:$Q$55,13,FALSE)</f>
        <v>Special Contracts Industrial</v>
      </c>
      <c r="C86" s="633" t="s">
        <v>109</v>
      </c>
      <c r="D86" s="633" t="str">
        <f t="shared" si="26"/>
        <v>992</v>
      </c>
      <c r="F86" s="998" t="s">
        <v>412</v>
      </c>
    </row>
    <row r="87" spans="2:22" x14ac:dyDescent="0.2">
      <c r="B87" s="561" t="str">
        <f>VLOOKUP($C87,'Retail Rates'!$B$46:$Q$55,13,FALSE)</f>
        <v>Special Contracts Industrial</v>
      </c>
      <c r="C87" s="633" t="s">
        <v>109</v>
      </c>
      <c r="D87" s="633" t="str">
        <f t="shared" si="26"/>
        <v>992</v>
      </c>
      <c r="F87" s="991" t="s">
        <v>431</v>
      </c>
      <c r="H87" s="999">
        <f>+H77*H81</f>
        <v>6425.375</v>
      </c>
      <c r="I87" s="999">
        <f t="shared" ref="I87:S87" si="27">+I77*I81</f>
        <v>6425.375</v>
      </c>
      <c r="J87" s="999">
        <f t="shared" si="27"/>
        <v>6425.375</v>
      </c>
      <c r="K87" s="999">
        <f t="shared" si="27"/>
        <v>6369.8250000000007</v>
      </c>
      <c r="L87" s="999">
        <f t="shared" si="27"/>
        <v>6369.8250000000007</v>
      </c>
      <c r="M87" s="999">
        <f t="shared" si="27"/>
        <v>6369.8250000000007</v>
      </c>
      <c r="N87" s="999">
        <f t="shared" si="27"/>
        <v>6369.8250000000007</v>
      </c>
      <c r="O87" s="999">
        <f t="shared" si="27"/>
        <v>6369.8250000000007</v>
      </c>
      <c r="P87" s="999">
        <f t="shared" si="27"/>
        <v>6369.8250000000007</v>
      </c>
      <c r="Q87" s="999">
        <f t="shared" si="27"/>
        <v>6369.8250000000007</v>
      </c>
      <c r="R87" s="999">
        <f t="shared" si="27"/>
        <v>6425.375</v>
      </c>
      <c r="S87" s="999">
        <f t="shared" si="27"/>
        <v>6425.375</v>
      </c>
      <c r="T87" s="1001">
        <f t="shared" ref="T87:T95" si="28">SUM(H87:S87)</f>
        <v>76715.649999999994</v>
      </c>
      <c r="U87" s="999"/>
    </row>
    <row r="88" spans="2:22" x14ac:dyDescent="0.2">
      <c r="B88" s="561" t="str">
        <f>VLOOKUP($C88,'Retail Rates'!$B$46:$Q$55,13,FALSE)</f>
        <v>Special Contracts Industrial</v>
      </c>
      <c r="C88" s="633" t="s">
        <v>109</v>
      </c>
      <c r="D88" s="633" t="str">
        <f t="shared" si="26"/>
        <v>992</v>
      </c>
      <c r="F88" s="991" t="s">
        <v>414</v>
      </c>
      <c r="H88" s="1000">
        <f>H78*H82</f>
        <v>6384.7280099999998</v>
      </c>
      <c r="I88" s="1000">
        <f t="shared" ref="I88:S88" si="29">I78*I82</f>
        <v>6342.0127299999995</v>
      </c>
      <c r="J88" s="1000">
        <f t="shared" si="29"/>
        <v>6000.0387300000011</v>
      </c>
      <c r="K88" s="1000">
        <f t="shared" si="29"/>
        <v>5126.6308399999998</v>
      </c>
      <c r="L88" s="1000">
        <f t="shared" si="29"/>
        <v>5806.24647</v>
      </c>
      <c r="M88" s="1000">
        <f t="shared" si="29"/>
        <v>4984.1241899999995</v>
      </c>
      <c r="N88" s="1000">
        <f t="shared" si="29"/>
        <v>5137.0369199999996</v>
      </c>
      <c r="O88" s="1000">
        <f t="shared" si="29"/>
        <v>5108.4831399999994</v>
      </c>
      <c r="P88" s="1000">
        <f t="shared" si="29"/>
        <v>4467.14552</v>
      </c>
      <c r="Q88" s="1000">
        <f t="shared" si="29"/>
        <v>3747.8671999999997</v>
      </c>
      <c r="R88" s="1000">
        <f t="shared" si="29"/>
        <v>6331.2394999999997</v>
      </c>
      <c r="S88" s="1000">
        <f t="shared" si="29"/>
        <v>5585.9459799999995</v>
      </c>
      <c r="T88" s="1001">
        <f t="shared" si="28"/>
        <v>65021.499229999994</v>
      </c>
      <c r="U88" s="999"/>
    </row>
    <row r="89" spans="2:22" x14ac:dyDescent="0.2">
      <c r="B89" s="561" t="str">
        <f>VLOOKUP($C89,'Retail Rates'!$B$46:$Q$55,13,FALSE)</f>
        <v>Special Contracts Industrial</v>
      </c>
      <c r="C89" s="633" t="s">
        <v>109</v>
      </c>
      <c r="D89" s="633" t="str">
        <f t="shared" si="26"/>
        <v>992</v>
      </c>
      <c r="F89" s="991" t="s">
        <v>424</v>
      </c>
      <c r="H89" s="999">
        <f>SUM(H87:H88)</f>
        <v>12810.103009999999</v>
      </c>
      <c r="I89" s="999">
        <f t="shared" ref="I89:S89" si="30">SUM(I87:I88)</f>
        <v>12767.387729999999</v>
      </c>
      <c r="J89" s="999">
        <f t="shared" si="30"/>
        <v>12425.41373</v>
      </c>
      <c r="K89" s="999">
        <f t="shared" si="30"/>
        <v>11496.455840000001</v>
      </c>
      <c r="L89" s="999">
        <f t="shared" si="30"/>
        <v>12176.071470000001</v>
      </c>
      <c r="M89" s="999">
        <f t="shared" si="30"/>
        <v>11353.949189999999</v>
      </c>
      <c r="N89" s="999">
        <f t="shared" si="30"/>
        <v>11506.861919999999</v>
      </c>
      <c r="O89" s="999">
        <f t="shared" si="30"/>
        <v>11478.308140000001</v>
      </c>
      <c r="P89" s="999">
        <f t="shared" si="30"/>
        <v>10836.970520000001</v>
      </c>
      <c r="Q89" s="999">
        <f t="shared" si="30"/>
        <v>10117.692200000001</v>
      </c>
      <c r="R89" s="999">
        <f t="shared" si="30"/>
        <v>12756.6145</v>
      </c>
      <c r="S89" s="999">
        <f t="shared" si="30"/>
        <v>12011.32098</v>
      </c>
      <c r="T89" s="1001">
        <f t="shared" si="28"/>
        <v>141737.14923000001</v>
      </c>
    </row>
    <row r="90" spans="2:22" x14ac:dyDescent="0.2">
      <c r="B90" s="561" t="str">
        <f>VLOOKUP($C90,'Retail Rates'!$B$46:$Q$55,13,FALSE)</f>
        <v>Special Contracts Industrial</v>
      </c>
      <c r="C90" s="633" t="s">
        <v>109</v>
      </c>
      <c r="D90" s="633" t="str">
        <f t="shared" si="26"/>
        <v>992</v>
      </c>
      <c r="F90" s="991" t="s">
        <v>413</v>
      </c>
      <c r="H90" s="1007">
        <f>+H80</f>
        <v>230</v>
      </c>
      <c r="I90" s="1007">
        <f t="shared" ref="I90:S90" si="31">+I80</f>
        <v>230</v>
      </c>
      <c r="J90" s="1007">
        <f t="shared" si="31"/>
        <v>230</v>
      </c>
      <c r="K90" s="1007">
        <f t="shared" si="31"/>
        <v>230</v>
      </c>
      <c r="L90" s="1007">
        <f t="shared" si="31"/>
        <v>230</v>
      </c>
      <c r="M90" s="1007">
        <f t="shared" si="31"/>
        <v>230</v>
      </c>
      <c r="N90" s="1007">
        <f t="shared" si="31"/>
        <v>230</v>
      </c>
      <c r="O90" s="1007">
        <f t="shared" si="31"/>
        <v>230</v>
      </c>
      <c r="P90" s="1007">
        <f t="shared" si="31"/>
        <v>230</v>
      </c>
      <c r="Q90" s="1007">
        <f t="shared" si="31"/>
        <v>230</v>
      </c>
      <c r="R90" s="1007">
        <f t="shared" si="31"/>
        <v>230</v>
      </c>
      <c r="S90" s="1007">
        <f t="shared" si="31"/>
        <v>230</v>
      </c>
      <c r="T90" s="1001">
        <f t="shared" si="28"/>
        <v>2760</v>
      </c>
      <c r="U90" s="999"/>
      <c r="V90" s="999"/>
    </row>
    <row r="91" spans="2:22" x14ac:dyDescent="0.2">
      <c r="B91" s="561" t="str">
        <f>VLOOKUP($C91,'Retail Rates'!$B$46:$Q$55,13,FALSE)</f>
        <v>Special Contracts Industrial</v>
      </c>
      <c r="C91" s="633" t="s">
        <v>109</v>
      </c>
      <c r="D91" s="633" t="str">
        <f t="shared" si="26"/>
        <v>992</v>
      </c>
      <c r="F91" s="991" t="s">
        <v>424</v>
      </c>
      <c r="H91" s="999">
        <f>SUM(H89:H90)</f>
        <v>13040.103009999999</v>
      </c>
      <c r="I91" s="999">
        <f t="shared" ref="I91:S91" si="32">SUM(I89:I90)</f>
        <v>12997.387729999999</v>
      </c>
      <c r="J91" s="999">
        <f t="shared" si="32"/>
        <v>12655.41373</v>
      </c>
      <c r="K91" s="999">
        <f t="shared" si="32"/>
        <v>11726.455840000001</v>
      </c>
      <c r="L91" s="999">
        <f t="shared" si="32"/>
        <v>12406.071470000001</v>
      </c>
      <c r="M91" s="999">
        <f t="shared" si="32"/>
        <v>11583.949189999999</v>
      </c>
      <c r="N91" s="999">
        <f t="shared" si="32"/>
        <v>11736.861919999999</v>
      </c>
      <c r="O91" s="999">
        <f t="shared" si="32"/>
        <v>11708.308140000001</v>
      </c>
      <c r="P91" s="999">
        <f t="shared" si="32"/>
        <v>11066.970520000001</v>
      </c>
      <c r="Q91" s="999">
        <f t="shared" si="32"/>
        <v>10347.692200000001</v>
      </c>
      <c r="R91" s="999">
        <f t="shared" si="32"/>
        <v>12986.6145</v>
      </c>
      <c r="S91" s="999">
        <f t="shared" si="32"/>
        <v>12241.32098</v>
      </c>
      <c r="T91" s="1001">
        <f t="shared" si="28"/>
        <v>144497.14923000001</v>
      </c>
    </row>
    <row r="92" spans="2:22" x14ac:dyDescent="0.2">
      <c r="B92" s="561" t="str">
        <f>VLOOKUP($C92,'Retail Rates'!$B$46:$Q$55,13,FALSE)</f>
        <v>Special Contracts Industrial</v>
      </c>
      <c r="C92" s="633" t="s">
        <v>109</v>
      </c>
      <c r="D92" s="633" t="str">
        <f t="shared" si="26"/>
        <v>992</v>
      </c>
      <c r="F92" s="991" t="s">
        <v>418</v>
      </c>
      <c r="G92" s="987" t="s">
        <v>830</v>
      </c>
      <c r="H92" s="624">
        <v>1406.1687999999999</v>
      </c>
      <c r="I92" s="624">
        <v>609.62243999999998</v>
      </c>
      <c r="J92" s="624">
        <v>91.316860759493679</v>
      </c>
      <c r="K92" s="624">
        <v>2133.1003000000001</v>
      </c>
      <c r="L92" s="624">
        <v>1233.8389999999999</v>
      </c>
      <c r="M92" s="624">
        <v>2266.7864999999997</v>
      </c>
      <c r="N92" s="624">
        <v>1239.9625000000001</v>
      </c>
      <c r="O92" s="624">
        <v>252.53279999999998</v>
      </c>
      <c r="P92" s="624">
        <v>700.15088000000003</v>
      </c>
      <c r="Q92" s="624">
        <v>3057.1790599999995</v>
      </c>
      <c r="R92" s="624">
        <v>1058.3332</v>
      </c>
      <c r="S92" s="624">
        <v>1608.4924000000001</v>
      </c>
      <c r="T92" s="1001">
        <f t="shared" si="28"/>
        <v>15657.484740759493</v>
      </c>
    </row>
    <row r="93" spans="2:22" x14ac:dyDescent="0.2">
      <c r="B93" s="561" t="str">
        <f>VLOOKUP($C93,'Retail Rates'!$B$46:$Q$55,13,FALSE)</f>
        <v>Special Contracts Industrial</v>
      </c>
      <c r="C93" s="633" t="s">
        <v>109</v>
      </c>
      <c r="D93" s="633" t="str">
        <f t="shared" si="26"/>
        <v>992</v>
      </c>
      <c r="F93" s="991" t="s">
        <v>419</v>
      </c>
      <c r="H93" s="624">
        <v>1498.5508199999999</v>
      </c>
      <c r="I93" s="624">
        <v>648.91865999999993</v>
      </c>
      <c r="J93" s="624">
        <v>97.203139240506331</v>
      </c>
      <c r="K93" s="624">
        <v>2116.9317000000001</v>
      </c>
      <c r="L93" s="624">
        <v>1222.5010199999999</v>
      </c>
      <c r="M93" s="624">
        <v>2245.9565699999998</v>
      </c>
      <c r="N93" s="624">
        <v>1228.56825</v>
      </c>
      <c r="O93" s="624">
        <v>250.75439999999998</v>
      </c>
      <c r="P93" s="624">
        <v>695.22023999999999</v>
      </c>
      <c r="Q93" s="624">
        <v>3035.6496299999994</v>
      </c>
      <c r="R93" s="624">
        <v>1127.8632299999999</v>
      </c>
      <c r="S93" s="624">
        <v>1714.16661</v>
      </c>
      <c r="T93" s="1001">
        <f>ROUND(SUM(H93:S93),2)</f>
        <v>15882.28</v>
      </c>
      <c r="V93" s="999"/>
    </row>
    <row r="94" spans="2:22" x14ac:dyDescent="0.2">
      <c r="B94" s="561" t="str">
        <f>VLOOKUP($C94,'Retail Rates'!$B$46:$Q$55,13,FALSE)</f>
        <v>Special Contracts Industrial</v>
      </c>
      <c r="C94" s="633" t="s">
        <v>109</v>
      </c>
      <c r="D94" s="633" t="str">
        <f t="shared" si="26"/>
        <v>992</v>
      </c>
      <c r="F94" s="991" t="s">
        <v>421</v>
      </c>
      <c r="H94" s="1005"/>
      <c r="I94" s="1005"/>
      <c r="J94" s="1005"/>
      <c r="K94" s="1005"/>
      <c r="L94" s="1005"/>
      <c r="M94" s="1005"/>
      <c r="N94" s="1005"/>
      <c r="O94" s="1005"/>
      <c r="P94" s="1005"/>
      <c r="Q94" s="1005"/>
      <c r="R94" s="1005"/>
      <c r="S94" s="1005"/>
      <c r="T94" s="1001">
        <f t="shared" si="28"/>
        <v>0</v>
      </c>
    </row>
    <row r="95" spans="2:22" x14ac:dyDescent="0.2">
      <c r="B95" s="561" t="str">
        <f>VLOOKUP($C95,'Retail Rates'!$B$46:$Q$55,13,FALSE)</f>
        <v>Special Contracts Industrial</v>
      </c>
      <c r="C95" s="633" t="s">
        <v>109</v>
      </c>
      <c r="D95" s="633" t="str">
        <f t="shared" si="26"/>
        <v>992</v>
      </c>
      <c r="F95" s="991" t="s">
        <v>433</v>
      </c>
      <c r="H95" s="999">
        <f>SUM(H91:H94)</f>
        <v>15944.822629999999</v>
      </c>
      <c r="I95" s="999">
        <f t="shared" ref="I95:S95" si="33">SUM(I91:I94)</f>
        <v>14255.928829999997</v>
      </c>
      <c r="J95" s="999">
        <f t="shared" si="33"/>
        <v>12843.933730000001</v>
      </c>
      <c r="K95" s="999">
        <f t="shared" si="33"/>
        <v>15976.487840000002</v>
      </c>
      <c r="L95" s="999">
        <f t="shared" si="33"/>
        <v>14862.41149</v>
      </c>
      <c r="M95" s="999">
        <f t="shared" si="33"/>
        <v>16096.69226</v>
      </c>
      <c r="N95" s="999">
        <f t="shared" si="33"/>
        <v>14205.392669999999</v>
      </c>
      <c r="O95" s="999">
        <f t="shared" si="33"/>
        <v>12211.595340000002</v>
      </c>
      <c r="P95" s="999">
        <f t="shared" si="33"/>
        <v>12462.341640000001</v>
      </c>
      <c r="Q95" s="999">
        <f t="shared" si="33"/>
        <v>16440.52089</v>
      </c>
      <c r="R95" s="999">
        <f t="shared" si="33"/>
        <v>15172.81093</v>
      </c>
      <c r="S95" s="999">
        <f t="shared" si="33"/>
        <v>15563.97999</v>
      </c>
      <c r="T95" s="1001">
        <f t="shared" si="28"/>
        <v>176036.91824</v>
      </c>
    </row>
    <row r="96" spans="2:22" x14ac:dyDescent="0.2">
      <c r="B96" s="561" t="str">
        <f>VLOOKUP($C96,'Retail Rates'!$B$46:$Q$55,13,FALSE)</f>
        <v>Special Contracts Industrial</v>
      </c>
      <c r="C96" s="633" t="s">
        <v>109</v>
      </c>
      <c r="D96" s="633" t="str">
        <f t="shared" si="26"/>
        <v>992</v>
      </c>
      <c r="F96" s="991"/>
    </row>
    <row r="97" spans="2:20" x14ac:dyDescent="0.2">
      <c r="B97" s="561" t="str">
        <f>VLOOKUP($C97,'Retail Rates'!$B$46:$Q$55,13,FALSE)</f>
        <v>Special Contracts Industrial</v>
      </c>
      <c r="C97" s="633" t="s">
        <v>109</v>
      </c>
      <c r="D97" s="633" t="str">
        <f t="shared" si="26"/>
        <v>992</v>
      </c>
      <c r="F97" s="991" t="s">
        <v>841</v>
      </c>
      <c r="H97" s="999">
        <f>SUMIFS('FT_Cashouts_IntraCo-PR'!$F$4:$F$130,'FT_Cashouts_IntraCo-PR'!$A$4:$A$130,'Apr11-Mar12 FT-TS-Cashout-LG&amp;E'!$C97,'FT_Cashouts_IntraCo-PR'!$D$4:$D$130,'Apr11-Mar12 FT-TS-Cashout-LG&amp;E'!H$5)</f>
        <v>15944.83</v>
      </c>
      <c r="I97" s="999">
        <f>SUMIFS('FT_Cashouts_IntraCo-PR'!$F$4:$F$130,'FT_Cashouts_IntraCo-PR'!$A$4:$A$130,'Apr11-Mar12 FT-TS-Cashout-LG&amp;E'!$C97,'FT_Cashouts_IntraCo-PR'!$D$4:$D$130,'Apr11-Mar12 FT-TS-Cashout-LG&amp;E'!I$5)</f>
        <v>14255.93</v>
      </c>
      <c r="J97" s="999">
        <f>SUMIFS('FT_Cashouts_IntraCo-PR'!$F$4:$F$130,'FT_Cashouts_IntraCo-PR'!$A$4:$A$130,'Apr11-Mar12 FT-TS-Cashout-LG&amp;E'!$C97,'FT_Cashouts_IntraCo-PR'!$D$4:$D$130,'Apr11-Mar12 FT-TS-Cashout-LG&amp;E'!J$5)</f>
        <v>0</v>
      </c>
      <c r="K97" s="999">
        <f>SUMIFS('FT_Cashouts_IntraCo-PR'!$F$4:$F$130,'FT_Cashouts_IntraCo-PR'!$A$4:$A$130,'Apr11-Mar12 FT-TS-Cashout-LG&amp;E'!$C97,'FT_Cashouts_IntraCo-PR'!$D$4:$D$130,'Apr11-Mar12 FT-TS-Cashout-LG&amp;E'!K$5)</f>
        <v>15976.489999999998</v>
      </c>
      <c r="L97" s="999">
        <f>SUMIFS('FT_Cashouts_IntraCo-PR'!$F$4:$F$130,'FT_Cashouts_IntraCo-PR'!$A$4:$A$130,'Apr11-Mar12 FT-TS-Cashout-LG&amp;E'!$C97,'FT_Cashouts_IntraCo-PR'!$D$4:$D$130,'Apr11-Mar12 FT-TS-Cashout-LG&amp;E'!L$5)</f>
        <v>14862.42</v>
      </c>
      <c r="M97" s="999">
        <f>SUMIFS('FT_Cashouts_IntraCo-PR'!$F$4:$F$130,'FT_Cashouts_IntraCo-PR'!$A$4:$A$130,'Apr11-Mar12 FT-TS-Cashout-LG&amp;E'!$C97,'FT_Cashouts_IntraCo-PR'!$D$4:$D$130,'Apr11-Mar12 FT-TS-Cashout-LG&amp;E'!M$5)</f>
        <v>16096.69</v>
      </c>
      <c r="N97" s="999">
        <f>SUMIFS('FT_Cashouts_IntraCo-PR'!$F$4:$F$130,'FT_Cashouts_IntraCo-PR'!$A$4:$A$130,'Apr11-Mar12 FT-TS-Cashout-LG&amp;E'!$C97,'FT_Cashouts_IntraCo-PR'!$D$4:$D$130,'Apr11-Mar12 FT-TS-Cashout-LG&amp;E'!N$5)</f>
        <v>14205.4</v>
      </c>
      <c r="O97" s="999">
        <f>SUMIFS('FT_Cashouts_IntraCo-PR'!$F$4:$F$130,'FT_Cashouts_IntraCo-PR'!$A$4:$A$130,'Apr11-Mar12 FT-TS-Cashout-LG&amp;E'!$C97,'FT_Cashouts_IntraCo-PR'!$D$4:$D$130,'Apr11-Mar12 FT-TS-Cashout-LG&amp;E'!O$5)</f>
        <v>12211.6</v>
      </c>
      <c r="P97" s="999">
        <f>SUMIFS('FT_Cashouts_IntraCo-PR'!$F$4:$F$130,'FT_Cashouts_IntraCo-PR'!$A$4:$A$130,'Apr11-Mar12 FT-TS-Cashout-LG&amp;E'!$C97,'FT_Cashouts_IntraCo-PR'!$D$4:$D$130,'Apr11-Mar12 FT-TS-Cashout-LG&amp;E'!P$5)</f>
        <v>12462.349999999999</v>
      </c>
      <c r="Q97" s="999">
        <f>SUMIFS('FT_Cashouts_IntraCo-PR'!$F$4:$F$130,'FT_Cashouts_IntraCo-PR'!$A$4:$A$130,'Apr11-Mar12 FT-TS-Cashout-LG&amp;E'!$C97,'FT_Cashouts_IntraCo-PR'!$D$4:$D$130,'Apr11-Mar12 FT-TS-Cashout-LG&amp;E'!Q$5)</f>
        <v>16440.53</v>
      </c>
      <c r="R97" s="999">
        <f>SUMIFS('FT_Cashouts_IntraCo-PR'!$F$4:$F$130,'FT_Cashouts_IntraCo-PR'!$A$4:$A$130,'Apr11-Mar12 FT-TS-Cashout-LG&amp;E'!$C97,'FT_Cashouts_IntraCo-PR'!$D$4:$D$130,'Apr11-Mar12 FT-TS-Cashout-LG&amp;E'!R$5)</f>
        <v>15172.82</v>
      </c>
      <c r="S97" s="999">
        <f>SUMIFS('FT_Cashouts_IntraCo-PR'!$F$4:$F$130,'FT_Cashouts_IntraCo-PR'!$A$4:$A$130,'Apr11-Mar12 FT-TS-Cashout-LG&amp;E'!$C97,'FT_Cashouts_IntraCo-PR'!$D$4:$D$130,'Apr11-Mar12 FT-TS-Cashout-LG&amp;E'!S$5)</f>
        <v>15563.99</v>
      </c>
      <c r="T97" s="1001">
        <f>SUM(H97:S97)</f>
        <v>163193.04999999999</v>
      </c>
    </row>
    <row r="98" spans="2:20" x14ac:dyDescent="0.2">
      <c r="B98" s="561" t="str">
        <f>VLOOKUP($C98,'Retail Rates'!$B$46:$Q$55,13,FALSE)</f>
        <v>Special Contracts Industrial</v>
      </c>
      <c r="C98" s="633" t="s">
        <v>109</v>
      </c>
      <c r="D98" s="633" t="str">
        <f t="shared" si="26"/>
        <v>992</v>
      </c>
    </row>
    <row r="99" spans="2:20" x14ac:dyDescent="0.2">
      <c r="B99" s="561" t="str">
        <f>VLOOKUP($C99,'Retail Rates'!$B$46:$Q$55,13,FALSE)</f>
        <v>Special Contracts Industrial</v>
      </c>
      <c r="C99" s="633" t="s">
        <v>109</v>
      </c>
      <c r="D99" s="633" t="str">
        <f t="shared" si="26"/>
        <v>992</v>
      </c>
      <c r="F99" s="991" t="s">
        <v>386</v>
      </c>
      <c r="H99" s="999">
        <f>+H95-H97</f>
        <v>-7.3700000011740485E-3</v>
      </c>
      <c r="I99" s="999">
        <f t="shared" ref="I99:S99" si="34">+I95-I97</f>
        <v>-1.1700000031851232E-3</v>
      </c>
      <c r="J99" s="999">
        <f t="shared" si="34"/>
        <v>12843.933730000001</v>
      </c>
      <c r="K99" s="999">
        <f t="shared" si="34"/>
        <v>-2.1599999963655137E-3</v>
      </c>
      <c r="L99" s="999">
        <f t="shared" si="34"/>
        <v>-8.5099999996600673E-3</v>
      </c>
      <c r="M99" s="999">
        <f t="shared" si="34"/>
        <v>2.2599999992962694E-3</v>
      </c>
      <c r="N99" s="999">
        <f t="shared" si="34"/>
        <v>-7.3300000003655441E-3</v>
      </c>
      <c r="O99" s="999">
        <f t="shared" si="34"/>
        <v>-4.6599999986938201E-3</v>
      </c>
      <c r="P99" s="999">
        <f t="shared" si="34"/>
        <v>-8.3599999979924178E-3</v>
      </c>
      <c r="Q99" s="999">
        <f t="shared" si="34"/>
        <v>-9.1099999990547076E-3</v>
      </c>
      <c r="R99" s="999">
        <f t="shared" si="34"/>
        <v>-9.0700000000651926E-3</v>
      </c>
      <c r="S99" s="999">
        <f t="shared" si="34"/>
        <v>-1.0009999999965657E-2</v>
      </c>
      <c r="T99" s="1001">
        <f>SUM(H99:S99)</f>
        <v>12843.868240000003</v>
      </c>
    </row>
    <row r="100" spans="2:20" x14ac:dyDescent="0.2">
      <c r="C100" s="633"/>
      <c r="D100" s="633"/>
    </row>
    <row r="101" spans="2:20" ht="15" x14ac:dyDescent="0.25">
      <c r="C101" s="398"/>
      <c r="D101" s="633"/>
    </row>
    <row r="102" spans="2:20" x14ac:dyDescent="0.2">
      <c r="B102" s="984" t="s">
        <v>1097</v>
      </c>
      <c r="F102" s="324" t="s">
        <v>1164</v>
      </c>
    </row>
    <row r="103" spans="2:20" x14ac:dyDescent="0.2">
      <c r="B103" s="561" t="str">
        <f>VLOOKUP($C103,'Retail Rates'!$B$46:$Q$55,13,FALSE)</f>
        <v>Special Contracts Public Authority</v>
      </c>
      <c r="C103" s="633" t="s">
        <v>106</v>
      </c>
      <c r="D103" s="633" t="str">
        <f t="shared" ref="D103:D125" si="35">MID(C103,6,3)</f>
        <v>991</v>
      </c>
      <c r="F103" s="991" t="s">
        <v>429</v>
      </c>
      <c r="H103" s="1006">
        <v>7500</v>
      </c>
      <c r="I103" s="1006">
        <v>7500</v>
      </c>
      <c r="J103" s="1006">
        <v>7500</v>
      </c>
      <c r="K103" s="1006">
        <v>7500</v>
      </c>
      <c r="L103" s="1006">
        <v>7500</v>
      </c>
      <c r="M103" s="1006">
        <v>7500</v>
      </c>
      <c r="N103" s="1006">
        <v>7500</v>
      </c>
      <c r="O103" s="1006">
        <v>7500</v>
      </c>
      <c r="P103" s="1006">
        <v>7500</v>
      </c>
      <c r="Q103" s="1006">
        <v>7500</v>
      </c>
      <c r="R103" s="1006">
        <v>7500</v>
      </c>
      <c r="S103" s="1006">
        <v>7500</v>
      </c>
      <c r="T103" s="1046">
        <f>SUM(H103:S103)</f>
        <v>90000</v>
      </c>
    </row>
    <row r="104" spans="2:20" x14ac:dyDescent="0.2">
      <c r="B104" s="561" t="str">
        <f>VLOOKUP($C104,'Retail Rates'!$B$46:$Q$55,13,FALSE)</f>
        <v>Special Contracts Public Authority</v>
      </c>
      <c r="C104" s="633" t="s">
        <v>106</v>
      </c>
      <c r="D104" s="633" t="str">
        <f t="shared" si="35"/>
        <v>991</v>
      </c>
      <c r="F104" s="991" t="s">
        <v>408</v>
      </c>
      <c r="G104" s="987" t="s">
        <v>812</v>
      </c>
      <c r="H104" s="992">
        <f>SUMIFS('Data FT-TS-Cashout-Paddys'!$G$5:$G$756,'Data FT-TS-Cashout-Paddys'!$F$5:$F$756,'Apr11-Mar12 FT-TS-Cashout-LG&amp;E'!$G104,'Data FT-TS-Cashout-Paddys'!$A$5:$A$756,'Apr11-Mar12 FT-TS-Cashout-LG&amp;E'!H$4,'Data FT-TS-Cashout-Paddys'!$C$5:$C$756,'Apr11-Mar12 FT-TS-Cashout-LG&amp;E'!$C104,'Data FT-TS-Cashout-Paddys'!$E$5:$E$756,'Apr11-Mar12 FT-TS-Cashout-LG&amp;E'!H$6)/10</f>
        <v>55023</v>
      </c>
      <c r="I104" s="562">
        <v>41951</v>
      </c>
      <c r="J104" s="562">
        <v>10915.999999999998</v>
      </c>
      <c r="K104" s="992">
        <f>SUMIFS('Data FT-TS-Cashout-Paddys'!$G$5:$G$756,'Data FT-TS-Cashout-Paddys'!$F$5:$F$756,'Apr11-Mar12 FT-TS-Cashout-LG&amp;E'!$G104,'Data FT-TS-Cashout-Paddys'!$A$5:$A$756,'Apr11-Mar12 FT-TS-Cashout-LG&amp;E'!K$4,'Data FT-TS-Cashout-Paddys'!$C$5:$C$756,'Apr11-Mar12 FT-TS-Cashout-LG&amp;E'!$C104,'Data FT-TS-Cashout-Paddys'!$E$5:$E$756,'Apr11-Mar12 FT-TS-Cashout-LG&amp;E'!K$6)/10</f>
        <v>11220.1</v>
      </c>
      <c r="L104" s="992">
        <f>SUMIFS('Data FT-TS-Cashout-Paddys'!$G$5:$G$756,'Data FT-TS-Cashout-Paddys'!$F$5:$F$756,'Apr11-Mar12 FT-TS-Cashout-LG&amp;E'!$G104,'Data FT-TS-Cashout-Paddys'!$A$5:$A$756,'Apr11-Mar12 FT-TS-Cashout-LG&amp;E'!L$4,'Data FT-TS-Cashout-Paddys'!$C$5:$C$756,'Apr11-Mar12 FT-TS-Cashout-LG&amp;E'!$C104,'Data FT-TS-Cashout-Paddys'!$E$5:$E$756,'Apr11-Mar12 FT-TS-Cashout-LG&amp;E'!L$6)/10</f>
        <v>5436.6</v>
      </c>
      <c r="M104" s="992">
        <f>SUMIFS('Data FT-TS-Cashout-Paddys'!$G$5:$G$756,'Data FT-TS-Cashout-Paddys'!$F$5:$F$756,'Apr11-Mar12 FT-TS-Cashout-LG&amp;E'!$G104,'Data FT-TS-Cashout-Paddys'!$A$5:$A$756,'Apr11-Mar12 FT-TS-Cashout-LG&amp;E'!M$4,'Data FT-TS-Cashout-Paddys'!$C$5:$C$756,'Apr11-Mar12 FT-TS-Cashout-LG&amp;E'!$C104,'Data FT-TS-Cashout-Paddys'!$E$5:$E$756,'Apr11-Mar12 FT-TS-Cashout-LG&amp;E'!M$6)/10</f>
        <v>1205.8</v>
      </c>
      <c r="N104" s="992">
        <f>SUMIFS('Data FT-TS-Cashout-Paddys'!$G$5:$G$756,'Data FT-TS-Cashout-Paddys'!$F$5:$F$756,'Apr11-Mar12 FT-TS-Cashout-LG&amp;E'!$G104,'Data FT-TS-Cashout-Paddys'!$A$5:$A$756,'Apr11-Mar12 FT-TS-Cashout-LG&amp;E'!N$4,'Data FT-TS-Cashout-Paddys'!$C$5:$C$756,'Apr11-Mar12 FT-TS-Cashout-LG&amp;E'!$C104,'Data FT-TS-Cashout-Paddys'!$E$5:$E$756,'Apr11-Mar12 FT-TS-Cashout-LG&amp;E'!N$6)/10</f>
        <v>637</v>
      </c>
      <c r="O104" s="992">
        <f>SUMIFS('Data FT-TS-Cashout-Paddys'!$G$5:$G$756,'Data FT-TS-Cashout-Paddys'!$F$5:$F$756,'Apr11-Mar12 FT-TS-Cashout-LG&amp;E'!$G104,'Data FT-TS-Cashout-Paddys'!$A$5:$A$756,'Apr11-Mar12 FT-TS-Cashout-LG&amp;E'!O$4,'Data FT-TS-Cashout-Paddys'!$C$5:$C$756,'Apr11-Mar12 FT-TS-Cashout-LG&amp;E'!$C104,'Data FT-TS-Cashout-Paddys'!$E$5:$E$756,'Apr11-Mar12 FT-TS-Cashout-LG&amp;E'!O$6)/10</f>
        <v>471.1</v>
      </c>
      <c r="P104" s="992">
        <f>SUMIFS('Data FT-TS-Cashout-Paddys'!$G$5:$G$756,'Data FT-TS-Cashout-Paddys'!$F$5:$F$756,'Apr11-Mar12 FT-TS-Cashout-LG&amp;E'!$G104,'Data FT-TS-Cashout-Paddys'!$A$5:$A$756,'Apr11-Mar12 FT-TS-Cashout-LG&amp;E'!P$4,'Data FT-TS-Cashout-Paddys'!$C$5:$C$756,'Apr11-Mar12 FT-TS-Cashout-LG&amp;E'!$C104,'Data FT-TS-Cashout-Paddys'!$E$5:$E$756,'Apr11-Mar12 FT-TS-Cashout-LG&amp;E'!P$6)/10</f>
        <v>258</v>
      </c>
      <c r="Q104" s="992">
        <f>SUMIFS('Data FT-TS-Cashout-Paddys'!$G$5:$G$756,'Data FT-TS-Cashout-Paddys'!$F$5:$F$756,'Apr11-Mar12 FT-TS-Cashout-LG&amp;E'!$G104,'Data FT-TS-Cashout-Paddys'!$A$5:$A$756,'Apr11-Mar12 FT-TS-Cashout-LG&amp;E'!Q$4,'Data FT-TS-Cashout-Paddys'!$C$5:$C$756,'Apr11-Mar12 FT-TS-Cashout-LG&amp;E'!$C104,'Data FT-TS-Cashout-Paddys'!$E$5:$E$756,'Apr11-Mar12 FT-TS-Cashout-LG&amp;E'!Q$6)/10</f>
        <v>7660</v>
      </c>
      <c r="R104" s="992">
        <f>SUMIFS('Data FT-TS-Cashout-Paddys'!$G$5:$G$756,'Data FT-TS-Cashout-Paddys'!$F$5:$F$756,'Apr11-Mar12 FT-TS-Cashout-LG&amp;E'!$G104,'Data FT-TS-Cashout-Paddys'!$A$5:$A$756,'Apr11-Mar12 FT-TS-Cashout-LG&amp;E'!R$4,'Data FT-TS-Cashout-Paddys'!$C$5:$C$756,'Apr11-Mar12 FT-TS-Cashout-LG&amp;E'!$C104,'Data FT-TS-Cashout-Paddys'!$E$5:$E$756,'Apr11-Mar12 FT-TS-Cashout-LG&amp;E'!R$6)/10</f>
        <v>18978</v>
      </c>
      <c r="S104" s="992">
        <f>SUMIFS('Data FT-TS-Cashout-Paddys'!$G$5:$G$756,'Data FT-TS-Cashout-Paddys'!$F$5:$F$756,'Apr11-Mar12 FT-TS-Cashout-LG&amp;E'!$G104,'Data FT-TS-Cashout-Paddys'!$A$5:$A$756,'Apr11-Mar12 FT-TS-Cashout-LG&amp;E'!S$4,'Data FT-TS-Cashout-Paddys'!$C$5:$C$756,'Apr11-Mar12 FT-TS-Cashout-LG&amp;E'!$C104,'Data FT-TS-Cashout-Paddys'!$E$5:$E$756,'Apr11-Mar12 FT-TS-Cashout-LG&amp;E'!S$6)/10</f>
        <v>41756</v>
      </c>
      <c r="T104" s="1043">
        <f>SUM(H104:S104)</f>
        <v>195512.60000000003</v>
      </c>
    </row>
    <row r="105" spans="2:20" x14ac:dyDescent="0.2">
      <c r="B105" s="561" t="str">
        <f>VLOOKUP($C105,'Retail Rates'!$B$46:$Q$55,13,FALSE)</f>
        <v>Special Contracts Public Authority</v>
      </c>
      <c r="C105" s="633" t="s">
        <v>106</v>
      </c>
      <c r="D105" s="633" t="str">
        <f t="shared" si="35"/>
        <v>991</v>
      </c>
      <c r="F105" s="991" t="s">
        <v>262</v>
      </c>
      <c r="G105" s="561" t="s">
        <v>849</v>
      </c>
      <c r="H105" s="994">
        <v>0</v>
      </c>
      <c r="I105" s="994">
        <v>0</v>
      </c>
      <c r="J105" s="994">
        <v>0</v>
      </c>
      <c r="K105" s="994">
        <v>0</v>
      </c>
      <c r="L105" s="994">
        <v>0</v>
      </c>
      <c r="M105" s="994">
        <v>0</v>
      </c>
      <c r="N105" s="994">
        <v>0</v>
      </c>
      <c r="O105" s="994">
        <v>0</v>
      </c>
      <c r="P105" s="994">
        <v>0</v>
      </c>
      <c r="Q105" s="994">
        <v>0</v>
      </c>
      <c r="R105" s="994">
        <v>0</v>
      </c>
      <c r="S105" s="994">
        <v>0</v>
      </c>
    </row>
    <row r="106" spans="2:20" x14ac:dyDescent="0.2">
      <c r="B106" s="561" t="str">
        <f>VLOOKUP($C106,'Retail Rates'!$B$46:$Q$55,13,FALSE)</f>
        <v>Special Contracts Public Authority</v>
      </c>
      <c r="C106" s="633" t="s">
        <v>106</v>
      </c>
      <c r="D106" s="633" t="str">
        <f t="shared" si="35"/>
        <v>991</v>
      </c>
      <c r="F106" s="991" t="s">
        <v>409</v>
      </c>
      <c r="H106" s="994">
        <f>VLOOKUP($C106,'Retail Rates'!$B$45:$N$55,5,FALSE)</f>
        <v>230</v>
      </c>
      <c r="I106" s="994">
        <f>VLOOKUP($C106,'Retail Rates'!$B$45:$N$55,5,FALSE)</f>
        <v>230</v>
      </c>
      <c r="J106" s="994">
        <f>VLOOKUP($C106,'Retail Rates'!$B$45:$N$55,5,FALSE)</f>
        <v>230</v>
      </c>
      <c r="K106" s="994">
        <f>VLOOKUP($C106,'Retail Rates'!$B$45:$N$55,5,FALSE)</f>
        <v>230</v>
      </c>
      <c r="L106" s="994">
        <f>VLOOKUP($C106,'Retail Rates'!$B$45:$N$55,5,FALSE)</f>
        <v>230</v>
      </c>
      <c r="M106" s="994">
        <f>VLOOKUP($C106,'Retail Rates'!$B$45:$N$55,5,FALSE)</f>
        <v>230</v>
      </c>
      <c r="N106" s="994">
        <f>VLOOKUP($C106,'Retail Rates'!$B$45:$N$55,5,FALSE)</f>
        <v>230</v>
      </c>
      <c r="O106" s="994">
        <f>VLOOKUP($C106,'Retail Rates'!$B$45:$N$55,5,FALSE)</f>
        <v>230</v>
      </c>
      <c r="P106" s="994">
        <f>VLOOKUP($C106,'Retail Rates'!$B$45:$N$55,5,FALSE)</f>
        <v>230</v>
      </c>
      <c r="Q106" s="994">
        <f>VLOOKUP($C106,'Retail Rates'!$B$45:$N$55,5,FALSE)</f>
        <v>230</v>
      </c>
      <c r="R106" s="994">
        <f>VLOOKUP($C106,'Retail Rates'!$B$45:$N$55,5,FALSE)</f>
        <v>230</v>
      </c>
      <c r="S106" s="994">
        <f>VLOOKUP($C106,'Retail Rates'!$B$45:$N$55,5,FALSE)</f>
        <v>230</v>
      </c>
    </row>
    <row r="107" spans="2:20" x14ac:dyDescent="0.2">
      <c r="B107" s="561" t="str">
        <f>VLOOKUP($C107,'Retail Rates'!$B$46:$Q$55,13,FALSE)</f>
        <v>Special Contracts Public Authority</v>
      </c>
      <c r="C107" s="633" t="s">
        <v>106</v>
      </c>
      <c r="D107" s="633" t="str">
        <f t="shared" si="35"/>
        <v>991</v>
      </c>
      <c r="F107" s="991" t="s">
        <v>430</v>
      </c>
      <c r="H107" s="994">
        <f>VLOOKUP($C107,'Retail Rates'!$B$45:$N$55,11,FALSE)</f>
        <v>2.4300000000000002</v>
      </c>
      <c r="I107" s="994">
        <f>VLOOKUP($C107,'Retail Rates'!$B$45:$N$55,11,FALSE)</f>
        <v>2.4300000000000002</v>
      </c>
      <c r="J107" s="994">
        <f>VLOOKUP($C107,'Retail Rates'!$B$45:$N$55,11,FALSE)</f>
        <v>2.4300000000000002</v>
      </c>
      <c r="K107" s="994">
        <f>VLOOKUP($C107,'Retail Rates'!$B$45:$N$55,11,FALSE)</f>
        <v>2.4300000000000002</v>
      </c>
      <c r="L107" s="994">
        <f>VLOOKUP($C107,'Retail Rates'!$B$45:$N$55,11,FALSE)</f>
        <v>2.4300000000000002</v>
      </c>
      <c r="M107" s="994">
        <f>VLOOKUP($C107,'Retail Rates'!$B$45:$N$55,11,FALSE)</f>
        <v>2.4300000000000002</v>
      </c>
      <c r="N107" s="994">
        <f>VLOOKUP($C107,'Retail Rates'!$B$45:$N$55,11,FALSE)</f>
        <v>2.4300000000000002</v>
      </c>
      <c r="O107" s="994">
        <f>VLOOKUP($C107,'Retail Rates'!$B$45:$N$55,11,FALSE)</f>
        <v>2.4300000000000002</v>
      </c>
      <c r="P107" s="994">
        <f>VLOOKUP($C107,'Retail Rates'!$B$45:$N$55,11,FALSE)</f>
        <v>2.4300000000000002</v>
      </c>
      <c r="Q107" s="994">
        <f>VLOOKUP($C107,'Retail Rates'!$B$45:$N$55,11,FALSE)</f>
        <v>2.4300000000000002</v>
      </c>
      <c r="R107" s="994">
        <f>VLOOKUP($C107,'Retail Rates'!$B$45:$N$55,11,FALSE)</f>
        <v>2.4300000000000002</v>
      </c>
      <c r="S107" s="994">
        <f>VLOOKUP($C107,'Retail Rates'!$B$45:$N$55,11,FALSE)</f>
        <v>2.4300000000000002</v>
      </c>
    </row>
    <row r="108" spans="2:20" x14ac:dyDescent="0.2">
      <c r="B108" s="561" t="str">
        <f>VLOOKUP($C108,'Retail Rates'!$B$46:$Q$55,13,FALSE)</f>
        <v>Special Contracts Public Authority</v>
      </c>
      <c r="C108" s="633" t="s">
        <v>106</v>
      </c>
      <c r="D108" s="633" t="str">
        <f t="shared" si="35"/>
        <v>991</v>
      </c>
      <c r="F108" s="991" t="s">
        <v>6</v>
      </c>
      <c r="H108" s="995">
        <f>VLOOKUP($C108,'Retail Rates'!$B$45:$N$55,7,FALSE)</f>
        <v>4.87E-2</v>
      </c>
      <c r="I108" s="995">
        <f>VLOOKUP($C108,'Retail Rates'!$B$45:$N$55,7,FALSE)</f>
        <v>4.87E-2</v>
      </c>
      <c r="J108" s="995">
        <f>VLOOKUP($C108,'Retail Rates'!$B$45:$N$55,7,FALSE)</f>
        <v>4.87E-2</v>
      </c>
      <c r="K108" s="995">
        <f>VLOOKUP($C108,'Retail Rates'!$B$45:$N$55,7,FALSE)</f>
        <v>4.87E-2</v>
      </c>
      <c r="L108" s="995">
        <f>VLOOKUP($C108,'Retail Rates'!$B$45:$N$55,7,FALSE)</f>
        <v>4.87E-2</v>
      </c>
      <c r="M108" s="995">
        <f>VLOOKUP($C108,'Retail Rates'!$B$45:$N$55,7,FALSE)</f>
        <v>4.87E-2</v>
      </c>
      <c r="N108" s="995">
        <f>VLOOKUP($C108,'Retail Rates'!$B$45:$N$55,7,FALSE)</f>
        <v>4.87E-2</v>
      </c>
      <c r="O108" s="995">
        <f>VLOOKUP($C108,'Retail Rates'!$B$45:$N$55,7,FALSE)</f>
        <v>4.87E-2</v>
      </c>
      <c r="P108" s="995">
        <f>VLOOKUP($C108,'Retail Rates'!$B$45:$N$55,7,FALSE)</f>
        <v>4.87E-2</v>
      </c>
      <c r="Q108" s="995">
        <f>VLOOKUP($C108,'Retail Rates'!$B$45:$N$55,7,FALSE)</f>
        <v>4.87E-2</v>
      </c>
      <c r="R108" s="995">
        <f>VLOOKUP($C108,'Retail Rates'!$B$45:$N$55,7,FALSE)</f>
        <v>4.87E-2</v>
      </c>
      <c r="S108" s="995">
        <f>VLOOKUP($C108,'Retail Rates'!$B$45:$N$55,7,FALSE)</f>
        <v>4.87E-2</v>
      </c>
    </row>
    <row r="109" spans="2:20" x14ac:dyDescent="0.2">
      <c r="B109" s="561" t="str">
        <f>VLOOKUP($C109,'Retail Rates'!$B$46:$Q$55,13,FALSE)</f>
        <v>Special Contracts Public Authority</v>
      </c>
      <c r="C109" s="633" t="s">
        <v>106</v>
      </c>
      <c r="D109" s="633" t="str">
        <f t="shared" si="35"/>
        <v>991</v>
      </c>
      <c r="F109" s="991" t="s">
        <v>418</v>
      </c>
      <c r="H109" s="995">
        <f>SUMIF('GSC-DSM Factors'!$A$14:$A$44,'Apr11-Mar12 FT-TS-Cashout-LG&amp;E'!H$5,'GSC-DSM Factors'!$I$14:$I$44)</f>
        <v>0.17199999999999999</v>
      </c>
      <c r="I109" s="995">
        <f>SUMIF('GSC-DSM Factors'!$A$14:$A$44,'Apr11-Mar12 FT-TS-Cashout-LG&amp;E'!I$5,'GSC-DSM Factors'!$I$14:$I$44)</f>
        <v>0.17219999999999999</v>
      </c>
      <c r="J109" s="995">
        <f>SUMIF('GSC-DSM Factors'!$A$14:$A$44,'Apr11-Mar12 FT-TS-Cashout-LG&amp;E'!J$5,'GSC-DSM Factors'!$I$14:$I$44)</f>
        <v>0.17219999999999999</v>
      </c>
      <c r="K109" s="995">
        <f>SUMIF('GSC-DSM Factors'!$A$14:$A$44,'Apr11-Mar12 FT-TS-Cashout-LG&amp;E'!K$5,'GSC-DSM Factors'!$I$14:$I$44)</f>
        <v>0.1847</v>
      </c>
      <c r="L109" s="995">
        <f>SUMIF('GSC-DSM Factors'!$A$14:$A$44,'Apr11-Mar12 FT-TS-Cashout-LG&amp;E'!L$5,'GSC-DSM Factors'!$I$14:$I$44)</f>
        <v>0.185</v>
      </c>
      <c r="M109" s="995">
        <f>SUMIF('GSC-DSM Factors'!$A$14:$A$44,'Apr11-Mar12 FT-TS-Cashout-LG&amp;E'!M$5,'GSC-DSM Factors'!$I$14:$I$44)</f>
        <v>0.185</v>
      </c>
      <c r="N109" s="995">
        <f>SUMIF('GSC-DSM Factors'!$A$14:$A$44,'Apr11-Mar12 FT-TS-Cashout-LG&amp;E'!N$5,'GSC-DSM Factors'!$I$14:$I$44)</f>
        <v>0.185</v>
      </c>
      <c r="O109" s="995">
        <f>SUMIF('GSC-DSM Factors'!$A$14:$A$44,'Apr11-Mar12 FT-TS-Cashout-LG&amp;E'!O$5,'GSC-DSM Factors'!$I$14:$I$44)</f>
        <v>0.18459999999999999</v>
      </c>
      <c r="P109" s="995">
        <f>SUMIF('GSC-DSM Factors'!$A$14:$A$44,'Apr11-Mar12 FT-TS-Cashout-LG&amp;E'!P$5,'GSC-DSM Factors'!$I$14:$I$44)</f>
        <v>0.18459999999999999</v>
      </c>
      <c r="Q109" s="995">
        <f>SUMIF('GSC-DSM Factors'!$A$14:$A$44,'Apr11-Mar12 FT-TS-Cashout-LG&amp;E'!Q$5,'GSC-DSM Factors'!$I$14:$I$44)</f>
        <v>0.18459999999999999</v>
      </c>
      <c r="R109" s="995">
        <f>SUMIF('GSC-DSM Factors'!$A$14:$A$44,'Apr11-Mar12 FT-TS-Cashout-LG&amp;E'!R$5,'GSC-DSM Factors'!$I$14:$I$44)</f>
        <v>0.17199999999999999</v>
      </c>
      <c r="S109" s="995">
        <f>SUMIF('GSC-DSM Factors'!$A$14:$A$44,'Apr11-Mar12 FT-TS-Cashout-LG&amp;E'!S$5,'GSC-DSM Factors'!$I$14:$I$44)</f>
        <v>0.17199999999999999</v>
      </c>
    </row>
    <row r="110" spans="2:20" x14ac:dyDescent="0.2">
      <c r="B110" s="561" t="str">
        <f>VLOOKUP($C110,'Retail Rates'!$B$46:$Q$55,13,FALSE)</f>
        <v>Special Contracts Public Authority</v>
      </c>
      <c r="C110" s="633" t="s">
        <v>106</v>
      </c>
      <c r="D110" s="633" t="str">
        <f t="shared" si="35"/>
        <v>991</v>
      </c>
      <c r="F110" s="991" t="s">
        <v>419</v>
      </c>
      <c r="H110" s="995">
        <f>VLOOKUP($C110,'Retail Rates'!$B$45:$N$55,10,FALSE)</f>
        <v>0.18329999999999999</v>
      </c>
      <c r="I110" s="995">
        <f>VLOOKUP($C110,'Retail Rates'!$B$45:$N$55,10,FALSE)</f>
        <v>0.18329999999999999</v>
      </c>
      <c r="J110" s="995">
        <f>VLOOKUP($C110,'Retail Rates'!$B$45:$N$55,10,FALSE)</f>
        <v>0.18329999999999999</v>
      </c>
      <c r="K110" s="995">
        <f>VLOOKUP($C110,'Retail Rates'!$B$45:$N$55,10,FALSE)</f>
        <v>0.18329999999999999</v>
      </c>
      <c r="L110" s="995">
        <f>VLOOKUP($C110,'Retail Rates'!$B$45:$N$55,10,FALSE)</f>
        <v>0.18329999999999999</v>
      </c>
      <c r="M110" s="995">
        <f>VLOOKUP($C110,'Retail Rates'!$B$45:$N$55,10,FALSE)</f>
        <v>0.18329999999999999</v>
      </c>
      <c r="N110" s="995">
        <f>VLOOKUP($C110,'Retail Rates'!$B$45:$N$55,10,FALSE)</f>
        <v>0.18329999999999999</v>
      </c>
      <c r="O110" s="995">
        <f>VLOOKUP($C110,'Retail Rates'!$B$45:$N$55,10,FALSE)</f>
        <v>0.18329999999999999</v>
      </c>
      <c r="P110" s="995">
        <f>VLOOKUP($C110,'Retail Rates'!$B$45:$N$55,10,FALSE)</f>
        <v>0.18329999999999999</v>
      </c>
      <c r="Q110" s="995">
        <f>VLOOKUP($C110,'Retail Rates'!$B$45:$N$55,10,FALSE)</f>
        <v>0.18329999999999999</v>
      </c>
      <c r="R110" s="995">
        <f>VLOOKUP($C110,'Retail Rates'!$B$45:$N$55,10,FALSE)</f>
        <v>0.18329999999999999</v>
      </c>
      <c r="S110" s="995">
        <f>VLOOKUP($C110,'Retail Rates'!$B$45:$N$55,10,FALSE)</f>
        <v>0.18329999999999999</v>
      </c>
    </row>
    <row r="111" spans="2:20" x14ac:dyDescent="0.2">
      <c r="B111" s="561" t="str">
        <f>VLOOKUP($C111,'Retail Rates'!$B$46:$Q$55,13,FALSE)</f>
        <v>Special Contracts Public Authority</v>
      </c>
      <c r="C111" s="633" t="s">
        <v>106</v>
      </c>
      <c r="D111" s="633" t="str">
        <f t="shared" si="35"/>
        <v>991</v>
      </c>
      <c r="F111" s="991"/>
    </row>
    <row r="112" spans="2:20" x14ac:dyDescent="0.2">
      <c r="B112" s="561" t="str">
        <f>VLOOKUP($C112,'Retail Rates'!$B$46:$Q$55,13,FALSE)</f>
        <v>Special Contracts Public Authority</v>
      </c>
      <c r="C112" s="633" t="s">
        <v>106</v>
      </c>
      <c r="D112" s="633" t="str">
        <f t="shared" si="35"/>
        <v>991</v>
      </c>
      <c r="F112" s="998" t="s">
        <v>412</v>
      </c>
    </row>
    <row r="113" spans="2:24" x14ac:dyDescent="0.2">
      <c r="B113" s="561" t="str">
        <f>VLOOKUP($C113,'Retail Rates'!$B$46:$Q$55,13,FALSE)</f>
        <v>Special Contracts Public Authority</v>
      </c>
      <c r="C113" s="633" t="s">
        <v>106</v>
      </c>
      <c r="D113" s="633" t="str">
        <f t="shared" si="35"/>
        <v>991</v>
      </c>
      <c r="F113" s="991" t="s">
        <v>431</v>
      </c>
      <c r="H113" s="999">
        <f>+H103*H107</f>
        <v>18225</v>
      </c>
      <c r="I113" s="999">
        <f t="shared" ref="I113:S113" si="36">+I103*I107</f>
        <v>18225</v>
      </c>
      <c r="J113" s="999">
        <f t="shared" si="36"/>
        <v>18225</v>
      </c>
      <c r="K113" s="999">
        <f t="shared" si="36"/>
        <v>18225</v>
      </c>
      <c r="L113" s="999">
        <f t="shared" si="36"/>
        <v>18225</v>
      </c>
      <c r="M113" s="999">
        <f t="shared" si="36"/>
        <v>18225</v>
      </c>
      <c r="N113" s="999">
        <f t="shared" si="36"/>
        <v>18225</v>
      </c>
      <c r="O113" s="999">
        <f t="shared" si="36"/>
        <v>18225</v>
      </c>
      <c r="P113" s="999">
        <f t="shared" si="36"/>
        <v>18225</v>
      </c>
      <c r="Q113" s="999">
        <f t="shared" si="36"/>
        <v>18225</v>
      </c>
      <c r="R113" s="999">
        <f t="shared" si="36"/>
        <v>18225</v>
      </c>
      <c r="S113" s="999">
        <f t="shared" si="36"/>
        <v>18225</v>
      </c>
      <c r="T113" s="1001">
        <f t="shared" ref="T113:T121" si="37">SUM(H113:S113)</f>
        <v>218700</v>
      </c>
      <c r="U113" s="999"/>
    </row>
    <row r="114" spans="2:24" x14ac:dyDescent="0.2">
      <c r="B114" s="561" t="str">
        <f>VLOOKUP($C114,'Retail Rates'!$B$46:$Q$55,13,FALSE)</f>
        <v>Special Contracts Public Authority</v>
      </c>
      <c r="C114" s="633" t="s">
        <v>106</v>
      </c>
      <c r="D114" s="633" t="str">
        <f t="shared" si="35"/>
        <v>991</v>
      </c>
      <c r="F114" s="991" t="s">
        <v>414</v>
      </c>
      <c r="H114" s="1000">
        <f>H104*H108</f>
        <v>2679.6201000000001</v>
      </c>
      <c r="I114" s="1000">
        <f t="shared" ref="I114:S114" si="38">I104*I108</f>
        <v>2043.0137</v>
      </c>
      <c r="J114" s="1000">
        <f t="shared" si="38"/>
        <v>531.60919999999987</v>
      </c>
      <c r="K114" s="1000">
        <f t="shared" si="38"/>
        <v>546.41886999999997</v>
      </c>
      <c r="L114" s="1000">
        <f t="shared" si="38"/>
        <v>264.76242000000002</v>
      </c>
      <c r="M114" s="1000">
        <f t="shared" si="38"/>
        <v>58.722459999999998</v>
      </c>
      <c r="N114" s="1000">
        <f t="shared" si="38"/>
        <v>31.021899999999999</v>
      </c>
      <c r="O114" s="1000">
        <f t="shared" si="38"/>
        <v>22.94257</v>
      </c>
      <c r="P114" s="1000">
        <f t="shared" si="38"/>
        <v>12.5646</v>
      </c>
      <c r="Q114" s="1000">
        <f t="shared" si="38"/>
        <v>373.04200000000003</v>
      </c>
      <c r="R114" s="1000">
        <f t="shared" si="38"/>
        <v>924.22860000000003</v>
      </c>
      <c r="S114" s="1000">
        <f t="shared" si="38"/>
        <v>2033.5172</v>
      </c>
      <c r="T114" s="1001">
        <f t="shared" si="37"/>
        <v>9521.4636200000004</v>
      </c>
      <c r="U114" s="999"/>
    </row>
    <row r="115" spans="2:24" x14ac:dyDescent="0.2">
      <c r="B115" s="561" t="str">
        <f>VLOOKUP($C115,'Retail Rates'!$B$46:$Q$55,13,FALSE)</f>
        <v>Special Contracts Public Authority</v>
      </c>
      <c r="C115" s="633" t="s">
        <v>106</v>
      </c>
      <c r="D115" s="633" t="str">
        <f t="shared" si="35"/>
        <v>991</v>
      </c>
      <c r="F115" s="991" t="s">
        <v>424</v>
      </c>
      <c r="H115" s="999">
        <f>SUM(H113:H114)</f>
        <v>20904.6201</v>
      </c>
      <c r="I115" s="999">
        <f t="shared" ref="I115:S115" si="39">SUM(I113:I114)</f>
        <v>20268.0137</v>
      </c>
      <c r="J115" s="999">
        <f t="shared" si="39"/>
        <v>18756.609199999999</v>
      </c>
      <c r="K115" s="999">
        <f t="shared" si="39"/>
        <v>18771.418870000001</v>
      </c>
      <c r="L115" s="999">
        <f t="shared" si="39"/>
        <v>18489.762419999999</v>
      </c>
      <c r="M115" s="999">
        <f t="shared" si="39"/>
        <v>18283.722460000001</v>
      </c>
      <c r="N115" s="999">
        <f t="shared" si="39"/>
        <v>18256.0219</v>
      </c>
      <c r="O115" s="999">
        <f t="shared" si="39"/>
        <v>18247.942569999999</v>
      </c>
      <c r="P115" s="999">
        <f t="shared" si="39"/>
        <v>18237.564600000002</v>
      </c>
      <c r="Q115" s="999">
        <f t="shared" si="39"/>
        <v>18598.042000000001</v>
      </c>
      <c r="R115" s="999">
        <f t="shared" si="39"/>
        <v>19149.228599999999</v>
      </c>
      <c r="S115" s="999">
        <f t="shared" si="39"/>
        <v>20258.517199999998</v>
      </c>
      <c r="T115" s="1001">
        <f t="shared" si="37"/>
        <v>228221.46362000002</v>
      </c>
    </row>
    <row r="116" spans="2:24" x14ac:dyDescent="0.2">
      <c r="B116" s="561" t="str">
        <f>VLOOKUP($C116,'Retail Rates'!$B$46:$Q$55,13,FALSE)</f>
        <v>Special Contracts Public Authority</v>
      </c>
      <c r="C116" s="633" t="s">
        <v>106</v>
      </c>
      <c r="D116" s="633" t="str">
        <f t="shared" si="35"/>
        <v>991</v>
      </c>
      <c r="F116" s="991" t="s">
        <v>413</v>
      </c>
      <c r="H116" s="1007">
        <f>+H106</f>
        <v>230</v>
      </c>
      <c r="I116" s="1007">
        <f t="shared" ref="I116:S116" si="40">+I106</f>
        <v>230</v>
      </c>
      <c r="J116" s="1007">
        <f t="shared" si="40"/>
        <v>230</v>
      </c>
      <c r="K116" s="1007">
        <f t="shared" si="40"/>
        <v>230</v>
      </c>
      <c r="L116" s="1007">
        <f t="shared" si="40"/>
        <v>230</v>
      </c>
      <c r="M116" s="1007">
        <f t="shared" si="40"/>
        <v>230</v>
      </c>
      <c r="N116" s="1007">
        <f t="shared" si="40"/>
        <v>230</v>
      </c>
      <c r="O116" s="1007">
        <f t="shared" si="40"/>
        <v>230</v>
      </c>
      <c r="P116" s="1007">
        <f t="shared" si="40"/>
        <v>230</v>
      </c>
      <c r="Q116" s="1007">
        <f t="shared" si="40"/>
        <v>230</v>
      </c>
      <c r="R116" s="1007">
        <f t="shared" si="40"/>
        <v>230</v>
      </c>
      <c r="S116" s="1007">
        <f t="shared" si="40"/>
        <v>230</v>
      </c>
      <c r="T116" s="1001">
        <f t="shared" si="37"/>
        <v>2760</v>
      </c>
      <c r="U116" s="999"/>
      <c r="V116" s="999"/>
    </row>
    <row r="117" spans="2:24" x14ac:dyDescent="0.2">
      <c r="B117" s="561" t="str">
        <f>VLOOKUP($C117,'Retail Rates'!$B$46:$Q$55,13,FALSE)</f>
        <v>Special Contracts Public Authority</v>
      </c>
      <c r="C117" s="633" t="s">
        <v>106</v>
      </c>
      <c r="D117" s="633" t="str">
        <f t="shared" si="35"/>
        <v>991</v>
      </c>
      <c r="F117" s="991" t="s">
        <v>424</v>
      </c>
      <c r="H117" s="999">
        <f>SUM(H115:H116)</f>
        <v>21134.6201</v>
      </c>
      <c r="I117" s="999">
        <f t="shared" ref="I117:S117" si="41">SUM(I115:I116)</f>
        <v>20498.0137</v>
      </c>
      <c r="J117" s="999">
        <f t="shared" si="41"/>
        <v>18986.609199999999</v>
      </c>
      <c r="K117" s="999">
        <f t="shared" si="41"/>
        <v>19001.418870000001</v>
      </c>
      <c r="L117" s="999">
        <f t="shared" si="41"/>
        <v>18719.762419999999</v>
      </c>
      <c r="M117" s="999">
        <f t="shared" si="41"/>
        <v>18513.722460000001</v>
      </c>
      <c r="N117" s="999">
        <f t="shared" si="41"/>
        <v>18486.0219</v>
      </c>
      <c r="O117" s="999">
        <f t="shared" si="41"/>
        <v>18477.942569999999</v>
      </c>
      <c r="P117" s="999">
        <f t="shared" si="41"/>
        <v>18467.564600000002</v>
      </c>
      <c r="Q117" s="999">
        <f t="shared" si="41"/>
        <v>18828.042000000001</v>
      </c>
      <c r="R117" s="999">
        <f t="shared" si="41"/>
        <v>19379.228599999999</v>
      </c>
      <c r="S117" s="999">
        <f t="shared" si="41"/>
        <v>20488.517199999998</v>
      </c>
      <c r="T117" s="1001">
        <f t="shared" si="37"/>
        <v>230981.46362000002</v>
      </c>
    </row>
    <row r="118" spans="2:24" x14ac:dyDescent="0.2">
      <c r="B118" s="561" t="str">
        <f>VLOOKUP($C118,'Retail Rates'!$B$46:$Q$55,13,FALSE)</f>
        <v>Special Contracts Public Authority</v>
      </c>
      <c r="C118" s="633" t="s">
        <v>106</v>
      </c>
      <c r="D118" s="633" t="str">
        <f t="shared" si="35"/>
        <v>991</v>
      </c>
      <c r="F118" s="991" t="s">
        <v>418</v>
      </c>
      <c r="G118" s="987" t="s">
        <v>830</v>
      </c>
      <c r="H118" s="624">
        <v>807.72919999999999</v>
      </c>
      <c r="I118" s="624">
        <v>665.69075999999995</v>
      </c>
      <c r="J118" s="624">
        <v>300.24801687763716</v>
      </c>
      <c r="K118" s="624">
        <v>882.66282999999999</v>
      </c>
      <c r="L118" s="624">
        <v>461.90800000000002</v>
      </c>
      <c r="M118" s="624">
        <v>201.96450000000002</v>
      </c>
      <c r="N118" s="624">
        <v>94.572000000000003</v>
      </c>
      <c r="O118" s="624">
        <v>57.336759999999998</v>
      </c>
      <c r="P118" s="624">
        <v>93.038399999999996</v>
      </c>
      <c r="Q118" s="624">
        <v>821.37769999999989</v>
      </c>
      <c r="R118" s="624">
        <v>1204.2579999999998</v>
      </c>
      <c r="S118" s="624">
        <v>662.13119999999992</v>
      </c>
      <c r="T118" s="1001">
        <f t="shared" si="37"/>
        <v>6252.9173668776366</v>
      </c>
    </row>
    <row r="119" spans="2:24" x14ac:dyDescent="0.2">
      <c r="B119" s="561" t="str">
        <f>VLOOKUP($C119,'Retail Rates'!$B$46:$Q$55,13,FALSE)</f>
        <v>Special Contracts Public Authority</v>
      </c>
      <c r="C119" s="633" t="s">
        <v>106</v>
      </c>
      <c r="D119" s="633" t="str">
        <f t="shared" si="35"/>
        <v>991</v>
      </c>
      <c r="F119" s="991" t="s">
        <v>419</v>
      </c>
      <c r="H119" s="624">
        <v>860.79512999999997</v>
      </c>
      <c r="I119" s="624">
        <v>708.60113999999999</v>
      </c>
      <c r="J119" s="624">
        <v>319.60198312236287</v>
      </c>
      <c r="K119" s="624">
        <v>875.97236999999984</v>
      </c>
      <c r="L119" s="624">
        <v>457.66344000000004</v>
      </c>
      <c r="M119" s="624">
        <v>200.10861</v>
      </c>
      <c r="N119" s="624">
        <v>93.70295999999999</v>
      </c>
      <c r="O119" s="624">
        <v>56.932980000000001</v>
      </c>
      <c r="P119" s="624">
        <v>92.383200000000002</v>
      </c>
      <c r="Q119" s="624">
        <v>815.59334999999999</v>
      </c>
      <c r="R119" s="624">
        <v>1283.3749499999999</v>
      </c>
      <c r="S119" s="624">
        <v>705.63167999999996</v>
      </c>
      <c r="T119" s="1001">
        <f>ROUND(SUM(H119:S119),2)</f>
        <v>6470.36</v>
      </c>
      <c r="V119" s="999"/>
    </row>
    <row r="120" spans="2:24" x14ac:dyDescent="0.2">
      <c r="B120" s="561" t="str">
        <f>VLOOKUP($C120,'Retail Rates'!$B$46:$Q$55,13,FALSE)</f>
        <v>Special Contracts Public Authority</v>
      </c>
      <c r="C120" s="633" t="s">
        <v>106</v>
      </c>
      <c r="D120" s="633" t="str">
        <f t="shared" si="35"/>
        <v>991</v>
      </c>
      <c r="F120" s="991" t="s">
        <v>421</v>
      </c>
      <c r="H120" s="1005"/>
      <c r="I120" s="1005"/>
      <c r="J120" s="1005"/>
      <c r="K120" s="1005"/>
      <c r="L120" s="1005"/>
      <c r="M120" s="1005"/>
      <c r="N120" s="1005"/>
      <c r="O120" s="1005"/>
      <c r="P120" s="1005"/>
      <c r="Q120" s="1005"/>
      <c r="R120" s="1005"/>
      <c r="S120" s="1005"/>
      <c r="T120" s="1001">
        <f t="shared" si="37"/>
        <v>0</v>
      </c>
    </row>
    <row r="121" spans="2:24" x14ac:dyDescent="0.2">
      <c r="B121" s="561" t="str">
        <f>VLOOKUP($C121,'Retail Rates'!$B$46:$Q$55,13,FALSE)</f>
        <v>Special Contracts Public Authority</v>
      </c>
      <c r="C121" s="633" t="s">
        <v>106</v>
      </c>
      <c r="D121" s="633" t="str">
        <f t="shared" si="35"/>
        <v>991</v>
      </c>
      <c r="F121" s="991" t="s">
        <v>433</v>
      </c>
      <c r="H121" s="999">
        <f>SUM(H117:H120)</f>
        <v>22803.14443</v>
      </c>
      <c r="I121" s="999">
        <f t="shared" ref="I121:S121" si="42">SUM(I117:I120)</f>
        <v>21872.3056</v>
      </c>
      <c r="J121" s="999">
        <f t="shared" si="42"/>
        <v>19606.459200000001</v>
      </c>
      <c r="K121" s="999">
        <f t="shared" si="42"/>
        <v>20760.054070000002</v>
      </c>
      <c r="L121" s="999">
        <f t="shared" si="42"/>
        <v>19639.333859999999</v>
      </c>
      <c r="M121" s="999">
        <f t="shared" si="42"/>
        <v>18915.795569999998</v>
      </c>
      <c r="N121" s="999">
        <f t="shared" si="42"/>
        <v>18674.296859999999</v>
      </c>
      <c r="O121" s="999">
        <f t="shared" si="42"/>
        <v>18592.212309999999</v>
      </c>
      <c r="P121" s="999">
        <f t="shared" si="42"/>
        <v>18652.986200000003</v>
      </c>
      <c r="Q121" s="999">
        <f t="shared" si="42"/>
        <v>20465.013050000001</v>
      </c>
      <c r="R121" s="999">
        <f t="shared" si="42"/>
        <v>21866.861549999998</v>
      </c>
      <c r="S121" s="999">
        <f t="shared" si="42"/>
        <v>21856.280079999997</v>
      </c>
      <c r="T121" s="1001">
        <f t="shared" si="37"/>
        <v>243704.74278000003</v>
      </c>
    </row>
    <row r="122" spans="2:24" x14ac:dyDescent="0.2">
      <c r="B122" s="561" t="str">
        <f>VLOOKUP($C122,'Retail Rates'!$B$46:$Q$55,13,FALSE)</f>
        <v>Special Contracts Public Authority</v>
      </c>
      <c r="C122" s="633" t="s">
        <v>106</v>
      </c>
      <c r="D122" s="633" t="str">
        <f t="shared" si="35"/>
        <v>991</v>
      </c>
      <c r="F122" s="991"/>
    </row>
    <row r="123" spans="2:24" x14ac:dyDescent="0.2">
      <c r="B123" s="561" t="str">
        <f>VLOOKUP($C123,'Retail Rates'!$B$46:$Q$55,13,FALSE)</f>
        <v>Special Contracts Public Authority</v>
      </c>
      <c r="C123" s="633" t="s">
        <v>106</v>
      </c>
      <c r="D123" s="633" t="str">
        <f t="shared" si="35"/>
        <v>991</v>
      </c>
      <c r="F123" s="991" t="s">
        <v>841</v>
      </c>
      <c r="H123" s="999">
        <f>SUMIFS('FT_Cashouts_IntraCo-PR'!$F$4:$F$130,'FT_Cashouts_IntraCo-PR'!$A$4:$A$130,'Apr11-Mar12 FT-TS-Cashout-LG&amp;E'!$C123,'FT_Cashouts_IntraCo-PR'!$D$4:$D$130,'Apr11-Mar12 FT-TS-Cashout-LG&amp;E'!H$5)</f>
        <v>22803.14</v>
      </c>
      <c r="I123" s="999">
        <f>SUMIFS('FT_Cashouts_IntraCo-PR'!$F$4:$F$130,'FT_Cashouts_IntraCo-PR'!$A$4:$A$130,'Apr11-Mar12 FT-TS-Cashout-LG&amp;E'!$C123,'FT_Cashouts_IntraCo-PR'!$D$4:$D$130,'Apr11-Mar12 FT-TS-Cashout-LG&amp;E'!I$5)</f>
        <v>21872.300000000003</v>
      </c>
      <c r="J123" s="999">
        <f>SUMIFS('FT_Cashouts_IntraCo-PR'!$F$4:$F$130,'FT_Cashouts_IntraCo-PR'!$A$4:$A$130,'Apr11-Mar12 FT-TS-Cashout-LG&amp;E'!$C123,'FT_Cashouts_IntraCo-PR'!$D$4:$D$130,'Apr11-Mar12 FT-TS-Cashout-LG&amp;E'!J$5)</f>
        <v>0</v>
      </c>
      <c r="K123" s="999">
        <f>SUMIFS('FT_Cashouts_IntraCo-PR'!$F$4:$F$130,'FT_Cashouts_IntraCo-PR'!$A$4:$A$130,'Apr11-Mar12 FT-TS-Cashout-LG&amp;E'!$C123,'FT_Cashouts_IntraCo-PR'!$D$4:$D$130,'Apr11-Mar12 FT-TS-Cashout-LG&amp;E'!K$5)</f>
        <v>20760.059999999998</v>
      </c>
      <c r="L123" s="999">
        <f>SUMIFS('FT_Cashouts_IntraCo-PR'!$F$4:$F$130,'FT_Cashouts_IntraCo-PR'!$A$4:$A$130,'Apr11-Mar12 FT-TS-Cashout-LG&amp;E'!$C123,'FT_Cashouts_IntraCo-PR'!$D$4:$D$130,'Apr11-Mar12 FT-TS-Cashout-LG&amp;E'!L$5)</f>
        <v>19639.329999999998</v>
      </c>
      <c r="M123" s="999">
        <f>SUMIFS('FT_Cashouts_IntraCo-PR'!$F$4:$F$130,'FT_Cashouts_IntraCo-PR'!$A$4:$A$130,'Apr11-Mar12 FT-TS-Cashout-LG&amp;E'!$C123,'FT_Cashouts_IntraCo-PR'!$D$4:$D$130,'Apr11-Mar12 FT-TS-Cashout-LG&amp;E'!M$5)</f>
        <v>18915.79</v>
      </c>
      <c r="N123" s="999">
        <f>SUMIFS('FT_Cashouts_IntraCo-PR'!$F$4:$F$130,'FT_Cashouts_IntraCo-PR'!$A$4:$A$130,'Apr11-Mar12 FT-TS-Cashout-LG&amp;E'!$C123,'FT_Cashouts_IntraCo-PR'!$D$4:$D$130,'Apr11-Mar12 FT-TS-Cashout-LG&amp;E'!N$5)</f>
        <v>18674.29</v>
      </c>
      <c r="O123" s="999">
        <f>SUMIFS('FT_Cashouts_IntraCo-PR'!$F$4:$F$130,'FT_Cashouts_IntraCo-PR'!$A$4:$A$130,'Apr11-Mar12 FT-TS-Cashout-LG&amp;E'!$C123,'FT_Cashouts_IntraCo-PR'!$D$4:$D$130,'Apr11-Mar12 FT-TS-Cashout-LG&amp;E'!O$5)</f>
        <v>18592.21</v>
      </c>
      <c r="P123" s="999">
        <f>SUMIFS('FT_Cashouts_IntraCo-PR'!$F$4:$F$130,'FT_Cashouts_IntraCo-PR'!$A$4:$A$130,'Apr11-Mar12 FT-TS-Cashout-LG&amp;E'!$C123,'FT_Cashouts_IntraCo-PR'!$D$4:$D$130,'Apr11-Mar12 FT-TS-Cashout-LG&amp;E'!P$5)</f>
        <v>18652.98</v>
      </c>
      <c r="Q123" s="999">
        <f>SUMIFS('FT_Cashouts_IntraCo-PR'!$F$4:$F$130,'FT_Cashouts_IntraCo-PR'!$A$4:$A$130,'Apr11-Mar12 FT-TS-Cashout-LG&amp;E'!$C123,'FT_Cashouts_IntraCo-PR'!$D$4:$D$130,'Apr11-Mar12 FT-TS-Cashout-LG&amp;E'!Q$5)</f>
        <v>20465.010000000002</v>
      </c>
      <c r="R123" s="999">
        <f>SUMIFS('FT_Cashouts_IntraCo-PR'!$F$4:$F$130,'FT_Cashouts_IntraCo-PR'!$A$4:$A$130,'Apr11-Mar12 FT-TS-Cashout-LG&amp;E'!$C123,'FT_Cashouts_IntraCo-PR'!$D$4:$D$130,'Apr11-Mar12 FT-TS-Cashout-LG&amp;E'!R$5)</f>
        <v>21866.86</v>
      </c>
      <c r="S123" s="999">
        <f>SUMIFS('FT_Cashouts_IntraCo-PR'!$F$4:$F$130,'FT_Cashouts_IntraCo-PR'!$A$4:$A$130,'Apr11-Mar12 FT-TS-Cashout-LG&amp;E'!$C123,'FT_Cashouts_IntraCo-PR'!$D$4:$D$130,'Apr11-Mar12 FT-TS-Cashout-LG&amp;E'!S$5)</f>
        <v>21856.29</v>
      </c>
      <c r="T123" s="1001">
        <f>SUM(H123:S123)</f>
        <v>224098.26000000004</v>
      </c>
    </row>
    <row r="124" spans="2:24" x14ac:dyDescent="0.2">
      <c r="B124" s="561" t="str">
        <f>VLOOKUP($C124,'Retail Rates'!$B$46:$Q$55,13,FALSE)</f>
        <v>Special Contracts Public Authority</v>
      </c>
      <c r="C124" s="633" t="s">
        <v>106</v>
      </c>
      <c r="D124" s="633" t="str">
        <f t="shared" si="35"/>
        <v>991</v>
      </c>
    </row>
    <row r="125" spans="2:24" x14ac:dyDescent="0.2">
      <c r="B125" s="561" t="str">
        <f>VLOOKUP($C125,'Retail Rates'!$B$46:$Q$55,13,FALSE)</f>
        <v>Special Contracts Public Authority</v>
      </c>
      <c r="C125" s="633" t="s">
        <v>106</v>
      </c>
      <c r="D125" s="633" t="str">
        <f t="shared" si="35"/>
        <v>991</v>
      </c>
      <c r="F125" s="991" t="s">
        <v>386</v>
      </c>
      <c r="H125" s="999">
        <f>+H121-H123</f>
        <v>4.43000000086613E-3</v>
      </c>
      <c r="I125" s="999">
        <f t="shared" ref="I125:S125" si="43">+I121-I123</f>
        <v>5.5999999967752956E-3</v>
      </c>
      <c r="J125" s="999">
        <f t="shared" si="43"/>
        <v>19606.459200000001</v>
      </c>
      <c r="K125" s="999">
        <f t="shared" si="43"/>
        <v>-5.929999995714752E-3</v>
      </c>
      <c r="L125" s="999">
        <f t="shared" si="43"/>
        <v>3.8600000007136259E-3</v>
      </c>
      <c r="M125" s="999">
        <f t="shared" si="43"/>
        <v>5.5699999975331593E-3</v>
      </c>
      <c r="N125" s="999">
        <f t="shared" si="43"/>
        <v>6.8599999976868276E-3</v>
      </c>
      <c r="O125" s="999">
        <f t="shared" si="43"/>
        <v>2.3099999998521525E-3</v>
      </c>
      <c r="P125" s="999">
        <f t="shared" si="43"/>
        <v>6.2000000034458935E-3</v>
      </c>
      <c r="Q125" s="999">
        <f t="shared" si="43"/>
        <v>3.0499999993480742E-3</v>
      </c>
      <c r="R125" s="999">
        <f t="shared" si="43"/>
        <v>1.5499999972234946E-3</v>
      </c>
      <c r="S125" s="999">
        <f t="shared" si="43"/>
        <v>-9.9200000040582381E-3</v>
      </c>
      <c r="T125" s="1001">
        <f>SUM(H125:S125)</f>
        <v>19606.482779999995</v>
      </c>
    </row>
    <row r="128" spans="2:24" x14ac:dyDescent="0.2">
      <c r="E128" s="984"/>
      <c r="F128" s="986" t="s">
        <v>851</v>
      </c>
      <c r="G128" s="984"/>
      <c r="H128" s="1002">
        <f>+H70+H95+H121</f>
        <v>636171.97510999988</v>
      </c>
      <c r="I128" s="1002">
        <f t="shared" ref="I128:S128" si="44">+I70+I95+I121</f>
        <v>561359.36442999996</v>
      </c>
      <c r="J128" s="1002">
        <f t="shared" si="44"/>
        <v>476428.46292999998</v>
      </c>
      <c r="K128" s="1002">
        <f t="shared" si="44"/>
        <v>398456.52791000006</v>
      </c>
      <c r="L128" s="1002">
        <f t="shared" si="44"/>
        <v>386448.17870000011</v>
      </c>
      <c r="M128" s="1002">
        <f t="shared" si="44"/>
        <v>335733.25440000003</v>
      </c>
      <c r="N128" s="1002">
        <f t="shared" si="44"/>
        <v>338390.03551999998</v>
      </c>
      <c r="O128" s="1002">
        <f t="shared" si="44"/>
        <v>365619.84515999991</v>
      </c>
      <c r="P128" s="1002">
        <f t="shared" si="44"/>
        <v>375609.92155999999</v>
      </c>
      <c r="Q128" s="1002">
        <f t="shared" si="44"/>
        <v>476572.52708999999</v>
      </c>
      <c r="R128" s="1002">
        <f t="shared" si="44"/>
        <v>459286.57100999996</v>
      </c>
      <c r="S128" s="1002">
        <f t="shared" si="44"/>
        <v>549872.66289000004</v>
      </c>
      <c r="T128" s="1045">
        <f>SUM(H128:S128)</f>
        <v>5359949.3267099997</v>
      </c>
      <c r="X128" s="999"/>
    </row>
    <row r="129" spans="2:24" x14ac:dyDescent="0.2">
      <c r="X129" s="999"/>
    </row>
    <row r="130" spans="2:24" x14ac:dyDescent="0.2">
      <c r="F130" s="1008"/>
      <c r="H130" s="999"/>
      <c r="I130" s="999"/>
      <c r="K130" s="999"/>
      <c r="L130" s="999"/>
      <c r="M130" s="999"/>
      <c r="N130" s="999"/>
      <c r="O130" s="999"/>
      <c r="P130" s="999"/>
      <c r="Q130" s="999"/>
      <c r="R130" s="999"/>
      <c r="S130" s="999"/>
      <c r="T130" s="1001"/>
    </row>
    <row r="131" spans="2:24" x14ac:dyDescent="0.2">
      <c r="F131" s="1009" t="s">
        <v>699</v>
      </c>
    </row>
    <row r="132" spans="2:24" x14ac:dyDescent="0.2">
      <c r="B132" s="561" t="str">
        <f>VLOOKUP($C132,'Retail Rates'!$B$46:$Q$55,13,FALSE)</f>
        <v>TS Commercial</v>
      </c>
      <c r="C132" s="633" t="s">
        <v>63</v>
      </c>
      <c r="D132" s="633" t="str">
        <f>MID(C132,6,3)</f>
        <v>881</v>
      </c>
      <c r="E132" s="561" t="str">
        <f>VLOOKUP($C132,'Retail Rates'!$B$46:$Q$55,3,FALSE)</f>
        <v>CGS-TS</v>
      </c>
      <c r="F132" s="1010" t="s">
        <v>407</v>
      </c>
      <c r="H132" s="992">
        <v>0</v>
      </c>
      <c r="I132" s="1011">
        <f>+I143/I137</f>
        <v>0</v>
      </c>
      <c r="J132" s="1011">
        <f t="shared" ref="J132:S132" si="45">+J143/J137</f>
        <v>0</v>
      </c>
      <c r="K132" s="1011">
        <f t="shared" si="45"/>
        <v>1</v>
      </c>
      <c r="L132" s="1011">
        <f t="shared" si="45"/>
        <v>1</v>
      </c>
      <c r="M132" s="1011">
        <f t="shared" si="45"/>
        <v>1</v>
      </c>
      <c r="N132" s="1011">
        <f t="shared" si="45"/>
        <v>2</v>
      </c>
      <c r="O132" s="1011">
        <f t="shared" si="45"/>
        <v>0</v>
      </c>
      <c r="P132" s="1011">
        <f t="shared" si="45"/>
        <v>1</v>
      </c>
      <c r="Q132" s="1011">
        <f t="shared" si="45"/>
        <v>1</v>
      </c>
      <c r="R132" s="1011">
        <f t="shared" si="45"/>
        <v>0</v>
      </c>
      <c r="S132" s="1011">
        <f t="shared" si="45"/>
        <v>0</v>
      </c>
      <c r="T132" s="1044">
        <f>SUM(H132:S132)</f>
        <v>7</v>
      </c>
    </row>
    <row r="133" spans="2:24" x14ac:dyDescent="0.2">
      <c r="B133" s="561" t="str">
        <f>VLOOKUP($C133,'Retail Rates'!$B$46:$Q$55,13,FALSE)</f>
        <v>TS Commercial</v>
      </c>
      <c r="C133" s="633" t="s">
        <v>63</v>
      </c>
      <c r="D133" s="633" t="str">
        <f t="shared" ref="D133:D155" si="46">MID(C133,6,3)</f>
        <v>881</v>
      </c>
      <c r="E133" s="561" t="str">
        <f>VLOOKUP($C133,'Retail Rates'!$B$46:$Q$55,3,FALSE)</f>
        <v>CGS-TS</v>
      </c>
      <c r="F133" s="1010" t="s">
        <v>714</v>
      </c>
      <c r="H133" s="992">
        <f>IF(H135=0,H135,IF(H135&gt;=(H132*100),(H132*100),H135))</f>
        <v>0</v>
      </c>
      <c r="I133" s="992">
        <f>IF(I135=0,I135,IF(I135&gt;=(I132*100),(I132*100),I135))</f>
        <v>0</v>
      </c>
      <c r="J133" s="992">
        <f t="shared" ref="J133:S133" si="47">IF(J135=0,J135,IF(J135&gt;=(J132*100),(J132*100),J135))</f>
        <v>0</v>
      </c>
      <c r="K133" s="992">
        <f t="shared" si="47"/>
        <v>0</v>
      </c>
      <c r="L133" s="992">
        <f t="shared" si="47"/>
        <v>0</v>
      </c>
      <c r="M133" s="992">
        <f t="shared" si="47"/>
        <v>0</v>
      </c>
      <c r="N133" s="992">
        <f t="shared" si="47"/>
        <v>0</v>
      </c>
      <c r="O133" s="992">
        <f t="shared" si="47"/>
        <v>0</v>
      </c>
      <c r="P133" s="992">
        <f t="shared" si="47"/>
        <v>0</v>
      </c>
      <c r="Q133" s="992">
        <f t="shared" si="47"/>
        <v>0</v>
      </c>
      <c r="R133" s="992">
        <f t="shared" si="47"/>
        <v>0</v>
      </c>
      <c r="S133" s="992">
        <f t="shared" si="47"/>
        <v>0</v>
      </c>
    </row>
    <row r="134" spans="2:24" x14ac:dyDescent="0.2">
      <c r="B134" s="561" t="str">
        <f>VLOOKUP($C134,'Retail Rates'!$B$46:$Q$55,13,FALSE)</f>
        <v>TS Commercial</v>
      </c>
      <c r="C134" s="633" t="s">
        <v>63</v>
      </c>
      <c r="D134" s="633" t="str">
        <f t="shared" si="46"/>
        <v>881</v>
      </c>
      <c r="E134" s="561" t="str">
        <f>VLOOKUP($C134,'Retail Rates'!$B$46:$Q$55,3,FALSE)</f>
        <v>CGS-TS</v>
      </c>
      <c r="F134" s="1010" t="s">
        <v>715</v>
      </c>
      <c r="H134" s="992">
        <f t="shared" ref="H134:S134" si="48">+H135-H133</f>
        <v>0</v>
      </c>
      <c r="I134" s="992">
        <f t="shared" si="48"/>
        <v>0</v>
      </c>
      <c r="J134" s="992">
        <f t="shared" si="48"/>
        <v>0</v>
      </c>
      <c r="K134" s="992">
        <f t="shared" si="48"/>
        <v>0</v>
      </c>
      <c r="L134" s="992">
        <f t="shared" si="48"/>
        <v>0</v>
      </c>
      <c r="M134" s="992">
        <f t="shared" si="48"/>
        <v>0</v>
      </c>
      <c r="N134" s="992">
        <f t="shared" si="48"/>
        <v>0</v>
      </c>
      <c r="O134" s="992">
        <f t="shared" si="48"/>
        <v>0</v>
      </c>
      <c r="P134" s="992">
        <f t="shared" si="48"/>
        <v>0</v>
      </c>
      <c r="Q134" s="992">
        <f t="shared" si="48"/>
        <v>0</v>
      </c>
      <c r="R134" s="992">
        <f t="shared" si="48"/>
        <v>0</v>
      </c>
      <c r="S134" s="992">
        <f t="shared" si="48"/>
        <v>0</v>
      </c>
    </row>
    <row r="135" spans="2:24" x14ac:dyDescent="0.2">
      <c r="B135" s="561" t="str">
        <f>VLOOKUP($C135,'Retail Rates'!$B$46:$Q$55,13,FALSE)</f>
        <v>TS Commercial</v>
      </c>
      <c r="C135" s="633" t="s">
        <v>63</v>
      </c>
      <c r="D135" s="633" t="str">
        <f t="shared" si="46"/>
        <v>881</v>
      </c>
      <c r="E135" s="561" t="str">
        <f>VLOOKUP($C135,'Retail Rates'!$B$46:$Q$55,3,FALSE)</f>
        <v>CGS-TS</v>
      </c>
      <c r="F135" s="1010" t="s">
        <v>716</v>
      </c>
      <c r="G135" s="987" t="s">
        <v>812</v>
      </c>
      <c r="H135" s="992">
        <f>SUMIFS('Data FT-TS-Cashout-Paddys'!$G$5:$G$756,'Data FT-TS-Cashout-Paddys'!$F$5:$F$756,'Apr11-Mar12 FT-TS-Cashout-LG&amp;E'!$G135,'Data FT-TS-Cashout-Paddys'!$A$5:$A$756,'Apr11-Mar12 FT-TS-Cashout-LG&amp;E'!H$4,'Data FT-TS-Cashout-Paddys'!$C$5:$C$756,'Apr11-Mar12 FT-TS-Cashout-LG&amp;E'!$C135,'Data FT-TS-Cashout-Paddys'!$E$5:$E$756,'Apr11-Mar12 FT-TS-Cashout-LG&amp;E'!H$6)/10</f>
        <v>0</v>
      </c>
      <c r="I135" s="992">
        <f>SUMIFS('Data FT-TS-Cashout-Paddys'!$G$5:$G$756,'Data FT-TS-Cashout-Paddys'!$F$5:$F$756,'Apr11-Mar12 FT-TS-Cashout-LG&amp;E'!$G135,'Data FT-TS-Cashout-Paddys'!$A$5:$A$756,'Apr11-Mar12 FT-TS-Cashout-LG&amp;E'!I$4,'Data FT-TS-Cashout-Paddys'!$C$5:$C$756,'Apr11-Mar12 FT-TS-Cashout-LG&amp;E'!$C135,'Data FT-TS-Cashout-Paddys'!$E$5:$E$756,'Apr11-Mar12 FT-TS-Cashout-LG&amp;E'!I$6)/10</f>
        <v>0</v>
      </c>
      <c r="J135" s="992">
        <f>SUMIFS('Data FT-TS-Cashout-Paddys'!$G$5:$G$756,'Data FT-TS-Cashout-Paddys'!$F$5:$F$756,'Apr11-Mar12 FT-TS-Cashout-LG&amp;E'!$G135,'Data FT-TS-Cashout-Paddys'!$A$5:$A$756,'Apr11-Mar12 FT-TS-Cashout-LG&amp;E'!J$4,'Data FT-TS-Cashout-Paddys'!$C$5:$C$756,'Apr11-Mar12 FT-TS-Cashout-LG&amp;E'!$C135,'Data FT-TS-Cashout-Paddys'!$E$5:$E$756,'Apr11-Mar12 FT-TS-Cashout-LG&amp;E'!J$6)/10</f>
        <v>0</v>
      </c>
      <c r="K135" s="992">
        <f>SUMIFS('Data FT-TS-Cashout-Paddys'!$G$5:$G$756,'Data FT-TS-Cashout-Paddys'!$F$5:$F$756,'Apr11-Mar12 FT-TS-Cashout-LG&amp;E'!$G135,'Data FT-TS-Cashout-Paddys'!$A$5:$A$756,'Apr11-Mar12 FT-TS-Cashout-LG&amp;E'!K$4,'Data FT-TS-Cashout-Paddys'!$C$5:$C$756,'Apr11-Mar12 FT-TS-Cashout-LG&amp;E'!$C135,'Data FT-TS-Cashout-Paddys'!$E$5:$E$756,'Apr11-Mar12 FT-TS-Cashout-LG&amp;E'!K$6)/10</f>
        <v>0</v>
      </c>
      <c r="L135" s="992">
        <f>SUMIFS('Data FT-TS-Cashout-Paddys'!$G$5:$G$756,'Data FT-TS-Cashout-Paddys'!$F$5:$F$756,'Apr11-Mar12 FT-TS-Cashout-LG&amp;E'!$G135,'Data FT-TS-Cashout-Paddys'!$A$5:$A$756,'Apr11-Mar12 FT-TS-Cashout-LG&amp;E'!L$4,'Data FT-TS-Cashout-Paddys'!$C$5:$C$756,'Apr11-Mar12 FT-TS-Cashout-LG&amp;E'!$C135,'Data FT-TS-Cashout-Paddys'!$E$5:$E$756,'Apr11-Mar12 FT-TS-Cashout-LG&amp;E'!L$6)/10</f>
        <v>0</v>
      </c>
      <c r="M135" s="992">
        <f>SUMIFS('Data FT-TS-Cashout-Paddys'!$G$5:$G$756,'Data FT-TS-Cashout-Paddys'!$F$5:$F$756,'Apr11-Mar12 FT-TS-Cashout-LG&amp;E'!$G135,'Data FT-TS-Cashout-Paddys'!$A$5:$A$756,'Apr11-Mar12 FT-TS-Cashout-LG&amp;E'!M$4,'Data FT-TS-Cashout-Paddys'!$C$5:$C$756,'Apr11-Mar12 FT-TS-Cashout-LG&amp;E'!$C135,'Data FT-TS-Cashout-Paddys'!$E$5:$E$756,'Apr11-Mar12 FT-TS-Cashout-LG&amp;E'!M$6)/10</f>
        <v>0</v>
      </c>
      <c r="N135" s="992">
        <f>SUMIFS('Data FT-TS-Cashout-Paddys'!$G$5:$G$756,'Data FT-TS-Cashout-Paddys'!$F$5:$F$756,'Apr11-Mar12 FT-TS-Cashout-LG&amp;E'!$G135,'Data FT-TS-Cashout-Paddys'!$A$5:$A$756,'Apr11-Mar12 FT-TS-Cashout-LG&amp;E'!N$4,'Data FT-TS-Cashout-Paddys'!$C$5:$C$756,'Apr11-Mar12 FT-TS-Cashout-LG&amp;E'!$C135,'Data FT-TS-Cashout-Paddys'!$E$5:$E$756,'Apr11-Mar12 FT-TS-Cashout-LG&amp;E'!N$6)/10</f>
        <v>0</v>
      </c>
      <c r="O135" s="992">
        <f>SUMIFS('Data FT-TS-Cashout-Paddys'!$G$5:$G$756,'Data FT-TS-Cashout-Paddys'!$F$5:$F$756,'Apr11-Mar12 FT-TS-Cashout-LG&amp;E'!$G135,'Data FT-TS-Cashout-Paddys'!$A$5:$A$756,'Apr11-Mar12 FT-TS-Cashout-LG&amp;E'!O$4,'Data FT-TS-Cashout-Paddys'!$C$5:$C$756,'Apr11-Mar12 FT-TS-Cashout-LG&amp;E'!$C135,'Data FT-TS-Cashout-Paddys'!$E$5:$E$756,'Apr11-Mar12 FT-TS-Cashout-LG&amp;E'!O$6)/10</f>
        <v>0</v>
      </c>
      <c r="P135" s="992">
        <f>SUMIFS('Data FT-TS-Cashout-Paddys'!$G$5:$G$756,'Data FT-TS-Cashout-Paddys'!$F$5:$F$756,'Apr11-Mar12 FT-TS-Cashout-LG&amp;E'!$G135,'Data FT-TS-Cashout-Paddys'!$A$5:$A$756,'Apr11-Mar12 FT-TS-Cashout-LG&amp;E'!P$4,'Data FT-TS-Cashout-Paddys'!$C$5:$C$756,'Apr11-Mar12 FT-TS-Cashout-LG&amp;E'!$C135,'Data FT-TS-Cashout-Paddys'!$E$5:$E$756,'Apr11-Mar12 FT-TS-Cashout-LG&amp;E'!P$6)/10</f>
        <v>0</v>
      </c>
      <c r="Q135" s="992">
        <f>SUMIFS('Data FT-TS-Cashout-Paddys'!$G$5:$G$756,'Data FT-TS-Cashout-Paddys'!$F$5:$F$756,'Apr11-Mar12 FT-TS-Cashout-LG&amp;E'!$G135,'Data FT-TS-Cashout-Paddys'!$A$5:$A$756,'Apr11-Mar12 FT-TS-Cashout-LG&amp;E'!Q$4,'Data FT-TS-Cashout-Paddys'!$C$5:$C$756,'Apr11-Mar12 FT-TS-Cashout-LG&amp;E'!$C135,'Data FT-TS-Cashout-Paddys'!$E$5:$E$756,'Apr11-Mar12 FT-TS-Cashout-LG&amp;E'!Q$6)/10</f>
        <v>0</v>
      </c>
      <c r="R135" s="992">
        <f>SUMIFS('Data FT-TS-Cashout-Paddys'!$G$5:$G$756,'Data FT-TS-Cashout-Paddys'!$F$5:$F$756,'Apr11-Mar12 FT-TS-Cashout-LG&amp;E'!$G135,'Data FT-TS-Cashout-Paddys'!$A$5:$A$756,'Apr11-Mar12 FT-TS-Cashout-LG&amp;E'!R$4,'Data FT-TS-Cashout-Paddys'!$C$5:$C$756,'Apr11-Mar12 FT-TS-Cashout-LG&amp;E'!$C135,'Data FT-TS-Cashout-Paddys'!$E$5:$E$756,'Apr11-Mar12 FT-TS-Cashout-LG&amp;E'!R$6)/10</f>
        <v>0</v>
      </c>
      <c r="S135" s="992">
        <f>SUMIFS('Data FT-TS-Cashout-Paddys'!$G$5:$G$756,'Data FT-TS-Cashout-Paddys'!$F$5:$F$756,'Apr11-Mar12 FT-TS-Cashout-LG&amp;E'!$G135,'Data FT-TS-Cashout-Paddys'!$A$5:$A$756,'Apr11-Mar12 FT-TS-Cashout-LG&amp;E'!S$4,'Data FT-TS-Cashout-Paddys'!$C$5:$C$756,'Apr11-Mar12 FT-TS-Cashout-LG&amp;E'!$C135,'Data FT-TS-Cashout-Paddys'!$E$5:$E$756,'Apr11-Mar12 FT-TS-Cashout-LG&amp;E'!S$6)/10</f>
        <v>0</v>
      </c>
    </row>
    <row r="136" spans="2:24" x14ac:dyDescent="0.2">
      <c r="B136" s="561" t="str">
        <f>VLOOKUP($C136,'Retail Rates'!$B$46:$Q$55,13,FALSE)</f>
        <v>TS Commercial</v>
      </c>
      <c r="C136" s="633" t="s">
        <v>63</v>
      </c>
      <c r="D136" s="633" t="str">
        <f t="shared" si="46"/>
        <v>881</v>
      </c>
      <c r="E136" s="561" t="str">
        <f>VLOOKUP($C136,'Retail Rates'!$B$46:$Q$55,3,FALSE)</f>
        <v>CGS-TS</v>
      </c>
      <c r="F136" s="1012"/>
    </row>
    <row r="137" spans="2:24" x14ac:dyDescent="0.2">
      <c r="B137" s="561" t="str">
        <f>VLOOKUP($C137,'Retail Rates'!$B$46:$Q$55,13,FALSE)</f>
        <v>TS Commercial</v>
      </c>
      <c r="C137" s="633" t="s">
        <v>63</v>
      </c>
      <c r="D137" s="633" t="str">
        <f t="shared" si="46"/>
        <v>881</v>
      </c>
      <c r="E137" s="561" t="str">
        <f>VLOOKUP($C137,'Retail Rates'!$B$46:$Q$55,3,FALSE)</f>
        <v>CGS-TS</v>
      </c>
      <c r="F137" s="1010" t="s">
        <v>409</v>
      </c>
      <c r="H137" s="994">
        <f>VLOOKUP($C137,'Retail Rates'!$B$45:$N$55,5,FALSE)</f>
        <v>153</v>
      </c>
      <c r="I137" s="994">
        <f>VLOOKUP($C137,'Retail Rates'!$B$45:$N$55,5,FALSE)</f>
        <v>153</v>
      </c>
      <c r="J137" s="994">
        <f>VLOOKUP($C137,'Retail Rates'!$B$45:$N$55,5,FALSE)</f>
        <v>153</v>
      </c>
      <c r="K137" s="994">
        <f>VLOOKUP($C137,'Retail Rates'!$B$45:$N$55,5,FALSE)</f>
        <v>153</v>
      </c>
      <c r="L137" s="994">
        <f>VLOOKUP($C137,'Retail Rates'!$B$45:$N$55,5,FALSE)</f>
        <v>153</v>
      </c>
      <c r="M137" s="994">
        <f>VLOOKUP($C137,'Retail Rates'!$B$45:$N$55,5,FALSE)</f>
        <v>153</v>
      </c>
      <c r="N137" s="994">
        <f>VLOOKUP($C137,'Retail Rates'!$B$45:$N$55,5,FALSE)</f>
        <v>153</v>
      </c>
      <c r="O137" s="994">
        <f>VLOOKUP($C137,'Retail Rates'!$B$45:$N$55,5,FALSE)</f>
        <v>153</v>
      </c>
      <c r="P137" s="994">
        <f>VLOOKUP($C137,'Retail Rates'!$B$45:$N$55,5,FALSE)</f>
        <v>153</v>
      </c>
      <c r="Q137" s="994">
        <f>VLOOKUP($C137,'Retail Rates'!$B$45:$N$55,5,FALSE)</f>
        <v>153</v>
      </c>
      <c r="R137" s="994">
        <f>VLOOKUP($C137,'Retail Rates'!$B$45:$N$55,5,FALSE)</f>
        <v>153</v>
      </c>
      <c r="S137" s="994">
        <f>VLOOKUP($C137,'Retail Rates'!$B$45:$N$55,5,FALSE)</f>
        <v>153</v>
      </c>
    </row>
    <row r="138" spans="2:24" x14ac:dyDescent="0.2">
      <c r="B138" s="561" t="str">
        <f>VLOOKUP($C138,'Retail Rates'!$B$46:$Q$55,13,FALSE)</f>
        <v>TS Commercial</v>
      </c>
      <c r="C138" s="633" t="s">
        <v>63</v>
      </c>
      <c r="D138" s="633" t="str">
        <f t="shared" si="46"/>
        <v>881</v>
      </c>
      <c r="E138" s="561" t="str">
        <f>VLOOKUP($C138,'Retail Rates'!$B$46:$Q$55,3,FALSE)</f>
        <v>CGS-TS</v>
      </c>
      <c r="F138" s="1010" t="s">
        <v>717</v>
      </c>
      <c r="H138" s="995">
        <f>VLOOKUP($C138,'Retail Rates'!$B$45:$N$55,7,FALSE)</f>
        <v>1.8722000000000001</v>
      </c>
      <c r="I138" s="995">
        <f>VLOOKUP($C138,'Retail Rates'!$B$45:$N$55,7,FALSE)</f>
        <v>1.8722000000000001</v>
      </c>
      <c r="J138" s="995">
        <f>VLOOKUP($C138,'Retail Rates'!$B$45:$N$55,7,FALSE)</f>
        <v>1.8722000000000001</v>
      </c>
      <c r="K138" s="995">
        <f>VLOOKUP($C138,'Retail Rates'!$B$45:$N$55,7,FALSE)</f>
        <v>1.8722000000000001</v>
      </c>
      <c r="L138" s="995">
        <f>VLOOKUP($C138,'Retail Rates'!$B$45:$N$55,7,FALSE)</f>
        <v>1.8722000000000001</v>
      </c>
      <c r="M138" s="995">
        <f>VLOOKUP($C138,'Retail Rates'!$B$45:$N$55,7,FALSE)</f>
        <v>1.8722000000000001</v>
      </c>
      <c r="N138" s="995">
        <f>VLOOKUP($C138,'Retail Rates'!$B$45:$N$55,7,FALSE)</f>
        <v>1.8722000000000001</v>
      </c>
      <c r="O138" s="995">
        <f>VLOOKUP($C138,'Retail Rates'!$B$45:$N$55,7,FALSE)</f>
        <v>1.8722000000000001</v>
      </c>
      <c r="P138" s="995">
        <f>VLOOKUP($C138,'Retail Rates'!$B$45:$N$55,7,FALSE)</f>
        <v>1.8722000000000001</v>
      </c>
      <c r="Q138" s="995">
        <f>VLOOKUP($C138,'Retail Rates'!$B$45:$N$55,7,FALSE)</f>
        <v>1.8722000000000001</v>
      </c>
      <c r="R138" s="995">
        <f>VLOOKUP($C138,'Retail Rates'!$B$45:$N$55,7,FALSE)</f>
        <v>1.8722000000000001</v>
      </c>
      <c r="S138" s="995">
        <f>VLOOKUP($C138,'Retail Rates'!$B$45:$N$55,7,FALSE)</f>
        <v>1.8722000000000001</v>
      </c>
    </row>
    <row r="139" spans="2:24" x14ac:dyDescent="0.2">
      <c r="B139" s="561" t="str">
        <f>VLOOKUP($C139,'Retail Rates'!$B$46:$Q$55,13,FALSE)</f>
        <v>TS Commercial</v>
      </c>
      <c r="C139" s="633" t="s">
        <v>63</v>
      </c>
      <c r="D139" s="633" t="str">
        <f t="shared" si="46"/>
        <v>881</v>
      </c>
      <c r="E139" s="561" t="str">
        <f>VLOOKUP($C139,'Retail Rates'!$B$46:$Q$55,3,FALSE)</f>
        <v>CGS-TS</v>
      </c>
      <c r="F139" s="1010" t="s">
        <v>718</v>
      </c>
      <c r="H139" s="995">
        <f>+H138</f>
        <v>1.8722000000000001</v>
      </c>
      <c r="I139" s="995">
        <f>+I138</f>
        <v>1.8722000000000001</v>
      </c>
      <c r="J139" s="995">
        <f>+J138</f>
        <v>1.8722000000000001</v>
      </c>
      <c r="K139" s="995">
        <f>VLOOKUP($C139,'Retail Rates'!$B$45:$N$55,8,FALSE)</f>
        <v>1.3722000000000001</v>
      </c>
      <c r="L139" s="995">
        <f>VLOOKUP($C139,'Retail Rates'!$B$45:$N$55,8,FALSE)</f>
        <v>1.3722000000000001</v>
      </c>
      <c r="M139" s="995">
        <f>VLOOKUP($C139,'Retail Rates'!$B$45:$N$55,8,FALSE)</f>
        <v>1.3722000000000001</v>
      </c>
      <c r="N139" s="995">
        <f>VLOOKUP($C139,'Retail Rates'!$B$45:$N$55,8,FALSE)</f>
        <v>1.3722000000000001</v>
      </c>
      <c r="O139" s="995">
        <f>VLOOKUP($C139,'Retail Rates'!$B$45:$N$55,8,FALSE)</f>
        <v>1.3722000000000001</v>
      </c>
      <c r="P139" s="995">
        <f>VLOOKUP($C139,'Retail Rates'!$B$45:$N$55,8,FALSE)</f>
        <v>1.3722000000000001</v>
      </c>
      <c r="Q139" s="995">
        <f>VLOOKUP($C139,'Retail Rates'!$B$45:$N$55,8,FALSE)</f>
        <v>1.3722000000000001</v>
      </c>
      <c r="R139" s="995">
        <f>+R138</f>
        <v>1.8722000000000001</v>
      </c>
      <c r="S139" s="995">
        <f>+S138</f>
        <v>1.8722000000000001</v>
      </c>
    </row>
    <row r="140" spans="2:24" x14ac:dyDescent="0.2">
      <c r="B140" s="561" t="str">
        <f>VLOOKUP($C140,'Retail Rates'!$B$46:$Q$55,13,FALSE)</f>
        <v>TS Commercial</v>
      </c>
      <c r="C140" s="633" t="s">
        <v>63</v>
      </c>
      <c r="D140" s="633" t="str">
        <f t="shared" si="46"/>
        <v>881</v>
      </c>
      <c r="E140" s="561" t="str">
        <f>VLOOKUP($C140,'Retail Rates'!$B$46:$Q$55,3,FALSE)</f>
        <v>CGS-TS</v>
      </c>
      <c r="F140" s="1010" t="s">
        <v>354</v>
      </c>
      <c r="H140" s="995">
        <f>SUMIF('GSC-DSM Factors'!$A$14:$A$44,'Apr11-Mar12 FT-TS-Cashout-LG&amp;E'!H$5,'GSC-DSM Factors'!$K$14:$K$44)</f>
        <v>0.82269999999999999</v>
      </c>
      <c r="I140" s="995">
        <f>SUMIF('GSC-DSM Factors'!$A$14:$A$44,'Apr11-Mar12 FT-TS-Cashout-LG&amp;E'!I$5,'GSC-DSM Factors'!$K$14:$K$44)</f>
        <v>0.87660000000000005</v>
      </c>
      <c r="J140" s="995">
        <f>SUMIF('GSC-DSM Factors'!$A$14:$A$44,'Apr11-Mar12 FT-TS-Cashout-LG&amp;E'!J$5,'GSC-DSM Factors'!$K$14:$K$44)</f>
        <v>0.87660000000000005</v>
      </c>
      <c r="K140" s="995">
        <f>SUMIF('GSC-DSM Factors'!$A$14:$A$44,'Apr11-Mar12 FT-TS-Cashout-LG&amp;E'!K$5,'GSC-DSM Factors'!$K$14:$K$44)</f>
        <v>0.88390000000000002</v>
      </c>
      <c r="L140" s="995">
        <f>SUMIF('GSC-DSM Factors'!$A$14:$A$44,'Apr11-Mar12 FT-TS-Cashout-LG&amp;E'!L$5,'GSC-DSM Factors'!$K$14:$K$44)</f>
        <v>0.88229999999999997</v>
      </c>
      <c r="M140" s="995">
        <f>SUMIF('GSC-DSM Factors'!$A$14:$A$44,'Apr11-Mar12 FT-TS-Cashout-LG&amp;E'!M$5,'GSC-DSM Factors'!$K$14:$K$44)</f>
        <v>0.88229999999999997</v>
      </c>
      <c r="N140" s="995">
        <f>SUMIF('GSC-DSM Factors'!$A$14:$A$44,'Apr11-Mar12 FT-TS-Cashout-LG&amp;E'!N$5,'GSC-DSM Factors'!$K$14:$K$44)</f>
        <v>0.88229999999999997</v>
      </c>
      <c r="O140" s="995">
        <f>SUMIF('GSC-DSM Factors'!$A$14:$A$44,'Apr11-Mar12 FT-TS-Cashout-LG&amp;E'!O$5,'GSC-DSM Factors'!$K$14:$K$44)</f>
        <v>0.87829999999999997</v>
      </c>
      <c r="P140" s="995">
        <f>SUMIF('GSC-DSM Factors'!$A$14:$A$44,'Apr11-Mar12 FT-TS-Cashout-LG&amp;E'!P$5,'GSC-DSM Factors'!$K$14:$K$44)</f>
        <v>0.87829999999999997</v>
      </c>
      <c r="Q140" s="995">
        <f>SUMIF('GSC-DSM Factors'!$A$14:$A$44,'Apr11-Mar12 FT-TS-Cashout-LG&amp;E'!Q$5,'GSC-DSM Factors'!$K$14:$K$44)</f>
        <v>0.87829999999999997</v>
      </c>
      <c r="R140" s="995">
        <f>SUMIF('GSC-DSM Factors'!$A$14:$A$44,'Apr11-Mar12 FT-TS-Cashout-LG&amp;E'!R$5,'GSC-DSM Factors'!$K$14:$K$44)</f>
        <v>0.82269999999999999</v>
      </c>
      <c r="S140" s="995">
        <f>SUMIF('GSC-DSM Factors'!$A$14:$A$44,'Apr11-Mar12 FT-TS-Cashout-LG&amp;E'!S$5,'GSC-DSM Factors'!$K$14:$K$44)</f>
        <v>0.82269999999999999</v>
      </c>
    </row>
    <row r="141" spans="2:24" x14ac:dyDescent="0.2">
      <c r="B141" s="561" t="str">
        <f>VLOOKUP($C141,'Retail Rates'!$B$46:$Q$55,13,FALSE)</f>
        <v>TS Commercial</v>
      </c>
      <c r="C141" s="633" t="s">
        <v>63</v>
      </c>
      <c r="D141" s="633" t="str">
        <f t="shared" si="46"/>
        <v>881</v>
      </c>
      <c r="E141" s="561" t="str">
        <f>VLOOKUP($C141,'Retail Rates'!$B$46:$Q$55,3,FALSE)</f>
        <v>CGS-TS</v>
      </c>
      <c r="F141" s="1010" t="s">
        <v>411</v>
      </c>
      <c r="H141" s="995">
        <f>SUMIF('GSC-DSM Factors'!$A$14:$A$44,'Apr11-Mar12 FT-TS-Cashout-LG&amp;E'!H$5,'GSC-DSM Factors'!$E$14:$E$44)</f>
        <v>1.16E-3</v>
      </c>
      <c r="I141" s="995">
        <f>SUMIF('GSC-DSM Factors'!$A$14:$A$44,'Apr11-Mar12 FT-TS-Cashout-LG&amp;E'!I$5,'GSC-DSM Factors'!$E$14:$E$44)</f>
        <v>1.16E-3</v>
      </c>
      <c r="J141" s="995">
        <f>SUMIF('GSC-DSM Factors'!$A$14:$A$44,'Apr11-Mar12 FT-TS-Cashout-LG&amp;E'!J$5,'GSC-DSM Factors'!$E$14:$E$44)</f>
        <v>1.16E-3</v>
      </c>
      <c r="K141" s="995">
        <f>SUMIF('GSC-DSM Factors'!$A$14:$A$44,'Apr11-Mar12 FT-TS-Cashout-LG&amp;E'!K$5,'GSC-DSM Factors'!$E$14:$E$44)</f>
        <v>8.8999999999999995E-4</v>
      </c>
      <c r="L141" s="995">
        <f>SUMIF('GSC-DSM Factors'!$A$14:$A$44,'Apr11-Mar12 FT-TS-Cashout-LG&amp;E'!L$5,'GSC-DSM Factors'!$E$14:$E$44)</f>
        <v>8.8999999999999995E-4</v>
      </c>
      <c r="M141" s="995">
        <f>SUMIF('GSC-DSM Factors'!$A$14:$A$44,'Apr11-Mar12 FT-TS-Cashout-LG&amp;E'!M$5,'GSC-DSM Factors'!$E$14:$E$44)</f>
        <v>9.6000000000000002E-4</v>
      </c>
      <c r="N141" s="995">
        <f>SUMIF('GSC-DSM Factors'!$A$14:$A$44,'Apr11-Mar12 FT-TS-Cashout-LG&amp;E'!N$5,'GSC-DSM Factors'!$E$14:$E$44)</f>
        <v>9.6000000000000002E-4</v>
      </c>
      <c r="O141" s="995">
        <f>SUMIF('GSC-DSM Factors'!$A$14:$A$44,'Apr11-Mar12 FT-TS-Cashout-LG&amp;E'!O$5,'GSC-DSM Factors'!$E$14:$E$44)</f>
        <v>9.6000000000000002E-4</v>
      </c>
      <c r="P141" s="995">
        <f>SUMIF('GSC-DSM Factors'!$A$14:$A$44,'Apr11-Mar12 FT-TS-Cashout-LG&amp;E'!P$5,'GSC-DSM Factors'!$E$14:$E$44)</f>
        <v>9.6000000000000002E-4</v>
      </c>
      <c r="Q141" s="995">
        <f>SUMIF('GSC-DSM Factors'!$A$14:$A$44,'Apr11-Mar12 FT-TS-Cashout-LG&amp;E'!Q$5,'GSC-DSM Factors'!$E$14:$E$44)</f>
        <v>9.6000000000000002E-4</v>
      </c>
      <c r="R141" s="995">
        <f>SUMIF('GSC-DSM Factors'!$A$14:$A$44,'Apr11-Mar12 FT-TS-Cashout-LG&amp;E'!R$5,'GSC-DSM Factors'!$E$14:$E$44)</f>
        <v>9.6000000000000002E-4</v>
      </c>
      <c r="S141" s="995">
        <f>SUMIF('GSC-DSM Factors'!$A$14:$A$44,'Apr11-Mar12 FT-TS-Cashout-LG&amp;E'!S$5,'GSC-DSM Factors'!$E$14:$E$44)</f>
        <v>9.6000000000000002E-4</v>
      </c>
    </row>
    <row r="142" spans="2:24" x14ac:dyDescent="0.2">
      <c r="B142" s="561" t="str">
        <f>VLOOKUP($C142,'Retail Rates'!$B$46:$Q$55,13,FALSE)</f>
        <v>TS Commercial</v>
      </c>
      <c r="C142" s="633" t="s">
        <v>63</v>
      </c>
      <c r="D142" s="633" t="str">
        <f t="shared" si="46"/>
        <v>881</v>
      </c>
      <c r="E142" s="561" t="str">
        <f>VLOOKUP($C142,'Retail Rates'!$B$46:$Q$55,3,FALSE)</f>
        <v>CGS-TS</v>
      </c>
      <c r="F142" s="1013" t="s">
        <v>412</v>
      </c>
    </row>
    <row r="143" spans="2:24" x14ac:dyDescent="0.2">
      <c r="B143" s="561" t="str">
        <f>VLOOKUP($C143,'Retail Rates'!$B$46:$Q$55,13,FALSE)</f>
        <v>TS Commercial</v>
      </c>
      <c r="C143" s="633" t="s">
        <v>63</v>
      </c>
      <c r="D143" s="633" t="str">
        <f t="shared" si="46"/>
        <v>881</v>
      </c>
      <c r="E143" s="561" t="str">
        <f>VLOOKUP($C143,'Retail Rates'!$B$46:$Q$55,3,FALSE)</f>
        <v>CGS-TS</v>
      </c>
      <c r="F143" s="1010" t="s">
        <v>409</v>
      </c>
      <c r="G143" s="987" t="s">
        <v>821</v>
      </c>
      <c r="H143" s="999">
        <f>SUMIFS('Data FT-TS-Cashout-Paddys'!$H$5:$H$756,'Data FT-TS-Cashout-Paddys'!$F$5:$F$756,'Apr11-Mar12 FT-TS-Cashout-LG&amp;E'!$G143,'Data FT-TS-Cashout-Paddys'!$A$5:$A$756,'Apr11-Mar12 FT-TS-Cashout-LG&amp;E'!H$5,'Data FT-TS-Cashout-Paddys'!$C$5:$C$756,'Apr11-Mar12 FT-TS-Cashout-LG&amp;E'!$C143)</f>
        <v>0</v>
      </c>
      <c r="I143" s="999">
        <f>SUMIFS('Data FT-TS-Cashout-Paddys'!$H$5:$H$756,'Data FT-TS-Cashout-Paddys'!$F$5:$F$756,'Apr11-Mar12 FT-TS-Cashout-LG&amp;E'!$G143,'Data FT-TS-Cashout-Paddys'!$A$5:$A$756,'Apr11-Mar12 FT-TS-Cashout-LG&amp;E'!I$5,'Data FT-TS-Cashout-Paddys'!$C$5:$C$756,'Apr11-Mar12 FT-TS-Cashout-LG&amp;E'!$C143)</f>
        <v>0</v>
      </c>
      <c r="J143" s="999">
        <f>SUMIFS('Data FT-TS-Cashout-Paddys'!$H$5:$H$756,'Data FT-TS-Cashout-Paddys'!$F$5:$F$756,'Apr11-Mar12 FT-TS-Cashout-LG&amp;E'!$G143,'Data FT-TS-Cashout-Paddys'!$A$5:$A$756,'Apr11-Mar12 FT-TS-Cashout-LG&amp;E'!J$5,'Data FT-TS-Cashout-Paddys'!$C$5:$C$756,'Apr11-Mar12 FT-TS-Cashout-LG&amp;E'!$C143)</f>
        <v>0</v>
      </c>
      <c r="K143" s="999">
        <f>SUMIFS('Data FT-TS-Cashout-Paddys'!$H$5:$H$756,'Data FT-TS-Cashout-Paddys'!$F$5:$F$756,'Apr11-Mar12 FT-TS-Cashout-LG&amp;E'!$G143,'Data FT-TS-Cashout-Paddys'!$A$5:$A$756,'Apr11-Mar12 FT-TS-Cashout-LG&amp;E'!K$5,'Data FT-TS-Cashout-Paddys'!$C$5:$C$756,'Apr11-Mar12 FT-TS-Cashout-LG&amp;E'!$C143)</f>
        <v>153</v>
      </c>
      <c r="L143" s="999">
        <f>SUMIFS('Data FT-TS-Cashout-Paddys'!$H$5:$H$756,'Data FT-TS-Cashout-Paddys'!$F$5:$F$756,'Apr11-Mar12 FT-TS-Cashout-LG&amp;E'!$G143,'Data FT-TS-Cashout-Paddys'!$A$5:$A$756,'Apr11-Mar12 FT-TS-Cashout-LG&amp;E'!L$5,'Data FT-TS-Cashout-Paddys'!$C$5:$C$756,'Apr11-Mar12 FT-TS-Cashout-LG&amp;E'!$C143)</f>
        <v>153</v>
      </c>
      <c r="M143" s="999">
        <f>SUMIFS('Data FT-TS-Cashout-Paddys'!$H$5:$H$756,'Data FT-TS-Cashout-Paddys'!$F$5:$F$756,'Apr11-Mar12 FT-TS-Cashout-LG&amp;E'!$G143,'Data FT-TS-Cashout-Paddys'!$A$5:$A$756,'Apr11-Mar12 FT-TS-Cashout-LG&amp;E'!M$5,'Data FT-TS-Cashout-Paddys'!$C$5:$C$756,'Apr11-Mar12 FT-TS-Cashout-LG&amp;E'!$C143)</f>
        <v>153</v>
      </c>
      <c r="N143" s="999">
        <f>SUMIFS('Data FT-TS-Cashout-Paddys'!$H$5:$H$756,'Data FT-TS-Cashout-Paddys'!$F$5:$F$756,'Apr11-Mar12 FT-TS-Cashout-LG&amp;E'!$G143,'Data FT-TS-Cashout-Paddys'!$A$5:$A$756,'Apr11-Mar12 FT-TS-Cashout-LG&amp;E'!N$5,'Data FT-TS-Cashout-Paddys'!$C$5:$C$756,'Apr11-Mar12 FT-TS-Cashout-LG&amp;E'!$C143)</f>
        <v>306</v>
      </c>
      <c r="O143" s="999">
        <f>SUMIFS('Data FT-TS-Cashout-Paddys'!$H$5:$H$756,'Data FT-TS-Cashout-Paddys'!$F$5:$F$756,'Apr11-Mar12 FT-TS-Cashout-LG&amp;E'!$G143,'Data FT-TS-Cashout-Paddys'!$A$5:$A$756,'Apr11-Mar12 FT-TS-Cashout-LG&amp;E'!O$5,'Data FT-TS-Cashout-Paddys'!$C$5:$C$756,'Apr11-Mar12 FT-TS-Cashout-LG&amp;E'!$C143)</f>
        <v>0</v>
      </c>
      <c r="P143" s="999">
        <f>SUMIFS('Data FT-TS-Cashout-Paddys'!$H$5:$H$756,'Data FT-TS-Cashout-Paddys'!$F$5:$F$756,'Apr11-Mar12 FT-TS-Cashout-LG&amp;E'!$G143,'Data FT-TS-Cashout-Paddys'!$A$5:$A$756,'Apr11-Mar12 FT-TS-Cashout-LG&amp;E'!P$5,'Data FT-TS-Cashout-Paddys'!$C$5:$C$756,'Apr11-Mar12 FT-TS-Cashout-LG&amp;E'!$C143)</f>
        <v>153</v>
      </c>
      <c r="Q143" s="999">
        <f>SUMIFS('Data FT-TS-Cashout-Paddys'!$H$5:$H$756,'Data FT-TS-Cashout-Paddys'!$F$5:$F$756,'Apr11-Mar12 FT-TS-Cashout-LG&amp;E'!$G143,'Data FT-TS-Cashout-Paddys'!$A$5:$A$756,'Apr11-Mar12 FT-TS-Cashout-LG&amp;E'!Q$5,'Data FT-TS-Cashout-Paddys'!$C$5:$C$756,'Apr11-Mar12 FT-TS-Cashout-LG&amp;E'!$C143)</f>
        <v>153</v>
      </c>
      <c r="R143" s="999">
        <f>SUMIFS('Data FT-TS-Cashout-Paddys'!$H$5:$H$756,'Data FT-TS-Cashout-Paddys'!$F$5:$F$756,'Apr11-Mar12 FT-TS-Cashout-LG&amp;E'!$G143,'Data FT-TS-Cashout-Paddys'!$A$5:$A$756,'Apr11-Mar12 FT-TS-Cashout-LG&amp;E'!R$5,'Data FT-TS-Cashout-Paddys'!$C$5:$C$756,'Apr11-Mar12 FT-TS-Cashout-LG&amp;E'!$C143)</f>
        <v>0</v>
      </c>
      <c r="S143" s="999">
        <f>SUMIFS('Data FT-TS-Cashout-Paddys'!$H$5:$H$756,'Data FT-TS-Cashout-Paddys'!$F$5:$F$756,'Apr11-Mar12 FT-TS-Cashout-LG&amp;E'!$G143,'Data FT-TS-Cashout-Paddys'!$A$5:$A$756,'Apr11-Mar12 FT-TS-Cashout-LG&amp;E'!S$5,'Data FT-TS-Cashout-Paddys'!$C$5:$C$756,'Apr11-Mar12 FT-TS-Cashout-LG&amp;E'!$C143)</f>
        <v>0</v>
      </c>
      <c r="T143" s="1001">
        <f t="shared" ref="T143:T150" si="49">SUM(H143:S143)</f>
        <v>1071</v>
      </c>
      <c r="V143" s="999"/>
    </row>
    <row r="144" spans="2:24" x14ac:dyDescent="0.2">
      <c r="B144" s="561" t="str">
        <f>VLOOKUP($C144,'Retail Rates'!$B$46:$Q$55,13,FALSE)</f>
        <v>TS Commercial</v>
      </c>
      <c r="C144" s="633" t="s">
        <v>63</v>
      </c>
      <c r="D144" s="633" t="str">
        <f t="shared" si="46"/>
        <v>881</v>
      </c>
      <c r="E144" s="561" t="str">
        <f>VLOOKUP($C144,'Retail Rates'!$B$46:$Q$55,3,FALSE)</f>
        <v>CGS-TS</v>
      </c>
      <c r="F144" s="1010" t="s">
        <v>719</v>
      </c>
      <c r="H144" s="994">
        <f>ROUND(+H133*H138,2)</f>
        <v>0</v>
      </c>
      <c r="I144" s="994">
        <f t="shared" ref="I144:S144" si="50">ROUND(+I133*I138,2)</f>
        <v>0</v>
      </c>
      <c r="J144" s="994">
        <f t="shared" si="50"/>
        <v>0</v>
      </c>
      <c r="K144" s="999">
        <f t="shared" si="50"/>
        <v>0</v>
      </c>
      <c r="L144" s="999">
        <f t="shared" si="50"/>
        <v>0</v>
      </c>
      <c r="M144" s="999">
        <f t="shared" si="50"/>
        <v>0</v>
      </c>
      <c r="N144" s="999">
        <f t="shared" si="50"/>
        <v>0</v>
      </c>
      <c r="O144" s="999">
        <f t="shared" si="50"/>
        <v>0</v>
      </c>
      <c r="P144" s="999">
        <f t="shared" si="50"/>
        <v>0</v>
      </c>
      <c r="Q144" s="994">
        <f t="shared" si="50"/>
        <v>0</v>
      </c>
      <c r="R144" s="994">
        <f t="shared" si="50"/>
        <v>0</v>
      </c>
      <c r="S144" s="994">
        <f t="shared" si="50"/>
        <v>0</v>
      </c>
      <c r="T144" s="1001">
        <f t="shared" si="49"/>
        <v>0</v>
      </c>
    </row>
    <row r="145" spans="2:21" x14ac:dyDescent="0.2">
      <c r="B145" s="561" t="str">
        <f>VLOOKUP($C145,'Retail Rates'!$B$46:$Q$55,13,FALSE)</f>
        <v>TS Commercial</v>
      </c>
      <c r="C145" s="633" t="s">
        <v>63</v>
      </c>
      <c r="D145" s="633" t="str">
        <f t="shared" si="46"/>
        <v>881</v>
      </c>
      <c r="E145" s="561" t="str">
        <f>VLOOKUP($C145,'Retail Rates'!$B$46:$Q$55,3,FALSE)</f>
        <v>CGS-TS</v>
      </c>
      <c r="F145" s="1010" t="s">
        <v>720</v>
      </c>
      <c r="H145" s="1007">
        <f>ROUND(+H134*H139,2)</f>
        <v>0</v>
      </c>
      <c r="I145" s="1007">
        <f t="shared" ref="I145:S145" si="51">ROUND(+I134*I139,2)</f>
        <v>0</v>
      </c>
      <c r="J145" s="1007">
        <f t="shared" si="51"/>
        <v>0</v>
      </c>
      <c r="K145" s="1000">
        <f t="shared" si="51"/>
        <v>0</v>
      </c>
      <c r="L145" s="1000">
        <f t="shared" si="51"/>
        <v>0</v>
      </c>
      <c r="M145" s="1000">
        <f t="shared" si="51"/>
        <v>0</v>
      </c>
      <c r="N145" s="1000">
        <f t="shared" si="51"/>
        <v>0</v>
      </c>
      <c r="O145" s="1000">
        <f t="shared" si="51"/>
        <v>0</v>
      </c>
      <c r="P145" s="1000">
        <f t="shared" si="51"/>
        <v>0</v>
      </c>
      <c r="Q145" s="1007">
        <f t="shared" si="51"/>
        <v>0</v>
      </c>
      <c r="R145" s="1007">
        <f t="shared" si="51"/>
        <v>0</v>
      </c>
      <c r="S145" s="1007">
        <f t="shared" si="51"/>
        <v>0</v>
      </c>
      <c r="T145" s="1001">
        <f t="shared" si="49"/>
        <v>0</v>
      </c>
    </row>
    <row r="146" spans="2:21" x14ac:dyDescent="0.2">
      <c r="B146" s="561" t="str">
        <f>VLOOKUP($C146,'Retail Rates'!$B$46:$Q$55,13,FALSE)</f>
        <v>TS Commercial</v>
      </c>
      <c r="C146" s="633" t="s">
        <v>63</v>
      </c>
      <c r="D146" s="633" t="str">
        <f t="shared" si="46"/>
        <v>881</v>
      </c>
      <c r="E146" s="561" t="str">
        <f>VLOOKUP($C146,'Retail Rates'!$B$46:$Q$55,3,FALSE)</f>
        <v>CGS-TS</v>
      </c>
      <c r="F146" s="1010" t="s">
        <v>415</v>
      </c>
      <c r="H146" s="994">
        <f>SUM(H143:H145)</f>
        <v>0</v>
      </c>
      <c r="I146" s="994">
        <f t="shared" ref="I146:S146" si="52">SUM(I143:I145)</f>
        <v>0</v>
      </c>
      <c r="J146" s="994">
        <f t="shared" si="52"/>
        <v>0</v>
      </c>
      <c r="K146" s="999">
        <f t="shared" si="52"/>
        <v>153</v>
      </c>
      <c r="L146" s="999">
        <f t="shared" si="52"/>
        <v>153</v>
      </c>
      <c r="M146" s="999">
        <f t="shared" si="52"/>
        <v>153</v>
      </c>
      <c r="N146" s="999">
        <f t="shared" si="52"/>
        <v>306</v>
      </c>
      <c r="O146" s="999">
        <f t="shared" si="52"/>
        <v>0</v>
      </c>
      <c r="P146" s="999">
        <f t="shared" si="52"/>
        <v>153</v>
      </c>
      <c r="Q146" s="999">
        <f t="shared" si="52"/>
        <v>153</v>
      </c>
      <c r="R146" s="994">
        <f t="shared" si="52"/>
        <v>0</v>
      </c>
      <c r="S146" s="994">
        <f t="shared" si="52"/>
        <v>0</v>
      </c>
      <c r="T146" s="1001">
        <f t="shared" si="49"/>
        <v>1071</v>
      </c>
    </row>
    <row r="147" spans="2:21" x14ac:dyDescent="0.2">
      <c r="B147" s="561" t="str">
        <f>VLOOKUP($C147,'Retail Rates'!$B$46:$Q$55,13,FALSE)</f>
        <v>TS Commercial</v>
      </c>
      <c r="C147" s="633" t="s">
        <v>63</v>
      </c>
      <c r="D147" s="633" t="str">
        <f t="shared" si="46"/>
        <v>881</v>
      </c>
      <c r="E147" s="561" t="str">
        <f>VLOOKUP($C147,'Retail Rates'!$B$46:$Q$55,3,FALSE)</f>
        <v>CGS-TS</v>
      </c>
      <c r="F147" s="1010" t="s">
        <v>354</v>
      </c>
      <c r="H147" s="1007">
        <f>ROUND(H135*H140,2)</f>
        <v>0</v>
      </c>
      <c r="I147" s="1007">
        <f t="shared" ref="I147:S147" si="53">ROUND(I135*I140,2)</f>
        <v>0</v>
      </c>
      <c r="J147" s="1007">
        <f t="shared" si="53"/>
        <v>0</v>
      </c>
      <c r="K147" s="1000">
        <f t="shared" si="53"/>
        <v>0</v>
      </c>
      <c r="L147" s="1000">
        <f t="shared" si="53"/>
        <v>0</v>
      </c>
      <c r="M147" s="1000">
        <f t="shared" si="53"/>
        <v>0</v>
      </c>
      <c r="N147" s="1000">
        <f t="shared" si="53"/>
        <v>0</v>
      </c>
      <c r="O147" s="1000">
        <f t="shared" si="53"/>
        <v>0</v>
      </c>
      <c r="P147" s="1000">
        <f t="shared" si="53"/>
        <v>0</v>
      </c>
      <c r="Q147" s="1007">
        <f t="shared" si="53"/>
        <v>0</v>
      </c>
      <c r="R147" s="1007">
        <f t="shared" si="53"/>
        <v>0</v>
      </c>
      <c r="S147" s="1007">
        <f t="shared" si="53"/>
        <v>0</v>
      </c>
      <c r="T147" s="1001">
        <f t="shared" si="49"/>
        <v>0</v>
      </c>
    </row>
    <row r="148" spans="2:21" x14ac:dyDescent="0.2">
      <c r="B148" s="561" t="str">
        <f>VLOOKUP($C148,'Retail Rates'!$B$46:$Q$55,13,FALSE)</f>
        <v>TS Commercial</v>
      </c>
      <c r="C148" s="633" t="s">
        <v>63</v>
      </c>
      <c r="D148" s="633" t="str">
        <f t="shared" si="46"/>
        <v>881</v>
      </c>
      <c r="E148" s="561" t="str">
        <f>VLOOKUP($C148,'Retail Rates'!$B$46:$Q$55,3,FALSE)</f>
        <v>CGS-TS</v>
      </c>
      <c r="F148" s="1010" t="s">
        <v>415</v>
      </c>
      <c r="H148" s="994">
        <f>+H146+H147</f>
        <v>0</v>
      </c>
      <c r="I148" s="994">
        <f t="shared" ref="I148:S148" si="54">+I146+I147</f>
        <v>0</v>
      </c>
      <c r="J148" s="994">
        <f t="shared" si="54"/>
        <v>0</v>
      </c>
      <c r="K148" s="999">
        <f t="shared" si="54"/>
        <v>153</v>
      </c>
      <c r="L148" s="999">
        <f t="shared" si="54"/>
        <v>153</v>
      </c>
      <c r="M148" s="999">
        <f t="shared" si="54"/>
        <v>153</v>
      </c>
      <c r="N148" s="999">
        <f t="shared" si="54"/>
        <v>306</v>
      </c>
      <c r="O148" s="999">
        <f t="shared" si="54"/>
        <v>0</v>
      </c>
      <c r="P148" s="999">
        <f t="shared" si="54"/>
        <v>153</v>
      </c>
      <c r="Q148" s="999">
        <f t="shared" si="54"/>
        <v>153</v>
      </c>
      <c r="R148" s="994">
        <f t="shared" si="54"/>
        <v>0</v>
      </c>
      <c r="S148" s="994">
        <f t="shared" si="54"/>
        <v>0</v>
      </c>
      <c r="T148" s="1001">
        <f t="shared" si="49"/>
        <v>1071</v>
      </c>
    </row>
    <row r="149" spans="2:21" x14ac:dyDescent="0.2">
      <c r="B149" s="561" t="str">
        <f>VLOOKUP($C149,'Retail Rates'!$B$46:$Q$55,13,FALSE)</f>
        <v>TS Commercial</v>
      </c>
      <c r="C149" s="633" t="s">
        <v>63</v>
      </c>
      <c r="D149" s="633" t="str">
        <f t="shared" si="46"/>
        <v>881</v>
      </c>
      <c r="E149" s="561" t="str">
        <f>VLOOKUP($C149,'Retail Rates'!$B$46:$Q$55,3,FALSE)</f>
        <v>CGS-TS</v>
      </c>
      <c r="F149" s="1014" t="s">
        <v>411</v>
      </c>
      <c r="H149" s="1000">
        <f>ROUND(H135*H141,2)</f>
        <v>0</v>
      </c>
      <c r="I149" s="1000">
        <f t="shared" ref="I149:S149" si="55">ROUND(I135*I141,2)</f>
        <v>0</v>
      </c>
      <c r="J149" s="1000">
        <f t="shared" si="55"/>
        <v>0</v>
      </c>
      <c r="K149" s="1000">
        <f t="shared" si="55"/>
        <v>0</v>
      </c>
      <c r="L149" s="1000">
        <f t="shared" si="55"/>
        <v>0</v>
      </c>
      <c r="M149" s="1000">
        <f t="shared" si="55"/>
        <v>0</v>
      </c>
      <c r="N149" s="1000">
        <f t="shared" si="55"/>
        <v>0</v>
      </c>
      <c r="O149" s="1000">
        <f t="shared" si="55"/>
        <v>0</v>
      </c>
      <c r="P149" s="1000">
        <f t="shared" si="55"/>
        <v>0</v>
      </c>
      <c r="Q149" s="1000">
        <f t="shared" si="55"/>
        <v>0</v>
      </c>
      <c r="R149" s="1000">
        <f t="shared" si="55"/>
        <v>0</v>
      </c>
      <c r="S149" s="1000">
        <f t="shared" si="55"/>
        <v>0</v>
      </c>
      <c r="T149" s="1001">
        <f t="shared" si="49"/>
        <v>0</v>
      </c>
    </row>
    <row r="150" spans="2:21" x14ac:dyDescent="0.2">
      <c r="B150" s="561" t="str">
        <f>VLOOKUP($C150,'Retail Rates'!$B$46:$Q$55,13,FALSE)</f>
        <v>TS Commercial</v>
      </c>
      <c r="C150" s="633" t="s">
        <v>63</v>
      </c>
      <c r="D150" s="633" t="str">
        <f t="shared" si="46"/>
        <v>881</v>
      </c>
      <c r="E150" s="561" t="str">
        <f>VLOOKUP($C150,'Retail Rates'!$B$46:$Q$55,3,FALSE)</f>
        <v>CGS-TS</v>
      </c>
      <c r="F150" s="1010" t="s">
        <v>432</v>
      </c>
      <c r="H150" s="999">
        <f>+H148+H149</f>
        <v>0</v>
      </c>
      <c r="I150" s="999">
        <f t="shared" ref="I150:S150" si="56">+I148+I149</f>
        <v>0</v>
      </c>
      <c r="J150" s="999">
        <f t="shared" si="56"/>
        <v>0</v>
      </c>
      <c r="K150" s="999">
        <f t="shared" si="56"/>
        <v>153</v>
      </c>
      <c r="L150" s="999">
        <f t="shared" si="56"/>
        <v>153</v>
      </c>
      <c r="M150" s="999">
        <f t="shared" si="56"/>
        <v>153</v>
      </c>
      <c r="N150" s="999">
        <f t="shared" si="56"/>
        <v>306</v>
      </c>
      <c r="O150" s="999">
        <f t="shared" si="56"/>
        <v>0</v>
      </c>
      <c r="P150" s="999">
        <f t="shared" si="56"/>
        <v>153</v>
      </c>
      <c r="Q150" s="999">
        <f t="shared" si="56"/>
        <v>153</v>
      </c>
      <c r="R150" s="999">
        <f t="shared" si="56"/>
        <v>0</v>
      </c>
      <c r="S150" s="999">
        <f t="shared" si="56"/>
        <v>0</v>
      </c>
      <c r="T150" s="1001">
        <f t="shared" si="49"/>
        <v>1071</v>
      </c>
    </row>
    <row r="151" spans="2:21" x14ac:dyDescent="0.2">
      <c r="B151" s="561" t="str">
        <f>VLOOKUP($C151,'Retail Rates'!$B$46:$Q$55,13,FALSE)</f>
        <v>TS Commercial</v>
      </c>
      <c r="C151" s="633" t="s">
        <v>63</v>
      </c>
      <c r="D151" s="633" t="str">
        <f t="shared" si="46"/>
        <v>881</v>
      </c>
      <c r="E151" s="561" t="str">
        <f>VLOOKUP($C151,'Retail Rates'!$B$46:$Q$55,3,FALSE)</f>
        <v>CGS-TS</v>
      </c>
      <c r="F151" s="1015"/>
    </row>
    <row r="152" spans="2:21" x14ac:dyDescent="0.2">
      <c r="B152" s="561" t="str">
        <f>VLOOKUP($C152,'Retail Rates'!$B$46:$Q$55,13,FALSE)</f>
        <v>TS Commercial</v>
      </c>
      <c r="C152" s="633" t="s">
        <v>63</v>
      </c>
      <c r="D152" s="633" t="str">
        <f t="shared" si="46"/>
        <v>881</v>
      </c>
      <c r="E152" s="561" t="str">
        <f>VLOOKUP($C152,'Retail Rates'!$B$46:$Q$55,3,FALSE)</f>
        <v>CGS-TS</v>
      </c>
      <c r="F152" s="1016"/>
    </row>
    <row r="153" spans="2:21" x14ac:dyDescent="0.2">
      <c r="B153" s="561" t="str">
        <f>VLOOKUP($C153,'Retail Rates'!$B$46:$Q$55,13,FALSE)</f>
        <v>TS Commercial</v>
      </c>
      <c r="C153" s="633" t="s">
        <v>63</v>
      </c>
      <c r="D153" s="633" t="str">
        <f t="shared" si="46"/>
        <v>881</v>
      </c>
      <c r="E153" s="561" t="str">
        <f>VLOOKUP($C153,'Retail Rates'!$B$46:$Q$55,3,FALSE)</f>
        <v>CGS-TS</v>
      </c>
      <c r="F153" s="991" t="s">
        <v>841</v>
      </c>
      <c r="H153" s="999">
        <f>SUMIFS('FT_Cashouts_IntraCo-PR'!$F$4:$F$130,'FT_Cashouts_IntraCo-PR'!$A$4:$A$130,'Apr11-Mar12 FT-TS-Cashout-LG&amp;E'!$C153,'FT_Cashouts_IntraCo-PR'!$D$4:$D$130,'Apr11-Mar12 FT-TS-Cashout-LG&amp;E'!H$5)</f>
        <v>0</v>
      </c>
      <c r="I153" s="999">
        <f>SUMIFS('FT_Cashouts_IntraCo-PR'!$F$4:$F$130,'FT_Cashouts_IntraCo-PR'!$A$4:$A$130,'Apr11-Mar12 FT-TS-Cashout-LG&amp;E'!$C153,'FT_Cashouts_IntraCo-PR'!$D$4:$D$130,'Apr11-Mar12 FT-TS-Cashout-LG&amp;E'!I$5)</f>
        <v>0</v>
      </c>
      <c r="J153" s="999">
        <f>SUMIFS('FT_Cashouts_IntraCo-PR'!$F$4:$F$130,'FT_Cashouts_IntraCo-PR'!$A$4:$A$130,'Apr11-Mar12 FT-TS-Cashout-LG&amp;E'!$C153,'FT_Cashouts_IntraCo-PR'!$D$4:$D$130,'Apr11-Mar12 FT-TS-Cashout-LG&amp;E'!J$5)</f>
        <v>0</v>
      </c>
      <c r="K153" s="999">
        <f>SUMIFS('FT_Cashouts_IntraCo-PR'!$F$4:$F$130,'FT_Cashouts_IntraCo-PR'!$A$4:$A$130,'Apr11-Mar12 FT-TS-Cashout-LG&amp;E'!$C153,'FT_Cashouts_IntraCo-PR'!$D$4:$D$130,'Apr11-Mar12 FT-TS-Cashout-LG&amp;E'!K$5)</f>
        <v>153</v>
      </c>
      <c r="L153" s="999">
        <f>SUMIFS('FT_Cashouts_IntraCo-PR'!$F$4:$F$130,'FT_Cashouts_IntraCo-PR'!$A$4:$A$130,'Apr11-Mar12 FT-TS-Cashout-LG&amp;E'!$C153,'FT_Cashouts_IntraCo-PR'!$D$4:$D$130,'Apr11-Mar12 FT-TS-Cashout-LG&amp;E'!L$5)</f>
        <v>153</v>
      </c>
      <c r="M153" s="999">
        <f>SUMIFS('FT_Cashouts_IntraCo-PR'!$F$4:$F$130,'FT_Cashouts_IntraCo-PR'!$A$4:$A$130,'Apr11-Mar12 FT-TS-Cashout-LG&amp;E'!$C153,'FT_Cashouts_IntraCo-PR'!$D$4:$D$130,'Apr11-Mar12 FT-TS-Cashout-LG&amp;E'!M$5)</f>
        <v>153</v>
      </c>
      <c r="N153" s="999">
        <f>SUMIFS('FT_Cashouts_IntraCo-PR'!$F$4:$F$130,'FT_Cashouts_IntraCo-PR'!$A$4:$A$130,'Apr11-Mar12 FT-TS-Cashout-LG&amp;E'!$C153,'FT_Cashouts_IntraCo-PR'!$D$4:$D$130,'Apr11-Mar12 FT-TS-Cashout-LG&amp;E'!N$5)</f>
        <v>306</v>
      </c>
      <c r="O153" s="999">
        <f>SUMIFS('FT_Cashouts_IntraCo-PR'!$F$4:$F$130,'FT_Cashouts_IntraCo-PR'!$A$4:$A$130,'Apr11-Mar12 FT-TS-Cashout-LG&amp;E'!$C153,'FT_Cashouts_IntraCo-PR'!$D$4:$D$130,'Apr11-Mar12 FT-TS-Cashout-LG&amp;E'!O$5)</f>
        <v>0</v>
      </c>
      <c r="P153" s="999">
        <f>SUMIFS('FT_Cashouts_IntraCo-PR'!$F$4:$F$130,'FT_Cashouts_IntraCo-PR'!$A$4:$A$130,'Apr11-Mar12 FT-TS-Cashout-LG&amp;E'!$C153,'FT_Cashouts_IntraCo-PR'!$D$4:$D$130,'Apr11-Mar12 FT-TS-Cashout-LG&amp;E'!P$5)</f>
        <v>153</v>
      </c>
      <c r="Q153" s="999">
        <f>SUMIFS('FT_Cashouts_IntraCo-PR'!$F$4:$F$130,'FT_Cashouts_IntraCo-PR'!$A$4:$A$130,'Apr11-Mar12 FT-TS-Cashout-LG&amp;E'!$C153,'FT_Cashouts_IntraCo-PR'!$D$4:$D$130,'Apr11-Mar12 FT-TS-Cashout-LG&amp;E'!Q$5)</f>
        <v>153</v>
      </c>
      <c r="R153" s="999">
        <f>SUMIFS('FT_Cashouts_IntraCo-PR'!$F$4:$F$130,'FT_Cashouts_IntraCo-PR'!$A$4:$A$130,'Apr11-Mar12 FT-TS-Cashout-LG&amp;E'!$C153,'FT_Cashouts_IntraCo-PR'!$D$4:$D$130,'Apr11-Mar12 FT-TS-Cashout-LG&amp;E'!R$5)</f>
        <v>0</v>
      </c>
      <c r="S153" s="999">
        <f>SUMIFS('FT_Cashouts_IntraCo-PR'!$F$4:$F$130,'FT_Cashouts_IntraCo-PR'!$A$4:$A$130,'Apr11-Mar12 FT-TS-Cashout-LG&amp;E'!$C153,'FT_Cashouts_IntraCo-PR'!$D$4:$D$130,'Apr11-Mar12 FT-TS-Cashout-LG&amp;E'!S$5)</f>
        <v>0</v>
      </c>
      <c r="T153" s="1001">
        <f>SUM(H153:S153)</f>
        <v>1071</v>
      </c>
    </row>
    <row r="154" spans="2:21" x14ac:dyDescent="0.2">
      <c r="B154" s="561" t="str">
        <f>VLOOKUP($C154,'Retail Rates'!$B$46:$Q$55,13,FALSE)</f>
        <v>TS Commercial</v>
      </c>
      <c r="C154" s="633" t="s">
        <v>63</v>
      </c>
      <c r="D154" s="633" t="str">
        <f t="shared" si="46"/>
        <v>881</v>
      </c>
      <c r="E154" s="561" t="str">
        <f>VLOOKUP($C154,'Retail Rates'!$B$46:$Q$55,3,FALSE)</f>
        <v>CGS-TS</v>
      </c>
    </row>
    <row r="155" spans="2:21" x14ac:dyDescent="0.2">
      <c r="B155" s="561" t="str">
        <f>VLOOKUP($C155,'Retail Rates'!$B$46:$Q$55,13,FALSE)</f>
        <v>TS Commercial</v>
      </c>
      <c r="C155" s="633" t="s">
        <v>63</v>
      </c>
      <c r="D155" s="633" t="str">
        <f t="shared" si="46"/>
        <v>881</v>
      </c>
      <c r="E155" s="561" t="str">
        <f>VLOOKUP($C155,'Retail Rates'!$B$46:$Q$55,3,FALSE)</f>
        <v>CGS-TS</v>
      </c>
      <c r="F155" s="991" t="s">
        <v>386</v>
      </c>
      <c r="H155" s="999">
        <f>+H150-H153</f>
        <v>0</v>
      </c>
      <c r="I155" s="999">
        <f>+I150-I153</f>
        <v>0</v>
      </c>
      <c r="J155" s="999">
        <f>+J150-J153</f>
        <v>0</v>
      </c>
      <c r="K155" s="999">
        <f>+K150-K153</f>
        <v>0</v>
      </c>
      <c r="L155" s="999">
        <f t="shared" ref="L155:S155" si="57">+L150-L153</f>
        <v>0</v>
      </c>
      <c r="M155" s="999">
        <f t="shared" si="57"/>
        <v>0</v>
      </c>
      <c r="N155" s="999">
        <f t="shared" si="57"/>
        <v>0</v>
      </c>
      <c r="O155" s="999">
        <f t="shared" si="57"/>
        <v>0</v>
      </c>
      <c r="P155" s="999">
        <f t="shared" si="57"/>
        <v>0</v>
      </c>
      <c r="Q155" s="999">
        <f t="shared" si="57"/>
        <v>0</v>
      </c>
      <c r="R155" s="999">
        <f t="shared" si="57"/>
        <v>0</v>
      </c>
      <c r="S155" s="999">
        <f t="shared" si="57"/>
        <v>0</v>
      </c>
      <c r="T155" s="1001">
        <f>SUM(H155:S155)</f>
        <v>0</v>
      </c>
    </row>
    <row r="156" spans="2:21" x14ac:dyDescent="0.2">
      <c r="C156" s="633"/>
      <c r="D156" s="633"/>
    </row>
    <row r="157" spans="2:21" x14ac:dyDescent="0.2">
      <c r="C157" s="633"/>
      <c r="D157" s="633"/>
    </row>
    <row r="158" spans="2:21" x14ac:dyDescent="0.2">
      <c r="F158" s="1009" t="s">
        <v>700</v>
      </c>
    </row>
    <row r="159" spans="2:21" x14ac:dyDescent="0.2">
      <c r="B159" s="561" t="str">
        <f>VLOOKUP($C159,'Retail Rates'!$B$46:$Q$55,13,FALSE)</f>
        <v>TS Industrial</v>
      </c>
      <c r="C159" s="633" t="s">
        <v>66</v>
      </c>
      <c r="D159" s="633" t="str">
        <f t="shared" ref="D159:D179" si="58">MID(C159,6,3)</f>
        <v>882</v>
      </c>
      <c r="E159" s="561" t="str">
        <f>VLOOKUP($C159,'Retail Rates'!$B$46:$Q$55,3,FALSE)</f>
        <v>IGS-TS</v>
      </c>
      <c r="F159" s="1010" t="s">
        <v>407</v>
      </c>
      <c r="H159" s="1011">
        <f>+H170/H164</f>
        <v>2</v>
      </c>
      <c r="I159" s="1011">
        <f>+I170/I164</f>
        <v>2</v>
      </c>
      <c r="J159" s="1011">
        <f t="shared" ref="J159:S159" si="59">+J170/J164</f>
        <v>2</v>
      </c>
      <c r="K159" s="1011">
        <f t="shared" si="59"/>
        <v>2</v>
      </c>
      <c r="L159" s="1011">
        <f t="shared" si="59"/>
        <v>2</v>
      </c>
      <c r="M159" s="1011">
        <f t="shared" si="59"/>
        <v>2</v>
      </c>
      <c r="N159" s="1011">
        <f t="shared" si="59"/>
        <v>2</v>
      </c>
      <c r="O159" s="1011">
        <f t="shared" si="59"/>
        <v>2</v>
      </c>
      <c r="P159" s="1011">
        <f t="shared" si="59"/>
        <v>2</v>
      </c>
      <c r="Q159" s="1011">
        <f t="shared" si="59"/>
        <v>2</v>
      </c>
      <c r="R159" s="1011">
        <f t="shared" si="59"/>
        <v>2</v>
      </c>
      <c r="S159" s="1011">
        <f t="shared" si="59"/>
        <v>2</v>
      </c>
      <c r="T159" s="1044">
        <f>SUM(H159:S159)</f>
        <v>24</v>
      </c>
    </row>
    <row r="160" spans="2:21" x14ac:dyDescent="0.2">
      <c r="B160" s="561" t="str">
        <f>VLOOKUP($C160,'Retail Rates'!$B$46:$Q$55,13,FALSE)</f>
        <v>TS Industrial</v>
      </c>
      <c r="C160" s="633" t="s">
        <v>66</v>
      </c>
      <c r="D160" s="633" t="str">
        <f t="shared" si="58"/>
        <v>882</v>
      </c>
      <c r="E160" s="561" t="str">
        <f>VLOOKUP($C160,'Retail Rates'!$B$46:$Q$55,3,FALSE)</f>
        <v>IGS-TS</v>
      </c>
      <c r="F160" s="1010" t="s">
        <v>714</v>
      </c>
      <c r="H160" s="992">
        <f>IF(H162=0,H162,IF(H162&gt;=(H159*100),(H159*100),H162))</f>
        <v>200</v>
      </c>
      <c r="I160" s="992">
        <f>IF(I162=0,I162,IF(I162&gt;=(I159*100),(I159*100),I162))</f>
        <v>200</v>
      </c>
      <c r="J160" s="992">
        <f>IF(J162=0,J162,IF(J162&gt;=(J159*100),(J159*100),J162))</f>
        <v>200</v>
      </c>
      <c r="K160" s="992">
        <f>IF(K162=0,K162,IF(K162&gt;=(K159*100),(K159*100),K162))</f>
        <v>200</v>
      </c>
      <c r="L160" s="992">
        <f>IF(L162=0,L162,IF(L162&gt;=(L159*100),(L159*100),L162))</f>
        <v>200</v>
      </c>
      <c r="M160" s="992">
        <f>IF(M162=0,M162,IF(M162&gt;=(M159*100),(M159*100),M162))+484.3</f>
        <v>684.3</v>
      </c>
      <c r="N160" s="992">
        <f t="shared" ref="N160:S160" si="60">IF(N162=0,N162,IF(N162&gt;=(N159*100),(N159*100),N162))</f>
        <v>200</v>
      </c>
      <c r="O160" s="992">
        <f t="shared" si="60"/>
        <v>200</v>
      </c>
      <c r="P160" s="992">
        <f t="shared" si="60"/>
        <v>200</v>
      </c>
      <c r="Q160" s="992">
        <f t="shared" si="60"/>
        <v>200</v>
      </c>
      <c r="R160" s="992">
        <f t="shared" si="60"/>
        <v>200</v>
      </c>
      <c r="S160" s="992">
        <f t="shared" si="60"/>
        <v>200</v>
      </c>
      <c r="T160" s="1044">
        <f>SUM(H160:S160)</f>
        <v>2884.3</v>
      </c>
      <c r="U160" s="1404">
        <f>SUM(H162:S162)-SUM(K161:Q161)</f>
        <v>23198.800000000003</v>
      </c>
    </row>
    <row r="161" spans="2:22" x14ac:dyDescent="0.2">
      <c r="B161" s="561" t="str">
        <f>VLOOKUP($C161,'Retail Rates'!$B$46:$Q$55,13,FALSE)</f>
        <v>TS Industrial</v>
      </c>
      <c r="C161" s="633" t="s">
        <v>66</v>
      </c>
      <c r="D161" s="633" t="str">
        <f t="shared" si="58"/>
        <v>882</v>
      </c>
      <c r="E161" s="561" t="str">
        <f>VLOOKUP($C161,'Retail Rates'!$B$46:$Q$55,3,FALSE)</f>
        <v>IGS-TS</v>
      </c>
      <c r="F161" s="1010" t="s">
        <v>715</v>
      </c>
      <c r="H161" s="992">
        <f t="shared" ref="H161:S161" si="61">+H162-H160</f>
        <v>2102</v>
      </c>
      <c r="I161" s="992">
        <f t="shared" si="61"/>
        <v>3528.3</v>
      </c>
      <c r="J161" s="992">
        <f t="shared" si="61"/>
        <v>5435</v>
      </c>
      <c r="K161" s="992">
        <f t="shared" si="61"/>
        <v>2091.1999999999998</v>
      </c>
      <c r="L161" s="992">
        <f t="shared" si="61"/>
        <v>1661.7</v>
      </c>
      <c r="M161" s="992">
        <f t="shared" si="61"/>
        <v>5258</v>
      </c>
      <c r="N161" s="992">
        <f t="shared" si="61"/>
        <v>5218.2</v>
      </c>
      <c r="O161" s="992">
        <f t="shared" si="61"/>
        <v>3292.8</v>
      </c>
      <c r="P161" s="992">
        <f t="shared" si="61"/>
        <v>4289.3</v>
      </c>
      <c r="Q161" s="992">
        <f t="shared" si="61"/>
        <v>4403</v>
      </c>
      <c r="R161" s="992">
        <f t="shared" si="61"/>
        <v>5832</v>
      </c>
      <c r="S161" s="992">
        <f t="shared" si="61"/>
        <v>3417.2</v>
      </c>
      <c r="T161" s="1044">
        <f>SUM(H161:S161)</f>
        <v>46528.7</v>
      </c>
      <c r="U161" s="1404">
        <f>SUM(K161:Q161)</f>
        <v>26214.199999999997</v>
      </c>
    </row>
    <row r="162" spans="2:22" x14ac:dyDescent="0.2">
      <c r="B162" s="561" t="str">
        <f>VLOOKUP($C162,'Retail Rates'!$B$46:$Q$55,13,FALSE)</f>
        <v>TS Industrial</v>
      </c>
      <c r="C162" s="633" t="s">
        <v>66</v>
      </c>
      <c r="D162" s="633" t="str">
        <f t="shared" si="58"/>
        <v>882</v>
      </c>
      <c r="E162" s="561" t="str">
        <f>VLOOKUP($C162,'Retail Rates'!$B$46:$Q$55,3,FALSE)</f>
        <v>IGS-TS</v>
      </c>
      <c r="F162" s="1010" t="s">
        <v>716</v>
      </c>
      <c r="G162" s="987" t="s">
        <v>812</v>
      </c>
      <c r="H162" s="992">
        <f>SUMIFS('Data FT-TS-Cashout-Paddys'!$G$5:$G$756,'Data FT-TS-Cashout-Paddys'!$F$5:$F$756,'Apr11-Mar12 FT-TS-Cashout-LG&amp;E'!$G162,'Data FT-TS-Cashout-Paddys'!$A$5:$A$756,'Apr11-Mar12 FT-TS-Cashout-LG&amp;E'!H$5,'Data FT-TS-Cashout-Paddys'!$C$5:$C$756,'Apr11-Mar12 FT-TS-Cashout-LG&amp;E'!$C162,'Data FT-TS-Cashout-Paddys'!$E$5:$E$756,'Apr11-Mar12 FT-TS-Cashout-LG&amp;E'!H$6)/10</f>
        <v>2302</v>
      </c>
      <c r="I162" s="992">
        <f>SUMIFS('Data FT-TS-Cashout-Paddys'!$G$5:$G$756,'Data FT-TS-Cashout-Paddys'!$F$5:$F$756,'Apr11-Mar12 FT-TS-Cashout-LG&amp;E'!$G162,'Data FT-TS-Cashout-Paddys'!$A$5:$A$756,'Apr11-Mar12 FT-TS-Cashout-LG&amp;E'!I$5,'Data FT-TS-Cashout-Paddys'!$C$5:$C$756,'Apr11-Mar12 FT-TS-Cashout-LG&amp;E'!$C162,'Data FT-TS-Cashout-Paddys'!$E$5:$E$756,'Apr11-Mar12 FT-TS-Cashout-LG&amp;E'!I$6)/10</f>
        <v>3728.3</v>
      </c>
      <c r="J162" s="992">
        <f>SUMIFS('Data FT-TS-Cashout-Paddys'!$G$5:$G$756,'Data FT-TS-Cashout-Paddys'!$F$5:$F$756,'Apr11-Mar12 FT-TS-Cashout-LG&amp;E'!$G162,'Data FT-TS-Cashout-Paddys'!$A$5:$A$756,'Apr11-Mar12 FT-TS-Cashout-LG&amp;E'!J$5,'Data FT-TS-Cashout-Paddys'!$C$5:$C$756,'Apr11-Mar12 FT-TS-Cashout-LG&amp;E'!$C162,'Data FT-TS-Cashout-Paddys'!$E$5:$E$756,'Apr11-Mar12 FT-TS-Cashout-LG&amp;E'!J$6)/10</f>
        <v>5635</v>
      </c>
      <c r="K162" s="992">
        <f>SUMIFS('Data FT-TS-Cashout-Paddys'!$G$5:$G$756,'Data FT-TS-Cashout-Paddys'!$F$5:$F$756,'Apr11-Mar12 FT-TS-Cashout-LG&amp;E'!$G162,'Data FT-TS-Cashout-Paddys'!$A$5:$A$756,'Apr11-Mar12 FT-TS-Cashout-LG&amp;E'!K$5,'Data FT-TS-Cashout-Paddys'!$C$5:$C$756,'Apr11-Mar12 FT-TS-Cashout-LG&amp;E'!$C162,'Data FT-TS-Cashout-Paddys'!$E$5:$E$756,'Apr11-Mar12 FT-TS-Cashout-LG&amp;E'!K$6)/10</f>
        <v>2291.1999999999998</v>
      </c>
      <c r="L162" s="992">
        <f>SUMIFS('Data FT-TS-Cashout-Paddys'!$G$5:$G$756,'Data FT-TS-Cashout-Paddys'!$F$5:$F$756,'Apr11-Mar12 FT-TS-Cashout-LG&amp;E'!$G162,'Data FT-TS-Cashout-Paddys'!$A$5:$A$756,'Apr11-Mar12 FT-TS-Cashout-LG&amp;E'!L$5,'Data FT-TS-Cashout-Paddys'!$C$5:$C$756,'Apr11-Mar12 FT-TS-Cashout-LG&amp;E'!$C162,'Data FT-TS-Cashout-Paddys'!$E$5:$E$756,'Apr11-Mar12 FT-TS-Cashout-LG&amp;E'!L$6)/10</f>
        <v>1861.7</v>
      </c>
      <c r="M162" s="992">
        <f>SUMIFS('Data FT-TS-Cashout-Paddys'!$G$5:$G$756,'Data FT-TS-Cashout-Paddys'!$F$5:$F$756,'Apr11-Mar12 FT-TS-Cashout-LG&amp;E'!$G162,'Data FT-TS-Cashout-Paddys'!$A$5:$A$756,'Apr11-Mar12 FT-TS-Cashout-LG&amp;E'!M$5,'Data FT-TS-Cashout-Paddys'!$C$5:$C$756,'Apr11-Mar12 FT-TS-Cashout-LG&amp;E'!$C162,'Data FT-TS-Cashout-Paddys'!$E$5:$E$756,'Apr11-Mar12 FT-TS-Cashout-LG&amp;E'!M$6)/10</f>
        <v>5942.3</v>
      </c>
      <c r="N162" s="992">
        <f>SUMIFS('Data FT-TS-Cashout-Paddys'!$G$5:$G$756,'Data FT-TS-Cashout-Paddys'!$F$5:$F$756,'Apr11-Mar12 FT-TS-Cashout-LG&amp;E'!$G162,'Data FT-TS-Cashout-Paddys'!$A$5:$A$756,'Apr11-Mar12 FT-TS-Cashout-LG&amp;E'!N$5,'Data FT-TS-Cashout-Paddys'!$C$5:$C$756,'Apr11-Mar12 FT-TS-Cashout-LG&amp;E'!$C162,'Data FT-TS-Cashout-Paddys'!$E$5:$E$756,'Apr11-Mar12 FT-TS-Cashout-LG&amp;E'!N$6)/10</f>
        <v>5418.2</v>
      </c>
      <c r="O162" s="992">
        <f>SUMIFS('Data FT-TS-Cashout-Paddys'!$G$5:$G$756,'Data FT-TS-Cashout-Paddys'!$F$5:$F$756,'Apr11-Mar12 FT-TS-Cashout-LG&amp;E'!$G162,'Data FT-TS-Cashout-Paddys'!$A$5:$A$756,'Apr11-Mar12 FT-TS-Cashout-LG&amp;E'!O$5,'Data FT-TS-Cashout-Paddys'!$C$5:$C$756,'Apr11-Mar12 FT-TS-Cashout-LG&amp;E'!$C162,'Data FT-TS-Cashout-Paddys'!$E$5:$E$756,'Apr11-Mar12 FT-TS-Cashout-LG&amp;E'!O$6)/10</f>
        <v>3492.8</v>
      </c>
      <c r="P162" s="992">
        <f>SUMIFS('Data FT-TS-Cashout-Paddys'!$G$5:$G$756,'Data FT-TS-Cashout-Paddys'!$F$5:$F$756,'Apr11-Mar12 FT-TS-Cashout-LG&amp;E'!$G162,'Data FT-TS-Cashout-Paddys'!$A$5:$A$756,'Apr11-Mar12 FT-TS-Cashout-LG&amp;E'!P$5,'Data FT-TS-Cashout-Paddys'!$C$5:$C$756,'Apr11-Mar12 FT-TS-Cashout-LG&amp;E'!$C162,'Data FT-TS-Cashout-Paddys'!$E$5:$E$756,'Apr11-Mar12 FT-TS-Cashout-LG&amp;E'!P$6)/10</f>
        <v>4489.3</v>
      </c>
      <c r="Q162" s="992">
        <f>SUMIFS('Data FT-TS-Cashout-Paddys'!$G$5:$G$756,'Data FT-TS-Cashout-Paddys'!$F$5:$F$756,'Apr11-Mar12 FT-TS-Cashout-LG&amp;E'!$G162,'Data FT-TS-Cashout-Paddys'!$A$5:$A$756,'Apr11-Mar12 FT-TS-Cashout-LG&amp;E'!Q$5,'Data FT-TS-Cashout-Paddys'!$C$5:$C$756,'Apr11-Mar12 FT-TS-Cashout-LG&amp;E'!$C162,'Data FT-TS-Cashout-Paddys'!$E$5:$E$756,'Apr11-Mar12 FT-TS-Cashout-LG&amp;E'!Q$6)/10</f>
        <v>4603</v>
      </c>
      <c r="R162" s="992">
        <f>SUMIFS('Data FT-TS-Cashout-Paddys'!$G$5:$G$756,'Data FT-TS-Cashout-Paddys'!$F$5:$F$756,'Apr11-Mar12 FT-TS-Cashout-LG&amp;E'!$G162,'Data FT-TS-Cashout-Paddys'!$A$5:$A$756,'Apr11-Mar12 FT-TS-Cashout-LG&amp;E'!R$5,'Data FT-TS-Cashout-Paddys'!$C$5:$C$756,'Apr11-Mar12 FT-TS-Cashout-LG&amp;E'!$C162,'Data FT-TS-Cashout-Paddys'!$E$5:$E$756,'Apr11-Mar12 FT-TS-Cashout-LG&amp;E'!R$6)/10</f>
        <v>6032</v>
      </c>
      <c r="S162" s="992">
        <f>SUMIFS('Data FT-TS-Cashout-Paddys'!$G$5:$G$756,'Data FT-TS-Cashout-Paddys'!$F$5:$F$756,'Apr11-Mar12 FT-TS-Cashout-LG&amp;E'!$G162,'Data FT-TS-Cashout-Paddys'!$A$5:$A$756,'Apr11-Mar12 FT-TS-Cashout-LG&amp;E'!S$5,'Data FT-TS-Cashout-Paddys'!$C$5:$C$756,'Apr11-Mar12 FT-TS-Cashout-LG&amp;E'!$C162,'Data FT-TS-Cashout-Paddys'!$E$5:$E$756,'Apr11-Mar12 FT-TS-Cashout-LG&amp;E'!S$6)/10</f>
        <v>3617.2</v>
      </c>
      <c r="T162" s="1044">
        <f>SUM(H162:S162)</f>
        <v>49413</v>
      </c>
      <c r="U162" s="1404">
        <f>+U161+U160</f>
        <v>49413</v>
      </c>
    </row>
    <row r="163" spans="2:22" x14ac:dyDescent="0.2">
      <c r="B163" s="561" t="str">
        <f>VLOOKUP($C163,'Retail Rates'!$B$46:$Q$55,13,FALSE)</f>
        <v>TS Industrial</v>
      </c>
      <c r="C163" s="633" t="s">
        <v>66</v>
      </c>
      <c r="D163" s="633" t="str">
        <f t="shared" si="58"/>
        <v>882</v>
      </c>
      <c r="E163" s="561" t="str">
        <f>VLOOKUP($C163,'Retail Rates'!$B$46:$Q$55,3,FALSE)</f>
        <v>IGS-TS</v>
      </c>
      <c r="F163" s="1012"/>
    </row>
    <row r="164" spans="2:22" x14ac:dyDescent="0.2">
      <c r="B164" s="561" t="str">
        <f>VLOOKUP($C164,'Retail Rates'!$B$46:$Q$55,13,FALSE)</f>
        <v>TS Industrial</v>
      </c>
      <c r="C164" s="633" t="s">
        <v>66</v>
      </c>
      <c r="D164" s="633" t="str">
        <f t="shared" si="58"/>
        <v>882</v>
      </c>
      <c r="E164" s="561" t="str">
        <f>VLOOKUP($C164,'Retail Rates'!$B$46:$Q$55,3,FALSE)</f>
        <v>IGS-TS</v>
      </c>
      <c r="F164" s="1010" t="s">
        <v>409</v>
      </c>
      <c r="H164" s="994">
        <f>VLOOKUP($C164,'Retail Rates'!$B$45:$N$55,5,FALSE)</f>
        <v>153</v>
      </c>
      <c r="I164" s="994">
        <f>VLOOKUP($C164,'Retail Rates'!$B$45:$N$55,5,FALSE)</f>
        <v>153</v>
      </c>
      <c r="J164" s="994">
        <f>VLOOKUP($C164,'Retail Rates'!$B$45:$N$55,5,FALSE)</f>
        <v>153</v>
      </c>
      <c r="K164" s="994">
        <f>VLOOKUP($C164,'Retail Rates'!$B$45:$N$55,5,FALSE)</f>
        <v>153</v>
      </c>
      <c r="L164" s="994">
        <f>VLOOKUP($C164,'Retail Rates'!$B$45:$N$55,5,FALSE)</f>
        <v>153</v>
      </c>
      <c r="M164" s="994">
        <f>VLOOKUP($C164,'Retail Rates'!$B$45:$N$55,5,FALSE)</f>
        <v>153</v>
      </c>
      <c r="N164" s="994">
        <f>VLOOKUP($C164,'Retail Rates'!$B$45:$N$55,5,FALSE)</f>
        <v>153</v>
      </c>
      <c r="O164" s="994">
        <f>VLOOKUP($C164,'Retail Rates'!$B$45:$N$55,5,FALSE)</f>
        <v>153</v>
      </c>
      <c r="P164" s="994">
        <f>VLOOKUP($C164,'Retail Rates'!$B$45:$N$55,5,FALSE)</f>
        <v>153</v>
      </c>
      <c r="Q164" s="994">
        <f>VLOOKUP($C164,'Retail Rates'!$B$45:$N$55,5,FALSE)</f>
        <v>153</v>
      </c>
      <c r="R164" s="994">
        <f>VLOOKUP($C164,'Retail Rates'!$B$45:$N$55,5,FALSE)</f>
        <v>153</v>
      </c>
      <c r="S164" s="994">
        <f>VLOOKUP($C164,'Retail Rates'!$B$45:$N$55,5,FALSE)</f>
        <v>153</v>
      </c>
    </row>
    <row r="165" spans="2:22" x14ac:dyDescent="0.2">
      <c r="B165" s="561" t="str">
        <f>VLOOKUP($C165,'Retail Rates'!$B$46:$Q$55,13,FALSE)</f>
        <v>TS Industrial</v>
      </c>
      <c r="C165" s="633" t="s">
        <v>66</v>
      </c>
      <c r="D165" s="633" t="str">
        <f t="shared" si="58"/>
        <v>882</v>
      </c>
      <c r="E165" s="561" t="str">
        <f>VLOOKUP($C165,'Retail Rates'!$B$46:$Q$55,3,FALSE)</f>
        <v>IGS-TS</v>
      </c>
      <c r="F165" s="1010" t="s">
        <v>717</v>
      </c>
      <c r="H165" s="995">
        <f>VLOOKUP($C165,'Retail Rates'!$B$45:$N$55,7,FALSE)</f>
        <v>1.9021999999999999</v>
      </c>
      <c r="I165" s="995">
        <f>VLOOKUP($C165,'Retail Rates'!$B$45:$N$55,7,FALSE)</f>
        <v>1.9021999999999999</v>
      </c>
      <c r="J165" s="995">
        <f>VLOOKUP($C165,'Retail Rates'!$B$45:$N$55,7,FALSE)</f>
        <v>1.9021999999999999</v>
      </c>
      <c r="K165" s="995">
        <f>VLOOKUP($C165,'Retail Rates'!$B$45:$N$55,7,FALSE)</f>
        <v>1.9021999999999999</v>
      </c>
      <c r="L165" s="995">
        <f>VLOOKUP($C165,'Retail Rates'!$B$45:$N$55,7,FALSE)</f>
        <v>1.9021999999999999</v>
      </c>
      <c r="M165" s="995">
        <f>VLOOKUP($C165,'Retail Rates'!$B$45:$N$55,7,FALSE)</f>
        <v>1.9021999999999999</v>
      </c>
      <c r="N165" s="995">
        <f>VLOOKUP($C165,'Retail Rates'!$B$45:$N$55,7,FALSE)</f>
        <v>1.9021999999999999</v>
      </c>
      <c r="O165" s="995">
        <f>VLOOKUP($C165,'Retail Rates'!$B$45:$N$55,7,FALSE)</f>
        <v>1.9021999999999999</v>
      </c>
      <c r="P165" s="995">
        <f>VLOOKUP($C165,'Retail Rates'!$B$45:$N$55,7,FALSE)</f>
        <v>1.9021999999999999</v>
      </c>
      <c r="Q165" s="995">
        <f>VLOOKUP($C165,'Retail Rates'!$B$45:$N$55,7,FALSE)</f>
        <v>1.9021999999999999</v>
      </c>
      <c r="R165" s="995">
        <f>VLOOKUP($C165,'Retail Rates'!$B$45:$N$55,7,FALSE)</f>
        <v>1.9021999999999999</v>
      </c>
      <c r="S165" s="995">
        <f>VLOOKUP($C165,'Retail Rates'!$B$45:$N$55,7,FALSE)</f>
        <v>1.9021999999999999</v>
      </c>
    </row>
    <row r="166" spans="2:22" x14ac:dyDescent="0.2">
      <c r="B166" s="561" t="str">
        <f>VLOOKUP($C166,'Retail Rates'!$B$46:$Q$55,13,FALSE)</f>
        <v>TS Industrial</v>
      </c>
      <c r="C166" s="633" t="s">
        <v>66</v>
      </c>
      <c r="D166" s="633" t="str">
        <f t="shared" si="58"/>
        <v>882</v>
      </c>
      <c r="E166" s="561" t="str">
        <f>VLOOKUP($C166,'Retail Rates'!$B$46:$Q$55,3,FALSE)</f>
        <v>IGS-TS</v>
      </c>
      <c r="F166" s="1010" t="s">
        <v>718</v>
      </c>
      <c r="H166" s="995">
        <f>+H165</f>
        <v>1.9021999999999999</v>
      </c>
      <c r="I166" s="995">
        <f>+I165</f>
        <v>1.9021999999999999</v>
      </c>
      <c r="J166" s="995">
        <f>+J165</f>
        <v>1.9021999999999999</v>
      </c>
      <c r="K166" s="995">
        <f>VLOOKUP($C166,'Retail Rates'!$B$45:$N$55,8,FALSE)</f>
        <v>1.4021999999999999</v>
      </c>
      <c r="L166" s="995">
        <f>VLOOKUP($C166,'Retail Rates'!$B$45:$N$55,8,FALSE)</f>
        <v>1.4021999999999999</v>
      </c>
      <c r="M166" s="995">
        <f>VLOOKUP($C166,'Retail Rates'!$B$45:$N$55,8,FALSE)</f>
        <v>1.4021999999999999</v>
      </c>
      <c r="N166" s="995">
        <f>VLOOKUP($C166,'Retail Rates'!$B$45:$N$55,8,FALSE)</f>
        <v>1.4021999999999999</v>
      </c>
      <c r="O166" s="995">
        <f>VLOOKUP($C166,'Retail Rates'!$B$45:$N$55,8,FALSE)</f>
        <v>1.4021999999999999</v>
      </c>
      <c r="P166" s="995">
        <f>VLOOKUP($C166,'Retail Rates'!$B$45:$N$55,8,FALSE)</f>
        <v>1.4021999999999999</v>
      </c>
      <c r="Q166" s="995">
        <f>VLOOKUP($C166,'Retail Rates'!$B$45:$N$55,8,FALSE)</f>
        <v>1.4021999999999999</v>
      </c>
      <c r="R166" s="995">
        <f>+R165</f>
        <v>1.9021999999999999</v>
      </c>
      <c r="S166" s="995">
        <f>+S165</f>
        <v>1.9021999999999999</v>
      </c>
    </row>
    <row r="167" spans="2:22" x14ac:dyDescent="0.2">
      <c r="B167" s="561" t="str">
        <f>VLOOKUP($C167,'Retail Rates'!$B$46:$Q$55,13,FALSE)</f>
        <v>TS Industrial</v>
      </c>
      <c r="C167" s="633" t="s">
        <v>66</v>
      </c>
      <c r="D167" s="633" t="str">
        <f t="shared" si="58"/>
        <v>882</v>
      </c>
      <c r="E167" s="561" t="str">
        <f>VLOOKUP($C167,'Retail Rates'!$B$46:$Q$55,3,FALSE)</f>
        <v>IGS-TS</v>
      </c>
      <c r="F167" s="1010" t="s">
        <v>354</v>
      </c>
      <c r="H167" s="995">
        <f>SUMIF('GSC-DSM Factors'!$A$14:$A$44,'Apr11-Mar12 FT-TS-Cashout-LG&amp;E'!H$5,'GSC-DSM Factors'!$K$14:$K$44)</f>
        <v>0.82269999999999999</v>
      </c>
      <c r="I167" s="995">
        <f>SUMIF('GSC-DSM Factors'!$A$14:$A$44,'Apr11-Mar12 FT-TS-Cashout-LG&amp;E'!I$5,'GSC-DSM Factors'!$K$14:$K$44)</f>
        <v>0.87660000000000005</v>
      </c>
      <c r="J167" s="995">
        <f>SUMIF('GSC-DSM Factors'!$A$14:$A$44,'Apr11-Mar12 FT-TS-Cashout-LG&amp;E'!J$5,'GSC-DSM Factors'!$K$14:$K$44)</f>
        <v>0.87660000000000005</v>
      </c>
      <c r="K167" s="995">
        <f>SUMIF('GSC-DSM Factors'!$A$14:$A$44,'Apr11-Mar12 FT-TS-Cashout-LG&amp;E'!K$5,'GSC-DSM Factors'!$K$14:$K$44)</f>
        <v>0.88390000000000002</v>
      </c>
      <c r="L167" s="995">
        <f>SUMIF('GSC-DSM Factors'!$A$14:$A$44,'Apr11-Mar12 FT-TS-Cashout-LG&amp;E'!L$5,'GSC-DSM Factors'!$K$14:$K$44)</f>
        <v>0.88229999999999997</v>
      </c>
      <c r="M167" s="995">
        <f>SUMIF('GSC-DSM Factors'!$A$14:$A$44,'Apr11-Mar12 FT-TS-Cashout-LG&amp;E'!M$5,'GSC-DSM Factors'!$K$14:$K$44)</f>
        <v>0.88229999999999997</v>
      </c>
      <c r="N167" s="995">
        <f>SUMIF('GSC-DSM Factors'!$A$14:$A$44,'Apr11-Mar12 FT-TS-Cashout-LG&amp;E'!N$5,'GSC-DSM Factors'!$K$14:$K$44)</f>
        <v>0.88229999999999997</v>
      </c>
      <c r="O167" s="995">
        <f>SUMIF('GSC-DSM Factors'!$A$14:$A$44,'Apr11-Mar12 FT-TS-Cashout-LG&amp;E'!O$5,'GSC-DSM Factors'!$K$14:$K$44)</f>
        <v>0.87829999999999997</v>
      </c>
      <c r="P167" s="995">
        <f>SUMIF('GSC-DSM Factors'!$A$14:$A$44,'Apr11-Mar12 FT-TS-Cashout-LG&amp;E'!P$5,'GSC-DSM Factors'!$K$14:$K$44)</f>
        <v>0.87829999999999997</v>
      </c>
      <c r="Q167" s="995">
        <f>SUMIF('GSC-DSM Factors'!$A$14:$A$44,'Apr11-Mar12 FT-TS-Cashout-LG&amp;E'!Q$5,'GSC-DSM Factors'!$K$14:$K$44)</f>
        <v>0.87829999999999997</v>
      </c>
      <c r="R167" s="995">
        <f>SUMIF('GSC-DSM Factors'!$A$14:$A$44,'Apr11-Mar12 FT-TS-Cashout-LG&amp;E'!R$5,'GSC-DSM Factors'!$K$14:$K$44)</f>
        <v>0.82269999999999999</v>
      </c>
      <c r="S167" s="995">
        <f>SUMIF('GSC-DSM Factors'!$A$14:$A$44,'Apr11-Mar12 FT-TS-Cashout-LG&amp;E'!S$5,'GSC-DSM Factors'!$K$14:$K$44)</f>
        <v>0.82269999999999999</v>
      </c>
    </row>
    <row r="168" spans="2:22" x14ac:dyDescent="0.2">
      <c r="B168" s="561" t="str">
        <f>VLOOKUP($C168,'Retail Rates'!$B$46:$Q$55,13,FALSE)</f>
        <v>TS Industrial</v>
      </c>
      <c r="C168" s="633" t="s">
        <v>66</v>
      </c>
      <c r="D168" s="633" t="str">
        <f t="shared" si="58"/>
        <v>882</v>
      </c>
      <c r="E168" s="561" t="str">
        <f>VLOOKUP($C168,'Retail Rates'!$B$46:$Q$55,3,FALSE)</f>
        <v>IGS-TS</v>
      </c>
      <c r="F168" s="1010"/>
      <c r="H168" s="995"/>
      <c r="I168" s="995"/>
      <c r="J168" s="995"/>
      <c r="K168" s="995"/>
      <c r="L168" s="995"/>
      <c r="M168" s="995"/>
      <c r="N168" s="995"/>
      <c r="O168" s="995"/>
      <c r="P168" s="995"/>
      <c r="Q168" s="995"/>
      <c r="R168" s="995"/>
      <c r="S168" s="995"/>
    </row>
    <row r="169" spans="2:22" x14ac:dyDescent="0.2">
      <c r="B169" s="561" t="str">
        <f>VLOOKUP($C169,'Retail Rates'!$B$46:$Q$55,13,FALSE)</f>
        <v>TS Industrial</v>
      </c>
      <c r="C169" s="633" t="s">
        <v>66</v>
      </c>
      <c r="D169" s="633" t="str">
        <f t="shared" si="58"/>
        <v>882</v>
      </c>
      <c r="E169" s="561" t="str">
        <f>VLOOKUP($C169,'Retail Rates'!$B$46:$Q$55,3,FALSE)</f>
        <v>IGS-TS</v>
      </c>
      <c r="F169" s="1013" t="s">
        <v>412</v>
      </c>
    </row>
    <row r="170" spans="2:22" x14ac:dyDescent="0.2">
      <c r="B170" s="561" t="str">
        <f>VLOOKUP($C170,'Retail Rates'!$B$46:$Q$55,13,FALSE)</f>
        <v>TS Industrial</v>
      </c>
      <c r="C170" s="633" t="s">
        <v>66</v>
      </c>
      <c r="D170" s="633" t="str">
        <f t="shared" si="58"/>
        <v>882</v>
      </c>
      <c r="E170" s="561" t="str">
        <f>VLOOKUP($C170,'Retail Rates'!$B$46:$Q$55,3,FALSE)</f>
        <v>IGS-TS</v>
      </c>
      <c r="F170" s="1010" t="s">
        <v>409</v>
      </c>
      <c r="G170" s="987" t="s">
        <v>821</v>
      </c>
      <c r="H170" s="624">
        <f>SUMIFS('Data FT-TS-Cashout-Paddys'!$H$5:$H$756,'Data FT-TS-Cashout-Paddys'!$F$5:$F$756,'Apr11-Mar12 FT-TS-Cashout-LG&amp;E'!$G170,'Data FT-TS-Cashout-Paddys'!$B$5:$B$756,'Apr11-Mar12 FT-TS-Cashout-LG&amp;E'!H$5,'Data FT-TS-Cashout-Paddys'!$C$5:$C$756,'Apr11-Mar12 FT-TS-Cashout-LG&amp;E'!$C170)</f>
        <v>306</v>
      </c>
      <c r="I170" s="624">
        <f>SUMIFS('Data FT-TS-Cashout-Paddys'!$H$5:$H$756,'Data FT-TS-Cashout-Paddys'!$F$5:$F$756,'Apr11-Mar12 FT-TS-Cashout-LG&amp;E'!$G170,'Data FT-TS-Cashout-Paddys'!$B$5:$B$756,'Apr11-Mar12 FT-TS-Cashout-LG&amp;E'!I$5,'Data FT-TS-Cashout-Paddys'!$C$5:$C$756,'Apr11-Mar12 FT-TS-Cashout-LG&amp;E'!$C170)</f>
        <v>306</v>
      </c>
      <c r="J170" s="624">
        <f>SUMIFS('Data FT-TS-Cashout-Paddys'!$H$5:$H$756,'Data FT-TS-Cashout-Paddys'!$F$5:$F$756,'Apr11-Mar12 FT-TS-Cashout-LG&amp;E'!$G170,'Data FT-TS-Cashout-Paddys'!$B$5:$B$756,'Apr11-Mar12 FT-TS-Cashout-LG&amp;E'!J$5,'Data FT-TS-Cashout-Paddys'!$C$5:$C$756,'Apr11-Mar12 FT-TS-Cashout-LG&amp;E'!$C170)</f>
        <v>306</v>
      </c>
      <c r="K170" s="624">
        <f>SUMIFS('Data FT-TS-Cashout-Paddys'!$H$5:$H$756,'Data FT-TS-Cashout-Paddys'!$F$5:$F$756,'Apr11-Mar12 FT-TS-Cashout-LG&amp;E'!$G170,'Data FT-TS-Cashout-Paddys'!$B$5:$B$756,'Apr11-Mar12 FT-TS-Cashout-LG&amp;E'!K$5,'Data FT-TS-Cashout-Paddys'!$C$5:$C$756,'Apr11-Mar12 FT-TS-Cashout-LG&amp;E'!$C170)</f>
        <v>306</v>
      </c>
      <c r="L170" s="624">
        <f>SUMIFS('Data FT-TS-Cashout-Paddys'!$H$5:$H$756,'Data FT-TS-Cashout-Paddys'!$F$5:$F$756,'Apr11-Mar12 FT-TS-Cashout-LG&amp;E'!$G170,'Data FT-TS-Cashout-Paddys'!$B$5:$B$756,'Apr11-Mar12 FT-TS-Cashout-LG&amp;E'!L$5,'Data FT-TS-Cashout-Paddys'!$C$5:$C$756,'Apr11-Mar12 FT-TS-Cashout-LG&amp;E'!$C170)</f>
        <v>306</v>
      </c>
      <c r="M170" s="624">
        <f>SUMIFS('Data FT-TS-Cashout-Paddys'!$H$5:$H$756,'Data FT-TS-Cashout-Paddys'!$F$5:$F$756,'Apr11-Mar12 FT-TS-Cashout-LG&amp;E'!$G170,'Data FT-TS-Cashout-Paddys'!$B$5:$B$756,'Apr11-Mar12 FT-TS-Cashout-LG&amp;E'!M$5,'Data FT-TS-Cashout-Paddys'!$C$5:$C$756,'Apr11-Mar12 FT-TS-Cashout-LG&amp;E'!$C170)</f>
        <v>306</v>
      </c>
      <c r="N170" s="624">
        <f>SUMIFS('Data FT-TS-Cashout-Paddys'!$H$5:$H$756,'Data FT-TS-Cashout-Paddys'!$F$5:$F$756,'Apr11-Mar12 FT-TS-Cashout-LG&amp;E'!$G170,'Data FT-TS-Cashout-Paddys'!$B$5:$B$756,'Apr11-Mar12 FT-TS-Cashout-LG&amp;E'!N$5,'Data FT-TS-Cashout-Paddys'!$C$5:$C$756,'Apr11-Mar12 FT-TS-Cashout-LG&amp;E'!$C170)</f>
        <v>306</v>
      </c>
      <c r="O170" s="624">
        <f>SUMIFS('Data FT-TS-Cashout-Paddys'!$H$5:$H$756,'Data FT-TS-Cashout-Paddys'!$F$5:$F$756,'Apr11-Mar12 FT-TS-Cashout-LG&amp;E'!$G170,'Data FT-TS-Cashout-Paddys'!$B$5:$B$756,'Apr11-Mar12 FT-TS-Cashout-LG&amp;E'!O$5,'Data FT-TS-Cashout-Paddys'!$C$5:$C$756,'Apr11-Mar12 FT-TS-Cashout-LG&amp;E'!$C170)</f>
        <v>306</v>
      </c>
      <c r="P170" s="624">
        <f>SUMIFS('Data FT-TS-Cashout-Paddys'!$H$5:$H$756,'Data FT-TS-Cashout-Paddys'!$F$5:$F$756,'Apr11-Mar12 FT-TS-Cashout-LG&amp;E'!$G170,'Data FT-TS-Cashout-Paddys'!$B$5:$B$756,'Apr11-Mar12 FT-TS-Cashout-LG&amp;E'!P$5,'Data FT-TS-Cashout-Paddys'!$C$5:$C$756,'Apr11-Mar12 FT-TS-Cashout-LG&amp;E'!$C170)</f>
        <v>306</v>
      </c>
      <c r="Q170" s="624">
        <f>SUMIFS('Data FT-TS-Cashout-Paddys'!$H$5:$H$756,'Data FT-TS-Cashout-Paddys'!$F$5:$F$756,'Apr11-Mar12 FT-TS-Cashout-LG&amp;E'!$G170,'Data FT-TS-Cashout-Paddys'!$B$5:$B$756,'Apr11-Mar12 FT-TS-Cashout-LG&amp;E'!Q$5,'Data FT-TS-Cashout-Paddys'!$C$5:$C$756,'Apr11-Mar12 FT-TS-Cashout-LG&amp;E'!$C170)</f>
        <v>306</v>
      </c>
      <c r="R170" s="624">
        <f>SUMIFS('Data FT-TS-Cashout-Paddys'!$H$5:$H$756,'Data FT-TS-Cashout-Paddys'!$F$5:$F$756,'Apr11-Mar12 FT-TS-Cashout-LG&amp;E'!$G170,'Data FT-TS-Cashout-Paddys'!$B$5:$B$756,'Apr11-Mar12 FT-TS-Cashout-LG&amp;E'!R$5,'Data FT-TS-Cashout-Paddys'!$C$5:$C$756,'Apr11-Mar12 FT-TS-Cashout-LG&amp;E'!$C170)</f>
        <v>306</v>
      </c>
      <c r="S170" s="624">
        <f>SUMIFS('Data FT-TS-Cashout-Paddys'!$H$5:$H$756,'Data FT-TS-Cashout-Paddys'!$F$5:$F$756,'Apr11-Mar12 FT-TS-Cashout-LG&amp;E'!$G170,'Data FT-TS-Cashout-Paddys'!$B$5:$B$756,'Apr11-Mar12 FT-TS-Cashout-LG&amp;E'!S$5,'Data FT-TS-Cashout-Paddys'!$C$5:$C$756,'Apr11-Mar12 FT-TS-Cashout-LG&amp;E'!$C170)</f>
        <v>306</v>
      </c>
      <c r="T170" s="1037">
        <f t="shared" ref="T170:T175" si="62">SUM(H170:S170)</f>
        <v>3672</v>
      </c>
      <c r="U170" s="624"/>
    </row>
    <row r="171" spans="2:22" x14ac:dyDescent="0.2">
      <c r="B171" s="561" t="str">
        <f>VLOOKUP($C171,'Retail Rates'!$B$46:$Q$55,13,FALSE)</f>
        <v>TS Industrial</v>
      </c>
      <c r="C171" s="633" t="s">
        <v>66</v>
      </c>
      <c r="D171" s="633" t="str">
        <f t="shared" si="58"/>
        <v>882</v>
      </c>
      <c r="E171" s="561" t="str">
        <f>VLOOKUP($C171,'Retail Rates'!$B$46:$Q$55,3,FALSE)</f>
        <v>IGS-TS</v>
      </c>
      <c r="F171" s="1010" t="s">
        <v>719</v>
      </c>
      <c r="H171" s="624">
        <f>ROUND(+H160*H165,2)</f>
        <v>380.44</v>
      </c>
      <c r="I171" s="624">
        <f t="shared" ref="I171:S171" si="63">ROUND(+I160*I165,2)</f>
        <v>380.44</v>
      </c>
      <c r="J171" s="624">
        <f t="shared" si="63"/>
        <v>380.44</v>
      </c>
      <c r="K171" s="624">
        <f t="shared" si="63"/>
        <v>380.44</v>
      </c>
      <c r="L171" s="624">
        <f t="shared" si="63"/>
        <v>380.44</v>
      </c>
      <c r="M171" s="624">
        <f t="shared" si="63"/>
        <v>1301.68</v>
      </c>
      <c r="N171" s="624">
        <f t="shared" si="63"/>
        <v>380.44</v>
      </c>
      <c r="O171" s="624">
        <f t="shared" si="63"/>
        <v>380.44</v>
      </c>
      <c r="P171" s="624">
        <f t="shared" si="63"/>
        <v>380.44</v>
      </c>
      <c r="Q171" s="624">
        <f t="shared" si="63"/>
        <v>380.44</v>
      </c>
      <c r="R171" s="624">
        <f t="shared" si="63"/>
        <v>380.44</v>
      </c>
      <c r="S171" s="624">
        <f t="shared" si="63"/>
        <v>380.44</v>
      </c>
      <c r="T171" s="1037">
        <f t="shared" si="62"/>
        <v>5486.5199999999986</v>
      </c>
      <c r="U171" s="624"/>
    </row>
    <row r="172" spans="2:22" x14ac:dyDescent="0.2">
      <c r="B172" s="561" t="str">
        <f>VLOOKUP($C172,'Retail Rates'!$B$46:$Q$55,13,FALSE)</f>
        <v>TS Industrial</v>
      </c>
      <c r="C172" s="633" t="s">
        <v>66</v>
      </c>
      <c r="D172" s="633" t="str">
        <f t="shared" si="58"/>
        <v>882</v>
      </c>
      <c r="E172" s="561" t="str">
        <f>VLOOKUP($C172,'Retail Rates'!$B$46:$Q$55,3,FALSE)</f>
        <v>IGS-TS</v>
      </c>
      <c r="F172" s="1010" t="s">
        <v>720</v>
      </c>
      <c r="H172" s="1017">
        <f>ROUND(+H161*H166,2)</f>
        <v>3998.42</v>
      </c>
      <c r="I172" s="1017">
        <f t="shared" ref="I172:S172" si="64">ROUND(+I161*I166,2)</f>
        <v>6711.53</v>
      </c>
      <c r="J172" s="1017">
        <f t="shared" si="64"/>
        <v>10338.459999999999</v>
      </c>
      <c r="K172" s="1017">
        <f t="shared" si="64"/>
        <v>2932.28</v>
      </c>
      <c r="L172" s="1017">
        <f t="shared" si="64"/>
        <v>2330.04</v>
      </c>
      <c r="M172" s="1017">
        <f t="shared" si="64"/>
        <v>7372.77</v>
      </c>
      <c r="N172" s="1017">
        <f t="shared" si="64"/>
        <v>7316.96</v>
      </c>
      <c r="O172" s="1017">
        <f t="shared" si="64"/>
        <v>4617.16</v>
      </c>
      <c r="P172" s="1017">
        <f t="shared" si="64"/>
        <v>6014.46</v>
      </c>
      <c r="Q172" s="1017">
        <f t="shared" si="64"/>
        <v>6173.89</v>
      </c>
      <c r="R172" s="1017">
        <f t="shared" si="64"/>
        <v>11093.63</v>
      </c>
      <c r="S172" s="1017">
        <f t="shared" si="64"/>
        <v>6500.2</v>
      </c>
      <c r="T172" s="1037">
        <f t="shared" si="62"/>
        <v>75399.799999999988</v>
      </c>
      <c r="U172" s="624"/>
      <c r="V172" s="624"/>
    </row>
    <row r="173" spans="2:22" x14ac:dyDescent="0.2">
      <c r="B173" s="561" t="str">
        <f>VLOOKUP($C173,'Retail Rates'!$B$46:$Q$55,13,FALSE)</f>
        <v>TS Industrial</v>
      </c>
      <c r="C173" s="633" t="s">
        <v>66</v>
      </c>
      <c r="D173" s="633" t="str">
        <f t="shared" si="58"/>
        <v>882</v>
      </c>
      <c r="E173" s="561" t="str">
        <f>VLOOKUP($C173,'Retail Rates'!$B$46:$Q$55,3,FALSE)</f>
        <v>IGS-TS</v>
      </c>
      <c r="F173" s="1010" t="s">
        <v>415</v>
      </c>
      <c r="H173" s="624">
        <f t="shared" ref="H173:S173" si="65">SUM(H170:H172)</f>
        <v>4684.8600000000006</v>
      </c>
      <c r="I173" s="624">
        <f t="shared" si="65"/>
        <v>7397.9699999999993</v>
      </c>
      <c r="J173" s="624">
        <f t="shared" si="65"/>
        <v>11024.9</v>
      </c>
      <c r="K173" s="624">
        <f t="shared" si="65"/>
        <v>3618.7200000000003</v>
      </c>
      <c r="L173" s="624">
        <f t="shared" si="65"/>
        <v>3016.48</v>
      </c>
      <c r="M173" s="624">
        <f t="shared" si="65"/>
        <v>8980.4500000000007</v>
      </c>
      <c r="N173" s="624">
        <f t="shared" si="65"/>
        <v>8003.4</v>
      </c>
      <c r="O173" s="624">
        <f t="shared" si="65"/>
        <v>5303.6</v>
      </c>
      <c r="P173" s="624">
        <f t="shared" si="65"/>
        <v>6700.9</v>
      </c>
      <c r="Q173" s="624">
        <f t="shared" si="65"/>
        <v>6860.33</v>
      </c>
      <c r="R173" s="624">
        <f t="shared" si="65"/>
        <v>11780.07</v>
      </c>
      <c r="S173" s="624">
        <f t="shared" si="65"/>
        <v>7186.6399999999994</v>
      </c>
      <c r="T173" s="1037">
        <f t="shared" si="62"/>
        <v>84558.319999999992</v>
      </c>
    </row>
    <row r="174" spans="2:22" x14ac:dyDescent="0.2">
      <c r="B174" s="561" t="str">
        <f>VLOOKUP($C174,'Retail Rates'!$B$46:$Q$55,13,FALSE)</f>
        <v>TS Industrial</v>
      </c>
      <c r="C174" s="633" t="s">
        <v>66</v>
      </c>
      <c r="D174" s="633" t="str">
        <f t="shared" si="58"/>
        <v>882</v>
      </c>
      <c r="E174" s="561" t="str">
        <f>VLOOKUP($C174,'Retail Rates'!$B$46:$Q$55,3,FALSE)</f>
        <v>IGS-TS</v>
      </c>
      <c r="F174" s="1010" t="s">
        <v>354</v>
      </c>
      <c r="G174" s="987" t="s">
        <v>835</v>
      </c>
      <c r="H174" s="1017">
        <f>SUMIFS('Data FT-TS-Cashout-Paddys'!$H$5:$H$756,'Data FT-TS-Cashout-Paddys'!$F$5:$F$756,'Apr11-Mar12 FT-TS-Cashout-LG&amp;E'!$G174,'Data FT-TS-Cashout-Paddys'!$B$5:$B$756,'Apr11-Mar12 FT-TS-Cashout-LG&amp;E'!H$5,'Data FT-TS-Cashout-Paddys'!$C$5:$C$756,'Apr11-Mar12 FT-TS-Cashout-LG&amp;E'!$C174)</f>
        <v>1893.86</v>
      </c>
      <c r="I174" s="1017">
        <f>SUMIFS('Data FT-TS-Cashout-Paddys'!$H$5:$H$756,'Data FT-TS-Cashout-Paddys'!$F$5:$F$756,'Apr11-Mar12 FT-TS-Cashout-LG&amp;E'!$G174,'Data FT-TS-Cashout-Paddys'!$A$5:$A$756,'Apr11-Mar12 FT-TS-Cashout-LG&amp;E'!I$5,'Data FT-TS-Cashout-Paddys'!$C$5:$C$756,'Apr11-Mar12 FT-TS-Cashout-LG&amp;E'!$C174)</f>
        <v>3364.84</v>
      </c>
      <c r="J174" s="1017">
        <f>SUMIFS('Data FT-TS-Cashout-Paddys'!$H$5:$H$756,'Data FT-TS-Cashout-Paddys'!$F$5:$F$756,'Apr11-Mar12 FT-TS-Cashout-LG&amp;E'!$G174,'Data FT-TS-Cashout-Paddys'!$A$5:$A$756,'Apr11-Mar12 FT-TS-Cashout-LG&amp;E'!J$5,'Data FT-TS-Cashout-Paddys'!$C$5:$C$756,'Apr11-Mar12 FT-TS-Cashout-LG&amp;E'!$C174)</f>
        <v>4824.13</v>
      </c>
      <c r="K174" s="1017">
        <f>SUMIFS('Data FT-TS-Cashout-Paddys'!$H$5:$H$756,'Data FT-TS-Cashout-Paddys'!$F$5:$F$756,'Apr11-Mar12 FT-TS-Cashout-LG&amp;E'!$G174,'Data FT-TS-Cashout-Paddys'!$B$5:$B$756,'Apr11-Mar12 FT-TS-Cashout-LG&amp;E'!K$5,'Data FT-TS-Cashout-Paddys'!$C$5:$C$756,'Apr11-Mar12 FT-TS-Cashout-LG&amp;E'!$C174)</f>
        <v>1826.23</v>
      </c>
      <c r="L174" s="1017">
        <f>SUMIFS('Data FT-TS-Cashout-Paddys'!$H$5:$H$756,'Data FT-TS-Cashout-Paddys'!$F$5:$F$756,'Apr11-Mar12 FT-TS-Cashout-LG&amp;E'!$G174,'Data FT-TS-Cashout-Paddys'!$B$5:$B$756,'Apr11-Mar12 FT-TS-Cashout-LG&amp;E'!L$5,'Data FT-TS-Cashout-Paddys'!$C$5:$C$756,'Apr11-Mar12 FT-TS-Cashout-LG&amp;E'!$C174)</f>
        <v>1841.55</v>
      </c>
      <c r="M174" s="1017">
        <f>SUMIFS('Data FT-TS-Cashout-Paddys'!$H$5:$H$756,'Data FT-TS-Cashout-Paddys'!$F$5:$F$756,'Apr11-Mar12 FT-TS-Cashout-LG&amp;E'!$G174,'Data FT-TS-Cashout-Paddys'!$A$5:$A$756,'Apr11-Mar12 FT-TS-Cashout-LG&amp;E'!M$5,'Data FT-TS-Cashout-Paddys'!$C$5:$C$756,'Apr11-Mar12 FT-TS-Cashout-LG&amp;E'!$C174)</f>
        <v>5243.08</v>
      </c>
      <c r="N174" s="1017">
        <f>SUMIFS('Data FT-TS-Cashout-Paddys'!$H$5:$H$756,'Data FT-TS-Cashout-Paddys'!$F$5:$F$756,'Apr11-Mar12 FT-TS-Cashout-LG&amp;E'!$G174,'Data FT-TS-Cashout-Paddys'!$B$5:$B$756,'Apr11-Mar12 FT-TS-Cashout-LG&amp;E'!N$5,'Data FT-TS-Cashout-Paddys'!$C$5:$C$756,'Apr11-Mar12 FT-TS-Cashout-LG&amp;E'!$C174)</f>
        <v>4780.4799999999996</v>
      </c>
      <c r="O174" s="1017">
        <f>SUMIFS('Data FT-TS-Cashout-Paddys'!$H$5:$H$756,'Data FT-TS-Cashout-Paddys'!$F$5:$F$756,'Apr11-Mar12 FT-TS-Cashout-LG&amp;E'!$G174,'Data FT-TS-Cashout-Paddys'!$B$5:$B$756,'Apr11-Mar12 FT-TS-Cashout-LG&amp;E'!O$5,'Data FT-TS-Cashout-Paddys'!$C$5:$C$756,'Apr11-Mar12 FT-TS-Cashout-LG&amp;E'!$C174)</f>
        <v>3069.97</v>
      </c>
      <c r="P174" s="1017">
        <f>SUMIFS('Data FT-TS-Cashout-Paddys'!$H$5:$H$756,'Data FT-TS-Cashout-Paddys'!$F$5:$F$756,'Apr11-Mar12 FT-TS-Cashout-LG&amp;E'!$G174,'Data FT-TS-Cashout-Paddys'!$B$5:$B$756,'Apr11-Mar12 FT-TS-Cashout-LG&amp;E'!P$5,'Data FT-TS-Cashout-Paddys'!$C$5:$C$756,'Apr11-Mar12 FT-TS-Cashout-LG&amp;E'!$C174)</f>
        <v>3942.95</v>
      </c>
      <c r="Q174" s="1017">
        <f>SUMIFS('Data FT-TS-Cashout-Paddys'!$H$5:$H$756,'Data FT-TS-Cashout-Paddys'!$F$5:$F$756,'Apr11-Mar12 FT-TS-Cashout-LG&amp;E'!$G174,'Data FT-TS-Cashout-Paddys'!$B$5:$B$756,'Apr11-Mar12 FT-TS-Cashout-LG&amp;E'!Q$5,'Data FT-TS-Cashout-Paddys'!$C$5:$C$756,'Apr11-Mar12 FT-TS-Cashout-LG&amp;E'!$C174)</f>
        <v>4042.82</v>
      </c>
      <c r="R174" s="1017">
        <f>SUMIFS('Data FT-TS-Cashout-Paddys'!$H$5:$H$756,'Data FT-TS-Cashout-Paddys'!$F$5:$F$756,'Apr11-Mar12 FT-TS-Cashout-LG&amp;E'!$G174,'Data FT-TS-Cashout-Paddys'!$B$5:$B$756,'Apr11-Mar12 FT-TS-Cashout-LG&amp;E'!R$5,'Data FT-TS-Cashout-Paddys'!$C$5:$C$756,'Apr11-Mar12 FT-TS-Cashout-LG&amp;E'!$C174)</f>
        <v>5019.72</v>
      </c>
      <c r="S174" s="1017">
        <f>SUMIFS('Data FT-TS-Cashout-Paddys'!$H$5:$H$756,'Data FT-TS-Cashout-Paddys'!$F$5:$F$756,'Apr11-Mar12 FT-TS-Cashout-LG&amp;E'!$G174,'Data FT-TS-Cashout-Paddys'!$B$5:$B$756,'Apr11-Mar12 FT-TS-Cashout-LG&amp;E'!S$5,'Data FT-TS-Cashout-Paddys'!$C$5:$C$756,'Apr11-Mar12 FT-TS-Cashout-LG&amp;E'!$C174)</f>
        <v>2975.88</v>
      </c>
      <c r="T174" s="1037">
        <f t="shared" si="62"/>
        <v>42825.51</v>
      </c>
    </row>
    <row r="175" spans="2:22" x14ac:dyDescent="0.2">
      <c r="B175" s="561" t="str">
        <f>VLOOKUP($C175,'Retail Rates'!$B$46:$Q$55,13,FALSE)</f>
        <v>TS Industrial</v>
      </c>
      <c r="C175" s="633" t="s">
        <v>66</v>
      </c>
      <c r="D175" s="633" t="str">
        <f t="shared" si="58"/>
        <v>882</v>
      </c>
      <c r="E175" s="561" t="str">
        <f>VLOOKUP($C175,'Retail Rates'!$B$46:$Q$55,3,FALSE)</f>
        <v>IGS-TS</v>
      </c>
      <c r="F175" s="1010" t="s">
        <v>432</v>
      </c>
      <c r="H175" s="624">
        <f t="shared" ref="H175:S175" si="66">+H173+H174</f>
        <v>6578.72</v>
      </c>
      <c r="I175" s="624">
        <f t="shared" si="66"/>
        <v>10762.81</v>
      </c>
      <c r="J175" s="624">
        <f t="shared" si="66"/>
        <v>15849.029999999999</v>
      </c>
      <c r="K175" s="624">
        <f t="shared" si="66"/>
        <v>5444.9500000000007</v>
      </c>
      <c r="L175" s="624">
        <f t="shared" si="66"/>
        <v>4858.03</v>
      </c>
      <c r="M175" s="624">
        <f t="shared" si="66"/>
        <v>14223.53</v>
      </c>
      <c r="N175" s="624">
        <f t="shared" si="66"/>
        <v>12783.88</v>
      </c>
      <c r="O175" s="624">
        <f t="shared" si="66"/>
        <v>8373.57</v>
      </c>
      <c r="P175" s="624">
        <f t="shared" si="66"/>
        <v>10643.849999999999</v>
      </c>
      <c r="Q175" s="624">
        <f t="shared" si="66"/>
        <v>10903.15</v>
      </c>
      <c r="R175" s="624">
        <f t="shared" si="66"/>
        <v>16799.79</v>
      </c>
      <c r="S175" s="624">
        <f t="shared" si="66"/>
        <v>10162.52</v>
      </c>
      <c r="T175" s="1037">
        <f t="shared" si="62"/>
        <v>127383.83</v>
      </c>
    </row>
    <row r="176" spans="2:22" x14ac:dyDescent="0.2">
      <c r="B176" s="561" t="str">
        <f>VLOOKUP($C176,'Retail Rates'!$B$46:$Q$55,13,FALSE)</f>
        <v>TS Industrial</v>
      </c>
      <c r="C176" s="633" t="s">
        <v>66</v>
      </c>
      <c r="D176" s="633" t="str">
        <f t="shared" si="58"/>
        <v>882</v>
      </c>
      <c r="E176" s="561" t="str">
        <f>VLOOKUP($C176,'Retail Rates'!$B$46:$Q$55,3,FALSE)</f>
        <v>IGS-TS</v>
      </c>
      <c r="F176" s="1016"/>
      <c r="H176" s="624"/>
      <c r="I176" s="624"/>
      <c r="J176" s="624"/>
      <c r="K176" s="624"/>
      <c r="L176" s="624"/>
      <c r="M176" s="624"/>
      <c r="N176" s="624"/>
      <c r="O176" s="624"/>
      <c r="P176" s="624"/>
      <c r="Q176" s="624"/>
      <c r="R176" s="624"/>
      <c r="S176" s="624"/>
      <c r="T176" s="1037"/>
    </row>
    <row r="177" spans="2:20" x14ac:dyDescent="0.2">
      <c r="B177" s="561" t="str">
        <f>VLOOKUP($C177,'Retail Rates'!$B$46:$Q$55,13,FALSE)</f>
        <v>TS Industrial</v>
      </c>
      <c r="C177" s="633" t="s">
        <v>66</v>
      </c>
      <c r="D177" s="633" t="str">
        <f t="shared" si="58"/>
        <v>882</v>
      </c>
      <c r="E177" s="561" t="str">
        <f>VLOOKUP($C177,'Retail Rates'!$B$46:$Q$55,3,FALSE)</f>
        <v>IGS-TS</v>
      </c>
      <c r="F177" s="991" t="s">
        <v>841</v>
      </c>
      <c r="H177" s="999">
        <f>SUMIFS('FT_Cashouts_IntraCo-PR'!$F$4:$F$130,'FT_Cashouts_IntraCo-PR'!$A$4:$A$130,'Apr11-Mar12 FT-TS-Cashout-LG&amp;E'!$C177,'FT_Cashouts_IntraCo-PR'!$D$4:$D$130,'Apr11-Mar12 FT-TS-Cashout-LG&amp;E'!H$5)</f>
        <v>6578.7199999999993</v>
      </c>
      <c r="I177" s="999">
        <f>SUMIFS('FT_Cashouts_IntraCo-PR'!$F$4:$F$130,'FT_Cashouts_IntraCo-PR'!$A$4:$A$130,'Apr11-Mar12 FT-TS-Cashout-LG&amp;E'!$C177,'FT_Cashouts_IntraCo-PR'!$D$4:$D$130,'Apr11-Mar12 FT-TS-Cashout-LG&amp;E'!I$5)</f>
        <v>10762.82</v>
      </c>
      <c r="J177" s="999">
        <f>SUMIFS('FT_Cashouts_IntraCo-PR'!$F$4:$F$130,'FT_Cashouts_IntraCo-PR'!$A$4:$A$130,'Apr11-Mar12 FT-TS-Cashout-LG&amp;E'!$C177,'FT_Cashouts_IntraCo-PR'!$D$4:$D$130,'Apr11-Mar12 FT-TS-Cashout-LG&amp;E'!J$5)</f>
        <v>15849.019999999999</v>
      </c>
      <c r="K177" s="999">
        <f>SUMIFS('FT_Cashouts_IntraCo-PR'!$F$4:$F$130,'FT_Cashouts_IntraCo-PR'!$A$4:$A$130,'Apr11-Mar12 FT-TS-Cashout-LG&amp;E'!$C177,'FT_Cashouts_IntraCo-PR'!$D$4:$D$130,'Apr11-Mar12 FT-TS-Cashout-LG&amp;E'!K$5)</f>
        <v>5846.9299999999994</v>
      </c>
      <c r="L177" s="999">
        <f>SUMIFS('FT_Cashouts_IntraCo-PR'!$F$4:$F$130,'FT_Cashouts_IntraCo-PR'!$A$4:$A$130,'Apr11-Mar12 FT-TS-Cashout-LG&amp;E'!$C177,'FT_Cashouts_IntraCo-PR'!$D$4:$D$130,'Apr11-Mar12 FT-TS-Cashout-LG&amp;E'!L$5)</f>
        <v>4456.05</v>
      </c>
      <c r="M177" s="999">
        <f>SUMIFS('FT_Cashouts_IntraCo-PR'!$F$4:$F$130,'FT_Cashouts_IntraCo-PR'!$A$4:$A$130,'Apr11-Mar12 FT-TS-Cashout-LG&amp;E'!$C177,'FT_Cashouts_IntraCo-PR'!$D$4:$D$130,'Apr11-Mar12 FT-TS-Cashout-LG&amp;E'!M$5)</f>
        <v>14223.53</v>
      </c>
      <c r="N177" s="999">
        <f>SUMIFS('FT_Cashouts_IntraCo-PR'!$F$4:$F$130,'FT_Cashouts_IntraCo-PR'!$A$4:$A$130,'Apr11-Mar12 FT-TS-Cashout-LG&amp;E'!$C177,'FT_Cashouts_IntraCo-PR'!$D$4:$D$130,'Apr11-Mar12 FT-TS-Cashout-LG&amp;E'!N$5)</f>
        <v>12783.88</v>
      </c>
      <c r="O177" s="999">
        <f>SUMIFS('FT_Cashouts_IntraCo-PR'!$F$4:$F$130,'FT_Cashouts_IntraCo-PR'!$A$4:$A$130,'Apr11-Mar12 FT-TS-Cashout-LG&amp;E'!$C177,'FT_Cashouts_IntraCo-PR'!$D$4:$D$130,'Apr11-Mar12 FT-TS-Cashout-LG&amp;E'!O$5)</f>
        <v>8373.57</v>
      </c>
      <c r="P177" s="999">
        <f>SUMIFS('FT_Cashouts_IntraCo-PR'!$F$4:$F$130,'FT_Cashouts_IntraCo-PR'!$A$4:$A$130,'Apr11-Mar12 FT-TS-Cashout-LG&amp;E'!$C177,'FT_Cashouts_IntraCo-PR'!$D$4:$D$130,'Apr11-Mar12 FT-TS-Cashout-LG&amp;E'!P$5)</f>
        <v>10643.84</v>
      </c>
      <c r="Q177" s="999">
        <f>SUMIFS('FT_Cashouts_IntraCo-PR'!$F$4:$F$130,'FT_Cashouts_IntraCo-PR'!$A$4:$A$130,'Apr11-Mar12 FT-TS-Cashout-LG&amp;E'!$C177,'FT_Cashouts_IntraCo-PR'!$D$4:$D$130,'Apr11-Mar12 FT-TS-Cashout-LG&amp;E'!Q$5)</f>
        <v>10903.14</v>
      </c>
      <c r="R177" s="999">
        <f>SUMIFS('FT_Cashouts_IntraCo-PR'!$F$4:$F$130,'FT_Cashouts_IntraCo-PR'!$A$4:$A$130,'Apr11-Mar12 FT-TS-Cashout-LG&amp;E'!$C177,'FT_Cashouts_IntraCo-PR'!$D$4:$D$130,'Apr11-Mar12 FT-TS-Cashout-LG&amp;E'!R$5)</f>
        <v>16799.79</v>
      </c>
      <c r="S177" s="999">
        <f>SUMIFS('FT_Cashouts_IntraCo-PR'!$F$4:$F$130,'FT_Cashouts_IntraCo-PR'!$A$4:$A$130,'Apr11-Mar12 FT-TS-Cashout-LG&amp;E'!$C177,'FT_Cashouts_IntraCo-PR'!$D$4:$D$130,'Apr11-Mar12 FT-TS-Cashout-LG&amp;E'!S$5)</f>
        <v>10162.51</v>
      </c>
      <c r="T177" s="1037">
        <f>SUM(H177:S177)</f>
        <v>127383.79999999997</v>
      </c>
    </row>
    <row r="178" spans="2:20" x14ac:dyDescent="0.2">
      <c r="B178" s="561" t="str">
        <f>VLOOKUP($C178,'Retail Rates'!$B$46:$Q$55,13,FALSE)</f>
        <v>TS Industrial</v>
      </c>
      <c r="C178" s="633" t="s">
        <v>66</v>
      </c>
      <c r="D178" s="633" t="str">
        <f t="shared" si="58"/>
        <v>882</v>
      </c>
      <c r="E178" s="561" t="str">
        <f>VLOOKUP($C178,'Retail Rates'!$B$46:$Q$55,3,FALSE)</f>
        <v>IGS-TS</v>
      </c>
      <c r="H178" s="624"/>
      <c r="I178" s="624"/>
      <c r="J178" s="624"/>
      <c r="K178" s="624"/>
      <c r="L178" s="624"/>
      <c r="M178" s="624"/>
      <c r="N178" s="624"/>
      <c r="O178" s="624"/>
      <c r="P178" s="624"/>
      <c r="Q178" s="624"/>
      <c r="R178" s="624"/>
      <c r="S178" s="624"/>
      <c r="T178" s="1037"/>
    </row>
    <row r="179" spans="2:20" x14ac:dyDescent="0.2">
      <c r="B179" s="561" t="str">
        <f>VLOOKUP($C179,'Retail Rates'!$B$46:$Q$55,13,FALSE)</f>
        <v>TS Industrial</v>
      </c>
      <c r="C179" s="633" t="s">
        <v>66</v>
      </c>
      <c r="D179" s="633" t="str">
        <f t="shared" si="58"/>
        <v>882</v>
      </c>
      <c r="E179" s="561" t="str">
        <f>VLOOKUP($C179,'Retail Rates'!$B$46:$Q$55,3,FALSE)</f>
        <v>IGS-TS</v>
      </c>
      <c r="F179" s="991" t="s">
        <v>386</v>
      </c>
      <c r="H179" s="624">
        <f>+H175-H177</f>
        <v>0</v>
      </c>
      <c r="I179" s="624">
        <f>+I175-I177</f>
        <v>-1.0000000000218279E-2</v>
      </c>
      <c r="J179" s="624">
        <f t="shared" ref="J179:S179" si="67">+J175-J177</f>
        <v>1.0000000000218279E-2</v>
      </c>
      <c r="K179" s="624">
        <f t="shared" si="67"/>
        <v>-401.97999999999865</v>
      </c>
      <c r="L179" s="624">
        <f t="shared" si="67"/>
        <v>401.97999999999956</v>
      </c>
      <c r="M179" s="624">
        <f>+M175-M177</f>
        <v>0</v>
      </c>
      <c r="N179" s="624">
        <f t="shared" si="67"/>
        <v>0</v>
      </c>
      <c r="O179" s="624">
        <f t="shared" si="67"/>
        <v>0</v>
      </c>
      <c r="P179" s="624">
        <f t="shared" si="67"/>
        <v>9.9999999983992893E-3</v>
      </c>
      <c r="Q179" s="624">
        <f t="shared" si="67"/>
        <v>1.0000000000218279E-2</v>
      </c>
      <c r="R179" s="624">
        <f t="shared" si="67"/>
        <v>0</v>
      </c>
      <c r="S179" s="624">
        <f t="shared" si="67"/>
        <v>1.0000000000218279E-2</v>
      </c>
      <c r="T179" s="1037">
        <f>SUM(H179:S179)</f>
        <v>2.9999999999745341E-2</v>
      </c>
    </row>
    <row r="182" spans="2:20" x14ac:dyDescent="0.2">
      <c r="F182" s="1009" t="s">
        <v>721</v>
      </c>
    </row>
    <row r="183" spans="2:20" x14ac:dyDescent="0.2">
      <c r="F183" s="1010" t="s">
        <v>719</v>
      </c>
      <c r="H183" s="624">
        <f>+H144+H171</f>
        <v>380.44</v>
      </c>
      <c r="I183" s="624">
        <f t="shared" ref="I183:S183" si="68">+I144+I171</f>
        <v>380.44</v>
      </c>
      <c r="J183" s="624">
        <f t="shared" si="68"/>
        <v>380.44</v>
      </c>
      <c r="K183" s="624">
        <f t="shared" si="68"/>
        <v>380.44</v>
      </c>
      <c r="L183" s="624">
        <f t="shared" si="68"/>
        <v>380.44</v>
      </c>
      <c r="M183" s="624">
        <f t="shared" si="68"/>
        <v>1301.68</v>
      </c>
      <c r="N183" s="624">
        <f t="shared" si="68"/>
        <v>380.44</v>
      </c>
      <c r="O183" s="624">
        <f t="shared" si="68"/>
        <v>380.44</v>
      </c>
      <c r="P183" s="624">
        <f t="shared" si="68"/>
        <v>380.44</v>
      </c>
      <c r="Q183" s="624">
        <f t="shared" si="68"/>
        <v>380.44</v>
      </c>
      <c r="R183" s="624">
        <f t="shared" si="68"/>
        <v>380.44</v>
      </c>
      <c r="S183" s="624">
        <f t="shared" si="68"/>
        <v>380.44</v>
      </c>
      <c r="T183" s="1037">
        <f t="shared" ref="T183:T190" si="69">SUM(H183:S183)</f>
        <v>5486.5199999999986</v>
      </c>
    </row>
    <row r="184" spans="2:20" x14ac:dyDescent="0.2">
      <c r="F184" s="1010" t="s">
        <v>720</v>
      </c>
      <c r="H184" s="1017">
        <f>+H145+H172</f>
        <v>3998.42</v>
      </c>
      <c r="I184" s="1017">
        <f t="shared" ref="I184:S184" si="70">+I145+I172</f>
        <v>6711.53</v>
      </c>
      <c r="J184" s="1017">
        <f t="shared" si="70"/>
        <v>10338.459999999999</v>
      </c>
      <c r="K184" s="1017">
        <f t="shared" si="70"/>
        <v>2932.28</v>
      </c>
      <c r="L184" s="1017">
        <f t="shared" si="70"/>
        <v>2330.04</v>
      </c>
      <c r="M184" s="1017">
        <f t="shared" si="70"/>
        <v>7372.77</v>
      </c>
      <c r="N184" s="1017">
        <f t="shared" si="70"/>
        <v>7316.96</v>
      </c>
      <c r="O184" s="1017">
        <f t="shared" si="70"/>
        <v>4617.16</v>
      </c>
      <c r="P184" s="1017">
        <f t="shared" si="70"/>
        <v>6014.46</v>
      </c>
      <c r="Q184" s="1017">
        <f t="shared" si="70"/>
        <v>6173.89</v>
      </c>
      <c r="R184" s="1017">
        <f t="shared" si="70"/>
        <v>11093.63</v>
      </c>
      <c r="S184" s="1017">
        <f t="shared" si="70"/>
        <v>6500.2</v>
      </c>
      <c r="T184" s="1037">
        <f t="shared" si="69"/>
        <v>75399.799999999988</v>
      </c>
    </row>
    <row r="185" spans="2:20" x14ac:dyDescent="0.2">
      <c r="F185" s="1010" t="s">
        <v>423</v>
      </c>
      <c r="H185" s="624">
        <f>+H183+H184</f>
        <v>4378.8599999999997</v>
      </c>
      <c r="I185" s="624">
        <f t="shared" ref="I185:S185" si="71">+I183+I184</f>
        <v>7091.9699999999993</v>
      </c>
      <c r="J185" s="624">
        <f t="shared" si="71"/>
        <v>10718.9</v>
      </c>
      <c r="K185" s="624">
        <f t="shared" si="71"/>
        <v>3312.7200000000003</v>
      </c>
      <c r="L185" s="624">
        <f t="shared" si="71"/>
        <v>2710.48</v>
      </c>
      <c r="M185" s="624">
        <f t="shared" si="71"/>
        <v>8674.4500000000007</v>
      </c>
      <c r="N185" s="624">
        <f t="shared" si="71"/>
        <v>7697.4</v>
      </c>
      <c r="O185" s="624">
        <f t="shared" si="71"/>
        <v>4997.5999999999995</v>
      </c>
      <c r="P185" s="624">
        <f t="shared" si="71"/>
        <v>6394.9</v>
      </c>
      <c r="Q185" s="624">
        <f t="shared" si="71"/>
        <v>6554.33</v>
      </c>
      <c r="R185" s="624">
        <f t="shared" si="71"/>
        <v>11474.07</v>
      </c>
      <c r="S185" s="624">
        <f t="shared" si="71"/>
        <v>6880.6399999999994</v>
      </c>
      <c r="T185" s="1037">
        <f t="shared" si="69"/>
        <v>80886.319999999992</v>
      </c>
    </row>
    <row r="186" spans="2:20" x14ac:dyDescent="0.2">
      <c r="F186" s="1010" t="s">
        <v>354</v>
      </c>
      <c r="H186" s="624">
        <f>+H147+H174</f>
        <v>1893.86</v>
      </c>
      <c r="I186" s="624">
        <f t="shared" ref="I186:S186" si="72">+I147+I174</f>
        <v>3364.84</v>
      </c>
      <c r="J186" s="624">
        <f t="shared" si="72"/>
        <v>4824.13</v>
      </c>
      <c r="K186" s="624">
        <f t="shared" si="72"/>
        <v>1826.23</v>
      </c>
      <c r="L186" s="624">
        <f t="shared" si="72"/>
        <v>1841.55</v>
      </c>
      <c r="M186" s="624">
        <f t="shared" si="72"/>
        <v>5243.08</v>
      </c>
      <c r="N186" s="624">
        <f t="shared" si="72"/>
        <v>4780.4799999999996</v>
      </c>
      <c r="O186" s="624">
        <f t="shared" si="72"/>
        <v>3069.97</v>
      </c>
      <c r="P186" s="624">
        <f t="shared" si="72"/>
        <v>3942.95</v>
      </c>
      <c r="Q186" s="624">
        <f t="shared" si="72"/>
        <v>4042.82</v>
      </c>
      <c r="R186" s="624">
        <f t="shared" si="72"/>
        <v>5019.72</v>
      </c>
      <c r="S186" s="624">
        <f t="shared" si="72"/>
        <v>2975.88</v>
      </c>
      <c r="T186" s="1037">
        <f t="shared" si="69"/>
        <v>42825.51</v>
      </c>
    </row>
    <row r="187" spans="2:20" x14ac:dyDescent="0.2">
      <c r="F187" s="1014" t="s">
        <v>411</v>
      </c>
      <c r="H187" s="1017">
        <f>+H149</f>
        <v>0</v>
      </c>
      <c r="I187" s="1017">
        <f t="shared" ref="I187:S187" si="73">+I149</f>
        <v>0</v>
      </c>
      <c r="J187" s="1017">
        <f t="shared" si="73"/>
        <v>0</v>
      </c>
      <c r="K187" s="1017">
        <f t="shared" si="73"/>
        <v>0</v>
      </c>
      <c r="L187" s="1017">
        <f t="shared" si="73"/>
        <v>0</v>
      </c>
      <c r="M187" s="1017">
        <f t="shared" si="73"/>
        <v>0</v>
      </c>
      <c r="N187" s="1017">
        <f t="shared" si="73"/>
        <v>0</v>
      </c>
      <c r="O187" s="1017">
        <f t="shared" si="73"/>
        <v>0</v>
      </c>
      <c r="P187" s="1017">
        <f t="shared" si="73"/>
        <v>0</v>
      </c>
      <c r="Q187" s="1017">
        <f t="shared" si="73"/>
        <v>0</v>
      </c>
      <c r="R187" s="1017">
        <f t="shared" si="73"/>
        <v>0</v>
      </c>
      <c r="S187" s="1017">
        <f t="shared" si="73"/>
        <v>0</v>
      </c>
      <c r="T187" s="1037">
        <f t="shared" si="69"/>
        <v>0</v>
      </c>
    </row>
    <row r="188" spans="2:20" x14ac:dyDescent="0.2">
      <c r="F188" s="1014" t="s">
        <v>424</v>
      </c>
      <c r="H188" s="624">
        <f>SUM(H185:H187)</f>
        <v>6272.7199999999993</v>
      </c>
      <c r="I188" s="624">
        <f t="shared" ref="I188:S188" si="74">SUM(I185:I187)</f>
        <v>10456.81</v>
      </c>
      <c r="J188" s="624">
        <f t="shared" si="74"/>
        <v>15543.029999999999</v>
      </c>
      <c r="K188" s="624">
        <f t="shared" si="74"/>
        <v>5138.9500000000007</v>
      </c>
      <c r="L188" s="624">
        <f t="shared" si="74"/>
        <v>4552.03</v>
      </c>
      <c r="M188" s="624">
        <f t="shared" si="74"/>
        <v>13917.53</v>
      </c>
      <c r="N188" s="624">
        <f t="shared" si="74"/>
        <v>12477.88</v>
      </c>
      <c r="O188" s="624">
        <f t="shared" si="74"/>
        <v>8067.57</v>
      </c>
      <c r="P188" s="624">
        <f t="shared" si="74"/>
        <v>10337.849999999999</v>
      </c>
      <c r="Q188" s="624">
        <f t="shared" si="74"/>
        <v>10597.15</v>
      </c>
      <c r="R188" s="624">
        <f t="shared" si="74"/>
        <v>16493.79</v>
      </c>
      <c r="S188" s="624">
        <f t="shared" si="74"/>
        <v>9856.52</v>
      </c>
      <c r="T188" s="1037">
        <f t="shared" si="69"/>
        <v>123711.83</v>
      </c>
    </row>
    <row r="189" spans="2:20" x14ac:dyDescent="0.2">
      <c r="F189" s="1014" t="s">
        <v>427</v>
      </c>
      <c r="H189" s="1017">
        <f>+H143+H170</f>
        <v>306</v>
      </c>
      <c r="I189" s="1017">
        <f t="shared" ref="I189:S189" si="75">+I143+I170</f>
        <v>306</v>
      </c>
      <c r="J189" s="1017">
        <f t="shared" si="75"/>
        <v>306</v>
      </c>
      <c r="K189" s="1017">
        <f t="shared" si="75"/>
        <v>459</v>
      </c>
      <c r="L189" s="1017">
        <f t="shared" si="75"/>
        <v>459</v>
      </c>
      <c r="M189" s="1017">
        <f t="shared" si="75"/>
        <v>459</v>
      </c>
      <c r="N189" s="1017">
        <f t="shared" si="75"/>
        <v>612</v>
      </c>
      <c r="O189" s="1017">
        <f t="shared" si="75"/>
        <v>306</v>
      </c>
      <c r="P189" s="1017">
        <f t="shared" si="75"/>
        <v>459</v>
      </c>
      <c r="Q189" s="1017">
        <f t="shared" si="75"/>
        <v>459</v>
      </c>
      <c r="R189" s="1017">
        <f t="shared" si="75"/>
        <v>306</v>
      </c>
      <c r="S189" s="1017">
        <f t="shared" si="75"/>
        <v>306</v>
      </c>
      <c r="T189" s="1037">
        <f t="shared" si="69"/>
        <v>4743</v>
      </c>
    </row>
    <row r="190" spans="2:20" x14ac:dyDescent="0.2">
      <c r="F190" s="1014" t="s">
        <v>432</v>
      </c>
      <c r="H190" s="624">
        <f>+H188+H189</f>
        <v>6578.7199999999993</v>
      </c>
      <c r="I190" s="624">
        <f t="shared" ref="I190:S190" si="76">+I188+I189</f>
        <v>10762.81</v>
      </c>
      <c r="J190" s="624">
        <f t="shared" si="76"/>
        <v>15849.029999999999</v>
      </c>
      <c r="K190" s="624">
        <f t="shared" si="76"/>
        <v>5597.9500000000007</v>
      </c>
      <c r="L190" s="624">
        <f t="shared" si="76"/>
        <v>5011.03</v>
      </c>
      <c r="M190" s="624">
        <f t="shared" si="76"/>
        <v>14376.53</v>
      </c>
      <c r="N190" s="624">
        <f t="shared" si="76"/>
        <v>13089.88</v>
      </c>
      <c r="O190" s="624">
        <f t="shared" si="76"/>
        <v>8373.57</v>
      </c>
      <c r="P190" s="624">
        <f t="shared" si="76"/>
        <v>10796.849999999999</v>
      </c>
      <c r="Q190" s="624">
        <f t="shared" si="76"/>
        <v>11056.15</v>
      </c>
      <c r="R190" s="624">
        <f t="shared" si="76"/>
        <v>16799.79</v>
      </c>
      <c r="S190" s="624">
        <f t="shared" si="76"/>
        <v>10162.52</v>
      </c>
      <c r="T190" s="1037">
        <f t="shared" si="69"/>
        <v>128454.83</v>
      </c>
    </row>
    <row r="191" spans="2:20" x14ac:dyDescent="0.2">
      <c r="F191" s="1014"/>
      <c r="K191" s="1018"/>
      <c r="L191" s="1018"/>
      <c r="M191" s="1018"/>
      <c r="N191" s="1018"/>
      <c r="O191" s="1018"/>
      <c r="P191" s="1018"/>
      <c r="Q191" s="1018"/>
      <c r="R191" s="1018"/>
      <c r="S191" s="1018"/>
    </row>
    <row r="192" spans="2:20" x14ac:dyDescent="0.2">
      <c r="F192" s="991" t="s">
        <v>841</v>
      </c>
      <c r="H192" s="624">
        <f>+H153+H177</f>
        <v>6578.7199999999993</v>
      </c>
      <c r="I192" s="624">
        <f t="shared" ref="I192:S192" si="77">+I153+I177</f>
        <v>10762.82</v>
      </c>
      <c r="J192" s="624">
        <f t="shared" si="77"/>
        <v>15849.019999999999</v>
      </c>
      <c r="K192" s="624">
        <f t="shared" si="77"/>
        <v>5999.9299999999994</v>
      </c>
      <c r="L192" s="624">
        <f t="shared" si="77"/>
        <v>4609.05</v>
      </c>
      <c r="M192" s="624">
        <f t="shared" si="77"/>
        <v>14376.53</v>
      </c>
      <c r="N192" s="624">
        <f t="shared" si="77"/>
        <v>13089.88</v>
      </c>
      <c r="O192" s="624">
        <f t="shared" si="77"/>
        <v>8373.57</v>
      </c>
      <c r="P192" s="624">
        <f t="shared" si="77"/>
        <v>10796.84</v>
      </c>
      <c r="Q192" s="624">
        <f t="shared" si="77"/>
        <v>11056.14</v>
      </c>
      <c r="R192" s="624">
        <f t="shared" si="77"/>
        <v>16799.79</v>
      </c>
      <c r="S192" s="624">
        <f t="shared" si="77"/>
        <v>10162.51</v>
      </c>
      <c r="T192" s="1037">
        <f>SUM(H192:S192)</f>
        <v>128454.79999999997</v>
      </c>
    </row>
    <row r="193" spans="6:28" x14ac:dyDescent="0.2">
      <c r="H193" s="624"/>
      <c r="I193" s="624"/>
      <c r="J193" s="624"/>
      <c r="K193" s="1018"/>
      <c r="L193" s="1018"/>
      <c r="M193" s="1018"/>
      <c r="N193" s="1018"/>
      <c r="O193" s="1018"/>
      <c r="P193" s="1018"/>
      <c r="Q193" s="1018"/>
      <c r="R193" s="1018"/>
      <c r="S193" s="1018"/>
      <c r="T193" s="1037"/>
    </row>
    <row r="194" spans="6:28" x14ac:dyDescent="0.2">
      <c r="F194" s="991" t="s">
        <v>386</v>
      </c>
      <c r="H194" s="624">
        <f>+H190-H192</f>
        <v>0</v>
      </c>
      <c r="I194" s="624">
        <f t="shared" ref="I194:S194" si="78">+I190-I192</f>
        <v>-1.0000000000218279E-2</v>
      </c>
      <c r="J194" s="624">
        <f t="shared" si="78"/>
        <v>1.0000000000218279E-2</v>
      </c>
      <c r="K194" s="624">
        <f t="shared" si="78"/>
        <v>-401.97999999999865</v>
      </c>
      <c r="L194" s="624">
        <f t="shared" si="78"/>
        <v>401.97999999999956</v>
      </c>
      <c r="M194" s="624">
        <f t="shared" si="78"/>
        <v>0</v>
      </c>
      <c r="N194" s="624">
        <f t="shared" si="78"/>
        <v>0</v>
      </c>
      <c r="O194" s="624">
        <f t="shared" si="78"/>
        <v>0</v>
      </c>
      <c r="P194" s="624">
        <f t="shared" si="78"/>
        <v>9.9999999983992893E-3</v>
      </c>
      <c r="Q194" s="624">
        <f t="shared" si="78"/>
        <v>1.0000000000218279E-2</v>
      </c>
      <c r="R194" s="624">
        <f t="shared" si="78"/>
        <v>0</v>
      </c>
      <c r="S194" s="624">
        <f t="shared" si="78"/>
        <v>1.0000000000218279E-2</v>
      </c>
      <c r="T194" s="1037">
        <f>SUM(H194:S194)</f>
        <v>2.9999999999745341E-2</v>
      </c>
      <c r="Y194" s="1008"/>
      <c r="Z194" s="999"/>
    </row>
    <row r="195" spans="6:28" x14ac:dyDescent="0.2">
      <c r="F195" s="561" t="s">
        <v>1108</v>
      </c>
      <c r="H195" s="1019">
        <v>-361</v>
      </c>
      <c r="I195" s="1019">
        <v>-9732</v>
      </c>
      <c r="Y195" s="1008"/>
    </row>
    <row r="196" spans="6:28" x14ac:dyDescent="0.2">
      <c r="F196" s="986" t="s">
        <v>866</v>
      </c>
      <c r="H196" s="1020">
        <f>+H10+H31+H78+H104+H135+H162+H195</f>
        <v>1354711.7999999998</v>
      </c>
      <c r="I196" s="1020">
        <f>+I10+I31+I78+I104+I135+I162+I195</f>
        <v>1226961.6000000001</v>
      </c>
      <c r="J196" s="1020">
        <f t="shared" ref="J196:S196" si="79">+J10+J31+J78+J104+J135+J162</f>
        <v>995546.10000000009</v>
      </c>
      <c r="K196" s="1020">
        <f t="shared" si="79"/>
        <v>784143.6</v>
      </c>
      <c r="L196" s="1020">
        <f t="shared" si="79"/>
        <v>760303.6</v>
      </c>
      <c r="M196" s="1020">
        <f t="shared" si="79"/>
        <v>662994</v>
      </c>
      <c r="N196" s="1020">
        <f t="shared" si="79"/>
        <v>658748.10000000009</v>
      </c>
      <c r="O196" s="1020">
        <f t="shared" si="79"/>
        <v>737750</v>
      </c>
      <c r="P196" s="1020">
        <f t="shared" si="79"/>
        <v>736871.90000000014</v>
      </c>
      <c r="Q196" s="1020">
        <f t="shared" si="79"/>
        <v>923054.4</v>
      </c>
      <c r="R196" s="1020">
        <f t="shared" si="79"/>
        <v>944091.89999999991</v>
      </c>
      <c r="S196" s="1020">
        <f t="shared" si="79"/>
        <v>1148581.5999999999</v>
      </c>
      <c r="T196" s="1047">
        <f>SUM(H196:S196)</f>
        <v>10933758.6</v>
      </c>
      <c r="Y196" s="1008"/>
      <c r="Z196" s="999"/>
    </row>
    <row r="197" spans="6:28" x14ac:dyDescent="0.2">
      <c r="F197" s="986" t="s">
        <v>874</v>
      </c>
      <c r="H197" s="1020">
        <v>1319756</v>
      </c>
      <c r="I197" s="1020">
        <v>1260272</v>
      </c>
      <c r="J197" s="1020">
        <v>997169</v>
      </c>
      <c r="K197" s="1020">
        <v>784108</v>
      </c>
      <c r="L197" s="1020">
        <v>760529</v>
      </c>
      <c r="M197" s="1020">
        <v>662993</v>
      </c>
      <c r="N197" s="1020">
        <v>658483</v>
      </c>
      <c r="O197" s="1020">
        <v>738017</v>
      </c>
      <c r="P197" s="1020">
        <v>739572</v>
      </c>
      <c r="Q197" s="1020">
        <v>920355</v>
      </c>
      <c r="R197" s="1020">
        <v>946697</v>
      </c>
      <c r="S197" s="1020">
        <v>1145999</v>
      </c>
      <c r="T197" s="1047">
        <f>SUM(H197:S197)</f>
        <v>10933950</v>
      </c>
      <c r="Y197" s="1008"/>
      <c r="Z197" s="999"/>
    </row>
    <row r="198" spans="6:28" x14ac:dyDescent="0.2">
      <c r="H198" s="562">
        <f>+H196-H197</f>
        <v>34955.799999999814</v>
      </c>
      <c r="I198" s="562">
        <f>+I196-I197</f>
        <v>-33310.399999999907</v>
      </c>
      <c r="J198" s="562">
        <f>+J196-J197</f>
        <v>-1622.8999999999069</v>
      </c>
      <c r="K198" s="562">
        <f>+K196-K197</f>
        <v>35.599999999976717</v>
      </c>
      <c r="L198" s="562">
        <f t="shared" ref="L198:S198" si="80">+L196-L197</f>
        <v>-225.40000000002328</v>
      </c>
      <c r="M198" s="562">
        <f t="shared" si="80"/>
        <v>1</v>
      </c>
      <c r="N198" s="562">
        <f t="shared" si="80"/>
        <v>265.10000000009313</v>
      </c>
      <c r="O198" s="562">
        <f t="shared" si="80"/>
        <v>-267</v>
      </c>
      <c r="P198" s="562">
        <f t="shared" si="80"/>
        <v>-2700.0999999998603</v>
      </c>
      <c r="Q198" s="562">
        <f t="shared" si="80"/>
        <v>2699.4000000000233</v>
      </c>
      <c r="R198" s="562">
        <f t="shared" si="80"/>
        <v>-2605.1000000000931</v>
      </c>
      <c r="S198" s="562">
        <f t="shared" si="80"/>
        <v>2582.5999999998603</v>
      </c>
      <c r="T198" s="1048">
        <f>SUM(H198:S198)</f>
        <v>-191.40000000002328</v>
      </c>
      <c r="V198" s="1008"/>
      <c r="W198" s="1001"/>
      <c r="Y198" s="1008"/>
      <c r="Z198" s="999"/>
    </row>
    <row r="199" spans="6:28" x14ac:dyDescent="0.2">
      <c r="K199" s="1018"/>
      <c r="L199" s="1018"/>
      <c r="M199" s="1018"/>
      <c r="N199" s="1018"/>
      <c r="O199" s="1018"/>
      <c r="P199" s="1018"/>
      <c r="Q199" s="1018"/>
      <c r="R199" s="1018"/>
      <c r="S199" s="1018"/>
      <c r="V199" s="1008"/>
      <c r="W199" s="1001"/>
      <c r="Y199" s="1008"/>
      <c r="Z199" s="999"/>
      <c r="AA199" s="999"/>
    </row>
    <row r="200" spans="6:28" x14ac:dyDescent="0.2">
      <c r="F200" s="986" t="s">
        <v>404</v>
      </c>
      <c r="H200" s="1002">
        <f>+H128+H190</f>
        <v>642750.69510999986</v>
      </c>
      <c r="I200" s="1002">
        <f t="shared" ref="I200:S200" si="81">+I128+I190</f>
        <v>572122.17443000001</v>
      </c>
      <c r="J200" s="1002">
        <f t="shared" si="81"/>
        <v>492277.49292999995</v>
      </c>
      <c r="K200" s="1002">
        <f t="shared" si="81"/>
        <v>404054.47791000007</v>
      </c>
      <c r="L200" s="1002">
        <f t="shared" si="81"/>
        <v>391459.20870000013</v>
      </c>
      <c r="M200" s="1002">
        <f t="shared" si="81"/>
        <v>350109.78440000006</v>
      </c>
      <c r="N200" s="1002">
        <f t="shared" si="81"/>
        <v>351479.91551999998</v>
      </c>
      <c r="O200" s="1002">
        <f t="shared" si="81"/>
        <v>373993.41515999992</v>
      </c>
      <c r="P200" s="1002">
        <f t="shared" si="81"/>
        <v>386406.77155999996</v>
      </c>
      <c r="Q200" s="1002">
        <f t="shared" si="81"/>
        <v>487628.67709000001</v>
      </c>
      <c r="R200" s="1002">
        <f t="shared" si="81"/>
        <v>476086.36100999994</v>
      </c>
      <c r="S200" s="1002">
        <f t="shared" si="81"/>
        <v>560035.18289000005</v>
      </c>
      <c r="T200" s="1045">
        <f>SUM(H200:S200)</f>
        <v>5488404.1567099998</v>
      </c>
      <c r="V200" s="1021"/>
      <c r="W200" s="1001"/>
      <c r="Y200" s="1008"/>
      <c r="Z200" s="999"/>
    </row>
    <row r="201" spans="6:28" x14ac:dyDescent="0.2">
      <c r="F201" s="986"/>
      <c r="H201" s="1002"/>
      <c r="I201" s="1002"/>
      <c r="J201" s="1002"/>
      <c r="K201" s="1002"/>
      <c r="L201" s="1002"/>
      <c r="M201" s="1002"/>
      <c r="N201" s="1002"/>
      <c r="O201" s="1002"/>
      <c r="P201" s="1002"/>
      <c r="Q201" s="1002"/>
      <c r="R201" s="1002"/>
      <c r="S201" s="1002"/>
      <c r="T201" s="1045"/>
      <c r="Y201" s="1008"/>
      <c r="Z201" s="999"/>
      <c r="AA201" s="999"/>
    </row>
    <row r="202" spans="6:28" x14ac:dyDescent="0.2">
      <c r="F202" s="1022" t="s">
        <v>637</v>
      </c>
      <c r="H202" s="561">
        <v>-440.61</v>
      </c>
      <c r="I202" s="561">
        <v>-720.92</v>
      </c>
      <c r="J202" s="561">
        <v>-113.03</v>
      </c>
      <c r="K202" s="1023">
        <v>25.89</v>
      </c>
      <c r="L202" s="1213">
        <v>313.16000000000003</v>
      </c>
      <c r="M202" s="1213">
        <v>-485.26</v>
      </c>
      <c r="N202" s="1213">
        <v>-37.78</v>
      </c>
      <c r="O202" s="1213">
        <v>225.9</v>
      </c>
      <c r="P202" s="1213">
        <v>179.97</v>
      </c>
      <c r="Q202" s="1213">
        <v>290.56</v>
      </c>
      <c r="R202" s="1213">
        <v>108.73</v>
      </c>
      <c r="S202" s="1023">
        <v>381.87</v>
      </c>
      <c r="T202" s="1037">
        <f>SUM(H202:S202)</f>
        <v>-271.51999999999964</v>
      </c>
      <c r="U202" s="624"/>
      <c r="AA202" s="999"/>
    </row>
    <row r="203" spans="6:28" x14ac:dyDescent="0.2">
      <c r="F203" s="1022" t="s">
        <v>758</v>
      </c>
      <c r="K203" s="1023">
        <v>82.55</v>
      </c>
      <c r="M203" s="1213"/>
      <c r="N203" s="1213"/>
      <c r="O203" s="1213"/>
      <c r="P203" s="1213"/>
      <c r="Q203" s="1213"/>
      <c r="R203" s="1213">
        <f>-97.71-10</f>
        <v>-107.71</v>
      </c>
      <c r="S203" s="1023">
        <v>115.46</v>
      </c>
      <c r="T203" s="1037">
        <f>SUM(H203:S203)</f>
        <v>90.3</v>
      </c>
      <c r="U203" s="624"/>
    </row>
    <row r="204" spans="6:28" x14ac:dyDescent="0.2">
      <c r="F204" s="561" t="s">
        <v>1022</v>
      </c>
      <c r="H204" s="624">
        <v>537.85</v>
      </c>
      <c r="I204" s="624">
        <v>-545.88</v>
      </c>
      <c r="J204" s="624">
        <v>123.15</v>
      </c>
      <c r="K204" s="1024"/>
      <c r="L204" s="1024"/>
      <c r="M204" s="1024"/>
      <c r="N204" s="1024"/>
      <c r="O204" s="1024"/>
      <c r="P204" s="1024"/>
      <c r="Q204" s="1024"/>
      <c r="R204" s="1024"/>
      <c r="S204" s="624">
        <v>8.0299999999999994</v>
      </c>
      <c r="T204" s="1037">
        <f>SUM(H204:S204)</f>
        <v>123.15000000000003</v>
      </c>
      <c r="X204" s="1008"/>
    </row>
    <row r="205" spans="6:28" x14ac:dyDescent="0.2">
      <c r="F205" s="986"/>
      <c r="H205" s="1002"/>
      <c r="I205" s="1002"/>
      <c r="J205" s="1002"/>
      <c r="K205" s="1002"/>
      <c r="L205" s="1002"/>
      <c r="M205" s="1002"/>
      <c r="N205" s="1002"/>
      <c r="O205" s="1002"/>
      <c r="P205" s="1002"/>
      <c r="Q205" s="1002"/>
      <c r="R205" s="1002"/>
      <c r="S205" s="1002"/>
      <c r="T205" s="1045"/>
    </row>
    <row r="206" spans="6:28" x14ac:dyDescent="0.2">
      <c r="F206" s="986" t="s">
        <v>1030</v>
      </c>
      <c r="H206" s="1002">
        <f>SUM(H200:H205)</f>
        <v>642847.93510999985</v>
      </c>
      <c r="I206" s="1002">
        <f t="shared" ref="I206:T206" si="82">SUM(I200:I205)</f>
        <v>570855.37442999997</v>
      </c>
      <c r="J206" s="1002">
        <f t="shared" si="82"/>
        <v>492287.61292999994</v>
      </c>
      <c r="K206" s="1002">
        <f t="shared" si="82"/>
        <v>404162.91791000008</v>
      </c>
      <c r="L206" s="1002">
        <f t="shared" si="82"/>
        <v>391772.36870000011</v>
      </c>
      <c r="M206" s="1002">
        <f t="shared" si="82"/>
        <v>349624.52440000005</v>
      </c>
      <c r="N206" s="1002">
        <f t="shared" si="82"/>
        <v>351442.13551999995</v>
      </c>
      <c r="O206" s="1002">
        <f t="shared" si="82"/>
        <v>374219.31515999994</v>
      </c>
      <c r="P206" s="1002">
        <f t="shared" si="82"/>
        <v>386586.74155999994</v>
      </c>
      <c r="Q206" s="1002">
        <f t="shared" si="82"/>
        <v>487919.23709000001</v>
      </c>
      <c r="R206" s="1002">
        <f t="shared" si="82"/>
        <v>476087.3810099999</v>
      </c>
      <c r="S206" s="1002">
        <f t="shared" si="82"/>
        <v>560540.54289000004</v>
      </c>
      <c r="T206" s="1045">
        <f t="shared" si="82"/>
        <v>5488346.0867100004</v>
      </c>
    </row>
    <row r="207" spans="6:28" x14ac:dyDescent="0.2">
      <c r="V207" s="1025"/>
      <c r="W207" s="1026" t="s">
        <v>1028</v>
      </c>
      <c r="X207" s="1026"/>
      <c r="Y207" s="1026"/>
      <c r="Z207" s="1026"/>
      <c r="AA207" s="1026"/>
      <c r="AB207" s="1027"/>
    </row>
    <row r="208" spans="6:28" x14ac:dyDescent="0.2">
      <c r="F208" s="986" t="s">
        <v>875</v>
      </c>
      <c r="H208" s="1028">
        <v>627439.66</v>
      </c>
      <c r="I208" s="1028">
        <v>585563.25</v>
      </c>
      <c r="J208" s="1028">
        <v>492986.02</v>
      </c>
      <c r="K208" s="1028">
        <v>403847.23</v>
      </c>
      <c r="L208" s="1028">
        <v>392088.06</v>
      </c>
      <c r="M208" s="1028">
        <v>349624.57</v>
      </c>
      <c r="N208" s="1028">
        <v>351077.4</v>
      </c>
      <c r="O208" s="1028">
        <v>374584.16</v>
      </c>
      <c r="P208" s="1028">
        <v>388004.17</v>
      </c>
      <c r="Q208" s="1028">
        <v>486501.91</v>
      </c>
      <c r="R208" s="1028">
        <v>477428.25</v>
      </c>
      <c r="S208" s="1028">
        <v>559201.73</v>
      </c>
      <c r="T208" s="1049">
        <f>SUM(H208:S208)</f>
        <v>5488346.4100000001</v>
      </c>
      <c r="V208" s="1029"/>
      <c r="W208" s="1030"/>
      <c r="X208" s="1030"/>
      <c r="Y208" s="1030"/>
      <c r="Z208" s="1030"/>
      <c r="AA208" s="1030"/>
      <c r="AB208" s="1031"/>
    </row>
    <row r="209" spans="2:28" x14ac:dyDescent="0.2">
      <c r="V209" s="1029"/>
      <c r="W209" s="1030"/>
      <c r="X209" s="1032" t="s">
        <v>1025</v>
      </c>
      <c r="Y209" s="1030"/>
      <c r="Z209" s="1030"/>
      <c r="AA209" s="1030"/>
      <c r="AB209" s="1031"/>
    </row>
    <row r="210" spans="2:28" x14ac:dyDescent="0.2">
      <c r="F210" s="986" t="s">
        <v>328</v>
      </c>
      <c r="H210" s="999">
        <f>+H206-H208</f>
        <v>15408.275109999813</v>
      </c>
      <c r="I210" s="999">
        <f t="shared" ref="I210:S210" si="83">+I206-I208</f>
        <v>-14707.875570000033</v>
      </c>
      <c r="J210" s="994">
        <f t="shared" si="83"/>
        <v>-698.40707000007387</v>
      </c>
      <c r="K210" s="1033">
        <f t="shared" si="83"/>
        <v>315.68791000009514</v>
      </c>
      <c r="L210" s="1033">
        <f t="shared" si="83"/>
        <v>-315.69129999988945</v>
      </c>
      <c r="M210" s="624">
        <f t="shared" si="83"/>
        <v>-4.5599999953992665E-2</v>
      </c>
      <c r="N210" s="624">
        <f t="shared" si="83"/>
        <v>364.73551999992924</v>
      </c>
      <c r="O210" s="624">
        <f t="shared" si="83"/>
        <v>-364.84484000003431</v>
      </c>
      <c r="P210" s="624">
        <f t="shared" si="83"/>
        <v>-1417.428440000047</v>
      </c>
      <c r="Q210" s="624">
        <f t="shared" si="83"/>
        <v>1417.3270900000352</v>
      </c>
      <c r="R210" s="624">
        <f t="shared" si="83"/>
        <v>-1340.8689900001045</v>
      </c>
      <c r="S210" s="624">
        <f t="shared" si="83"/>
        <v>1338.8128900000593</v>
      </c>
      <c r="T210" s="1037">
        <f>SUM(H210:S210)</f>
        <v>-0.3232900002039969</v>
      </c>
      <c r="V210" s="1029" t="s">
        <v>1023</v>
      </c>
      <c r="W210" s="1001">
        <f>+T65+T92+T118</f>
        <v>187627.99090822783</v>
      </c>
      <c r="X210" s="1030"/>
      <c r="Y210" s="1030"/>
      <c r="Z210" s="1030"/>
      <c r="AA210" s="1030"/>
      <c r="AB210" s="1031"/>
    </row>
    <row r="211" spans="2:28" x14ac:dyDescent="0.2">
      <c r="I211" s="999"/>
      <c r="J211" s="624"/>
      <c r="V211" s="1029" t="s">
        <v>1024</v>
      </c>
      <c r="W211" s="1000">
        <f>+T66+T93+T119</f>
        <v>192168.43688940923</v>
      </c>
      <c r="X211" s="1030"/>
      <c r="Y211" s="1030"/>
      <c r="Z211" s="1030"/>
      <c r="AA211" s="1030"/>
      <c r="AB211" s="1031"/>
    </row>
    <row r="212" spans="2:28" x14ac:dyDescent="0.2">
      <c r="R212" s="999"/>
      <c r="U212" s="999"/>
      <c r="V212" s="1029"/>
      <c r="W212" s="1001">
        <f>+W210+W211</f>
        <v>379796.42779763706</v>
      </c>
      <c r="X212" s="1001">
        <v>333534</v>
      </c>
      <c r="Y212" s="1001">
        <f>+W212-X212</f>
        <v>46262.427797637065</v>
      </c>
      <c r="Z212" s="1030"/>
      <c r="AA212" s="1030"/>
      <c r="AB212" s="1031"/>
    </row>
    <row r="213" spans="2:28" x14ac:dyDescent="0.2">
      <c r="H213" s="994"/>
      <c r="I213" s="994"/>
      <c r="J213" s="994"/>
      <c r="V213" s="1029"/>
      <c r="W213" s="1030"/>
      <c r="X213" s="1030"/>
      <c r="Y213" s="1000">
        <v>46386.04</v>
      </c>
      <c r="Z213" s="1030" t="s">
        <v>1026</v>
      </c>
      <c r="AA213" s="1030"/>
      <c r="AB213" s="1031"/>
    </row>
    <row r="214" spans="2:28" x14ac:dyDescent="0.2">
      <c r="F214" s="986"/>
      <c r="H214" s="624"/>
      <c r="I214" s="624"/>
      <c r="J214" s="994"/>
      <c r="N214" s="624"/>
      <c r="O214" s="624"/>
      <c r="P214" s="624"/>
      <c r="Q214" s="624"/>
      <c r="R214" s="624"/>
      <c r="S214" s="624"/>
      <c r="V214" s="1029"/>
      <c r="W214" s="1030"/>
      <c r="X214" s="1030"/>
      <c r="Y214" s="1001">
        <f>+Y212-Y213</f>
        <v>-123.61220236293593</v>
      </c>
      <c r="Z214" s="1030"/>
      <c r="AA214" s="1030"/>
      <c r="AB214" s="1031"/>
    </row>
    <row r="215" spans="2:28" x14ac:dyDescent="0.2">
      <c r="H215" s="994"/>
      <c r="I215" s="994"/>
      <c r="J215" s="994"/>
      <c r="V215" s="1029"/>
      <c r="W215" s="1030"/>
      <c r="X215" s="1030"/>
      <c r="Y215" s="1000">
        <v>123.15</v>
      </c>
      <c r="Z215" s="1030" t="s">
        <v>1029</v>
      </c>
      <c r="AA215" s="1030"/>
      <c r="AB215" s="1031"/>
    </row>
    <row r="216" spans="2:28" x14ac:dyDescent="0.2">
      <c r="J216" s="624"/>
      <c r="V216" s="1034"/>
      <c r="W216" s="1005"/>
      <c r="X216" s="1005"/>
      <c r="Y216" s="1000">
        <f>+Y214+Y215</f>
        <v>-0.4622023629359262</v>
      </c>
      <c r="Z216" s="1005" t="s">
        <v>1027</v>
      </c>
      <c r="AA216" s="1005"/>
      <c r="AB216" s="1035"/>
    </row>
    <row r="217" spans="2:28" x14ac:dyDescent="0.2">
      <c r="Y217" s="999"/>
    </row>
    <row r="218" spans="2:28" ht="15" x14ac:dyDescent="0.25">
      <c r="B218" s="983" t="s">
        <v>871</v>
      </c>
      <c r="G218" s="984" t="s">
        <v>846</v>
      </c>
      <c r="H218" s="985">
        <v>40940</v>
      </c>
      <c r="I218" s="985">
        <v>40969</v>
      </c>
      <c r="J218" s="985">
        <v>41000</v>
      </c>
      <c r="K218" s="985">
        <v>40664</v>
      </c>
      <c r="L218" s="985">
        <v>40695</v>
      </c>
      <c r="M218" s="985">
        <v>40725</v>
      </c>
      <c r="N218" s="985">
        <v>40756</v>
      </c>
      <c r="O218" s="985">
        <v>40787</v>
      </c>
      <c r="P218" s="985">
        <v>40817</v>
      </c>
      <c r="Q218" s="985">
        <v>40848</v>
      </c>
      <c r="R218" s="985">
        <v>40878</v>
      </c>
      <c r="S218" s="985">
        <v>40909</v>
      </c>
      <c r="Y218" s="999"/>
    </row>
    <row r="219" spans="2:28" x14ac:dyDescent="0.2">
      <c r="G219" s="984" t="s">
        <v>845</v>
      </c>
      <c r="H219" s="985">
        <v>40909</v>
      </c>
      <c r="I219" s="985">
        <v>40940</v>
      </c>
      <c r="J219" s="985">
        <v>40969</v>
      </c>
      <c r="K219" s="985">
        <v>40634</v>
      </c>
      <c r="L219" s="985">
        <v>40664</v>
      </c>
      <c r="M219" s="985">
        <v>40695</v>
      </c>
      <c r="N219" s="985">
        <v>40725</v>
      </c>
      <c r="O219" s="985">
        <v>40756</v>
      </c>
      <c r="P219" s="985">
        <v>40787</v>
      </c>
      <c r="Q219" s="985">
        <v>40817</v>
      </c>
      <c r="R219" s="985">
        <v>40848</v>
      </c>
      <c r="S219" s="985">
        <v>40878</v>
      </c>
      <c r="T219" s="1042" t="s">
        <v>810</v>
      </c>
      <c r="Y219" s="999"/>
    </row>
    <row r="220" spans="2:28" ht="27.75" x14ac:dyDescent="0.35">
      <c r="B220" s="559" t="s">
        <v>128</v>
      </c>
      <c r="C220" s="559" t="s">
        <v>17</v>
      </c>
      <c r="D220" s="560" t="s">
        <v>260</v>
      </c>
      <c r="E220" s="560" t="s">
        <v>261</v>
      </c>
      <c r="F220" s="560"/>
      <c r="G220" s="987" t="s">
        <v>811</v>
      </c>
      <c r="H220" s="1036" t="s">
        <v>825</v>
      </c>
      <c r="I220" s="1036" t="s">
        <v>825</v>
      </c>
      <c r="J220" s="1036" t="s">
        <v>825</v>
      </c>
      <c r="K220" s="1036" t="s">
        <v>825</v>
      </c>
      <c r="L220" s="1036" t="s">
        <v>825</v>
      </c>
      <c r="M220" s="1036" t="s">
        <v>825</v>
      </c>
      <c r="N220" s="1036" t="s">
        <v>825</v>
      </c>
      <c r="O220" s="1036" t="s">
        <v>825</v>
      </c>
      <c r="P220" s="1036" t="s">
        <v>825</v>
      </c>
      <c r="Q220" s="1036" t="s">
        <v>825</v>
      </c>
      <c r="R220" s="1036" t="s">
        <v>825</v>
      </c>
      <c r="S220" s="1036" t="s">
        <v>825</v>
      </c>
    </row>
    <row r="222" spans="2:28" x14ac:dyDescent="0.2">
      <c r="F222" s="324" t="s">
        <v>857</v>
      </c>
      <c r="G222" s="324"/>
    </row>
    <row r="223" spans="2:28" x14ac:dyDescent="0.2">
      <c r="B223" s="561" t="str">
        <f>VLOOKUP($C223,'Retail Rates'!$B$46:$Q$55,13,FALSE)</f>
        <v>FT Commercial</v>
      </c>
      <c r="C223" s="633" t="s">
        <v>97</v>
      </c>
      <c r="D223" s="633" t="str">
        <f t="shared" ref="D223:D235" si="84">MID(C223,6,3)</f>
        <v>895</v>
      </c>
      <c r="E223" s="561" t="str">
        <f>VLOOKUP($C223,'Retail Rates'!$B$46:$Q$55,3,FALSE)</f>
        <v>FT-C</v>
      </c>
      <c r="F223" s="991" t="s">
        <v>408</v>
      </c>
      <c r="G223" s="987" t="s">
        <v>812</v>
      </c>
      <c r="H223" s="992">
        <f>SUMIFS('Data FT-TS-Cashout-Paddys'!$G$5:$G$756,'Data FT-TS-Cashout-Paddys'!$F$5:$F$756,'Apr11-Mar12 FT-TS-Cashout-LG&amp;E'!$G223,'Data FT-TS-Cashout-Paddys'!$A$5:$A$756,'Apr11-Mar12 FT-TS-Cashout-LG&amp;E'!H$219,'Data FT-TS-Cashout-Paddys'!$C$5:$C$756,'Apr11-Mar12 FT-TS-Cashout-LG&amp;E'!$C223,'Data FT-TS-Cashout-Paddys'!$E$5:$E$756,'Apr11-Mar12 FT-TS-Cashout-LG&amp;E'!H$220)/10</f>
        <v>0</v>
      </c>
      <c r="I223" s="992">
        <f>SUMIFS('Data FT-TS-Cashout-Paddys'!$G$5:$G$756,'Data FT-TS-Cashout-Paddys'!$F$5:$F$756,'Apr11-Mar12 FT-TS-Cashout-LG&amp;E'!$G223,'Data FT-TS-Cashout-Paddys'!$A$5:$A$756,'Apr11-Mar12 FT-TS-Cashout-LG&amp;E'!I$219,'Data FT-TS-Cashout-Paddys'!$C$5:$C$756,'Apr11-Mar12 FT-TS-Cashout-LG&amp;E'!$C223,'Data FT-TS-Cashout-Paddys'!$E$5:$E$756,'Apr11-Mar12 FT-TS-Cashout-LG&amp;E'!I$220)/10</f>
        <v>0</v>
      </c>
      <c r="J223" s="992">
        <f>SUMIFS('Data FT-TS-Cashout-Paddys'!$G$5:$G$756,'Data FT-TS-Cashout-Paddys'!$F$5:$F$756,'Apr11-Mar12 FT-TS-Cashout-LG&amp;E'!$G223,'Data FT-TS-Cashout-Paddys'!$A$5:$A$756,'Apr11-Mar12 FT-TS-Cashout-LG&amp;E'!J$219,'Data FT-TS-Cashout-Paddys'!$C$5:$C$756,'Apr11-Mar12 FT-TS-Cashout-LG&amp;E'!$C223,'Data FT-TS-Cashout-Paddys'!$E$5:$E$756,'Apr11-Mar12 FT-TS-Cashout-LG&amp;E'!J$220)/10</f>
        <v>0</v>
      </c>
      <c r="K223" s="992">
        <f>SUMIFS('Data FT-TS-Cashout-Paddys'!$G$5:$G$756,'Data FT-TS-Cashout-Paddys'!$F$5:$F$756,'Apr11-Mar12 FT-TS-Cashout-LG&amp;E'!$G223,'Data FT-TS-Cashout-Paddys'!$A$5:$A$756,'Apr11-Mar12 FT-TS-Cashout-LG&amp;E'!K$219,'Data FT-TS-Cashout-Paddys'!$C$5:$C$756,'Apr11-Mar12 FT-TS-Cashout-LG&amp;E'!$C223,'Data FT-TS-Cashout-Paddys'!$E$5:$E$756,'Apr11-Mar12 FT-TS-Cashout-LG&amp;E'!K$220)/10</f>
        <v>80.7</v>
      </c>
      <c r="L223" s="992">
        <f>SUMIFS('Data FT-TS-Cashout-Paddys'!$G$5:$G$756,'Data FT-TS-Cashout-Paddys'!$F$5:$F$756,'Apr11-Mar12 FT-TS-Cashout-LG&amp;E'!$G223,'Data FT-TS-Cashout-Paddys'!$A$5:$A$756,'Apr11-Mar12 FT-TS-Cashout-LG&amp;E'!L$219,'Data FT-TS-Cashout-Paddys'!$C$5:$C$756,'Apr11-Mar12 FT-TS-Cashout-LG&amp;E'!$C223,'Data FT-TS-Cashout-Paddys'!$E$5:$E$756,'Apr11-Mar12 FT-TS-Cashout-LG&amp;E'!L$220)/10</f>
        <v>94.3</v>
      </c>
      <c r="M223" s="992">
        <f>SUMIFS('Data FT-TS-Cashout-Paddys'!$G$5:$G$756,'Data FT-TS-Cashout-Paddys'!$F$5:$F$756,'Apr11-Mar12 FT-TS-Cashout-LG&amp;E'!$G223,'Data FT-TS-Cashout-Paddys'!$A$5:$A$756,'Apr11-Mar12 FT-TS-Cashout-LG&amp;E'!M$219,'Data FT-TS-Cashout-Paddys'!$C$5:$C$756,'Apr11-Mar12 FT-TS-Cashout-LG&amp;E'!$C223,'Data FT-TS-Cashout-Paddys'!$E$5:$E$756,'Apr11-Mar12 FT-TS-Cashout-LG&amp;E'!M$220)/10</f>
        <v>24.5</v>
      </c>
      <c r="N223" s="992">
        <f>SUMIFS('Data FT-TS-Cashout-Paddys'!$G$5:$G$756,'Data FT-TS-Cashout-Paddys'!$F$5:$F$756,'Apr11-Mar12 FT-TS-Cashout-LG&amp;E'!$G223,'Data FT-TS-Cashout-Paddys'!$A$5:$A$756,'Apr11-Mar12 FT-TS-Cashout-LG&amp;E'!N$219,'Data FT-TS-Cashout-Paddys'!$C$5:$C$756,'Apr11-Mar12 FT-TS-Cashout-LG&amp;E'!$C223,'Data FT-TS-Cashout-Paddys'!$E$5:$E$756,'Apr11-Mar12 FT-TS-Cashout-LG&amp;E'!N$220)/10</f>
        <v>45.3</v>
      </c>
      <c r="O223" s="992">
        <f>SUMIFS('Data FT-TS-Cashout-Paddys'!$G$5:$G$756,'Data FT-TS-Cashout-Paddys'!$F$5:$F$756,'Apr11-Mar12 FT-TS-Cashout-LG&amp;E'!$G223,'Data FT-TS-Cashout-Paddys'!$A$5:$A$756,'Apr11-Mar12 FT-TS-Cashout-LG&amp;E'!O$219,'Data FT-TS-Cashout-Paddys'!$C$5:$C$756,'Apr11-Mar12 FT-TS-Cashout-LG&amp;E'!$C223,'Data FT-TS-Cashout-Paddys'!$E$5:$E$756,'Apr11-Mar12 FT-TS-Cashout-LG&amp;E'!O$220)/10</f>
        <v>0</v>
      </c>
      <c r="P223" s="992">
        <f>SUMIFS('Data FT-TS-Cashout-Paddys'!$G$5:$G$756,'Data FT-TS-Cashout-Paddys'!$F$5:$F$756,'Apr11-Mar12 FT-TS-Cashout-LG&amp;E'!$G223,'Data FT-TS-Cashout-Paddys'!$A$5:$A$756,'Apr11-Mar12 FT-TS-Cashout-LG&amp;E'!P$219,'Data FT-TS-Cashout-Paddys'!$C$5:$C$756,'Apr11-Mar12 FT-TS-Cashout-LG&amp;E'!$C223,'Data FT-TS-Cashout-Paddys'!$E$5:$E$756,'Apr11-Mar12 FT-TS-Cashout-LG&amp;E'!P$220)/10</f>
        <v>21.4</v>
      </c>
      <c r="Q223" s="992">
        <f>SUMIFS('Data FT-TS-Cashout-Paddys'!$G$5:$G$756,'Data FT-TS-Cashout-Paddys'!$F$5:$F$756,'Apr11-Mar12 FT-TS-Cashout-LG&amp;E'!$G223,'Data FT-TS-Cashout-Paddys'!$A$5:$A$756,'Apr11-Mar12 FT-TS-Cashout-LG&amp;E'!Q$219,'Data FT-TS-Cashout-Paddys'!$C$5:$C$756,'Apr11-Mar12 FT-TS-Cashout-LG&amp;E'!$C223,'Data FT-TS-Cashout-Paddys'!$E$5:$E$756,'Apr11-Mar12 FT-TS-Cashout-LG&amp;E'!Q$220)/10</f>
        <v>5.9</v>
      </c>
      <c r="R223" s="992">
        <f>SUMIFS('Data FT-TS-Cashout-Paddys'!$G$5:$G$756,'Data FT-TS-Cashout-Paddys'!$F$5:$F$756,'Apr11-Mar12 FT-TS-Cashout-LG&amp;E'!$G223,'Data FT-TS-Cashout-Paddys'!$A$5:$A$756,'Apr11-Mar12 FT-TS-Cashout-LG&amp;E'!R$219,'Data FT-TS-Cashout-Paddys'!$C$5:$C$756,'Apr11-Mar12 FT-TS-Cashout-LG&amp;E'!$C223,'Data FT-TS-Cashout-Paddys'!$E$5:$E$756,'Apr11-Mar12 FT-TS-Cashout-LG&amp;E'!R$220)/10</f>
        <v>454.7</v>
      </c>
      <c r="S223" s="992">
        <f>SUMIFS('Data FT-TS-Cashout-Paddys'!$G$5:$G$756,'Data FT-TS-Cashout-Paddys'!$F$5:$F$756,'Apr11-Mar12 FT-TS-Cashout-LG&amp;E'!$G223,'Data FT-TS-Cashout-Paddys'!$A$5:$A$756,'Apr11-Mar12 FT-TS-Cashout-LG&amp;E'!S$219,'Data FT-TS-Cashout-Paddys'!$C$5:$C$756,'Apr11-Mar12 FT-TS-Cashout-LG&amp;E'!$C223,'Data FT-TS-Cashout-Paddys'!$E$5:$E$756,'Apr11-Mar12 FT-TS-Cashout-LG&amp;E'!S$220)/10</f>
        <v>135.69999999999999</v>
      </c>
      <c r="T223" s="1044">
        <f>SUM(H223:S223)</f>
        <v>862.5</v>
      </c>
    </row>
    <row r="224" spans="2:28" x14ac:dyDescent="0.2">
      <c r="B224" s="561" t="str">
        <f>VLOOKUP($C224,'Retail Rates'!$B$46:$Q$55,13,FALSE)</f>
        <v>FT Commercial</v>
      </c>
      <c r="C224" s="633" t="s">
        <v>97</v>
      </c>
      <c r="D224" s="633" t="str">
        <f t="shared" si="84"/>
        <v>895</v>
      </c>
      <c r="E224" s="561" t="str">
        <f>VLOOKUP($C224,'Retail Rates'!$B$46:$Q$55,3,FALSE)</f>
        <v>FT-C</v>
      </c>
      <c r="F224" s="991" t="s">
        <v>410</v>
      </c>
      <c r="G224" s="991"/>
      <c r="H224" s="995">
        <f>VLOOKUP($C224,'Retail Rates'!$B$45:$N$55,7,FALSE)</f>
        <v>0.43</v>
      </c>
      <c r="I224" s="995">
        <f>VLOOKUP($C224,'Retail Rates'!$B$45:$N$55,7,FALSE)</f>
        <v>0.43</v>
      </c>
      <c r="J224" s="995">
        <f>VLOOKUP($C224,'Retail Rates'!$B$45:$N$55,7,FALSE)</f>
        <v>0.43</v>
      </c>
      <c r="K224" s="995">
        <f>VLOOKUP($C224,'Retail Rates'!$B$45:$N$55,7,FALSE)</f>
        <v>0.43</v>
      </c>
      <c r="L224" s="995">
        <f>VLOOKUP($C224,'Retail Rates'!$B$45:$N$55,7,FALSE)</f>
        <v>0.43</v>
      </c>
      <c r="M224" s="995">
        <f>VLOOKUP($C224,'Retail Rates'!$B$45:$N$55,7,FALSE)</f>
        <v>0.43</v>
      </c>
      <c r="N224" s="995">
        <f>VLOOKUP($C224,'Retail Rates'!$B$45:$N$55,7,FALSE)</f>
        <v>0.43</v>
      </c>
      <c r="O224" s="995">
        <f>VLOOKUP($C224,'Retail Rates'!$B$45:$N$55,7,FALSE)</f>
        <v>0.43</v>
      </c>
      <c r="P224" s="995">
        <f>VLOOKUP($C224,'Retail Rates'!$B$45:$N$55,7,FALSE)</f>
        <v>0.43</v>
      </c>
      <c r="Q224" s="995">
        <f>VLOOKUP($C224,'Retail Rates'!$B$45:$N$55,7,FALSE)</f>
        <v>0.43</v>
      </c>
      <c r="R224" s="995">
        <f>VLOOKUP($C224,'Retail Rates'!$B$45:$N$55,7,FALSE)</f>
        <v>0.43</v>
      </c>
      <c r="S224" s="995">
        <f>VLOOKUP($C224,'Retail Rates'!$B$45:$N$55,7,FALSE)</f>
        <v>0.43</v>
      </c>
    </row>
    <row r="225" spans="2:20" x14ac:dyDescent="0.2">
      <c r="B225" s="561" t="str">
        <f>VLOOKUP($C225,'Retail Rates'!$B$46:$Q$55,13,FALSE)</f>
        <v>FT Commercial</v>
      </c>
      <c r="C225" s="633" t="s">
        <v>97</v>
      </c>
      <c r="D225" s="633" t="str">
        <f t="shared" si="84"/>
        <v>895</v>
      </c>
      <c r="E225" s="561" t="str">
        <f>VLOOKUP($C225,'Retail Rates'!$B$46:$Q$55,3,FALSE)</f>
        <v>FT-C</v>
      </c>
      <c r="F225" s="991" t="s">
        <v>411</v>
      </c>
      <c r="G225" s="991"/>
      <c r="H225" s="995">
        <f>SUMIF('GSC-DSM Factors'!$A$14:$A$44,'Apr11-Mar12 FT-TS-Cashout-LG&amp;E'!H$5,'GSC-DSM Factors'!$J$14:$J$44)</f>
        <v>1.1599999999999999E-2</v>
      </c>
      <c r="I225" s="995">
        <f>SUMIF('GSC-DSM Factors'!$A$14:$A$44,'Apr11-Mar12 FT-TS-Cashout-LG&amp;E'!I$5,'GSC-DSM Factors'!$J$14:$J$44)</f>
        <v>1.1599999999999999E-2</v>
      </c>
      <c r="J225" s="995">
        <f>SUMIF('GSC-DSM Factors'!$A$14:$A$44,'Apr11-Mar12 FT-TS-Cashout-LG&amp;E'!J$5,'GSC-DSM Factors'!$J$14:$J$44)</f>
        <v>1.1599999999999999E-2</v>
      </c>
      <c r="K225" s="995">
        <f>SUMIF('GSC-DSM Factors'!$A$14:$A$44,'Apr11-Mar12 FT-TS-Cashout-LG&amp;E'!K$5,'GSC-DSM Factors'!$J$14:$J$44)</f>
        <v>8.8999999999999982E-3</v>
      </c>
      <c r="L225" s="995">
        <f>SUMIF('GSC-DSM Factors'!$A$14:$A$44,'Apr11-Mar12 FT-TS-Cashout-LG&amp;E'!L$5,'GSC-DSM Factors'!$J$14:$J$44)</f>
        <v>8.8999999999999982E-3</v>
      </c>
      <c r="M225" s="995">
        <f>SUMIF('GSC-DSM Factors'!$A$14:$A$44,'Apr11-Mar12 FT-TS-Cashout-LG&amp;E'!M$5,'GSC-DSM Factors'!$J$14:$J$44)</f>
        <v>9.5999999999999992E-3</v>
      </c>
      <c r="N225" s="995">
        <f>SUMIF('GSC-DSM Factors'!$A$14:$A$44,'Apr11-Mar12 FT-TS-Cashout-LG&amp;E'!N$5,'GSC-DSM Factors'!$J$14:$J$44)</f>
        <v>9.5999999999999992E-3</v>
      </c>
      <c r="O225" s="995">
        <f>SUMIF('GSC-DSM Factors'!$A$14:$A$44,'Apr11-Mar12 FT-TS-Cashout-LG&amp;E'!O$5,'GSC-DSM Factors'!$J$14:$J$44)</f>
        <v>9.5999999999999992E-3</v>
      </c>
      <c r="P225" s="995">
        <f>SUMIF('GSC-DSM Factors'!$A$14:$A$44,'Apr11-Mar12 FT-TS-Cashout-LG&amp;E'!P$5,'GSC-DSM Factors'!$J$14:$J$44)</f>
        <v>9.5999999999999992E-3</v>
      </c>
      <c r="Q225" s="995">
        <f>SUMIF('GSC-DSM Factors'!$A$14:$A$44,'Apr11-Mar12 FT-TS-Cashout-LG&amp;E'!Q$5,'GSC-DSM Factors'!$J$14:$J$44)</f>
        <v>9.5999999999999992E-3</v>
      </c>
      <c r="R225" s="995">
        <f>SUMIF('GSC-DSM Factors'!$A$14:$A$44,'Apr11-Mar12 FT-TS-Cashout-LG&amp;E'!R$5,'GSC-DSM Factors'!$J$14:$J$44)</f>
        <v>9.5999999999999992E-3</v>
      </c>
      <c r="S225" s="995">
        <f>SUMIF('GSC-DSM Factors'!$A$14:$A$44,'Apr11-Mar12 FT-TS-Cashout-LG&amp;E'!S$5,'GSC-DSM Factors'!$J$14:$J$44)</f>
        <v>9.5999999999999992E-3</v>
      </c>
    </row>
    <row r="226" spans="2:20" x14ac:dyDescent="0.2">
      <c r="B226" s="561" t="str">
        <f>VLOOKUP($C226,'Retail Rates'!$B$46:$Q$55,13,FALSE)</f>
        <v>FT Commercial</v>
      </c>
      <c r="C226" s="633" t="s">
        <v>97</v>
      </c>
      <c r="D226" s="633" t="str">
        <f t="shared" si="84"/>
        <v>895</v>
      </c>
      <c r="E226" s="561" t="str">
        <f>VLOOKUP($C226,'Retail Rates'!$B$46:$Q$55,3,FALSE)</f>
        <v>FT-C</v>
      </c>
      <c r="F226" s="997"/>
      <c r="G226" s="997"/>
    </row>
    <row r="227" spans="2:20" x14ac:dyDescent="0.2">
      <c r="B227" s="561" t="str">
        <f>VLOOKUP($C227,'Retail Rates'!$B$46:$Q$55,13,FALSE)</f>
        <v>FT Commercial</v>
      </c>
      <c r="C227" s="633" t="s">
        <v>97</v>
      </c>
      <c r="D227" s="633" t="str">
        <f t="shared" si="84"/>
        <v>895</v>
      </c>
      <c r="E227" s="561" t="str">
        <f>VLOOKUP($C227,'Retail Rates'!$B$46:$Q$55,3,FALSE)</f>
        <v>FT-C</v>
      </c>
      <c r="F227" s="998" t="s">
        <v>412</v>
      </c>
      <c r="G227" s="998"/>
    </row>
    <row r="228" spans="2:20" x14ac:dyDescent="0.2">
      <c r="B228" s="561" t="str">
        <f>VLOOKUP($C228,'Retail Rates'!$B$46:$Q$55,13,FALSE)</f>
        <v>FT Commercial</v>
      </c>
      <c r="C228" s="633" t="s">
        <v>97</v>
      </c>
      <c r="D228" s="633" t="str">
        <f t="shared" si="84"/>
        <v>895</v>
      </c>
      <c r="E228" s="561" t="str">
        <f>VLOOKUP($C228,'Retail Rates'!$B$46:$Q$55,3,FALSE)</f>
        <v>FT-C</v>
      </c>
      <c r="F228" s="991" t="s">
        <v>414</v>
      </c>
      <c r="G228" s="991"/>
      <c r="H228" s="1001">
        <f t="shared" ref="H228:S228" si="85">ROUND(H223*H224,2)</f>
        <v>0</v>
      </c>
      <c r="I228" s="1001">
        <f t="shared" si="85"/>
        <v>0</v>
      </c>
      <c r="J228" s="1001">
        <f t="shared" si="85"/>
        <v>0</v>
      </c>
      <c r="K228" s="1001">
        <f t="shared" si="85"/>
        <v>34.700000000000003</v>
      </c>
      <c r="L228" s="1001">
        <f t="shared" si="85"/>
        <v>40.549999999999997</v>
      </c>
      <c r="M228" s="1001">
        <f t="shared" si="85"/>
        <v>10.54</v>
      </c>
      <c r="N228" s="1001">
        <f t="shared" si="85"/>
        <v>19.48</v>
      </c>
      <c r="O228" s="1001">
        <f t="shared" si="85"/>
        <v>0</v>
      </c>
      <c r="P228" s="1001">
        <f t="shared" si="85"/>
        <v>9.1999999999999993</v>
      </c>
      <c r="Q228" s="1001">
        <f t="shared" si="85"/>
        <v>2.54</v>
      </c>
      <c r="R228" s="1001">
        <f t="shared" si="85"/>
        <v>195.52</v>
      </c>
      <c r="S228" s="1001">
        <f t="shared" si="85"/>
        <v>58.35</v>
      </c>
      <c r="T228" s="1001">
        <f>SUM(H228:S228)</f>
        <v>370.88000000000005</v>
      </c>
    </row>
    <row r="229" spans="2:20" x14ac:dyDescent="0.2">
      <c r="B229" s="561" t="str">
        <f>VLOOKUP($C229,'Retail Rates'!$B$46:$Q$55,13,FALSE)</f>
        <v>FT Commercial</v>
      </c>
      <c r="C229" s="633" t="s">
        <v>97</v>
      </c>
      <c r="D229" s="633" t="str">
        <f t="shared" si="84"/>
        <v>895</v>
      </c>
      <c r="E229" s="561" t="str">
        <f>VLOOKUP($C229,'Retail Rates'!$B$46:$Q$55,3,FALSE)</f>
        <v>FT-C</v>
      </c>
      <c r="F229" s="991" t="s">
        <v>416</v>
      </c>
      <c r="G229" s="991"/>
      <c r="H229" s="1001">
        <f t="shared" ref="H229:S229" si="86">ROUND(+H223*H225,2)</f>
        <v>0</v>
      </c>
      <c r="I229" s="1001">
        <f t="shared" si="86"/>
        <v>0</v>
      </c>
      <c r="J229" s="1001">
        <f t="shared" si="86"/>
        <v>0</v>
      </c>
      <c r="K229" s="1001">
        <f t="shared" si="86"/>
        <v>0.72</v>
      </c>
      <c r="L229" s="1001">
        <f t="shared" si="86"/>
        <v>0.84</v>
      </c>
      <c r="M229" s="1001">
        <f t="shared" si="86"/>
        <v>0.24</v>
      </c>
      <c r="N229" s="1001">
        <f t="shared" si="86"/>
        <v>0.43</v>
      </c>
      <c r="O229" s="1001">
        <f t="shared" si="86"/>
        <v>0</v>
      </c>
      <c r="P229" s="1001">
        <f t="shared" si="86"/>
        <v>0.21</v>
      </c>
      <c r="Q229" s="1001">
        <f t="shared" si="86"/>
        <v>0.06</v>
      </c>
      <c r="R229" s="1001">
        <f t="shared" si="86"/>
        <v>4.37</v>
      </c>
      <c r="S229" s="1001">
        <f t="shared" si="86"/>
        <v>1.3</v>
      </c>
      <c r="T229" s="1001">
        <f>SUM(H229:S229)</f>
        <v>8.17</v>
      </c>
    </row>
    <row r="230" spans="2:20" x14ac:dyDescent="0.2">
      <c r="B230" s="561" t="str">
        <f>VLOOKUP($C230,'Retail Rates'!$B$46:$Q$55,13,FALSE)</f>
        <v>FT Commercial</v>
      </c>
      <c r="C230" s="633" t="s">
        <v>97</v>
      </c>
      <c r="D230" s="633" t="str">
        <f t="shared" si="84"/>
        <v>895</v>
      </c>
      <c r="E230" s="561" t="str">
        <f>VLOOKUP($C230,'Retail Rates'!$B$46:$Q$55,3,FALSE)</f>
        <v>FT-C</v>
      </c>
      <c r="F230" s="991" t="s">
        <v>855</v>
      </c>
      <c r="G230" s="987" t="s">
        <v>823</v>
      </c>
      <c r="H230" s="1000">
        <f>SUMIFS('Data FT-TS-Cashout-Paddys'!$J$5:$J$756,'Data FT-TS-Cashout-Paddys'!$F$5:$F$756,'Apr11-Mar12 FT-TS-Cashout-LG&amp;E'!$G230,'Data FT-TS-Cashout-Paddys'!$A$5:$A$756,'Apr11-Mar12 FT-TS-Cashout-LG&amp;E'!H$219,'Data FT-TS-Cashout-Paddys'!$C$5:$C$756,'Apr11-Mar12 FT-TS-Cashout-LG&amp;E'!$C230)</f>
        <v>0</v>
      </c>
      <c r="I230" s="1000">
        <f>SUMIFS('Data FT-TS-Cashout-Paddys'!$J$5:$J$756,'Data FT-TS-Cashout-Paddys'!$F$5:$F$756,'Apr11-Mar12 FT-TS-Cashout-LG&amp;E'!$G230,'Data FT-TS-Cashout-Paddys'!$A$5:$A$756,'Apr11-Mar12 FT-TS-Cashout-LG&amp;E'!I$219,'Data FT-TS-Cashout-Paddys'!$C$5:$C$756,'Apr11-Mar12 FT-TS-Cashout-LG&amp;E'!$C230)</f>
        <v>0</v>
      </c>
      <c r="J230" s="1000">
        <f>SUMIFS('Data FT-TS-Cashout-Paddys'!$J$5:$J$756,'Data FT-TS-Cashout-Paddys'!$F$5:$F$756,'Apr11-Mar12 FT-TS-Cashout-LG&amp;E'!$G230,'Data FT-TS-Cashout-Paddys'!$A$5:$A$756,'Apr11-Mar12 FT-TS-Cashout-LG&amp;E'!J$219,'Data FT-TS-Cashout-Paddys'!$C$5:$C$756,'Apr11-Mar12 FT-TS-Cashout-LG&amp;E'!$C230)</f>
        <v>0</v>
      </c>
      <c r="K230" s="1000">
        <f>SUMIFS('Data FT-TS-Cashout-Paddys'!$J$5:$J$756,'Data FT-TS-Cashout-Paddys'!$F$5:$F$756,'Apr11-Mar12 FT-TS-Cashout-LG&amp;E'!$G230,'Data FT-TS-Cashout-Paddys'!$A$5:$A$756,'Apr11-Mar12 FT-TS-Cashout-LG&amp;E'!K$219,'Data FT-TS-Cashout-Paddys'!$C$5:$C$756,'Apr11-Mar12 FT-TS-Cashout-LG&amp;E'!$C230)</f>
        <v>371.62</v>
      </c>
      <c r="L230" s="1000">
        <f>SUMIFS('Data FT-TS-Cashout-Paddys'!$J$5:$J$756,'Data FT-TS-Cashout-Paddys'!$F$5:$F$756,'Apr11-Mar12 FT-TS-Cashout-LG&amp;E'!$G230,'Data FT-TS-Cashout-Paddys'!$A$5:$A$756,'Apr11-Mar12 FT-TS-Cashout-LG&amp;E'!L$219,'Data FT-TS-Cashout-Paddys'!$C$5:$C$756,'Apr11-Mar12 FT-TS-Cashout-LG&amp;E'!$C230)</f>
        <v>432.84</v>
      </c>
      <c r="M230" s="1000">
        <f>SUMIFS('Data FT-TS-Cashout-Paddys'!$J$5:$J$756,'Data FT-TS-Cashout-Paddys'!$F$5:$F$756,'Apr11-Mar12 FT-TS-Cashout-LG&amp;E'!$G230,'Data FT-TS-Cashout-Paddys'!$A$5:$A$756,'Apr11-Mar12 FT-TS-Cashout-LG&amp;E'!M$219,'Data FT-TS-Cashout-Paddys'!$C$5:$C$756,'Apr11-Mar12 FT-TS-Cashout-LG&amp;E'!$C230)</f>
        <v>118.83</v>
      </c>
      <c r="N230" s="1000">
        <f>SUMIFS('Data FT-TS-Cashout-Paddys'!$J$5:$J$756,'Data FT-TS-Cashout-Paddys'!$F$5:$F$756,'Apr11-Mar12 FT-TS-Cashout-LG&amp;E'!$G230,'Data FT-TS-Cashout-Paddys'!$A$5:$A$756,'Apr11-Mar12 FT-TS-Cashout-LG&amp;E'!N$219,'Data FT-TS-Cashout-Paddys'!$C$5:$C$756,'Apr11-Mar12 FT-TS-Cashout-LG&amp;E'!$C230)</f>
        <v>232.62</v>
      </c>
      <c r="O230" s="1000">
        <f>SUMIFS('Data FT-TS-Cashout-Paddys'!$J$5:$J$756,'Data FT-TS-Cashout-Paddys'!$F$5:$F$756,'Apr11-Mar12 FT-TS-Cashout-LG&amp;E'!$G230,'Data FT-TS-Cashout-Paddys'!$A$5:$A$756,'Apr11-Mar12 FT-TS-Cashout-LG&amp;E'!O$219,'Data FT-TS-Cashout-Paddys'!$C$5:$C$756,'Apr11-Mar12 FT-TS-Cashout-LG&amp;E'!$C230)</f>
        <v>0</v>
      </c>
      <c r="P230" s="1000">
        <f>SUMIFS('Data FT-TS-Cashout-Paddys'!$J$5:$J$756,'Data FT-TS-Cashout-Paddys'!$F$5:$F$756,'Apr11-Mar12 FT-TS-Cashout-LG&amp;E'!$G230,'Data FT-TS-Cashout-Paddys'!$A$5:$A$756,'Apr11-Mar12 FT-TS-Cashout-LG&amp;E'!P$219,'Data FT-TS-Cashout-Paddys'!$C$5:$C$756,'Apr11-Mar12 FT-TS-Cashout-LG&amp;E'!$C230)</f>
        <v>94.8</v>
      </c>
      <c r="Q230" s="1000">
        <f>SUMIFS('Data FT-TS-Cashout-Paddys'!$J$5:$J$756,'Data FT-TS-Cashout-Paddys'!$F$5:$F$756,'Apr11-Mar12 FT-TS-Cashout-LG&amp;E'!$G230,'Data FT-TS-Cashout-Paddys'!$A$5:$A$756,'Apr11-Mar12 FT-TS-Cashout-LG&amp;E'!Q$219,'Data FT-TS-Cashout-Paddys'!$C$5:$C$756,'Apr11-Mar12 FT-TS-Cashout-LG&amp;E'!$C230)</f>
        <v>25.05</v>
      </c>
      <c r="R230" s="1000">
        <f>SUMIFS('Data FT-TS-Cashout-Paddys'!$J$5:$J$756,'Data FT-TS-Cashout-Paddys'!$F$5:$F$756,'Apr11-Mar12 FT-TS-Cashout-LG&amp;E'!$G230,'Data FT-TS-Cashout-Paddys'!$A$5:$A$756,'Apr11-Mar12 FT-TS-Cashout-LG&amp;E'!R$219,'Data FT-TS-Cashout-Paddys'!$C$5:$C$756,'Apr11-Mar12 FT-TS-Cashout-LG&amp;E'!$C230)</f>
        <v>1764.84</v>
      </c>
      <c r="S230" s="1000">
        <f>SUMIFS('Data FT-TS-Cashout-Paddys'!$J$5:$J$756,'Data FT-TS-Cashout-Paddys'!$F$5:$F$756,'Apr11-Mar12 FT-TS-Cashout-LG&amp;E'!$G230,'Data FT-TS-Cashout-Paddys'!$A$5:$A$756,'Apr11-Mar12 FT-TS-Cashout-LG&amp;E'!S$219,'Data FT-TS-Cashout-Paddys'!$C$5:$C$756,'Apr11-Mar12 FT-TS-Cashout-LG&amp;E'!$C230)</f>
        <v>501.41</v>
      </c>
      <c r="T230" s="1001">
        <f>SUM(H230:S230)</f>
        <v>3542.0099999999998</v>
      </c>
    </row>
    <row r="231" spans="2:20" x14ac:dyDescent="0.2">
      <c r="B231" s="561" t="str">
        <f>VLOOKUP($C231,'Retail Rates'!$B$46:$Q$55,13,FALSE)</f>
        <v>FT Commercial</v>
      </c>
      <c r="C231" s="633" t="s">
        <v>97</v>
      </c>
      <c r="D231" s="633" t="str">
        <f t="shared" si="84"/>
        <v>895</v>
      </c>
      <c r="E231" s="561" t="str">
        <f>VLOOKUP($C231,'Retail Rates'!$B$46:$Q$55,3,FALSE)</f>
        <v>FT-C</v>
      </c>
      <c r="F231" s="991" t="s">
        <v>417</v>
      </c>
      <c r="G231" s="991"/>
      <c r="H231" s="999">
        <f>SUM(H228:H230)</f>
        <v>0</v>
      </c>
      <c r="I231" s="999">
        <f t="shared" ref="I231:S231" si="87">SUM(I228:I230)</f>
        <v>0</v>
      </c>
      <c r="J231" s="999">
        <f t="shared" si="87"/>
        <v>0</v>
      </c>
      <c r="K231" s="999">
        <f t="shared" si="87"/>
        <v>407.04</v>
      </c>
      <c r="L231" s="999">
        <f t="shared" si="87"/>
        <v>474.22999999999996</v>
      </c>
      <c r="M231" s="999">
        <f t="shared" si="87"/>
        <v>129.60999999999999</v>
      </c>
      <c r="N231" s="999">
        <f t="shared" si="87"/>
        <v>252.53</v>
      </c>
      <c r="O231" s="999">
        <f t="shared" si="87"/>
        <v>0</v>
      </c>
      <c r="P231" s="999">
        <f t="shared" si="87"/>
        <v>104.21</v>
      </c>
      <c r="Q231" s="999">
        <f t="shared" si="87"/>
        <v>27.650000000000002</v>
      </c>
      <c r="R231" s="999">
        <f t="shared" si="87"/>
        <v>1964.73</v>
      </c>
      <c r="S231" s="999">
        <f t="shared" si="87"/>
        <v>561.06000000000006</v>
      </c>
      <c r="T231" s="1001">
        <f>SUM(H231:S231)</f>
        <v>3921.06</v>
      </c>
    </row>
    <row r="232" spans="2:20" x14ac:dyDescent="0.2">
      <c r="B232" s="561" t="str">
        <f>VLOOKUP($C232,'Retail Rates'!$B$46:$Q$55,13,FALSE)</f>
        <v>FT Commercial</v>
      </c>
      <c r="C232" s="633" t="s">
        <v>97</v>
      </c>
      <c r="D232" s="633" t="str">
        <f t="shared" si="84"/>
        <v>895</v>
      </c>
      <c r="E232" s="561" t="str">
        <f>VLOOKUP($C232,'Retail Rates'!$B$46:$Q$55,3,FALSE)</f>
        <v>FT-C</v>
      </c>
      <c r="F232" s="991"/>
      <c r="G232" s="991"/>
      <c r="H232" s="999"/>
      <c r="I232" s="999"/>
      <c r="J232" s="999"/>
      <c r="K232" s="999"/>
      <c r="L232" s="999"/>
      <c r="M232" s="999"/>
      <c r="N232" s="999"/>
      <c r="O232" s="999"/>
      <c r="P232" s="999"/>
      <c r="Q232" s="999"/>
      <c r="R232" s="999"/>
      <c r="S232" s="999"/>
      <c r="T232" s="1001"/>
    </row>
    <row r="233" spans="2:20" x14ac:dyDescent="0.2">
      <c r="B233" s="561" t="str">
        <f>VLOOKUP($C233,'Retail Rates'!$B$46:$Q$55,13,FALSE)</f>
        <v>FT Commercial</v>
      </c>
      <c r="C233" s="633" t="s">
        <v>97</v>
      </c>
      <c r="D233" s="633" t="str">
        <f t="shared" si="84"/>
        <v>895</v>
      </c>
      <c r="E233" s="561" t="str">
        <f>VLOOKUP($C233,'Retail Rates'!$B$46:$Q$55,3,FALSE)</f>
        <v>FT-C</v>
      </c>
      <c r="F233" s="991" t="s">
        <v>841</v>
      </c>
      <c r="G233" s="991"/>
      <c r="H233" s="999">
        <f>SUMIFS('FT_Cashouts_IntraCo-PR'!$G$4:$G$118,'FT_Cashouts_IntraCo-PR'!$A$4:$A$118,'Apr11-Mar12 FT-TS-Cashout-LG&amp;E'!$C233,'FT_Cashouts_IntraCo-PR'!$C$4:$C$118,'Apr11-Mar12 FT-TS-Cashout-LG&amp;E'!H$219)</f>
        <v>0</v>
      </c>
      <c r="I233" s="999">
        <f>SUMIFS('FT_Cashouts_IntraCo-PR'!$G$4:$G$118,'FT_Cashouts_IntraCo-PR'!$A$4:$A$118,'Apr11-Mar12 FT-TS-Cashout-LG&amp;E'!$C233,'FT_Cashouts_IntraCo-PR'!$C$4:$C$118,'Apr11-Mar12 FT-TS-Cashout-LG&amp;E'!I$219)</f>
        <v>0</v>
      </c>
      <c r="J233" s="999">
        <f>SUMIFS('FT_Cashouts_IntraCo-PR'!$G$4:$G$118,'FT_Cashouts_IntraCo-PR'!$A$4:$A$118,'Apr11-Mar12 FT-TS-Cashout-LG&amp;E'!$C233,'FT_Cashouts_IntraCo-PR'!$C$4:$C$118,'Apr11-Mar12 FT-TS-Cashout-LG&amp;E'!J$219)</f>
        <v>0</v>
      </c>
      <c r="K233" s="999">
        <f>SUMIFS('FT_Cashouts_IntraCo-PR'!$G$4:$G$118,'FT_Cashouts_IntraCo-PR'!$A$4:$A$118,'Apr11-Mar12 FT-TS-Cashout-LG&amp;E'!$C233,'FT_Cashouts_IntraCo-PR'!$C$4:$C$118,'Apr11-Mar12 FT-TS-Cashout-LG&amp;E'!K$219)</f>
        <v>406.89</v>
      </c>
      <c r="L233" s="999">
        <f>SUMIFS('FT_Cashouts_IntraCo-PR'!$G$4:$G$118,'FT_Cashouts_IntraCo-PR'!$A$4:$A$118,'Apr11-Mar12 FT-TS-Cashout-LG&amp;E'!$C233,'FT_Cashouts_IntraCo-PR'!$C$4:$C$118,'Apr11-Mar12 FT-TS-Cashout-LG&amp;E'!L$219)</f>
        <v>474.22999999999996</v>
      </c>
      <c r="M233" s="999">
        <f>SUMIFS('FT_Cashouts_IntraCo-PR'!$G$4:$G$118,'FT_Cashouts_IntraCo-PR'!$A$4:$A$118,'Apr11-Mar12 FT-TS-Cashout-LG&amp;E'!$C233,'FT_Cashouts_IntraCo-PR'!$C$4:$C$118,'Apr11-Mar12 FT-TS-Cashout-LG&amp;E'!M$219)</f>
        <v>129.59</v>
      </c>
      <c r="N233" s="999">
        <f>SUMIFS('FT_Cashouts_IntraCo-PR'!$G$4:$G$118,'FT_Cashouts_IntraCo-PR'!$A$4:$A$118,'Apr11-Mar12 FT-TS-Cashout-LG&amp;E'!$C233,'FT_Cashouts_IntraCo-PR'!$C$4:$C$118,'Apr11-Mar12 FT-TS-Cashout-LG&amp;E'!N$219)</f>
        <v>252.53</v>
      </c>
      <c r="O233" s="999">
        <f>SUMIFS('FT_Cashouts_IntraCo-PR'!$G$4:$G$118,'FT_Cashouts_IntraCo-PR'!$A$4:$A$118,'Apr11-Mar12 FT-TS-Cashout-LG&amp;E'!$C233,'FT_Cashouts_IntraCo-PR'!$C$4:$C$118,'Apr11-Mar12 FT-TS-Cashout-LG&amp;E'!O$219)</f>
        <v>0</v>
      </c>
      <c r="P233" s="999">
        <f>SUMIFS('FT_Cashouts_IntraCo-PR'!$G$4:$G$118,'FT_Cashouts_IntraCo-PR'!$A$4:$A$118,'Apr11-Mar12 FT-TS-Cashout-LG&amp;E'!$C233,'FT_Cashouts_IntraCo-PR'!$C$4:$C$118,'Apr11-Mar12 FT-TS-Cashout-LG&amp;E'!P$219)</f>
        <v>104.21</v>
      </c>
      <c r="Q233" s="999">
        <f>SUMIFS('FT_Cashouts_IntraCo-PR'!$G$4:$G$118,'FT_Cashouts_IntraCo-PR'!$A$4:$A$118,'Apr11-Mar12 FT-TS-Cashout-LG&amp;E'!$C233,'FT_Cashouts_IntraCo-PR'!$C$4:$C$118,'Apr11-Mar12 FT-TS-Cashout-LG&amp;E'!Q$219)</f>
        <v>27.650000000000002</v>
      </c>
      <c r="R233" s="999">
        <f>SUMIFS('FT_Cashouts_IntraCo-PR'!$G$4:$G$118,'FT_Cashouts_IntraCo-PR'!$A$4:$A$118,'Apr11-Mar12 FT-TS-Cashout-LG&amp;E'!$C233,'FT_Cashouts_IntraCo-PR'!$C$4:$C$118,'Apr11-Mar12 FT-TS-Cashout-LG&amp;E'!R$219)</f>
        <v>1964.73</v>
      </c>
      <c r="S233" s="999">
        <f>SUMIFS('FT_Cashouts_IntraCo-PR'!$G$4:$G$118,'FT_Cashouts_IntraCo-PR'!$A$4:$A$118,'Apr11-Mar12 FT-TS-Cashout-LG&amp;E'!$C233,'FT_Cashouts_IntraCo-PR'!$C$4:$C$118,'Apr11-Mar12 FT-TS-Cashout-LG&amp;E'!S$219)</f>
        <v>561.05999999999995</v>
      </c>
      <c r="T233" s="1001">
        <f>SUM(H233:S233)</f>
        <v>3920.89</v>
      </c>
    </row>
    <row r="234" spans="2:20" x14ac:dyDescent="0.2">
      <c r="B234" s="561" t="str">
        <f>VLOOKUP($C234,'Retail Rates'!$B$46:$Q$55,13,FALSE)</f>
        <v>FT Commercial</v>
      </c>
      <c r="C234" s="633" t="s">
        <v>97</v>
      </c>
      <c r="D234" s="633" t="str">
        <f t="shared" si="84"/>
        <v>895</v>
      </c>
      <c r="E234" s="561" t="str">
        <f>VLOOKUP($C234,'Retail Rates'!$B$46:$Q$55,3,FALSE)</f>
        <v>FT-C</v>
      </c>
      <c r="F234" s="991"/>
      <c r="G234" s="991"/>
      <c r="H234" s="1001"/>
      <c r="I234" s="1001"/>
      <c r="J234" s="1001"/>
      <c r="K234" s="1001"/>
      <c r="L234" s="1001"/>
      <c r="M234" s="1001"/>
      <c r="N234" s="1001"/>
      <c r="O234" s="1001"/>
      <c r="P234" s="1001"/>
      <c r="Q234" s="1001"/>
      <c r="R234" s="1001"/>
      <c r="S234" s="1001"/>
      <c r="T234" s="1001"/>
    </row>
    <row r="235" spans="2:20" x14ac:dyDescent="0.2">
      <c r="B235" s="561" t="str">
        <f>VLOOKUP($C235,'Retail Rates'!$B$46:$Q$55,13,FALSE)</f>
        <v>FT Commercial</v>
      </c>
      <c r="C235" s="633" t="s">
        <v>97</v>
      </c>
      <c r="D235" s="633" t="str">
        <f t="shared" si="84"/>
        <v>895</v>
      </c>
      <c r="E235" s="561" t="str">
        <f>VLOOKUP($C235,'Retail Rates'!$B$46:$Q$55,3,FALSE)</f>
        <v>FT-C</v>
      </c>
      <c r="F235" s="991" t="s">
        <v>386</v>
      </c>
      <c r="G235" s="991"/>
      <c r="H235" s="999">
        <f>+H231-H233</f>
        <v>0</v>
      </c>
      <c r="I235" s="999">
        <f t="shared" ref="I235:S235" si="88">+I231-I233</f>
        <v>0</v>
      </c>
      <c r="J235" s="999">
        <f t="shared" si="88"/>
        <v>0</v>
      </c>
      <c r="K235" s="999">
        <f t="shared" si="88"/>
        <v>0.15000000000003411</v>
      </c>
      <c r="L235" s="999">
        <f t="shared" si="88"/>
        <v>0</v>
      </c>
      <c r="M235" s="999">
        <f t="shared" si="88"/>
        <v>1.999999999998181E-2</v>
      </c>
      <c r="N235" s="999">
        <f t="shared" si="88"/>
        <v>0</v>
      </c>
      <c r="O235" s="999">
        <f t="shared" si="88"/>
        <v>0</v>
      </c>
      <c r="P235" s="999">
        <f t="shared" si="88"/>
        <v>0</v>
      </c>
      <c r="Q235" s="999">
        <f t="shared" si="88"/>
        <v>0</v>
      </c>
      <c r="R235" s="999">
        <f t="shared" si="88"/>
        <v>0</v>
      </c>
      <c r="S235" s="999">
        <f t="shared" si="88"/>
        <v>0</v>
      </c>
      <c r="T235" s="1001">
        <f>SUM(H235:S235)</f>
        <v>0.17000000000001592</v>
      </c>
    </row>
    <row r="236" spans="2:20" x14ac:dyDescent="0.2">
      <c r="F236" s="991"/>
      <c r="G236" s="991"/>
    </row>
    <row r="237" spans="2:20" x14ac:dyDescent="0.2">
      <c r="F237" s="324" t="s">
        <v>858</v>
      </c>
      <c r="G237" s="324"/>
    </row>
    <row r="238" spans="2:20" x14ac:dyDescent="0.2">
      <c r="B238" s="561" t="str">
        <f>VLOOKUP($C238,'Retail Rates'!$B$46:$Q$55,13,FALSE)</f>
        <v>FT Industrial</v>
      </c>
      <c r="C238" s="633" t="s">
        <v>99</v>
      </c>
      <c r="D238" s="633" t="str">
        <f t="shared" ref="D238:D248" si="89">MID(C238,6,3)</f>
        <v>896</v>
      </c>
      <c r="E238" s="561" t="str">
        <f>VLOOKUP($C238,'Retail Rates'!$B$46:$Q$55,3,FALSE)</f>
        <v>FT-I</v>
      </c>
      <c r="F238" s="991" t="s">
        <v>408</v>
      </c>
      <c r="G238" s="987" t="s">
        <v>812</v>
      </c>
      <c r="H238" s="992">
        <f>SUMIFS('Data FT-TS-Cashout-Paddys'!$G$5:$G$756,'Data FT-TS-Cashout-Paddys'!$F$5:$F$756,'Apr11-Mar12 FT-TS-Cashout-LG&amp;E'!$G238,'Data FT-TS-Cashout-Paddys'!$A$5:$A$756,'Apr11-Mar12 FT-TS-Cashout-LG&amp;E'!H$219,'Data FT-TS-Cashout-Paddys'!$C$5:$C$756,'Apr11-Mar12 FT-TS-Cashout-LG&amp;E'!$C238,'Data FT-TS-Cashout-Paddys'!$E$5:$E$756,'Apr11-Mar12 FT-TS-Cashout-LG&amp;E'!H$220)/10</f>
        <v>0</v>
      </c>
      <c r="I238" s="992">
        <f>SUMIFS('Data FT-TS-Cashout-Paddys'!$G$5:$G$756,'Data FT-TS-Cashout-Paddys'!$F$5:$F$756,'Apr11-Mar12 FT-TS-Cashout-LG&amp;E'!$G238,'Data FT-TS-Cashout-Paddys'!$A$5:$A$756,'Apr11-Mar12 FT-TS-Cashout-LG&amp;E'!I$219,'Data FT-TS-Cashout-Paddys'!$C$5:$C$756,'Apr11-Mar12 FT-TS-Cashout-LG&amp;E'!$C238,'Data FT-TS-Cashout-Paddys'!$E$5:$E$756,'Apr11-Mar12 FT-TS-Cashout-LG&amp;E'!I$220)/10</f>
        <v>0</v>
      </c>
      <c r="J238" s="992">
        <f>SUMIFS('Data FT-TS-Cashout-Paddys'!$G$5:$G$756,'Data FT-TS-Cashout-Paddys'!$F$5:$F$756,'Apr11-Mar12 FT-TS-Cashout-LG&amp;E'!$G238,'Data FT-TS-Cashout-Paddys'!$A$5:$A$756,'Apr11-Mar12 FT-TS-Cashout-LG&amp;E'!J$219,'Data FT-TS-Cashout-Paddys'!$C$5:$C$756,'Apr11-Mar12 FT-TS-Cashout-LG&amp;E'!$C238,'Data FT-TS-Cashout-Paddys'!$E$5:$E$756,'Apr11-Mar12 FT-TS-Cashout-LG&amp;E'!J$220)/10</f>
        <v>0</v>
      </c>
      <c r="K238" s="992">
        <f>SUMIFS('Data FT-TS-Cashout-Paddys'!$G$5:$G$756,'Data FT-TS-Cashout-Paddys'!$F$5:$F$756,'Apr11-Mar12 FT-TS-Cashout-LG&amp;E'!$G238,'Data FT-TS-Cashout-Paddys'!$A$5:$A$756,'Apr11-Mar12 FT-TS-Cashout-LG&amp;E'!K$219,'Data FT-TS-Cashout-Paddys'!$C$5:$C$756,'Apr11-Mar12 FT-TS-Cashout-LG&amp;E'!$C238,'Data FT-TS-Cashout-Paddys'!$E$5:$E$756,'Apr11-Mar12 FT-TS-Cashout-LG&amp;E'!K$220)/10</f>
        <v>0</v>
      </c>
      <c r="L238" s="992">
        <f>SUMIFS('Data FT-TS-Cashout-Paddys'!$G$5:$G$756,'Data FT-TS-Cashout-Paddys'!$F$5:$F$756,'Apr11-Mar12 FT-TS-Cashout-LG&amp;E'!$G238,'Data FT-TS-Cashout-Paddys'!$A$5:$A$756,'Apr11-Mar12 FT-TS-Cashout-LG&amp;E'!L$219,'Data FT-TS-Cashout-Paddys'!$C$5:$C$756,'Apr11-Mar12 FT-TS-Cashout-LG&amp;E'!$C238,'Data FT-TS-Cashout-Paddys'!$E$5:$E$756,'Apr11-Mar12 FT-TS-Cashout-LG&amp;E'!L$220)/10</f>
        <v>559.6</v>
      </c>
      <c r="M238" s="992">
        <f>SUMIFS('Data FT-TS-Cashout-Paddys'!$G$5:$G$756,'Data FT-TS-Cashout-Paddys'!$F$5:$F$756,'Apr11-Mar12 FT-TS-Cashout-LG&amp;E'!$G238,'Data FT-TS-Cashout-Paddys'!$A$5:$A$756,'Apr11-Mar12 FT-TS-Cashout-LG&amp;E'!M$219,'Data FT-TS-Cashout-Paddys'!$C$5:$C$756,'Apr11-Mar12 FT-TS-Cashout-LG&amp;E'!$C238,'Data FT-TS-Cashout-Paddys'!$E$5:$E$756,'Apr11-Mar12 FT-TS-Cashout-LG&amp;E'!M$220)/10</f>
        <v>0</v>
      </c>
      <c r="N238" s="992">
        <f>SUMIFS('Data FT-TS-Cashout-Paddys'!$G$5:$G$756,'Data FT-TS-Cashout-Paddys'!$F$5:$F$756,'Apr11-Mar12 FT-TS-Cashout-LG&amp;E'!$G238,'Data FT-TS-Cashout-Paddys'!$A$5:$A$756,'Apr11-Mar12 FT-TS-Cashout-LG&amp;E'!N$219,'Data FT-TS-Cashout-Paddys'!$C$5:$C$756,'Apr11-Mar12 FT-TS-Cashout-LG&amp;E'!$C238,'Data FT-TS-Cashout-Paddys'!$E$5:$E$756,'Apr11-Mar12 FT-TS-Cashout-LG&amp;E'!N$220)/10</f>
        <v>0</v>
      </c>
      <c r="O238" s="992">
        <f>SUMIFS('Data FT-TS-Cashout-Paddys'!$G$5:$G$756,'Data FT-TS-Cashout-Paddys'!$F$5:$F$756,'Apr11-Mar12 FT-TS-Cashout-LG&amp;E'!$G238,'Data FT-TS-Cashout-Paddys'!$A$5:$A$756,'Apr11-Mar12 FT-TS-Cashout-LG&amp;E'!O$219,'Data FT-TS-Cashout-Paddys'!$C$5:$C$756,'Apr11-Mar12 FT-TS-Cashout-LG&amp;E'!$C238,'Data FT-TS-Cashout-Paddys'!$E$5:$E$756,'Apr11-Mar12 FT-TS-Cashout-LG&amp;E'!O$220)/10</f>
        <v>0</v>
      </c>
      <c r="P238" s="992">
        <f>SUMIFS('Data FT-TS-Cashout-Paddys'!$G$5:$G$756,'Data FT-TS-Cashout-Paddys'!$F$5:$F$756,'Apr11-Mar12 FT-TS-Cashout-LG&amp;E'!$G238,'Data FT-TS-Cashout-Paddys'!$A$5:$A$756,'Apr11-Mar12 FT-TS-Cashout-LG&amp;E'!P$219,'Data FT-TS-Cashout-Paddys'!$C$5:$C$756,'Apr11-Mar12 FT-TS-Cashout-LG&amp;E'!$C238,'Data FT-TS-Cashout-Paddys'!$E$5:$E$756,'Apr11-Mar12 FT-TS-Cashout-LG&amp;E'!P$220)/10</f>
        <v>0</v>
      </c>
      <c r="Q238" s="992">
        <f>SUMIFS('Data FT-TS-Cashout-Paddys'!$G$5:$G$756,'Data FT-TS-Cashout-Paddys'!$F$5:$F$756,'Apr11-Mar12 FT-TS-Cashout-LG&amp;E'!$G238,'Data FT-TS-Cashout-Paddys'!$A$5:$A$756,'Apr11-Mar12 FT-TS-Cashout-LG&amp;E'!Q$219,'Data FT-TS-Cashout-Paddys'!$C$5:$C$756,'Apr11-Mar12 FT-TS-Cashout-LG&amp;E'!$C238,'Data FT-TS-Cashout-Paddys'!$E$5:$E$756,'Apr11-Mar12 FT-TS-Cashout-LG&amp;E'!Q$220)/10</f>
        <v>283.5</v>
      </c>
      <c r="R238" s="992">
        <f>SUMIFS('Data FT-TS-Cashout-Paddys'!$G$5:$G$756,'Data FT-TS-Cashout-Paddys'!$F$5:$F$756,'Apr11-Mar12 FT-TS-Cashout-LG&amp;E'!$G238,'Data FT-TS-Cashout-Paddys'!$A$5:$A$756,'Apr11-Mar12 FT-TS-Cashout-LG&amp;E'!R$219,'Data FT-TS-Cashout-Paddys'!$C$5:$C$756,'Apr11-Mar12 FT-TS-Cashout-LG&amp;E'!$C238,'Data FT-TS-Cashout-Paddys'!$E$5:$E$756,'Apr11-Mar12 FT-TS-Cashout-LG&amp;E'!R$220)/10</f>
        <v>1774.6</v>
      </c>
      <c r="S238" s="992">
        <f>SUMIFS('Data FT-TS-Cashout-Paddys'!$G$5:$G$756,'Data FT-TS-Cashout-Paddys'!$F$5:$F$756,'Apr11-Mar12 FT-TS-Cashout-LG&amp;E'!$G238,'Data FT-TS-Cashout-Paddys'!$A$5:$A$756,'Apr11-Mar12 FT-TS-Cashout-LG&amp;E'!S$219,'Data FT-TS-Cashout-Paddys'!$C$5:$C$756,'Apr11-Mar12 FT-TS-Cashout-LG&amp;E'!$C238,'Data FT-TS-Cashout-Paddys'!$E$5:$E$756,'Apr11-Mar12 FT-TS-Cashout-LG&amp;E'!S$220)/10</f>
        <v>532.79999999999995</v>
      </c>
      <c r="T238" s="1044">
        <f>SUM(H238:S238)</f>
        <v>3150.5</v>
      </c>
    </row>
    <row r="239" spans="2:20" x14ac:dyDescent="0.2">
      <c r="B239" s="561" t="str">
        <f>VLOOKUP($C239,'Retail Rates'!$B$46:$Q$55,13,FALSE)</f>
        <v>FT Industrial</v>
      </c>
      <c r="C239" s="633" t="s">
        <v>99</v>
      </c>
      <c r="D239" s="633" t="str">
        <f t="shared" si="89"/>
        <v>896</v>
      </c>
      <c r="E239" s="561" t="str">
        <f>VLOOKUP($C239,'Retail Rates'!$B$46:$Q$55,3,FALSE)</f>
        <v>FT-I</v>
      </c>
      <c r="F239" s="991" t="s">
        <v>410</v>
      </c>
      <c r="G239" s="991"/>
      <c r="H239" s="995">
        <f>VLOOKUP($C239,'Retail Rates'!$B$45:$N$55,7,FALSE)</f>
        <v>0.43</v>
      </c>
      <c r="I239" s="995">
        <f>VLOOKUP($C239,'Retail Rates'!$B$45:$N$55,7,FALSE)</f>
        <v>0.43</v>
      </c>
      <c r="J239" s="995">
        <f>VLOOKUP($C239,'Retail Rates'!$B$45:$N$55,7,FALSE)</f>
        <v>0.43</v>
      </c>
      <c r="K239" s="995">
        <f>VLOOKUP($C239,'Retail Rates'!$B$45:$N$55,7,FALSE)</f>
        <v>0.43</v>
      </c>
      <c r="L239" s="995">
        <f>VLOOKUP($C239,'Retail Rates'!$B$45:$N$55,7,FALSE)</f>
        <v>0.43</v>
      </c>
      <c r="M239" s="995">
        <f>VLOOKUP($C239,'Retail Rates'!$B$45:$N$55,7,FALSE)</f>
        <v>0.43</v>
      </c>
      <c r="N239" s="995">
        <f>VLOOKUP($C239,'Retail Rates'!$B$45:$N$55,7,FALSE)</f>
        <v>0.43</v>
      </c>
      <c r="O239" s="995">
        <f>VLOOKUP($C239,'Retail Rates'!$B$45:$N$55,7,FALSE)</f>
        <v>0.43</v>
      </c>
      <c r="P239" s="995">
        <f>VLOOKUP($C239,'Retail Rates'!$B$45:$N$55,7,FALSE)</f>
        <v>0.43</v>
      </c>
      <c r="Q239" s="995">
        <f>VLOOKUP($C239,'Retail Rates'!$B$45:$N$55,7,FALSE)</f>
        <v>0.43</v>
      </c>
      <c r="R239" s="995">
        <f>VLOOKUP($C239,'Retail Rates'!$B$45:$N$55,7,FALSE)</f>
        <v>0.43</v>
      </c>
      <c r="S239" s="995">
        <f>VLOOKUP($C239,'Retail Rates'!$B$45:$N$55,7,FALSE)</f>
        <v>0.43</v>
      </c>
    </row>
    <row r="240" spans="2:20" x14ac:dyDescent="0.2">
      <c r="B240" s="561" t="str">
        <f>VLOOKUP($C240,'Retail Rates'!$B$46:$Q$55,13,FALSE)</f>
        <v>FT Industrial</v>
      </c>
      <c r="C240" s="633" t="s">
        <v>99</v>
      </c>
      <c r="D240" s="633" t="str">
        <f t="shared" si="89"/>
        <v>896</v>
      </c>
      <c r="E240" s="561" t="str">
        <f>VLOOKUP($C240,'Retail Rates'!$B$46:$Q$55,3,FALSE)</f>
        <v>FT-I</v>
      </c>
      <c r="F240" s="997"/>
      <c r="G240" s="997"/>
    </row>
    <row r="241" spans="2:20" x14ac:dyDescent="0.2">
      <c r="B241" s="561" t="str">
        <f>VLOOKUP($C241,'Retail Rates'!$B$46:$Q$55,13,FALSE)</f>
        <v>FT Industrial</v>
      </c>
      <c r="C241" s="633" t="s">
        <v>99</v>
      </c>
      <c r="D241" s="633" t="str">
        <f t="shared" si="89"/>
        <v>896</v>
      </c>
      <c r="E241" s="561" t="str">
        <f>VLOOKUP($C241,'Retail Rates'!$B$46:$Q$55,3,FALSE)</f>
        <v>FT-I</v>
      </c>
      <c r="F241" s="998" t="s">
        <v>412</v>
      </c>
      <c r="G241" s="998"/>
    </row>
    <row r="242" spans="2:20" x14ac:dyDescent="0.2">
      <c r="B242" s="561" t="str">
        <f>VLOOKUP($C242,'Retail Rates'!$B$46:$Q$55,13,FALSE)</f>
        <v>FT Industrial</v>
      </c>
      <c r="C242" s="633" t="s">
        <v>99</v>
      </c>
      <c r="D242" s="633" t="str">
        <f t="shared" si="89"/>
        <v>896</v>
      </c>
      <c r="E242" s="561" t="str">
        <f>VLOOKUP($C242,'Retail Rates'!$B$46:$Q$55,3,FALSE)</f>
        <v>FT-I</v>
      </c>
      <c r="F242" s="1003" t="s">
        <v>414</v>
      </c>
      <c r="G242" s="1003"/>
      <c r="H242" s="1001">
        <f>ROUND(H238*H239,2)</f>
        <v>0</v>
      </c>
      <c r="I242" s="1001">
        <f t="shared" ref="I242:S242" si="90">ROUND(I238*I239,2)</f>
        <v>0</v>
      </c>
      <c r="J242" s="1001">
        <f t="shared" si="90"/>
        <v>0</v>
      </c>
      <c r="K242" s="1001">
        <f t="shared" si="90"/>
        <v>0</v>
      </c>
      <c r="L242" s="1001">
        <f t="shared" si="90"/>
        <v>240.63</v>
      </c>
      <c r="M242" s="1001">
        <f t="shared" si="90"/>
        <v>0</v>
      </c>
      <c r="N242" s="1001">
        <f t="shared" si="90"/>
        <v>0</v>
      </c>
      <c r="O242" s="1001">
        <f t="shared" si="90"/>
        <v>0</v>
      </c>
      <c r="P242" s="1001">
        <f t="shared" si="90"/>
        <v>0</v>
      </c>
      <c r="Q242" s="1001">
        <f t="shared" si="90"/>
        <v>121.91</v>
      </c>
      <c r="R242" s="1001">
        <f t="shared" si="90"/>
        <v>763.08</v>
      </c>
      <c r="S242" s="1001">
        <f t="shared" si="90"/>
        <v>229.1</v>
      </c>
      <c r="T242" s="1001">
        <f>SUM(H242:S242)</f>
        <v>1354.7199999999998</v>
      </c>
    </row>
    <row r="243" spans="2:20" x14ac:dyDescent="0.2">
      <c r="B243" s="561" t="str">
        <f>VLOOKUP($C243,'Retail Rates'!$B$46:$Q$55,13,FALSE)</f>
        <v>FT Industrial</v>
      </c>
      <c r="C243" s="633" t="s">
        <v>99</v>
      </c>
      <c r="D243" s="633" t="str">
        <f t="shared" si="89"/>
        <v>896</v>
      </c>
      <c r="E243" s="561" t="str">
        <f>VLOOKUP($C243,'Retail Rates'!$B$46:$Q$55,3,FALSE)</f>
        <v>FT-I</v>
      </c>
      <c r="F243" s="991" t="s">
        <v>855</v>
      </c>
      <c r="G243" s="987" t="s">
        <v>823</v>
      </c>
      <c r="H243" s="1000">
        <f>SUMIFS('Data FT-TS-Cashout-Paddys'!$J$5:$J$756,'Data FT-TS-Cashout-Paddys'!$F$5:$F$756,'Apr11-Mar12 FT-TS-Cashout-LG&amp;E'!$G243,'Data FT-TS-Cashout-Paddys'!$A$5:$A$756,'Apr11-Mar12 FT-TS-Cashout-LG&amp;E'!H$219,'Data FT-TS-Cashout-Paddys'!$C$5:$C$756,'Apr11-Mar12 FT-TS-Cashout-LG&amp;E'!$C243)</f>
        <v>0</v>
      </c>
      <c r="I243" s="1000">
        <f>SUMIFS('Data FT-TS-Cashout-Paddys'!$J$5:$J$756,'Data FT-TS-Cashout-Paddys'!$F$5:$F$756,'Apr11-Mar12 FT-TS-Cashout-LG&amp;E'!$G243,'Data FT-TS-Cashout-Paddys'!$A$5:$A$756,'Apr11-Mar12 FT-TS-Cashout-LG&amp;E'!I$219,'Data FT-TS-Cashout-Paddys'!$C$5:$C$756,'Apr11-Mar12 FT-TS-Cashout-LG&amp;E'!$C243)</f>
        <v>0</v>
      </c>
      <c r="J243" s="1000">
        <f>SUMIFS('Data FT-TS-Cashout-Paddys'!$J$5:$J$756,'Data FT-TS-Cashout-Paddys'!$F$5:$F$756,'Apr11-Mar12 FT-TS-Cashout-LG&amp;E'!$G243,'Data FT-TS-Cashout-Paddys'!$A$5:$A$756,'Apr11-Mar12 FT-TS-Cashout-LG&amp;E'!J$219,'Data FT-TS-Cashout-Paddys'!$C$5:$C$756,'Apr11-Mar12 FT-TS-Cashout-LG&amp;E'!$C243)</f>
        <v>0</v>
      </c>
      <c r="K243" s="1000">
        <f>SUMIFS('Data FT-TS-Cashout-Paddys'!$J$5:$J$756,'Data FT-TS-Cashout-Paddys'!$F$5:$F$756,'Apr11-Mar12 FT-TS-Cashout-LG&amp;E'!$G243,'Data FT-TS-Cashout-Paddys'!$A$5:$A$756,'Apr11-Mar12 FT-TS-Cashout-LG&amp;E'!K$219,'Data FT-TS-Cashout-Paddys'!$C$5:$C$756,'Apr11-Mar12 FT-TS-Cashout-LG&amp;E'!$C243)</f>
        <v>0</v>
      </c>
      <c r="L243" s="1000">
        <f>SUMIFS('Data FT-TS-Cashout-Paddys'!$J$5:$J$756,'Data FT-TS-Cashout-Paddys'!$F$5:$F$756,'Apr11-Mar12 FT-TS-Cashout-LG&amp;E'!$G243,'Data FT-TS-Cashout-Paddys'!$A$5:$A$756,'Apr11-Mar12 FT-TS-Cashout-LG&amp;E'!L$219,'Data FT-TS-Cashout-Paddys'!$C$5:$C$756,'Apr11-Mar12 FT-TS-Cashout-LG&amp;E'!$C243)</f>
        <v>2568.56</v>
      </c>
      <c r="M243" s="1000">
        <f>SUMIFS('Data FT-TS-Cashout-Paddys'!$J$5:$J$756,'Data FT-TS-Cashout-Paddys'!$F$5:$F$756,'Apr11-Mar12 FT-TS-Cashout-LG&amp;E'!$G243,'Data FT-TS-Cashout-Paddys'!$A$5:$A$756,'Apr11-Mar12 FT-TS-Cashout-LG&amp;E'!M$219,'Data FT-TS-Cashout-Paddys'!$C$5:$C$756,'Apr11-Mar12 FT-TS-Cashout-LG&amp;E'!$C243)</f>
        <v>0</v>
      </c>
      <c r="N243" s="1000">
        <f>SUMIFS('Data FT-TS-Cashout-Paddys'!$J$5:$J$756,'Data FT-TS-Cashout-Paddys'!$F$5:$F$756,'Apr11-Mar12 FT-TS-Cashout-LG&amp;E'!$G243,'Data FT-TS-Cashout-Paddys'!$A$5:$A$756,'Apr11-Mar12 FT-TS-Cashout-LG&amp;E'!N$219,'Data FT-TS-Cashout-Paddys'!$C$5:$C$756,'Apr11-Mar12 FT-TS-Cashout-LG&amp;E'!$C243)</f>
        <v>0</v>
      </c>
      <c r="O243" s="1000">
        <f>SUMIFS('Data FT-TS-Cashout-Paddys'!$J$5:$J$756,'Data FT-TS-Cashout-Paddys'!$F$5:$F$756,'Apr11-Mar12 FT-TS-Cashout-LG&amp;E'!$G243,'Data FT-TS-Cashout-Paddys'!$A$5:$A$756,'Apr11-Mar12 FT-TS-Cashout-LG&amp;E'!O$219,'Data FT-TS-Cashout-Paddys'!$C$5:$C$756,'Apr11-Mar12 FT-TS-Cashout-LG&amp;E'!$C243)</f>
        <v>0</v>
      </c>
      <c r="P243" s="1000">
        <f>SUMIFS('Data FT-TS-Cashout-Paddys'!$J$5:$J$756,'Data FT-TS-Cashout-Paddys'!$F$5:$F$756,'Apr11-Mar12 FT-TS-Cashout-LG&amp;E'!$G243,'Data FT-TS-Cashout-Paddys'!$A$5:$A$756,'Apr11-Mar12 FT-TS-Cashout-LG&amp;E'!P$219,'Data FT-TS-Cashout-Paddys'!$C$5:$C$756,'Apr11-Mar12 FT-TS-Cashout-LG&amp;E'!$C243)</f>
        <v>0</v>
      </c>
      <c r="Q243" s="1000">
        <f>SUMIFS('Data FT-TS-Cashout-Paddys'!$J$5:$J$756,'Data FT-TS-Cashout-Paddys'!$F$5:$F$756,'Apr11-Mar12 FT-TS-Cashout-LG&amp;E'!$G243,'Data FT-TS-Cashout-Paddys'!$A$5:$A$756,'Apr11-Mar12 FT-TS-Cashout-LG&amp;E'!Q$219,'Data FT-TS-Cashout-Paddys'!$C$5:$C$756,'Apr11-Mar12 FT-TS-Cashout-LG&amp;E'!$C243)</f>
        <v>1203.46</v>
      </c>
      <c r="R243" s="1000">
        <f>SUMIFS('Data FT-TS-Cashout-Paddys'!$J$5:$J$756,'Data FT-TS-Cashout-Paddys'!$F$5:$F$756,'Apr11-Mar12 FT-TS-Cashout-LG&amp;E'!$G243,'Data FT-TS-Cashout-Paddys'!$A$5:$A$756,'Apr11-Mar12 FT-TS-Cashout-LG&amp;E'!R$219,'Data FT-TS-Cashout-Paddys'!$C$5:$C$756,'Apr11-Mar12 FT-TS-Cashout-LG&amp;E'!$C243)</f>
        <v>7055.92</v>
      </c>
      <c r="S243" s="1000">
        <f>SUMIFS('Data FT-TS-Cashout-Paddys'!$J$5:$J$756,'Data FT-TS-Cashout-Paddys'!$F$5:$F$756,'Apr11-Mar12 FT-TS-Cashout-LG&amp;E'!$G243,'Data FT-TS-Cashout-Paddys'!$A$5:$A$756,'Apr11-Mar12 FT-TS-Cashout-LG&amp;E'!S$219,'Data FT-TS-Cashout-Paddys'!$C$5:$C$756,'Apr11-Mar12 FT-TS-Cashout-LG&amp;E'!$C243)</f>
        <v>1968.7</v>
      </c>
      <c r="T243" s="1001">
        <f>SUM(H243:S243)</f>
        <v>12796.640000000001</v>
      </c>
    </row>
    <row r="244" spans="2:20" x14ac:dyDescent="0.2">
      <c r="B244" s="561" t="str">
        <f>VLOOKUP($C244,'Retail Rates'!$B$46:$Q$55,13,FALSE)</f>
        <v>FT Industrial</v>
      </c>
      <c r="C244" s="633" t="s">
        <v>99</v>
      </c>
      <c r="D244" s="633" t="str">
        <f t="shared" si="89"/>
        <v>896</v>
      </c>
      <c r="E244" s="561" t="str">
        <f>VLOOKUP($C244,'Retail Rates'!$B$46:$Q$55,3,FALSE)</f>
        <v>FT-I</v>
      </c>
      <c r="F244" s="991" t="s">
        <v>417</v>
      </c>
      <c r="G244" s="991"/>
      <c r="H244" s="999">
        <f t="shared" ref="H244:S244" si="91">SUM(H242:H243)</f>
        <v>0</v>
      </c>
      <c r="I244" s="999">
        <f t="shared" si="91"/>
        <v>0</v>
      </c>
      <c r="J244" s="999">
        <f t="shared" si="91"/>
        <v>0</v>
      </c>
      <c r="K244" s="999">
        <f t="shared" si="91"/>
        <v>0</v>
      </c>
      <c r="L244" s="999">
        <f t="shared" si="91"/>
        <v>2809.19</v>
      </c>
      <c r="M244" s="999">
        <f t="shared" si="91"/>
        <v>0</v>
      </c>
      <c r="N244" s="999">
        <f t="shared" si="91"/>
        <v>0</v>
      </c>
      <c r="O244" s="999">
        <f t="shared" si="91"/>
        <v>0</v>
      </c>
      <c r="P244" s="999">
        <f t="shared" si="91"/>
        <v>0</v>
      </c>
      <c r="Q244" s="999">
        <f t="shared" si="91"/>
        <v>1325.3700000000001</v>
      </c>
      <c r="R244" s="999">
        <f t="shared" si="91"/>
        <v>7819</v>
      </c>
      <c r="S244" s="999">
        <f t="shared" si="91"/>
        <v>2197.8000000000002</v>
      </c>
      <c r="T244" s="1001">
        <f>SUM(H244:S244)</f>
        <v>14151.36</v>
      </c>
    </row>
    <row r="245" spans="2:20" x14ac:dyDescent="0.2">
      <c r="B245" s="561" t="str">
        <f>VLOOKUP($C245,'Retail Rates'!$B$46:$Q$55,13,FALSE)</f>
        <v>FT Industrial</v>
      </c>
      <c r="C245" s="633" t="s">
        <v>99</v>
      </c>
      <c r="D245" s="633" t="str">
        <f t="shared" si="89"/>
        <v>896</v>
      </c>
      <c r="E245" s="561" t="str">
        <f>VLOOKUP($C245,'Retail Rates'!$B$46:$Q$55,3,FALSE)</f>
        <v>FT-I</v>
      </c>
    </row>
    <row r="246" spans="2:20" x14ac:dyDescent="0.2">
      <c r="B246" s="561" t="str">
        <f>VLOOKUP($C246,'Retail Rates'!$B$46:$Q$55,13,FALSE)</f>
        <v>FT Industrial</v>
      </c>
      <c r="C246" s="633" t="s">
        <v>99</v>
      </c>
      <c r="D246" s="633" t="str">
        <f t="shared" si="89"/>
        <v>896</v>
      </c>
      <c r="E246" s="561" t="str">
        <f>VLOOKUP($C246,'Retail Rates'!$B$46:$Q$55,3,FALSE)</f>
        <v>FT-I</v>
      </c>
      <c r="F246" s="991" t="s">
        <v>841</v>
      </c>
      <c r="H246" s="999">
        <f>SUMIFS('FT_Cashouts_IntraCo-PR'!$G$4:$G$118,'FT_Cashouts_IntraCo-PR'!$A$4:$A$118,'Apr11-Mar12 FT-TS-Cashout-LG&amp;E'!$C246,'FT_Cashouts_IntraCo-PR'!$C$4:$C$118,'Apr11-Mar12 FT-TS-Cashout-LG&amp;E'!H$219)</f>
        <v>0</v>
      </c>
      <c r="I246" s="999">
        <f>SUMIFS('FT_Cashouts_IntraCo-PR'!$G$4:$G$118,'FT_Cashouts_IntraCo-PR'!$A$4:$A$118,'Apr11-Mar12 FT-TS-Cashout-LG&amp;E'!$C246,'FT_Cashouts_IntraCo-PR'!$C$4:$C$118,'Apr11-Mar12 FT-TS-Cashout-LG&amp;E'!I$219)</f>
        <v>0</v>
      </c>
      <c r="J246" s="999">
        <f>SUMIFS('FT_Cashouts_IntraCo-PR'!$G$4:$G$118,'FT_Cashouts_IntraCo-PR'!$A$4:$A$118,'Apr11-Mar12 FT-TS-Cashout-LG&amp;E'!$C246,'FT_Cashouts_IntraCo-PR'!$C$4:$C$118,'Apr11-Mar12 FT-TS-Cashout-LG&amp;E'!J$219)</f>
        <v>0</v>
      </c>
      <c r="K246" s="999">
        <f>SUMIFS('FT_Cashouts_IntraCo-PR'!$G$4:$G$118,'FT_Cashouts_IntraCo-PR'!$A$4:$A$118,'Apr11-Mar12 FT-TS-Cashout-LG&amp;E'!$C246,'FT_Cashouts_IntraCo-PR'!$C$4:$C$118,'Apr11-Mar12 FT-TS-Cashout-LG&amp;E'!K$219)</f>
        <v>0</v>
      </c>
      <c r="L246" s="999">
        <f>SUMIFS('FT_Cashouts_IntraCo-PR'!$G$4:$G$118,'FT_Cashouts_IntraCo-PR'!$A$4:$A$118,'Apr11-Mar12 FT-TS-Cashout-LG&amp;E'!$C246,'FT_Cashouts_IntraCo-PR'!$C$4:$C$118,'Apr11-Mar12 FT-TS-Cashout-LG&amp;E'!L$219)</f>
        <v>2809.19</v>
      </c>
      <c r="M246" s="999">
        <f>SUMIFS('FT_Cashouts_IntraCo-PR'!$G$4:$G$118,'FT_Cashouts_IntraCo-PR'!$A$4:$A$118,'Apr11-Mar12 FT-TS-Cashout-LG&amp;E'!$C246,'FT_Cashouts_IntraCo-PR'!$C$4:$C$118,'Apr11-Mar12 FT-TS-Cashout-LG&amp;E'!M$219)</f>
        <v>0</v>
      </c>
      <c r="N246" s="999">
        <f>SUMIFS('FT_Cashouts_IntraCo-PR'!$G$4:$G$118,'FT_Cashouts_IntraCo-PR'!$A$4:$A$118,'Apr11-Mar12 FT-TS-Cashout-LG&amp;E'!$C246,'FT_Cashouts_IntraCo-PR'!$C$4:$C$118,'Apr11-Mar12 FT-TS-Cashout-LG&amp;E'!N$219)</f>
        <v>0</v>
      </c>
      <c r="O246" s="999">
        <f>SUMIFS('FT_Cashouts_IntraCo-PR'!$G$4:$G$118,'FT_Cashouts_IntraCo-PR'!$A$4:$A$118,'Apr11-Mar12 FT-TS-Cashout-LG&amp;E'!$C246,'FT_Cashouts_IntraCo-PR'!$C$4:$C$118,'Apr11-Mar12 FT-TS-Cashout-LG&amp;E'!O$219)</f>
        <v>0</v>
      </c>
      <c r="P246" s="999">
        <f>SUMIFS('FT_Cashouts_IntraCo-PR'!$G$4:$G$118,'FT_Cashouts_IntraCo-PR'!$A$4:$A$118,'Apr11-Mar12 FT-TS-Cashout-LG&amp;E'!$C246,'FT_Cashouts_IntraCo-PR'!$C$4:$C$118,'Apr11-Mar12 FT-TS-Cashout-LG&amp;E'!P$219)</f>
        <v>0</v>
      </c>
      <c r="Q246" s="999">
        <f>SUMIFS('FT_Cashouts_IntraCo-PR'!$G$4:$G$118,'FT_Cashouts_IntraCo-PR'!$A$4:$A$118,'Apr11-Mar12 FT-TS-Cashout-LG&amp;E'!$C246,'FT_Cashouts_IntraCo-PR'!$C$4:$C$118,'Apr11-Mar12 FT-TS-Cashout-LG&amp;E'!Q$219)</f>
        <v>1325.3700000000001</v>
      </c>
      <c r="R246" s="999">
        <f>SUMIFS('FT_Cashouts_IntraCo-PR'!$G$4:$G$118,'FT_Cashouts_IntraCo-PR'!$A$4:$A$118,'Apr11-Mar12 FT-TS-Cashout-LG&amp;E'!$C246,'FT_Cashouts_IntraCo-PR'!$C$4:$C$118,'Apr11-Mar12 FT-TS-Cashout-LG&amp;E'!R$219)</f>
        <v>7819</v>
      </c>
      <c r="S246" s="999">
        <f>SUMIFS('FT_Cashouts_IntraCo-PR'!$G$4:$G$118,'FT_Cashouts_IntraCo-PR'!$A$4:$A$118,'Apr11-Mar12 FT-TS-Cashout-LG&amp;E'!$C246,'FT_Cashouts_IntraCo-PR'!$C$4:$C$118,'Apr11-Mar12 FT-TS-Cashout-LG&amp;E'!S$219)</f>
        <v>2197.8000000000002</v>
      </c>
      <c r="T246" s="1001">
        <f>SUM(H246:S246)</f>
        <v>14151.36</v>
      </c>
    </row>
    <row r="247" spans="2:20" x14ac:dyDescent="0.2">
      <c r="B247" s="561" t="str">
        <f>VLOOKUP($C247,'Retail Rates'!$B$46:$Q$55,13,FALSE)</f>
        <v>FT Industrial</v>
      </c>
      <c r="C247" s="633" t="s">
        <v>99</v>
      </c>
      <c r="D247" s="633" t="str">
        <f t="shared" si="89"/>
        <v>896</v>
      </c>
      <c r="E247" s="561" t="str">
        <f>VLOOKUP($C247,'Retail Rates'!$B$46:$Q$55,3,FALSE)</f>
        <v>FT-I</v>
      </c>
    </row>
    <row r="248" spans="2:20" x14ac:dyDescent="0.2">
      <c r="B248" s="561" t="str">
        <f>VLOOKUP($C248,'Retail Rates'!$B$46:$Q$55,13,FALSE)</f>
        <v>FT Industrial</v>
      </c>
      <c r="C248" s="633" t="s">
        <v>99</v>
      </c>
      <c r="D248" s="633" t="str">
        <f t="shared" si="89"/>
        <v>896</v>
      </c>
      <c r="E248" s="561" t="str">
        <f>VLOOKUP($C248,'Retail Rates'!$B$46:$Q$55,3,FALSE)</f>
        <v>FT-I</v>
      </c>
      <c r="F248" s="991" t="s">
        <v>386</v>
      </c>
      <c r="G248" s="991"/>
      <c r="H248" s="999">
        <f>+H244-H246</f>
        <v>0</v>
      </c>
      <c r="I248" s="999">
        <f t="shared" ref="I248:S248" si="92">+I244-I246</f>
        <v>0</v>
      </c>
      <c r="J248" s="999">
        <f t="shared" si="92"/>
        <v>0</v>
      </c>
      <c r="K248" s="999">
        <f t="shared" si="92"/>
        <v>0</v>
      </c>
      <c r="L248" s="999">
        <f t="shared" si="92"/>
        <v>0</v>
      </c>
      <c r="M248" s="999">
        <f t="shared" si="92"/>
        <v>0</v>
      </c>
      <c r="N248" s="999">
        <f t="shared" si="92"/>
        <v>0</v>
      </c>
      <c r="O248" s="999">
        <f t="shared" si="92"/>
        <v>0</v>
      </c>
      <c r="P248" s="999">
        <f t="shared" si="92"/>
        <v>0</v>
      </c>
      <c r="Q248" s="999">
        <f t="shared" si="92"/>
        <v>0</v>
      </c>
      <c r="R248" s="999">
        <f t="shared" si="92"/>
        <v>0</v>
      </c>
      <c r="S248" s="999">
        <f t="shared" si="92"/>
        <v>0</v>
      </c>
      <c r="T248" s="1001">
        <f>SUM(H248:S248)</f>
        <v>0</v>
      </c>
    </row>
    <row r="249" spans="2:20" x14ac:dyDescent="0.2">
      <c r="C249" s="633"/>
      <c r="D249" s="633"/>
    </row>
    <row r="250" spans="2:20" x14ac:dyDescent="0.2">
      <c r="C250" s="633"/>
      <c r="D250" s="633"/>
      <c r="F250" s="324" t="s">
        <v>859</v>
      </c>
    </row>
    <row r="251" spans="2:20" x14ac:dyDescent="0.2">
      <c r="B251" s="561" t="str">
        <f>VLOOKUP($C251,'Retail Rates'!$B$46:$Q$55,13,FALSE)</f>
        <v>PS-FT Industrial</v>
      </c>
      <c r="C251" s="633" t="s">
        <v>102</v>
      </c>
      <c r="D251" s="633" t="str">
        <f t="shared" ref="D251:D260" si="93">MID(C251,6,3)</f>
        <v>896</v>
      </c>
      <c r="E251" s="561" t="str">
        <f>VLOOKUP($C251,'Retail Rates'!$B$46:$Q$55,3,FALSE)</f>
        <v>FT-I-PM</v>
      </c>
    </row>
    <row r="252" spans="2:20" x14ac:dyDescent="0.2">
      <c r="B252" s="561" t="str">
        <f>VLOOKUP($C252,'Retail Rates'!$B$46:$Q$55,13,FALSE)</f>
        <v>PS-FT Industrial</v>
      </c>
      <c r="C252" s="633" t="s">
        <v>102</v>
      </c>
      <c r="D252" s="633" t="str">
        <f t="shared" si="93"/>
        <v>896</v>
      </c>
      <c r="E252" s="561" t="str">
        <f>VLOOKUP($C252,'Retail Rates'!$B$46:$Q$55,3,FALSE)</f>
        <v>FT-I-PM</v>
      </c>
      <c r="F252" s="998" t="s">
        <v>412</v>
      </c>
    </row>
    <row r="253" spans="2:20" x14ac:dyDescent="0.2">
      <c r="B253" s="561" t="str">
        <f>VLOOKUP($C253,'Retail Rates'!$B$46:$Q$55,13,FALSE)</f>
        <v>PS-FT Industrial</v>
      </c>
      <c r="C253" s="633" t="s">
        <v>102</v>
      </c>
      <c r="D253" s="633" t="str">
        <f t="shared" si="93"/>
        <v>896</v>
      </c>
      <c r="E253" s="561" t="str">
        <f>VLOOKUP($C253,'Retail Rates'!$B$46:$Q$55,3,FALSE)</f>
        <v>FT-I-PM</v>
      </c>
      <c r="F253" s="991"/>
      <c r="H253" s="999"/>
      <c r="I253" s="999"/>
      <c r="J253" s="999"/>
      <c r="K253" s="999"/>
      <c r="L253" s="999"/>
      <c r="M253" s="999"/>
      <c r="N253" s="999"/>
      <c r="O253" s="999"/>
      <c r="P253" s="999"/>
      <c r="Q253" s="999"/>
      <c r="R253" s="999"/>
      <c r="S253" s="999"/>
      <c r="T253" s="1001">
        <f>SUM(H253:S253)</f>
        <v>0</v>
      </c>
    </row>
    <row r="254" spans="2:20" x14ac:dyDescent="0.2">
      <c r="B254" s="561" t="str">
        <f>VLOOKUP($C254,'Retail Rates'!$B$46:$Q$55,13,FALSE)</f>
        <v>PS-FT Industrial</v>
      </c>
      <c r="C254" s="633" t="s">
        <v>102</v>
      </c>
      <c r="D254" s="633" t="str">
        <f t="shared" si="93"/>
        <v>896</v>
      </c>
      <c r="E254" s="561" t="str">
        <f>VLOOKUP($C254,'Retail Rates'!$B$46:$Q$55,3,FALSE)</f>
        <v>FT-I-PM</v>
      </c>
      <c r="F254" s="991" t="s">
        <v>855</v>
      </c>
      <c r="G254" s="987" t="s">
        <v>823</v>
      </c>
      <c r="H254" s="1000">
        <f>SUMIFS('Data FT-TS-Cashout-Paddys'!$J$5:$J$756,'Data FT-TS-Cashout-Paddys'!$F$5:$F$756,'Apr11-Mar12 FT-TS-Cashout-LG&amp;E'!$G254,'Data FT-TS-Cashout-Paddys'!$A$5:$A$756,'Apr11-Mar12 FT-TS-Cashout-LG&amp;E'!H$219,'Data FT-TS-Cashout-Paddys'!$C$5:$C$756,'Apr11-Mar12 FT-TS-Cashout-LG&amp;E'!$C254)</f>
        <v>35617.29</v>
      </c>
      <c r="I254" s="1000">
        <f>SUMIFS('Data FT-TS-Cashout-Paddys'!$J$5:$J$756,'Data FT-TS-Cashout-Paddys'!$F$5:$F$756,'Apr11-Mar12 FT-TS-Cashout-LG&amp;E'!$G254,'Data FT-TS-Cashout-Paddys'!$A$5:$A$756,'Apr11-Mar12 FT-TS-Cashout-LG&amp;E'!I$219,'Data FT-TS-Cashout-Paddys'!$C$5:$C$756,'Apr11-Mar12 FT-TS-Cashout-LG&amp;E'!$C254)</f>
        <v>1072.79</v>
      </c>
      <c r="J254" s="1000">
        <f>SUMIFS('Data FT-TS-Cashout-Paddys'!$J$5:$J$756,'Data FT-TS-Cashout-Paddys'!$F$5:$F$756,'Apr11-Mar12 FT-TS-Cashout-LG&amp;E'!$G254,'Data FT-TS-Cashout-Paddys'!$A$5:$A$756,'Apr11-Mar12 FT-TS-Cashout-LG&amp;E'!J$219,'Data FT-TS-Cashout-Paddys'!$C$5:$C$756,'Apr11-Mar12 FT-TS-Cashout-LG&amp;E'!$C254)</f>
        <v>2776.7</v>
      </c>
      <c r="K254" s="1000">
        <f>SUMIFS('Data FT-TS-Cashout-Paddys'!$J$5:$J$756,'Data FT-TS-Cashout-Paddys'!$F$5:$F$756,'Apr11-Mar12 FT-TS-Cashout-LG&amp;E'!$G254,'Data FT-TS-Cashout-Paddys'!$A$5:$A$756,'Apr11-Mar12 FT-TS-Cashout-LG&amp;E'!K$219,'Data FT-TS-Cashout-Paddys'!$C$5:$C$756,'Apr11-Mar12 FT-TS-Cashout-LG&amp;E'!$C254)</f>
        <v>53516.08</v>
      </c>
      <c r="L254" s="1000">
        <f>SUMIFS('Data FT-TS-Cashout-Paddys'!$J$5:$J$756,'Data FT-TS-Cashout-Paddys'!$F$5:$F$756,'Apr11-Mar12 FT-TS-Cashout-LG&amp;E'!$G254,'Data FT-TS-Cashout-Paddys'!$A$5:$A$756,'Apr11-Mar12 FT-TS-Cashout-LG&amp;E'!L$219,'Data FT-TS-Cashout-Paddys'!$C$5:$C$756,'Apr11-Mar12 FT-TS-Cashout-LG&amp;E'!$C254)</f>
        <v>24230.22</v>
      </c>
      <c r="M254" s="1000">
        <f>SUMIFS('Data FT-TS-Cashout-Paddys'!$J$5:$J$756,'Data FT-TS-Cashout-Paddys'!$F$5:$F$756,'Apr11-Mar12 FT-TS-Cashout-LG&amp;E'!$G254,'Data FT-TS-Cashout-Paddys'!$A$5:$A$756,'Apr11-Mar12 FT-TS-Cashout-LG&amp;E'!M$219,'Data FT-TS-Cashout-Paddys'!$C$5:$C$756,'Apr11-Mar12 FT-TS-Cashout-LG&amp;E'!$C254)</f>
        <v>4126.87</v>
      </c>
      <c r="N254" s="1000">
        <f>SUMIFS('Data FT-TS-Cashout-Paddys'!$J$5:$J$756,'Data FT-TS-Cashout-Paddys'!$F$5:$F$756,'Apr11-Mar12 FT-TS-Cashout-LG&amp;E'!$G254,'Data FT-TS-Cashout-Paddys'!$A$5:$A$756,'Apr11-Mar12 FT-TS-Cashout-LG&amp;E'!N$219,'Data FT-TS-Cashout-Paddys'!$C$5:$C$756,'Apr11-Mar12 FT-TS-Cashout-LG&amp;E'!$C254)</f>
        <v>36147.32</v>
      </c>
      <c r="O254" s="1000">
        <f>SUMIFS('Data FT-TS-Cashout-Paddys'!$J$5:$J$756,'Data FT-TS-Cashout-Paddys'!$F$5:$F$756,'Apr11-Mar12 FT-TS-Cashout-LG&amp;E'!$G254,'Data FT-TS-Cashout-Paddys'!$A$5:$A$756,'Apr11-Mar12 FT-TS-Cashout-LG&amp;E'!O$219,'Data FT-TS-Cashout-Paddys'!$C$5:$C$756,'Apr11-Mar12 FT-TS-Cashout-LG&amp;E'!$C254)</f>
        <v>59556.34</v>
      </c>
      <c r="P254" s="1000">
        <f>SUMIFS('Data FT-TS-Cashout-Paddys'!$J$5:$J$756,'Data FT-TS-Cashout-Paddys'!$F$5:$F$756,'Apr11-Mar12 FT-TS-Cashout-LG&amp;E'!$G254,'Data FT-TS-Cashout-Paddys'!$A$5:$A$756,'Apr11-Mar12 FT-TS-Cashout-LG&amp;E'!P$219,'Data FT-TS-Cashout-Paddys'!$C$5:$C$756,'Apr11-Mar12 FT-TS-Cashout-LG&amp;E'!$C254)</f>
        <v>2308.0300000000002</v>
      </c>
      <c r="Q254" s="1000">
        <f>SUMIFS('Data FT-TS-Cashout-Paddys'!$J$5:$J$756,'Data FT-TS-Cashout-Paddys'!$F$5:$F$756,'Apr11-Mar12 FT-TS-Cashout-LG&amp;E'!$G254,'Data FT-TS-Cashout-Paddys'!$A$5:$A$756,'Apr11-Mar12 FT-TS-Cashout-LG&amp;E'!Q$219,'Data FT-TS-Cashout-Paddys'!$C$5:$C$756,'Apr11-Mar12 FT-TS-Cashout-LG&amp;E'!$C254)</f>
        <v>40956.61</v>
      </c>
      <c r="R254" s="1000">
        <f>SUMIFS('Data FT-TS-Cashout-Paddys'!$J$5:$J$756,'Data FT-TS-Cashout-Paddys'!$F$5:$F$756,'Apr11-Mar12 FT-TS-Cashout-LG&amp;E'!$G254,'Data FT-TS-Cashout-Paddys'!$A$5:$A$756,'Apr11-Mar12 FT-TS-Cashout-LG&amp;E'!R$219,'Data FT-TS-Cashout-Paddys'!$C$5:$C$756,'Apr11-Mar12 FT-TS-Cashout-LG&amp;E'!$C254)</f>
        <v>59965.82</v>
      </c>
      <c r="S254" s="1000">
        <f>SUMIFS('Data FT-TS-Cashout-Paddys'!$J$5:$J$756,'Data FT-TS-Cashout-Paddys'!$F$5:$F$756,'Apr11-Mar12 FT-TS-Cashout-LG&amp;E'!$G254,'Data FT-TS-Cashout-Paddys'!$A$5:$A$756,'Apr11-Mar12 FT-TS-Cashout-LG&amp;E'!S$219,'Data FT-TS-Cashout-Paddys'!$C$5:$C$756,'Apr11-Mar12 FT-TS-Cashout-LG&amp;E'!$C254)</f>
        <v>35555.129999999997</v>
      </c>
      <c r="T254" s="1001">
        <f>SUM(H254:S254)</f>
        <v>355829.2</v>
      </c>
    </row>
    <row r="255" spans="2:20" x14ac:dyDescent="0.2">
      <c r="B255" s="561" t="str">
        <f>VLOOKUP($C255,'Retail Rates'!$B$46:$Q$55,13,FALSE)</f>
        <v>PS-FT Industrial</v>
      </c>
      <c r="C255" s="633" t="s">
        <v>102</v>
      </c>
      <c r="D255" s="633" t="str">
        <f t="shared" si="93"/>
        <v>896</v>
      </c>
      <c r="E255" s="561" t="str">
        <f>VLOOKUP($C255,'Retail Rates'!$B$46:$Q$55,3,FALSE)</f>
        <v>FT-I-PM</v>
      </c>
      <c r="F255" s="991" t="s">
        <v>417</v>
      </c>
      <c r="H255" s="999">
        <f>SUM(H253:H254)</f>
        <v>35617.29</v>
      </c>
      <c r="I255" s="999">
        <f t="shared" ref="I255:S255" si="94">SUM(I253:I254)</f>
        <v>1072.79</v>
      </c>
      <c r="J255" s="999">
        <f t="shared" si="94"/>
        <v>2776.7</v>
      </c>
      <c r="K255" s="999">
        <f t="shared" si="94"/>
        <v>53516.08</v>
      </c>
      <c r="L255" s="999">
        <f t="shared" si="94"/>
        <v>24230.22</v>
      </c>
      <c r="M255" s="999">
        <f t="shared" si="94"/>
        <v>4126.87</v>
      </c>
      <c r="N255" s="999">
        <f t="shared" si="94"/>
        <v>36147.32</v>
      </c>
      <c r="O255" s="999">
        <f t="shared" si="94"/>
        <v>59556.34</v>
      </c>
      <c r="P255" s="999">
        <f t="shared" si="94"/>
        <v>2308.0300000000002</v>
      </c>
      <c r="Q255" s="999">
        <f t="shared" si="94"/>
        <v>40956.61</v>
      </c>
      <c r="R255" s="999">
        <f t="shared" si="94"/>
        <v>59965.82</v>
      </c>
      <c r="S255" s="999">
        <f t="shared" si="94"/>
        <v>35555.129999999997</v>
      </c>
      <c r="T255" s="1001">
        <f>SUM(H255:S255)</f>
        <v>355829.2</v>
      </c>
    </row>
    <row r="256" spans="2:20" x14ac:dyDescent="0.2">
      <c r="B256" s="561" t="str">
        <f>VLOOKUP($C256,'Retail Rates'!$B$46:$Q$55,13,FALSE)</f>
        <v>PS-FT Industrial</v>
      </c>
      <c r="C256" s="633" t="s">
        <v>102</v>
      </c>
      <c r="D256" s="633" t="str">
        <f t="shared" si="93"/>
        <v>896</v>
      </c>
      <c r="E256" s="561" t="str">
        <f>VLOOKUP($C256,'Retail Rates'!$B$46:$Q$55,3,FALSE)</f>
        <v>FT-I-PM</v>
      </c>
      <c r="F256" s="991"/>
      <c r="H256" s="999"/>
      <c r="I256" s="999"/>
      <c r="J256" s="999"/>
      <c r="K256" s="999"/>
      <c r="L256" s="999"/>
      <c r="M256" s="999"/>
      <c r="N256" s="999"/>
      <c r="O256" s="999"/>
      <c r="P256" s="999"/>
      <c r="Q256" s="999"/>
      <c r="R256" s="999"/>
      <c r="S256" s="999"/>
      <c r="T256" s="1001"/>
    </row>
    <row r="257" spans="2:20" x14ac:dyDescent="0.2">
      <c r="B257" s="561" t="str">
        <f>VLOOKUP($C257,'Retail Rates'!$B$46:$Q$55,13,FALSE)</f>
        <v>PS-FT Industrial</v>
      </c>
      <c r="C257" s="633" t="s">
        <v>102</v>
      </c>
      <c r="D257" s="633" t="str">
        <f t="shared" si="93"/>
        <v>896</v>
      </c>
      <c r="E257" s="561" t="str">
        <f>VLOOKUP($C257,'Retail Rates'!$B$46:$Q$55,3,FALSE)</f>
        <v>FT-I-PM</v>
      </c>
      <c r="F257" s="991" t="s">
        <v>841</v>
      </c>
      <c r="H257" s="999">
        <f>SUMIFS('FT_Cashouts_IntraCo-PR'!$G$4:$G$118,'FT_Cashouts_IntraCo-PR'!$A$4:$A$118,'Apr11-Mar12 FT-TS-Cashout-LG&amp;E'!$C257,'FT_Cashouts_IntraCo-PR'!$C$4:$C$118,'Apr11-Mar12 FT-TS-Cashout-LG&amp;E'!H$219)</f>
        <v>35617.29</v>
      </c>
      <c r="I257" s="999">
        <f>SUMIFS('FT_Cashouts_IntraCo-PR'!$G$4:$G$118,'FT_Cashouts_IntraCo-PR'!$A$4:$A$118,'Apr11-Mar12 FT-TS-Cashout-LG&amp;E'!$C257,'FT_Cashouts_IntraCo-PR'!$C$4:$C$118,'Apr11-Mar12 FT-TS-Cashout-LG&amp;E'!I$219)</f>
        <v>1072.79</v>
      </c>
      <c r="J257" s="999">
        <f>SUMIFS('FT_Cashouts_IntraCo-PR'!$G$4:$G$118,'FT_Cashouts_IntraCo-PR'!$A$4:$A$118,'Apr11-Mar12 FT-TS-Cashout-LG&amp;E'!$C257,'FT_Cashouts_IntraCo-PR'!$C$4:$C$118,'Apr11-Mar12 FT-TS-Cashout-LG&amp;E'!J$219)</f>
        <v>0</v>
      </c>
      <c r="K257" s="999">
        <f>SUMIFS('FT_Cashouts_IntraCo-PR'!$G$4:$G$118,'FT_Cashouts_IntraCo-PR'!$A$4:$A$118,'Apr11-Mar12 FT-TS-Cashout-LG&amp;E'!$C257,'FT_Cashouts_IntraCo-PR'!$C$4:$C$118,'Apr11-Mar12 FT-TS-Cashout-LG&amp;E'!K$219)</f>
        <v>53516.08</v>
      </c>
      <c r="L257" s="999">
        <f>SUMIFS('FT_Cashouts_IntraCo-PR'!$G$4:$G$118,'FT_Cashouts_IntraCo-PR'!$A$4:$A$118,'Apr11-Mar12 FT-TS-Cashout-LG&amp;E'!$C257,'FT_Cashouts_IntraCo-PR'!$C$4:$C$118,'Apr11-Mar12 FT-TS-Cashout-LG&amp;E'!L$219)</f>
        <v>24230.219999999998</v>
      </c>
      <c r="M257" s="999">
        <f>SUMIFS('FT_Cashouts_IntraCo-PR'!$G$4:$G$118,'FT_Cashouts_IntraCo-PR'!$A$4:$A$118,'Apr11-Mar12 FT-TS-Cashout-LG&amp;E'!$C257,'FT_Cashouts_IntraCo-PR'!$C$4:$C$118,'Apr11-Mar12 FT-TS-Cashout-LG&amp;E'!M$219)</f>
        <v>4126.87</v>
      </c>
      <c r="N257" s="999">
        <f>SUMIFS('FT_Cashouts_IntraCo-PR'!$G$4:$G$118,'FT_Cashouts_IntraCo-PR'!$A$4:$A$118,'Apr11-Mar12 FT-TS-Cashout-LG&amp;E'!$C257,'FT_Cashouts_IntraCo-PR'!$C$4:$C$118,'Apr11-Mar12 FT-TS-Cashout-LG&amp;E'!N$219)</f>
        <v>36147.32</v>
      </c>
      <c r="O257" s="999">
        <f>SUMIFS('FT_Cashouts_IntraCo-PR'!$G$4:$G$118,'FT_Cashouts_IntraCo-PR'!$A$4:$A$118,'Apr11-Mar12 FT-TS-Cashout-LG&amp;E'!$C257,'FT_Cashouts_IntraCo-PR'!$C$4:$C$118,'Apr11-Mar12 FT-TS-Cashout-LG&amp;E'!O$219)</f>
        <v>59556.340000000004</v>
      </c>
      <c r="P257" s="999">
        <f>SUMIFS('FT_Cashouts_IntraCo-PR'!$G$4:$G$118,'FT_Cashouts_IntraCo-PR'!$A$4:$A$118,'Apr11-Mar12 FT-TS-Cashout-LG&amp;E'!$C257,'FT_Cashouts_IntraCo-PR'!$C$4:$C$118,'Apr11-Mar12 FT-TS-Cashout-LG&amp;E'!P$219)</f>
        <v>2308.0300000000002</v>
      </c>
      <c r="Q257" s="999">
        <f>SUMIFS('FT_Cashouts_IntraCo-PR'!$G$4:$G$118,'FT_Cashouts_IntraCo-PR'!$A$4:$A$118,'Apr11-Mar12 FT-TS-Cashout-LG&amp;E'!$C257,'FT_Cashouts_IntraCo-PR'!$C$4:$C$118,'Apr11-Mar12 FT-TS-Cashout-LG&amp;E'!Q$219)</f>
        <v>40956.61</v>
      </c>
      <c r="R257" s="999">
        <f>SUMIFS('FT_Cashouts_IntraCo-PR'!$G$4:$G$118,'FT_Cashouts_IntraCo-PR'!$A$4:$A$118,'Apr11-Mar12 FT-TS-Cashout-LG&amp;E'!$C257,'FT_Cashouts_IntraCo-PR'!$C$4:$C$118,'Apr11-Mar12 FT-TS-Cashout-LG&amp;E'!R$219)</f>
        <v>59965.82</v>
      </c>
      <c r="S257" s="999">
        <f>SUMIFS('FT_Cashouts_IntraCo-PR'!$G$4:$G$118,'FT_Cashouts_IntraCo-PR'!$A$4:$A$118,'Apr11-Mar12 FT-TS-Cashout-LG&amp;E'!$C257,'FT_Cashouts_IntraCo-PR'!$C$4:$C$118,'Apr11-Mar12 FT-TS-Cashout-LG&amp;E'!S$219)</f>
        <v>35555.129999999997</v>
      </c>
      <c r="T257" s="1001">
        <f>SUM(H257:S257)</f>
        <v>353052.5</v>
      </c>
    </row>
    <row r="258" spans="2:20" x14ac:dyDescent="0.2">
      <c r="B258" s="561" t="str">
        <f>VLOOKUP($C258,'Retail Rates'!$B$46:$Q$55,13,FALSE)</f>
        <v>PS-FT Industrial</v>
      </c>
      <c r="C258" s="633" t="s">
        <v>102</v>
      </c>
      <c r="D258" s="633" t="str">
        <f t="shared" si="93"/>
        <v>896</v>
      </c>
      <c r="E258" s="561" t="str">
        <f>VLOOKUP($C258,'Retail Rates'!$B$46:$Q$55,3,FALSE)</f>
        <v>FT-I-PM</v>
      </c>
      <c r="F258" s="991"/>
      <c r="H258" s="999"/>
      <c r="I258" s="999"/>
      <c r="J258" s="999"/>
      <c r="K258" s="999"/>
      <c r="L258" s="999"/>
      <c r="M258" s="999"/>
      <c r="N258" s="999"/>
      <c r="O258" s="999"/>
      <c r="P258" s="999"/>
      <c r="Q258" s="999"/>
      <c r="R258" s="999"/>
      <c r="S258" s="999"/>
      <c r="T258" s="1001"/>
    </row>
    <row r="259" spans="2:20" x14ac:dyDescent="0.2">
      <c r="B259" s="561" t="str">
        <f>VLOOKUP($C259,'Retail Rates'!$B$46:$Q$55,13,FALSE)</f>
        <v>PS-FT Industrial</v>
      </c>
      <c r="C259" s="633" t="s">
        <v>102</v>
      </c>
      <c r="D259" s="633" t="str">
        <f t="shared" si="93"/>
        <v>896</v>
      </c>
      <c r="E259" s="561" t="str">
        <f>VLOOKUP($C259,'Retail Rates'!$B$46:$Q$55,3,FALSE)</f>
        <v>FT-I-PM</v>
      </c>
      <c r="F259" s="991" t="s">
        <v>386</v>
      </c>
      <c r="H259" s="999">
        <f>+H255-H257</f>
        <v>0</v>
      </c>
      <c r="I259" s="999">
        <f t="shared" ref="I259:S259" si="95">+I255-I257</f>
        <v>0</v>
      </c>
      <c r="J259" s="999">
        <f t="shared" si="95"/>
        <v>2776.7</v>
      </c>
      <c r="K259" s="999">
        <f t="shared" si="95"/>
        <v>0</v>
      </c>
      <c r="L259" s="999">
        <f t="shared" si="95"/>
        <v>0</v>
      </c>
      <c r="M259" s="999">
        <f t="shared" si="95"/>
        <v>0</v>
      </c>
      <c r="N259" s="999">
        <f t="shared" si="95"/>
        <v>0</v>
      </c>
      <c r="O259" s="999">
        <f t="shared" si="95"/>
        <v>0</v>
      </c>
      <c r="P259" s="999">
        <f t="shared" si="95"/>
        <v>0</v>
      </c>
      <c r="Q259" s="999">
        <f t="shared" si="95"/>
        <v>0</v>
      </c>
      <c r="R259" s="999">
        <f t="shared" si="95"/>
        <v>0</v>
      </c>
      <c r="S259" s="999">
        <f t="shared" si="95"/>
        <v>0</v>
      </c>
      <c r="T259" s="1001">
        <f>SUM(H259:S259)</f>
        <v>2776.7</v>
      </c>
    </row>
    <row r="260" spans="2:20" x14ac:dyDescent="0.2">
      <c r="B260" s="561" t="str">
        <f>VLOOKUP($C260,'Retail Rates'!$B$46:$Q$55,13,FALSE)</f>
        <v>PS-FT Industrial</v>
      </c>
      <c r="C260" s="633" t="s">
        <v>102</v>
      </c>
      <c r="D260" s="633" t="str">
        <f t="shared" si="93"/>
        <v>896</v>
      </c>
      <c r="E260" s="561" t="str">
        <f>VLOOKUP($C260,'Retail Rates'!$B$46:$Q$55,3,FALSE)</f>
        <v>FT-I-PM</v>
      </c>
      <c r="F260" s="991"/>
      <c r="G260" s="991"/>
      <c r="H260" s="999"/>
      <c r="I260" s="999"/>
      <c r="J260" s="999"/>
      <c r="K260" s="999"/>
      <c r="L260" s="999"/>
      <c r="M260" s="999"/>
      <c r="N260" s="999"/>
      <c r="O260" s="999"/>
      <c r="P260" s="999"/>
      <c r="Q260" s="999"/>
      <c r="R260" s="999"/>
      <c r="S260" s="999"/>
    </row>
    <row r="262" spans="2:20" x14ac:dyDescent="0.2">
      <c r="F262" s="1004" t="s">
        <v>860</v>
      </c>
    </row>
    <row r="263" spans="2:20" x14ac:dyDescent="0.2">
      <c r="F263" s="991" t="s">
        <v>414</v>
      </c>
      <c r="H263" s="999">
        <f>+H228+H242</f>
        <v>0</v>
      </c>
      <c r="I263" s="999">
        <f t="shared" ref="I263:S263" si="96">+I228+I242</f>
        <v>0</v>
      </c>
      <c r="J263" s="999">
        <f t="shared" si="96"/>
        <v>0</v>
      </c>
      <c r="K263" s="999">
        <f t="shared" si="96"/>
        <v>34.700000000000003</v>
      </c>
      <c r="L263" s="999">
        <f t="shared" si="96"/>
        <v>281.18</v>
      </c>
      <c r="M263" s="999">
        <f t="shared" si="96"/>
        <v>10.54</v>
      </c>
      <c r="N263" s="999">
        <f t="shared" si="96"/>
        <v>19.48</v>
      </c>
      <c r="O263" s="999">
        <f t="shared" si="96"/>
        <v>0</v>
      </c>
      <c r="P263" s="999">
        <f t="shared" si="96"/>
        <v>9.1999999999999993</v>
      </c>
      <c r="Q263" s="999">
        <f t="shared" si="96"/>
        <v>124.45</v>
      </c>
      <c r="R263" s="999">
        <f t="shared" si="96"/>
        <v>958.6</v>
      </c>
      <c r="S263" s="999">
        <f t="shared" si="96"/>
        <v>287.45</v>
      </c>
      <c r="T263" s="1001">
        <f t="shared" ref="T263:T268" si="97">SUM(H263:S263)</f>
        <v>1725.6000000000001</v>
      </c>
    </row>
    <row r="264" spans="2:20" x14ac:dyDescent="0.2">
      <c r="F264" s="991" t="s">
        <v>416</v>
      </c>
      <c r="H264" s="999">
        <f>+H229</f>
        <v>0</v>
      </c>
      <c r="I264" s="999">
        <f t="shared" ref="I264:S264" si="98">+I229</f>
        <v>0</v>
      </c>
      <c r="J264" s="999">
        <f t="shared" si="98"/>
        <v>0</v>
      </c>
      <c r="K264" s="999">
        <f t="shared" si="98"/>
        <v>0.72</v>
      </c>
      <c r="L264" s="999">
        <f t="shared" si="98"/>
        <v>0.84</v>
      </c>
      <c r="M264" s="999">
        <f t="shared" si="98"/>
        <v>0.24</v>
      </c>
      <c r="N264" s="999">
        <f t="shared" si="98"/>
        <v>0.43</v>
      </c>
      <c r="O264" s="999">
        <f t="shared" si="98"/>
        <v>0</v>
      </c>
      <c r="P264" s="999">
        <f t="shared" si="98"/>
        <v>0.21</v>
      </c>
      <c r="Q264" s="999">
        <f t="shared" si="98"/>
        <v>0.06</v>
      </c>
      <c r="R264" s="999">
        <f t="shared" si="98"/>
        <v>4.37</v>
      </c>
      <c r="S264" s="999">
        <f t="shared" si="98"/>
        <v>1.3</v>
      </c>
      <c r="T264" s="1001">
        <f t="shared" si="97"/>
        <v>8.17</v>
      </c>
    </row>
    <row r="265" spans="2:20" x14ac:dyDescent="0.2">
      <c r="F265" s="991" t="s">
        <v>855</v>
      </c>
      <c r="H265" s="1000">
        <f>+H230+H243+H254</f>
        <v>35617.29</v>
      </c>
      <c r="I265" s="1000">
        <f t="shared" ref="I265:S265" si="99">+I230+I243+I254</f>
        <v>1072.79</v>
      </c>
      <c r="J265" s="1000">
        <f t="shared" si="99"/>
        <v>2776.7</v>
      </c>
      <c r="K265" s="1000">
        <f t="shared" si="99"/>
        <v>53887.700000000004</v>
      </c>
      <c r="L265" s="1000">
        <f t="shared" si="99"/>
        <v>27231.620000000003</v>
      </c>
      <c r="M265" s="1000">
        <f t="shared" si="99"/>
        <v>4245.7</v>
      </c>
      <c r="N265" s="1000">
        <f t="shared" si="99"/>
        <v>36379.94</v>
      </c>
      <c r="O265" s="1000">
        <f t="shared" si="99"/>
        <v>59556.34</v>
      </c>
      <c r="P265" s="1000">
        <f t="shared" si="99"/>
        <v>2402.8300000000004</v>
      </c>
      <c r="Q265" s="1000">
        <f t="shared" si="99"/>
        <v>42185.120000000003</v>
      </c>
      <c r="R265" s="1000">
        <f t="shared" si="99"/>
        <v>68786.58</v>
      </c>
      <c r="S265" s="1000">
        <f t="shared" si="99"/>
        <v>38025.24</v>
      </c>
      <c r="T265" s="1001">
        <f t="shared" si="97"/>
        <v>372167.85</v>
      </c>
    </row>
    <row r="266" spans="2:20" x14ac:dyDescent="0.2">
      <c r="F266" s="991" t="s">
        <v>417</v>
      </c>
      <c r="H266" s="999">
        <f>SUM(H263:H265)</f>
        <v>35617.29</v>
      </c>
      <c r="I266" s="999">
        <f t="shared" ref="I266:S266" si="100">SUM(I263:I265)</f>
        <v>1072.79</v>
      </c>
      <c r="J266" s="999">
        <f t="shared" si="100"/>
        <v>2776.7</v>
      </c>
      <c r="K266" s="999">
        <f t="shared" si="100"/>
        <v>53923.12</v>
      </c>
      <c r="L266" s="999">
        <f t="shared" si="100"/>
        <v>27513.640000000003</v>
      </c>
      <c r="M266" s="999">
        <f t="shared" si="100"/>
        <v>4256.4799999999996</v>
      </c>
      <c r="N266" s="999">
        <f t="shared" si="100"/>
        <v>36399.850000000006</v>
      </c>
      <c r="O266" s="999">
        <f t="shared" si="100"/>
        <v>59556.34</v>
      </c>
      <c r="P266" s="999">
        <f t="shared" si="100"/>
        <v>2412.2400000000002</v>
      </c>
      <c r="Q266" s="999">
        <f t="shared" si="100"/>
        <v>42309.630000000005</v>
      </c>
      <c r="R266" s="999">
        <f t="shared" si="100"/>
        <v>69749.55</v>
      </c>
      <c r="S266" s="999">
        <f t="shared" si="100"/>
        <v>38313.99</v>
      </c>
      <c r="T266" s="1001">
        <f t="shared" si="97"/>
        <v>373901.61999999994</v>
      </c>
    </row>
    <row r="267" spans="2:20" x14ac:dyDescent="0.2">
      <c r="F267" s="991"/>
      <c r="H267" s="999"/>
      <c r="I267" s="999"/>
      <c r="J267" s="999"/>
      <c r="K267" s="999"/>
      <c r="L267" s="999"/>
      <c r="M267" s="999"/>
      <c r="N267" s="999"/>
      <c r="O267" s="999"/>
      <c r="P267" s="999"/>
      <c r="Q267" s="999"/>
      <c r="R267" s="999"/>
      <c r="S267" s="999"/>
      <c r="T267" s="1001">
        <f t="shared" si="97"/>
        <v>0</v>
      </c>
    </row>
    <row r="268" spans="2:20" x14ac:dyDescent="0.2">
      <c r="F268" s="991" t="s">
        <v>841</v>
      </c>
      <c r="H268" s="999">
        <f t="shared" ref="H268:S268" si="101">+H233+H246+H257</f>
        <v>35617.29</v>
      </c>
      <c r="I268" s="999">
        <f t="shared" si="101"/>
        <v>1072.79</v>
      </c>
      <c r="J268" s="999">
        <f t="shared" si="101"/>
        <v>0</v>
      </c>
      <c r="K268" s="999">
        <f t="shared" si="101"/>
        <v>53922.97</v>
      </c>
      <c r="L268" s="999">
        <f t="shared" si="101"/>
        <v>27513.64</v>
      </c>
      <c r="M268" s="999">
        <f t="shared" si="101"/>
        <v>4256.46</v>
      </c>
      <c r="N268" s="999">
        <f t="shared" si="101"/>
        <v>36399.85</v>
      </c>
      <c r="O268" s="999">
        <f t="shared" si="101"/>
        <v>59556.340000000004</v>
      </c>
      <c r="P268" s="999">
        <f t="shared" si="101"/>
        <v>2412.2400000000002</v>
      </c>
      <c r="Q268" s="999">
        <f t="shared" si="101"/>
        <v>42309.63</v>
      </c>
      <c r="R268" s="999">
        <f t="shared" si="101"/>
        <v>69749.55</v>
      </c>
      <c r="S268" s="999">
        <f t="shared" si="101"/>
        <v>38313.99</v>
      </c>
      <c r="T268" s="1001">
        <f t="shared" si="97"/>
        <v>371124.74999999994</v>
      </c>
    </row>
    <row r="270" spans="2:20" x14ac:dyDescent="0.2">
      <c r="F270" s="991" t="s">
        <v>386</v>
      </c>
      <c r="H270" s="999">
        <f t="shared" ref="H270:S270" si="102">+H266-H268</f>
        <v>0</v>
      </c>
      <c r="I270" s="999">
        <f t="shared" si="102"/>
        <v>0</v>
      </c>
      <c r="J270" s="999">
        <f t="shared" si="102"/>
        <v>2776.7</v>
      </c>
      <c r="K270" s="999">
        <f t="shared" si="102"/>
        <v>0.15000000000145519</v>
      </c>
      <c r="L270" s="999">
        <f t="shared" si="102"/>
        <v>0</v>
      </c>
      <c r="M270" s="999">
        <f t="shared" si="102"/>
        <v>1.9999999999527063E-2</v>
      </c>
      <c r="N270" s="999">
        <f t="shared" si="102"/>
        <v>0</v>
      </c>
      <c r="O270" s="999">
        <f t="shared" si="102"/>
        <v>0</v>
      </c>
      <c r="P270" s="999">
        <f t="shared" si="102"/>
        <v>0</v>
      </c>
      <c r="Q270" s="999">
        <f t="shared" si="102"/>
        <v>0</v>
      </c>
      <c r="R270" s="999">
        <f t="shared" si="102"/>
        <v>0</v>
      </c>
      <c r="S270" s="999">
        <f t="shared" si="102"/>
        <v>0</v>
      </c>
      <c r="T270" s="1001">
        <f>SUM(H270:S270)</f>
        <v>2776.8700000000008</v>
      </c>
    </row>
    <row r="271" spans="2:20" x14ac:dyDescent="0.2">
      <c r="F271" s="991"/>
      <c r="H271" s="999"/>
      <c r="I271" s="999"/>
      <c r="J271" s="999"/>
      <c r="K271" s="999"/>
      <c r="L271" s="999"/>
      <c r="M271" s="999"/>
      <c r="N271" s="999"/>
      <c r="O271" s="999"/>
      <c r="P271" s="999"/>
      <c r="Q271" s="999"/>
      <c r="R271" s="999"/>
      <c r="S271" s="999"/>
      <c r="T271" s="1001"/>
    </row>
    <row r="272" spans="2:20" x14ac:dyDescent="0.2">
      <c r="F272" s="991"/>
      <c r="H272" s="999"/>
      <c r="I272" s="999"/>
      <c r="J272" s="999"/>
      <c r="K272" s="999"/>
      <c r="L272" s="999"/>
      <c r="M272" s="999"/>
      <c r="N272" s="999"/>
      <c r="O272" s="999"/>
      <c r="P272" s="999"/>
      <c r="Q272" s="999"/>
      <c r="R272" s="999"/>
      <c r="S272" s="999"/>
      <c r="T272" s="1001"/>
    </row>
    <row r="274" spans="2:20" x14ac:dyDescent="0.2">
      <c r="F274" s="324" t="s">
        <v>1165</v>
      </c>
    </row>
    <row r="275" spans="2:20" x14ac:dyDescent="0.2">
      <c r="B275" s="561" t="str">
        <f>VLOOKUP($C275,'Retail Rates'!$B$46:$Q$55,13,FALSE)</f>
        <v>Special Contracts Industrial</v>
      </c>
      <c r="C275" s="633" t="s">
        <v>109</v>
      </c>
      <c r="D275" s="633" t="str">
        <f t="shared" ref="D275:D287" si="103">MID(C275,6,3)</f>
        <v>992</v>
      </c>
      <c r="F275" s="991" t="s">
        <v>408</v>
      </c>
      <c r="G275" s="987" t="s">
        <v>812</v>
      </c>
      <c r="H275" s="992">
        <f>SUMIFS('Data FT-TS-Cashout-Paddys'!$G$5:$G$756,'Data FT-TS-Cashout-Paddys'!$F$5:$F$756,'Apr11-Mar12 FT-TS-Cashout-LG&amp;E'!$G275,'Data FT-TS-Cashout-Paddys'!$A$5:$A$756,'Apr11-Mar12 FT-TS-Cashout-LG&amp;E'!H$219,'Data FT-TS-Cashout-Paddys'!$C$5:$C$756,'Apr11-Mar12 FT-TS-Cashout-LG&amp;E'!$C275,'Data FT-TS-Cashout-Paddys'!$E$5:$E$756,'Apr11-Mar12 FT-TS-Cashout-LG&amp;E'!H$220)/10</f>
        <v>0</v>
      </c>
      <c r="I275" s="992">
        <f>SUMIFS('Data FT-TS-Cashout-Paddys'!$G$5:$G$756,'Data FT-TS-Cashout-Paddys'!$F$5:$F$756,'Apr11-Mar12 FT-TS-Cashout-LG&amp;E'!$G275,'Data FT-TS-Cashout-Paddys'!$A$5:$A$756,'Apr11-Mar12 FT-TS-Cashout-LG&amp;E'!I$219,'Data FT-TS-Cashout-Paddys'!$C$5:$C$756,'Apr11-Mar12 FT-TS-Cashout-LG&amp;E'!$C275,'Data FT-TS-Cashout-Paddys'!$E$5:$E$756,'Apr11-Mar12 FT-TS-Cashout-LG&amp;E'!I$220)/10</f>
        <v>0</v>
      </c>
      <c r="J275" s="992">
        <f>SUMIFS('Data FT-TS-Cashout-Paddys'!$G$5:$G$756,'Data FT-TS-Cashout-Paddys'!$F$5:$F$756,'Apr11-Mar12 FT-TS-Cashout-LG&amp;E'!$G275,'Data FT-TS-Cashout-Paddys'!$A$5:$A$756,'Apr11-Mar12 FT-TS-Cashout-LG&amp;E'!J$219,'Data FT-TS-Cashout-Paddys'!$C$5:$C$756,'Apr11-Mar12 FT-TS-Cashout-LG&amp;E'!$C275,'Data FT-TS-Cashout-Paddys'!$E$5:$E$756,'Apr11-Mar12 FT-TS-Cashout-LG&amp;E'!J$220)/10</f>
        <v>0</v>
      </c>
      <c r="K275" s="992">
        <f>SUMIFS('Data FT-TS-Cashout-Paddys'!$G$5:$G$756,'Data FT-TS-Cashout-Paddys'!$F$5:$F$756,'Apr11-Mar12 FT-TS-Cashout-LG&amp;E'!$G275,'Data FT-TS-Cashout-Paddys'!$A$5:$A$756,'Apr11-Mar12 FT-TS-Cashout-LG&amp;E'!K$219,'Data FT-TS-Cashout-Paddys'!$C$5:$C$756,'Apr11-Mar12 FT-TS-Cashout-LG&amp;E'!$C275,'Data FT-TS-Cashout-Paddys'!$E$5:$E$756,'Apr11-Mar12 FT-TS-Cashout-LG&amp;E'!K$220)/10</f>
        <v>928.4</v>
      </c>
      <c r="L275" s="992">
        <f>SUMIFS('Data FT-TS-Cashout-Paddys'!$G$5:$G$756,'Data FT-TS-Cashout-Paddys'!$F$5:$F$756,'Apr11-Mar12 FT-TS-Cashout-LG&amp;E'!$G275,'Data FT-TS-Cashout-Paddys'!$A$5:$A$756,'Apr11-Mar12 FT-TS-Cashout-LG&amp;E'!L$219,'Data FT-TS-Cashout-Paddys'!$C$5:$C$756,'Apr11-Mar12 FT-TS-Cashout-LG&amp;E'!$C275,'Data FT-TS-Cashout-Paddys'!$E$5:$E$756,'Apr11-Mar12 FT-TS-Cashout-LG&amp;E'!L$220)/10</f>
        <v>0</v>
      </c>
      <c r="M275" s="992">
        <f>SUMIFS('Data FT-TS-Cashout-Paddys'!$G$5:$G$756,'Data FT-TS-Cashout-Paddys'!$F$5:$F$756,'Apr11-Mar12 FT-TS-Cashout-LG&amp;E'!$G275,'Data FT-TS-Cashout-Paddys'!$A$5:$A$756,'Apr11-Mar12 FT-TS-Cashout-LG&amp;E'!M$219,'Data FT-TS-Cashout-Paddys'!$C$5:$C$756,'Apr11-Mar12 FT-TS-Cashout-LG&amp;E'!$C275,'Data FT-TS-Cashout-Paddys'!$E$5:$E$756,'Apr11-Mar12 FT-TS-Cashout-LG&amp;E'!M$220)/10</f>
        <v>0</v>
      </c>
      <c r="N275" s="992">
        <f>SUMIFS('Data FT-TS-Cashout-Paddys'!$G$5:$G$756,'Data FT-TS-Cashout-Paddys'!$F$5:$F$756,'Apr11-Mar12 FT-TS-Cashout-LG&amp;E'!$G275,'Data FT-TS-Cashout-Paddys'!$A$5:$A$756,'Apr11-Mar12 FT-TS-Cashout-LG&amp;E'!N$219,'Data FT-TS-Cashout-Paddys'!$C$5:$C$756,'Apr11-Mar12 FT-TS-Cashout-LG&amp;E'!$C275,'Data FT-TS-Cashout-Paddys'!$E$5:$E$756,'Apr11-Mar12 FT-TS-Cashout-LG&amp;E'!N$220)/10</f>
        <v>0</v>
      </c>
      <c r="O275" s="992">
        <f>SUMIFS('Data FT-TS-Cashout-Paddys'!$G$5:$G$756,'Data FT-TS-Cashout-Paddys'!$F$5:$F$756,'Apr11-Mar12 FT-TS-Cashout-LG&amp;E'!$G275,'Data FT-TS-Cashout-Paddys'!$A$5:$A$756,'Apr11-Mar12 FT-TS-Cashout-LG&amp;E'!O$219,'Data FT-TS-Cashout-Paddys'!$C$5:$C$756,'Apr11-Mar12 FT-TS-Cashout-LG&amp;E'!$C275,'Data FT-TS-Cashout-Paddys'!$E$5:$E$756,'Apr11-Mar12 FT-TS-Cashout-LG&amp;E'!O$220)/10</f>
        <v>0</v>
      </c>
      <c r="P275" s="992">
        <f>SUMIFS('Data FT-TS-Cashout-Paddys'!$G$5:$G$756,'Data FT-TS-Cashout-Paddys'!$F$5:$F$756,'Apr11-Mar12 FT-TS-Cashout-LG&amp;E'!$G275,'Data FT-TS-Cashout-Paddys'!$A$5:$A$756,'Apr11-Mar12 FT-TS-Cashout-LG&amp;E'!P$219,'Data FT-TS-Cashout-Paddys'!$C$5:$C$756,'Apr11-Mar12 FT-TS-Cashout-LG&amp;E'!$C275,'Data FT-TS-Cashout-Paddys'!$E$5:$E$756,'Apr11-Mar12 FT-TS-Cashout-LG&amp;E'!P$220)/10</f>
        <v>0</v>
      </c>
      <c r="Q275" s="992">
        <f>SUMIFS('Data FT-TS-Cashout-Paddys'!$G$5:$G$756,'Data FT-TS-Cashout-Paddys'!$F$5:$F$756,'Apr11-Mar12 FT-TS-Cashout-LG&amp;E'!$G275,'Data FT-TS-Cashout-Paddys'!$A$5:$A$756,'Apr11-Mar12 FT-TS-Cashout-LG&amp;E'!Q$219,'Data FT-TS-Cashout-Paddys'!$C$5:$C$756,'Apr11-Mar12 FT-TS-Cashout-LG&amp;E'!$C275,'Data FT-TS-Cashout-Paddys'!$E$5:$E$756,'Apr11-Mar12 FT-TS-Cashout-LG&amp;E'!Q$220)/10</f>
        <v>0</v>
      </c>
      <c r="R275" s="992">
        <f>SUMIFS('Data FT-TS-Cashout-Paddys'!$G$5:$G$756,'Data FT-TS-Cashout-Paddys'!$F$5:$F$756,'Apr11-Mar12 FT-TS-Cashout-LG&amp;E'!$G275,'Data FT-TS-Cashout-Paddys'!$A$5:$A$756,'Apr11-Mar12 FT-TS-Cashout-LG&amp;E'!R$219,'Data FT-TS-Cashout-Paddys'!$C$5:$C$756,'Apr11-Mar12 FT-TS-Cashout-LG&amp;E'!$C275,'Data FT-TS-Cashout-Paddys'!$E$5:$E$756,'Apr11-Mar12 FT-TS-Cashout-LG&amp;E'!R$220)/10</f>
        <v>3502.3</v>
      </c>
      <c r="S275" s="992">
        <f>SUMIFS('Data FT-TS-Cashout-Paddys'!$G$5:$G$756,'Data FT-TS-Cashout-Paddys'!$F$5:$F$756,'Apr11-Mar12 FT-TS-Cashout-LG&amp;E'!$G275,'Data FT-TS-Cashout-Paddys'!$A$5:$A$756,'Apr11-Mar12 FT-TS-Cashout-LG&amp;E'!S$219,'Data FT-TS-Cashout-Paddys'!$C$5:$C$756,'Apr11-Mar12 FT-TS-Cashout-LG&amp;E'!$C275,'Data FT-TS-Cashout-Paddys'!$E$5:$E$756,'Apr11-Mar12 FT-TS-Cashout-LG&amp;E'!S$220)/10</f>
        <v>474.5</v>
      </c>
      <c r="T275" s="1043">
        <f>SUM(H275:S275)</f>
        <v>4905.2</v>
      </c>
    </row>
    <row r="276" spans="2:20" x14ac:dyDescent="0.2">
      <c r="B276" s="561" t="str">
        <f>VLOOKUP($C276,'Retail Rates'!$B$46:$Q$55,13,FALSE)</f>
        <v>Special Contracts Industrial</v>
      </c>
      <c r="C276" s="633" t="s">
        <v>109</v>
      </c>
      <c r="D276" s="633" t="str">
        <f t="shared" si="103"/>
        <v>992</v>
      </c>
      <c r="F276" s="991" t="s">
        <v>262</v>
      </c>
      <c r="G276" s="561" t="s">
        <v>849</v>
      </c>
      <c r="H276" s="994">
        <f>VLOOKUP($C276,'Retail Rates'!$B$45:$N$55,9,FALSE)</f>
        <v>275</v>
      </c>
      <c r="I276" s="994">
        <f>VLOOKUP($C276,'Retail Rates'!$B$45:$N$55,9,FALSE)</f>
        <v>275</v>
      </c>
      <c r="J276" s="994">
        <f>VLOOKUP($C276,'Retail Rates'!$B$45:$N$55,9,FALSE)</f>
        <v>275</v>
      </c>
      <c r="K276" s="994">
        <f>VLOOKUP($C276,'Retail Rates'!$B$45:$N$55,9,FALSE)</f>
        <v>275</v>
      </c>
      <c r="L276" s="994">
        <f>VLOOKUP($C276,'Retail Rates'!$B$45:$N$55,9,FALSE)</f>
        <v>275</v>
      </c>
      <c r="M276" s="994">
        <f>VLOOKUP($C276,'Retail Rates'!$B$45:$N$55,9,FALSE)</f>
        <v>275</v>
      </c>
      <c r="N276" s="994">
        <f>VLOOKUP($C276,'Retail Rates'!$B$45:$N$55,9,FALSE)</f>
        <v>275</v>
      </c>
      <c r="O276" s="994">
        <f>VLOOKUP($C276,'Retail Rates'!$B$45:$N$55,9,FALSE)</f>
        <v>275</v>
      </c>
      <c r="P276" s="994">
        <f>VLOOKUP($C276,'Retail Rates'!$B$45:$N$55,9,FALSE)</f>
        <v>275</v>
      </c>
      <c r="Q276" s="994">
        <f>VLOOKUP($C276,'Retail Rates'!$B$45:$N$55,9,FALSE)</f>
        <v>275</v>
      </c>
      <c r="R276" s="994">
        <f>VLOOKUP($C276,'Retail Rates'!$B$45:$N$55,9,FALSE)</f>
        <v>275</v>
      </c>
      <c r="S276" s="994">
        <f>VLOOKUP($C276,'Retail Rates'!$B$45:$N$55,9,FALSE)</f>
        <v>275</v>
      </c>
    </row>
    <row r="277" spans="2:20" x14ac:dyDescent="0.2">
      <c r="B277" s="561" t="str">
        <f>VLOOKUP($C277,'Retail Rates'!$B$46:$Q$55,13,FALSE)</f>
        <v>Special Contracts Industrial</v>
      </c>
      <c r="C277" s="633" t="s">
        <v>109</v>
      </c>
      <c r="D277" s="633" t="str">
        <f t="shared" si="103"/>
        <v>992</v>
      </c>
      <c r="F277" s="991" t="s">
        <v>6</v>
      </c>
      <c r="H277" s="995">
        <f>VLOOKUP($C277,'Retail Rates'!$B$45:$N$55,7,FALSE)</f>
        <v>0.10489999999999999</v>
      </c>
      <c r="I277" s="995">
        <f>VLOOKUP($C277,'Retail Rates'!$B$45:$N$55,7,FALSE)</f>
        <v>0.10489999999999999</v>
      </c>
      <c r="J277" s="995">
        <f>VLOOKUP($C277,'Retail Rates'!$B$45:$N$55,7,FALSE)</f>
        <v>0.10489999999999999</v>
      </c>
      <c r="K277" s="995">
        <f>VLOOKUP($C277,'Retail Rates'!$B$45:$N$55,7,FALSE)</f>
        <v>0.10489999999999999</v>
      </c>
      <c r="L277" s="995">
        <f>VLOOKUP($C277,'Retail Rates'!$B$45:$N$55,7,FALSE)</f>
        <v>0.10489999999999999</v>
      </c>
      <c r="M277" s="995">
        <f>VLOOKUP($C277,'Retail Rates'!$B$45:$N$55,7,FALSE)</f>
        <v>0.10489999999999999</v>
      </c>
      <c r="N277" s="995">
        <f>VLOOKUP($C277,'Retail Rates'!$B$45:$N$55,7,FALSE)</f>
        <v>0.10489999999999999</v>
      </c>
      <c r="O277" s="995">
        <f>VLOOKUP($C277,'Retail Rates'!$B$45:$N$55,7,FALSE)</f>
        <v>0.10489999999999999</v>
      </c>
      <c r="P277" s="995">
        <f>VLOOKUP($C277,'Retail Rates'!$B$45:$N$55,7,FALSE)</f>
        <v>0.10489999999999999</v>
      </c>
      <c r="Q277" s="995">
        <f>VLOOKUP($C277,'Retail Rates'!$B$45:$N$55,7,FALSE)</f>
        <v>0.10489999999999999</v>
      </c>
      <c r="R277" s="995">
        <f>VLOOKUP($C277,'Retail Rates'!$B$45:$N$55,7,FALSE)</f>
        <v>0.10489999999999999</v>
      </c>
      <c r="S277" s="995">
        <f>VLOOKUP($C277,'Retail Rates'!$B$45:$N$55,7,FALSE)</f>
        <v>0.10489999999999999</v>
      </c>
    </row>
    <row r="278" spans="2:20" x14ac:dyDescent="0.2">
      <c r="B278" s="561" t="str">
        <f>VLOOKUP($C278,'Retail Rates'!$B$46:$Q$55,13,FALSE)</f>
        <v>Special Contracts Industrial</v>
      </c>
      <c r="C278" s="633" t="s">
        <v>109</v>
      </c>
      <c r="D278" s="633" t="str">
        <f t="shared" si="103"/>
        <v>992</v>
      </c>
      <c r="F278" s="991"/>
    </row>
    <row r="279" spans="2:20" x14ac:dyDescent="0.2">
      <c r="B279" s="561" t="str">
        <f>VLOOKUP($C279,'Retail Rates'!$B$46:$Q$55,13,FALSE)</f>
        <v>Special Contracts Industrial</v>
      </c>
      <c r="C279" s="633" t="s">
        <v>109</v>
      </c>
      <c r="D279" s="633" t="str">
        <f t="shared" si="103"/>
        <v>992</v>
      </c>
      <c r="F279" s="998" t="s">
        <v>412</v>
      </c>
    </row>
    <row r="280" spans="2:20" x14ac:dyDescent="0.2">
      <c r="B280" s="561" t="str">
        <f>VLOOKUP($C280,'Retail Rates'!$B$46:$Q$55,13,FALSE)</f>
        <v>Special Contracts Industrial</v>
      </c>
      <c r="C280" s="633" t="s">
        <v>109</v>
      </c>
      <c r="D280" s="633" t="str">
        <f t="shared" si="103"/>
        <v>992</v>
      </c>
      <c r="F280" s="991" t="s">
        <v>262</v>
      </c>
      <c r="G280" s="987" t="s">
        <v>833</v>
      </c>
      <c r="H280" s="1001">
        <f>SUMIFS('Data FT-TS-Cashout-Paddys'!$I$5:$I$756,'Data FT-TS-Cashout-Paddys'!$F$5:$F$756,'Apr11-Mar12 FT-TS-Cashout-LG&amp;E'!$G280,'Data FT-TS-Cashout-Paddys'!$A$5:$A$756,'Apr11-Mar12 FT-TS-Cashout-LG&amp;E'!H$219,'Data FT-TS-Cashout-Paddys'!$C$5:$C$756,'Apr11-Mar12 FT-TS-Cashout-LG&amp;E'!$C280)</f>
        <v>275</v>
      </c>
      <c r="I280" s="1001">
        <f>SUMIFS('Data FT-TS-Cashout-Paddys'!$I$5:$I$756,'Data FT-TS-Cashout-Paddys'!$F$5:$F$756,'Apr11-Mar12 FT-TS-Cashout-LG&amp;E'!$G280,'Data FT-TS-Cashout-Paddys'!$A$5:$A$756,'Apr11-Mar12 FT-TS-Cashout-LG&amp;E'!I$219,'Data FT-TS-Cashout-Paddys'!$C$5:$C$756,'Apr11-Mar12 FT-TS-Cashout-LG&amp;E'!$C280)</f>
        <v>275</v>
      </c>
      <c r="J280" s="1001">
        <f>SUMIFS('Data FT-TS-Cashout-Paddys'!$I$5:$I$756,'Data FT-TS-Cashout-Paddys'!$F$5:$F$756,'Apr11-Mar12 FT-TS-Cashout-LG&amp;E'!$G280,'Data FT-TS-Cashout-Paddys'!$A$5:$A$756,'Apr11-Mar12 FT-TS-Cashout-LG&amp;E'!J$219,'Data FT-TS-Cashout-Paddys'!$C$5:$C$756,'Apr11-Mar12 FT-TS-Cashout-LG&amp;E'!$C280)</f>
        <v>275</v>
      </c>
      <c r="K280" s="1001">
        <f>SUMIFS('Data FT-TS-Cashout-Paddys'!$I$5:$I$756,'Data FT-TS-Cashout-Paddys'!$F$5:$F$756,'Apr11-Mar12 FT-TS-Cashout-LG&amp;E'!$G280,'Data FT-TS-Cashout-Paddys'!$A$5:$A$756,'Apr11-Mar12 FT-TS-Cashout-LG&amp;E'!K$219,'Data FT-TS-Cashout-Paddys'!$C$5:$C$756,'Apr11-Mar12 FT-TS-Cashout-LG&amp;E'!$C280)</f>
        <v>275</v>
      </c>
      <c r="L280" s="1001">
        <f>SUMIFS('Data FT-TS-Cashout-Paddys'!$I$5:$I$756,'Data FT-TS-Cashout-Paddys'!$F$5:$F$756,'Apr11-Mar12 FT-TS-Cashout-LG&amp;E'!$G280,'Data FT-TS-Cashout-Paddys'!$A$5:$A$756,'Apr11-Mar12 FT-TS-Cashout-LG&amp;E'!L$219,'Data FT-TS-Cashout-Paddys'!$C$5:$C$756,'Apr11-Mar12 FT-TS-Cashout-LG&amp;E'!$C280)</f>
        <v>275</v>
      </c>
      <c r="M280" s="1001">
        <f>SUMIFS('Data FT-TS-Cashout-Paddys'!$I$5:$I$756,'Data FT-TS-Cashout-Paddys'!$F$5:$F$756,'Apr11-Mar12 FT-TS-Cashout-LG&amp;E'!$G280,'Data FT-TS-Cashout-Paddys'!$A$5:$A$756,'Apr11-Mar12 FT-TS-Cashout-LG&amp;E'!M$219,'Data FT-TS-Cashout-Paddys'!$C$5:$C$756,'Apr11-Mar12 FT-TS-Cashout-LG&amp;E'!$C280)</f>
        <v>275</v>
      </c>
      <c r="N280" s="1001">
        <f>SUMIFS('Data FT-TS-Cashout-Paddys'!$I$5:$I$756,'Data FT-TS-Cashout-Paddys'!$F$5:$F$756,'Apr11-Mar12 FT-TS-Cashout-LG&amp;E'!$G280,'Data FT-TS-Cashout-Paddys'!$A$5:$A$756,'Apr11-Mar12 FT-TS-Cashout-LG&amp;E'!N$219,'Data FT-TS-Cashout-Paddys'!$C$5:$C$756,'Apr11-Mar12 FT-TS-Cashout-LG&amp;E'!$C280)</f>
        <v>275</v>
      </c>
      <c r="O280" s="1001">
        <f>SUMIFS('Data FT-TS-Cashout-Paddys'!$I$5:$I$756,'Data FT-TS-Cashout-Paddys'!$F$5:$F$756,'Apr11-Mar12 FT-TS-Cashout-LG&amp;E'!$G280,'Data FT-TS-Cashout-Paddys'!$A$5:$A$756,'Apr11-Mar12 FT-TS-Cashout-LG&amp;E'!O$219,'Data FT-TS-Cashout-Paddys'!$C$5:$C$756,'Apr11-Mar12 FT-TS-Cashout-LG&amp;E'!$C280)</f>
        <v>275</v>
      </c>
      <c r="P280" s="1001">
        <f>SUMIFS('Data FT-TS-Cashout-Paddys'!$I$5:$I$756,'Data FT-TS-Cashout-Paddys'!$F$5:$F$756,'Apr11-Mar12 FT-TS-Cashout-LG&amp;E'!$G280,'Data FT-TS-Cashout-Paddys'!$A$5:$A$756,'Apr11-Mar12 FT-TS-Cashout-LG&amp;E'!P$219,'Data FT-TS-Cashout-Paddys'!$C$5:$C$756,'Apr11-Mar12 FT-TS-Cashout-LG&amp;E'!$C280)</f>
        <v>275</v>
      </c>
      <c r="Q280" s="1001">
        <f>SUMIFS('Data FT-TS-Cashout-Paddys'!$I$5:$I$756,'Data FT-TS-Cashout-Paddys'!$F$5:$F$756,'Apr11-Mar12 FT-TS-Cashout-LG&amp;E'!$G280,'Data FT-TS-Cashout-Paddys'!$A$5:$A$756,'Apr11-Mar12 FT-TS-Cashout-LG&amp;E'!Q$219,'Data FT-TS-Cashout-Paddys'!$C$5:$C$756,'Apr11-Mar12 FT-TS-Cashout-LG&amp;E'!$C280)</f>
        <v>275</v>
      </c>
      <c r="R280" s="1001">
        <f>SUMIFS('Data FT-TS-Cashout-Paddys'!$I$5:$I$756,'Data FT-TS-Cashout-Paddys'!$F$5:$F$756,'Apr11-Mar12 FT-TS-Cashout-LG&amp;E'!$G280,'Data FT-TS-Cashout-Paddys'!$A$5:$A$756,'Apr11-Mar12 FT-TS-Cashout-LG&amp;E'!R$219,'Data FT-TS-Cashout-Paddys'!$C$5:$C$756,'Apr11-Mar12 FT-TS-Cashout-LG&amp;E'!$C280)</f>
        <v>275</v>
      </c>
      <c r="S280" s="1001">
        <f>SUMIFS('Data FT-TS-Cashout-Paddys'!$I$5:$I$756,'Data FT-TS-Cashout-Paddys'!$F$5:$F$756,'Apr11-Mar12 FT-TS-Cashout-LG&amp;E'!$G280,'Data FT-TS-Cashout-Paddys'!$A$5:$A$756,'Apr11-Mar12 FT-TS-Cashout-LG&amp;E'!S$219,'Data FT-TS-Cashout-Paddys'!$C$5:$C$756,'Apr11-Mar12 FT-TS-Cashout-LG&amp;E'!$C280)</f>
        <v>275</v>
      </c>
      <c r="T280" s="1001">
        <f>SUM(H280:S280)</f>
        <v>3300</v>
      </c>
    </row>
    <row r="281" spans="2:20" x14ac:dyDescent="0.2">
      <c r="B281" s="561" t="str">
        <f>VLOOKUP($C281,'Retail Rates'!$B$46:$Q$55,13,FALSE)</f>
        <v>Special Contracts Industrial</v>
      </c>
      <c r="C281" s="633" t="s">
        <v>109</v>
      </c>
      <c r="D281" s="633" t="str">
        <f t="shared" si="103"/>
        <v>992</v>
      </c>
      <c r="F281" s="991" t="s">
        <v>414</v>
      </c>
      <c r="H281" s="1001">
        <f>ROUND(H275*H277,2)</f>
        <v>0</v>
      </c>
      <c r="I281" s="1001">
        <f t="shared" ref="I281:S281" si="104">ROUND(I275*I277,2)</f>
        <v>0</v>
      </c>
      <c r="J281" s="1001">
        <f t="shared" si="104"/>
        <v>0</v>
      </c>
      <c r="K281" s="1001">
        <f t="shared" si="104"/>
        <v>97.39</v>
      </c>
      <c r="L281" s="1001">
        <f t="shared" si="104"/>
        <v>0</v>
      </c>
      <c r="M281" s="1001">
        <f t="shared" si="104"/>
        <v>0</v>
      </c>
      <c r="N281" s="1001">
        <f t="shared" si="104"/>
        <v>0</v>
      </c>
      <c r="O281" s="1001">
        <f t="shared" si="104"/>
        <v>0</v>
      </c>
      <c r="P281" s="1001">
        <f t="shared" si="104"/>
        <v>0</v>
      </c>
      <c r="Q281" s="1001">
        <f t="shared" si="104"/>
        <v>0</v>
      </c>
      <c r="R281" s="1001">
        <f t="shared" si="104"/>
        <v>367.39</v>
      </c>
      <c r="S281" s="1001">
        <f t="shared" si="104"/>
        <v>49.78</v>
      </c>
      <c r="T281" s="1050">
        <f>SUM(H281:S281)</f>
        <v>514.55999999999995</v>
      </c>
    </row>
    <row r="282" spans="2:20" x14ac:dyDescent="0.2">
      <c r="B282" s="561" t="str">
        <f>VLOOKUP($C282,'Retail Rates'!$B$46:$Q$55,13,FALSE)</f>
        <v>Special Contracts Industrial</v>
      </c>
      <c r="C282" s="633" t="s">
        <v>109</v>
      </c>
      <c r="D282" s="633" t="str">
        <f t="shared" si="103"/>
        <v>992</v>
      </c>
      <c r="F282" s="991" t="s">
        <v>855</v>
      </c>
      <c r="G282" s="987" t="s">
        <v>823</v>
      </c>
      <c r="H282" s="1000">
        <f>SUMIFS('Data FT-TS-Cashout-Paddys'!$J$5:$J$756,'Data FT-TS-Cashout-Paddys'!$F$5:$F$756,'Apr11-Mar12 FT-TS-Cashout-LG&amp;E'!$G282,'Data FT-TS-Cashout-Paddys'!$A$5:$A$756,'Apr11-Mar12 FT-TS-Cashout-LG&amp;E'!H$219,'Data FT-TS-Cashout-Paddys'!$C$5:$C$756,'Apr11-Mar12 FT-TS-Cashout-LG&amp;E'!$C282)</f>
        <v>0</v>
      </c>
      <c r="I282" s="1000">
        <f>SUMIFS('Data FT-TS-Cashout-Paddys'!$J$5:$J$756,'Data FT-TS-Cashout-Paddys'!$F$5:$F$756,'Apr11-Mar12 FT-TS-Cashout-LG&amp;E'!$G282,'Data FT-TS-Cashout-Paddys'!$A$5:$A$756,'Apr11-Mar12 FT-TS-Cashout-LG&amp;E'!I$219,'Data FT-TS-Cashout-Paddys'!$C$5:$C$756,'Apr11-Mar12 FT-TS-Cashout-LG&amp;E'!$C282)</f>
        <v>0</v>
      </c>
      <c r="J282" s="1000">
        <f>SUMIFS('Data FT-TS-Cashout-Paddys'!$J$5:$J$756,'Data FT-TS-Cashout-Paddys'!$F$5:$F$756,'Apr11-Mar12 FT-TS-Cashout-LG&amp;E'!$G282,'Data FT-TS-Cashout-Paddys'!$A$5:$A$756,'Apr11-Mar12 FT-TS-Cashout-LG&amp;E'!J$219,'Data FT-TS-Cashout-Paddys'!$C$5:$C$756,'Apr11-Mar12 FT-TS-Cashout-LG&amp;E'!$C282)</f>
        <v>0</v>
      </c>
      <c r="K282" s="1000">
        <f>SUMIFS('Data FT-TS-Cashout-Paddys'!$J$5:$J$756,'Data FT-TS-Cashout-Paddys'!$F$5:$F$756,'Apr11-Mar12 FT-TS-Cashout-LG&amp;E'!$G282,'Data FT-TS-Cashout-Paddys'!$A$5:$A$756,'Apr11-Mar12 FT-TS-Cashout-LG&amp;E'!K$219,'Data FT-TS-Cashout-Paddys'!$C$5:$C$756,'Apr11-Mar12 FT-TS-Cashout-LG&amp;E'!$C282)</f>
        <v>4275.28</v>
      </c>
      <c r="L282" s="1000">
        <f>SUMIFS('Data FT-TS-Cashout-Paddys'!$J$5:$J$756,'Data FT-TS-Cashout-Paddys'!$F$5:$F$756,'Apr11-Mar12 FT-TS-Cashout-LG&amp;E'!$G282,'Data FT-TS-Cashout-Paddys'!$A$5:$A$756,'Apr11-Mar12 FT-TS-Cashout-LG&amp;E'!L$219,'Data FT-TS-Cashout-Paddys'!$C$5:$C$756,'Apr11-Mar12 FT-TS-Cashout-LG&amp;E'!$C282)</f>
        <v>0</v>
      </c>
      <c r="M282" s="1000">
        <f>SUMIFS('Data FT-TS-Cashout-Paddys'!$J$5:$J$756,'Data FT-TS-Cashout-Paddys'!$F$5:$F$756,'Apr11-Mar12 FT-TS-Cashout-LG&amp;E'!$G282,'Data FT-TS-Cashout-Paddys'!$A$5:$A$756,'Apr11-Mar12 FT-TS-Cashout-LG&amp;E'!M$219,'Data FT-TS-Cashout-Paddys'!$C$5:$C$756,'Apr11-Mar12 FT-TS-Cashout-LG&amp;E'!$C282)</f>
        <v>0</v>
      </c>
      <c r="N282" s="1000">
        <f>SUMIFS('Data FT-TS-Cashout-Paddys'!$J$5:$J$756,'Data FT-TS-Cashout-Paddys'!$F$5:$F$756,'Apr11-Mar12 FT-TS-Cashout-LG&amp;E'!$G282,'Data FT-TS-Cashout-Paddys'!$A$5:$A$756,'Apr11-Mar12 FT-TS-Cashout-LG&amp;E'!N$219,'Data FT-TS-Cashout-Paddys'!$C$5:$C$756,'Apr11-Mar12 FT-TS-Cashout-LG&amp;E'!$C282)</f>
        <v>0</v>
      </c>
      <c r="O282" s="1000">
        <f>SUMIFS('Data FT-TS-Cashout-Paddys'!$J$5:$J$756,'Data FT-TS-Cashout-Paddys'!$F$5:$F$756,'Apr11-Mar12 FT-TS-Cashout-LG&amp;E'!$G282,'Data FT-TS-Cashout-Paddys'!$A$5:$A$756,'Apr11-Mar12 FT-TS-Cashout-LG&amp;E'!O$219,'Data FT-TS-Cashout-Paddys'!$C$5:$C$756,'Apr11-Mar12 FT-TS-Cashout-LG&amp;E'!$C282)</f>
        <v>0</v>
      </c>
      <c r="P282" s="1000">
        <f>SUMIFS('Data FT-TS-Cashout-Paddys'!$J$5:$J$756,'Data FT-TS-Cashout-Paddys'!$F$5:$F$756,'Apr11-Mar12 FT-TS-Cashout-LG&amp;E'!$G282,'Data FT-TS-Cashout-Paddys'!$A$5:$A$756,'Apr11-Mar12 FT-TS-Cashout-LG&amp;E'!P$219,'Data FT-TS-Cashout-Paddys'!$C$5:$C$756,'Apr11-Mar12 FT-TS-Cashout-LG&amp;E'!$C282)</f>
        <v>0</v>
      </c>
      <c r="Q282" s="1000">
        <f>SUMIFS('Data FT-TS-Cashout-Paddys'!$J$5:$J$756,'Data FT-TS-Cashout-Paddys'!$F$5:$F$756,'Apr11-Mar12 FT-TS-Cashout-LG&amp;E'!$G282,'Data FT-TS-Cashout-Paddys'!$A$5:$A$756,'Apr11-Mar12 FT-TS-Cashout-LG&amp;E'!Q$219,'Data FT-TS-Cashout-Paddys'!$C$5:$C$756,'Apr11-Mar12 FT-TS-Cashout-LG&amp;E'!$C282)</f>
        <v>0</v>
      </c>
      <c r="R282" s="1000">
        <f>SUMIFS('Data FT-TS-Cashout-Paddys'!$J$5:$J$756,'Data FT-TS-Cashout-Paddys'!$F$5:$F$756,'Apr11-Mar12 FT-TS-Cashout-LG&amp;E'!$G282,'Data FT-TS-Cashout-Paddys'!$A$5:$A$756,'Apr11-Mar12 FT-TS-Cashout-LG&amp;E'!R$219,'Data FT-TS-Cashout-Paddys'!$C$5:$C$756,'Apr11-Mar12 FT-TS-Cashout-LG&amp;E'!$C282)</f>
        <v>14107.74</v>
      </c>
      <c r="S282" s="1000">
        <f>SUMIFS('Data FT-TS-Cashout-Paddys'!$J$5:$J$756,'Data FT-TS-Cashout-Paddys'!$F$5:$F$756,'Apr11-Mar12 FT-TS-Cashout-LG&amp;E'!$G282,'Data FT-TS-Cashout-Paddys'!$A$5:$A$756,'Apr11-Mar12 FT-TS-Cashout-LG&amp;E'!S$219,'Data FT-TS-Cashout-Paddys'!$C$5:$C$756,'Apr11-Mar12 FT-TS-Cashout-LG&amp;E'!$C282)</f>
        <v>1753.28</v>
      </c>
      <c r="T282" s="1001">
        <f>SUM(H282:S282)</f>
        <v>20136.3</v>
      </c>
    </row>
    <row r="283" spans="2:20" x14ac:dyDescent="0.2">
      <c r="B283" s="561" t="str">
        <f>VLOOKUP($C283,'Retail Rates'!$B$46:$Q$55,13,FALSE)</f>
        <v>Special Contracts Industrial</v>
      </c>
      <c r="C283" s="633" t="s">
        <v>109</v>
      </c>
      <c r="D283" s="633" t="str">
        <f t="shared" si="103"/>
        <v>992</v>
      </c>
      <c r="F283" s="991" t="s">
        <v>433</v>
      </c>
      <c r="H283" s="999">
        <f>SUM(H280:H282)</f>
        <v>275</v>
      </c>
      <c r="I283" s="999">
        <f t="shared" ref="I283:S283" si="105">SUM(I280:I282)</f>
        <v>275</v>
      </c>
      <c r="J283" s="999">
        <f t="shared" si="105"/>
        <v>275</v>
      </c>
      <c r="K283" s="999">
        <f t="shared" si="105"/>
        <v>4647.67</v>
      </c>
      <c r="L283" s="999">
        <f t="shared" si="105"/>
        <v>275</v>
      </c>
      <c r="M283" s="999">
        <f t="shared" si="105"/>
        <v>275</v>
      </c>
      <c r="N283" s="999">
        <f t="shared" si="105"/>
        <v>275</v>
      </c>
      <c r="O283" s="999">
        <f t="shared" si="105"/>
        <v>275</v>
      </c>
      <c r="P283" s="999">
        <f t="shared" si="105"/>
        <v>275</v>
      </c>
      <c r="Q283" s="999">
        <f t="shared" si="105"/>
        <v>275</v>
      </c>
      <c r="R283" s="999">
        <f t="shared" si="105"/>
        <v>14750.13</v>
      </c>
      <c r="S283" s="999">
        <f t="shared" si="105"/>
        <v>2078.06</v>
      </c>
      <c r="T283" s="1001">
        <f>SUM(H283:S283)</f>
        <v>23950.86</v>
      </c>
    </row>
    <row r="284" spans="2:20" x14ac:dyDescent="0.2">
      <c r="B284" s="561" t="str">
        <f>VLOOKUP($C284,'Retail Rates'!$B$46:$Q$55,13,FALSE)</f>
        <v>Special Contracts Industrial</v>
      </c>
      <c r="C284" s="633" t="s">
        <v>109</v>
      </c>
      <c r="D284" s="633" t="str">
        <f t="shared" si="103"/>
        <v>992</v>
      </c>
      <c r="F284" s="991"/>
    </row>
    <row r="285" spans="2:20" x14ac:dyDescent="0.2">
      <c r="B285" s="561" t="str">
        <f>VLOOKUP($C285,'Retail Rates'!$B$46:$Q$55,13,FALSE)</f>
        <v>Special Contracts Industrial</v>
      </c>
      <c r="C285" s="633" t="s">
        <v>109</v>
      </c>
      <c r="D285" s="633" t="str">
        <f t="shared" si="103"/>
        <v>992</v>
      </c>
      <c r="F285" s="991" t="s">
        <v>841</v>
      </c>
      <c r="H285" s="999">
        <f>SUMIFS('FT_Cashouts_IntraCo-PR'!$G$4:$G$118,'FT_Cashouts_IntraCo-PR'!$A$4:$A$118,'Apr11-Mar12 FT-TS-Cashout-LG&amp;E'!$C285,'FT_Cashouts_IntraCo-PR'!$C$4:$C$118,'Apr11-Mar12 FT-TS-Cashout-LG&amp;E'!H$219)</f>
        <v>275</v>
      </c>
      <c r="I285" s="999">
        <f>SUMIFS('FT_Cashouts_IntraCo-PR'!$G$4:$G$118,'FT_Cashouts_IntraCo-PR'!$A$4:$A$118,'Apr11-Mar12 FT-TS-Cashout-LG&amp;E'!$C285,'FT_Cashouts_IntraCo-PR'!$C$4:$C$118,'Apr11-Mar12 FT-TS-Cashout-LG&amp;E'!I$219)</f>
        <v>275</v>
      </c>
      <c r="J285" s="999">
        <f>SUMIFS('FT_Cashouts_IntraCo-PR'!$G$4:$G$118,'FT_Cashouts_IntraCo-PR'!$A$4:$A$118,'Apr11-Mar12 FT-TS-Cashout-LG&amp;E'!$C285,'FT_Cashouts_IntraCo-PR'!$C$4:$C$118,'Apr11-Mar12 FT-TS-Cashout-LG&amp;E'!J$219)</f>
        <v>0</v>
      </c>
      <c r="K285" s="999">
        <f>SUMIFS('FT_Cashouts_IntraCo-PR'!$G$4:$G$118,'FT_Cashouts_IntraCo-PR'!$A$4:$A$118,'Apr11-Mar12 FT-TS-Cashout-LG&amp;E'!$C285,'FT_Cashouts_IntraCo-PR'!$C$4:$C$118,'Apr11-Mar12 FT-TS-Cashout-LG&amp;E'!K$219)</f>
        <v>4647.67</v>
      </c>
      <c r="L285" s="999">
        <f>SUMIFS('FT_Cashouts_IntraCo-PR'!$G$4:$G$118,'FT_Cashouts_IntraCo-PR'!$A$4:$A$118,'Apr11-Mar12 FT-TS-Cashout-LG&amp;E'!$C285,'FT_Cashouts_IntraCo-PR'!$C$4:$C$118,'Apr11-Mar12 FT-TS-Cashout-LG&amp;E'!L$219)</f>
        <v>275</v>
      </c>
      <c r="M285" s="999">
        <f>SUMIFS('FT_Cashouts_IntraCo-PR'!$G$4:$G$118,'FT_Cashouts_IntraCo-PR'!$A$4:$A$118,'Apr11-Mar12 FT-TS-Cashout-LG&amp;E'!$C285,'FT_Cashouts_IntraCo-PR'!$C$4:$C$118,'Apr11-Mar12 FT-TS-Cashout-LG&amp;E'!M$219)</f>
        <v>275</v>
      </c>
      <c r="N285" s="999">
        <f>SUMIFS('FT_Cashouts_IntraCo-PR'!$G$4:$G$118,'FT_Cashouts_IntraCo-PR'!$A$4:$A$118,'Apr11-Mar12 FT-TS-Cashout-LG&amp;E'!$C285,'FT_Cashouts_IntraCo-PR'!$C$4:$C$118,'Apr11-Mar12 FT-TS-Cashout-LG&amp;E'!N$219)</f>
        <v>275</v>
      </c>
      <c r="O285" s="999">
        <f>SUMIFS('FT_Cashouts_IntraCo-PR'!$G$4:$G$118,'FT_Cashouts_IntraCo-PR'!$A$4:$A$118,'Apr11-Mar12 FT-TS-Cashout-LG&amp;E'!$C285,'FT_Cashouts_IntraCo-PR'!$C$4:$C$118,'Apr11-Mar12 FT-TS-Cashout-LG&amp;E'!O$219)</f>
        <v>275</v>
      </c>
      <c r="P285" s="999">
        <f>SUMIFS('FT_Cashouts_IntraCo-PR'!$G$4:$G$118,'FT_Cashouts_IntraCo-PR'!$A$4:$A$118,'Apr11-Mar12 FT-TS-Cashout-LG&amp;E'!$C285,'FT_Cashouts_IntraCo-PR'!$C$4:$C$118,'Apr11-Mar12 FT-TS-Cashout-LG&amp;E'!P$219)</f>
        <v>275</v>
      </c>
      <c r="Q285" s="999">
        <f>SUMIFS('FT_Cashouts_IntraCo-PR'!$G$4:$G$118,'FT_Cashouts_IntraCo-PR'!$A$4:$A$118,'Apr11-Mar12 FT-TS-Cashout-LG&amp;E'!$C285,'FT_Cashouts_IntraCo-PR'!$C$4:$C$118,'Apr11-Mar12 FT-TS-Cashout-LG&amp;E'!Q$219)</f>
        <v>275</v>
      </c>
      <c r="R285" s="999">
        <f>SUMIFS('FT_Cashouts_IntraCo-PR'!$G$4:$G$118,'FT_Cashouts_IntraCo-PR'!$A$4:$A$118,'Apr11-Mar12 FT-TS-Cashout-LG&amp;E'!$C285,'FT_Cashouts_IntraCo-PR'!$C$4:$C$118,'Apr11-Mar12 FT-TS-Cashout-LG&amp;E'!R$219)</f>
        <v>14750.13</v>
      </c>
      <c r="S285" s="999">
        <f>SUMIFS('FT_Cashouts_IntraCo-PR'!$G$4:$G$118,'FT_Cashouts_IntraCo-PR'!$A$4:$A$118,'Apr11-Mar12 FT-TS-Cashout-LG&amp;E'!$C285,'FT_Cashouts_IntraCo-PR'!$C$4:$C$118,'Apr11-Mar12 FT-TS-Cashout-LG&amp;E'!S$219)</f>
        <v>2078.06</v>
      </c>
      <c r="T285" s="1001">
        <f>SUM(H285:S285)</f>
        <v>23675.86</v>
      </c>
    </row>
    <row r="286" spans="2:20" x14ac:dyDescent="0.2">
      <c r="B286" s="561" t="str">
        <f>VLOOKUP($C286,'Retail Rates'!$B$46:$Q$55,13,FALSE)</f>
        <v>Special Contracts Industrial</v>
      </c>
      <c r="C286" s="633" t="s">
        <v>109</v>
      </c>
      <c r="D286" s="633" t="str">
        <f t="shared" si="103"/>
        <v>992</v>
      </c>
    </row>
    <row r="287" spans="2:20" x14ac:dyDescent="0.2">
      <c r="B287" s="561" t="str">
        <f>VLOOKUP($C287,'Retail Rates'!$B$46:$Q$55,13,FALSE)</f>
        <v>Special Contracts Industrial</v>
      </c>
      <c r="C287" s="633" t="s">
        <v>109</v>
      </c>
      <c r="D287" s="633" t="str">
        <f t="shared" si="103"/>
        <v>992</v>
      </c>
      <c r="F287" s="991" t="s">
        <v>386</v>
      </c>
      <c r="H287" s="999">
        <f>+H283-H285</f>
        <v>0</v>
      </c>
      <c r="I287" s="999">
        <f t="shared" ref="I287:S287" si="106">+I283-I285</f>
        <v>0</v>
      </c>
      <c r="J287" s="999">
        <f t="shared" si="106"/>
        <v>275</v>
      </c>
      <c r="K287" s="999">
        <f t="shared" si="106"/>
        <v>0</v>
      </c>
      <c r="L287" s="999">
        <f t="shared" si="106"/>
        <v>0</v>
      </c>
      <c r="M287" s="999">
        <f t="shared" si="106"/>
        <v>0</v>
      </c>
      <c r="N287" s="999">
        <f t="shared" si="106"/>
        <v>0</v>
      </c>
      <c r="O287" s="999">
        <f t="shared" si="106"/>
        <v>0</v>
      </c>
      <c r="P287" s="999">
        <f t="shared" si="106"/>
        <v>0</v>
      </c>
      <c r="Q287" s="999">
        <f t="shared" si="106"/>
        <v>0</v>
      </c>
      <c r="R287" s="999">
        <f t="shared" si="106"/>
        <v>0</v>
      </c>
      <c r="S287" s="999">
        <f t="shared" si="106"/>
        <v>0</v>
      </c>
      <c r="T287" s="1001">
        <f>SUM(H287:S287)</f>
        <v>275</v>
      </c>
    </row>
    <row r="288" spans="2:20" x14ac:dyDescent="0.2">
      <c r="C288" s="633"/>
      <c r="D288" s="633"/>
    </row>
    <row r="289" spans="2:20" ht="15" x14ac:dyDescent="0.25">
      <c r="C289" s="398"/>
      <c r="D289" s="633"/>
    </row>
    <row r="290" spans="2:20" x14ac:dyDescent="0.2">
      <c r="F290" s="324" t="s">
        <v>1166</v>
      </c>
    </row>
    <row r="291" spans="2:20" x14ac:dyDescent="0.2">
      <c r="B291" s="561" t="str">
        <f>VLOOKUP($C291,'Retail Rates'!$B$46:$Q$55,13,FALSE)</f>
        <v>Special Contracts Public Authority</v>
      </c>
      <c r="C291" s="633" t="s">
        <v>106</v>
      </c>
      <c r="D291" s="633" t="str">
        <f t="shared" ref="D291:D303" si="107">MID(C291,6,3)</f>
        <v>991</v>
      </c>
      <c r="F291" s="991" t="s">
        <v>408</v>
      </c>
      <c r="G291" s="987" t="s">
        <v>812</v>
      </c>
      <c r="H291" s="992">
        <f>SUMIFS('Data FT-TS-Cashout-Paddys'!$G$5:$G$756,'Data FT-TS-Cashout-Paddys'!$F$5:$F$756,'Apr11-Mar12 FT-TS-Cashout-LG&amp;E'!$G291,'Data FT-TS-Cashout-Paddys'!$A$5:$A$756,'Apr11-Mar12 FT-TS-Cashout-LG&amp;E'!H$219,'Data FT-TS-Cashout-Paddys'!$C$5:$C$756,'Apr11-Mar12 FT-TS-Cashout-LG&amp;E'!$C291,'Data FT-TS-Cashout-Paddys'!$E$5:$E$756,'Apr11-Mar12 FT-TS-Cashout-LG&amp;E'!H$220)/10</f>
        <v>428.1</v>
      </c>
      <c r="I291" s="992">
        <f>SUMIFS('Data FT-TS-Cashout-Paddys'!$G$5:$G$756,'Data FT-TS-Cashout-Paddys'!$F$5:$F$756,'Apr11-Mar12 FT-TS-Cashout-LG&amp;E'!$G291,'Data FT-TS-Cashout-Paddys'!$A$5:$A$756,'Apr11-Mar12 FT-TS-Cashout-LG&amp;E'!I$219,'Data FT-TS-Cashout-Paddys'!$C$5:$C$756,'Apr11-Mar12 FT-TS-Cashout-LG&amp;E'!$C291,'Data FT-TS-Cashout-Paddys'!$E$5:$E$756,'Apr11-Mar12 FT-TS-Cashout-LG&amp;E'!I$220)/10</f>
        <v>1431.4</v>
      </c>
      <c r="J291" s="992">
        <f>SUMIFS('Data FT-TS-Cashout-Paddys'!$G$5:$G$756,'Data FT-TS-Cashout-Paddys'!$F$5:$F$756,'Apr11-Mar12 FT-TS-Cashout-LG&amp;E'!$G291,'Data FT-TS-Cashout-Paddys'!$A$5:$A$756,'Apr11-Mar12 FT-TS-Cashout-LG&amp;E'!J$219,'Data FT-TS-Cashout-Paddys'!$C$5:$C$756,'Apr11-Mar12 FT-TS-Cashout-LG&amp;E'!$C291,'Data FT-TS-Cashout-Paddys'!$E$5:$E$756,'Apr11-Mar12 FT-TS-Cashout-LG&amp;E'!J$220)/10</f>
        <v>998.6</v>
      </c>
      <c r="K291" s="992">
        <f>SUMIFS('Data FT-TS-Cashout-Paddys'!$G$5:$G$756,'Data FT-TS-Cashout-Paddys'!$F$5:$F$756,'Apr11-Mar12 FT-TS-Cashout-LG&amp;E'!$G291,'Data FT-TS-Cashout-Paddys'!$A$5:$A$756,'Apr11-Mar12 FT-TS-Cashout-LG&amp;E'!K$219,'Data FT-TS-Cashout-Paddys'!$C$5:$C$756,'Apr11-Mar12 FT-TS-Cashout-LG&amp;E'!$C291,'Data FT-TS-Cashout-Paddys'!$E$5:$E$756,'Apr11-Mar12 FT-TS-Cashout-LG&amp;E'!K$220)/10</f>
        <v>0</v>
      </c>
      <c r="L291" s="992">
        <f>SUMIFS('Data FT-TS-Cashout-Paddys'!$G$5:$G$756,'Data FT-TS-Cashout-Paddys'!$F$5:$F$756,'Apr11-Mar12 FT-TS-Cashout-LG&amp;E'!$G291,'Data FT-TS-Cashout-Paddys'!$A$5:$A$756,'Apr11-Mar12 FT-TS-Cashout-LG&amp;E'!L$219,'Data FT-TS-Cashout-Paddys'!$C$5:$C$756,'Apr11-Mar12 FT-TS-Cashout-LG&amp;E'!$C291,'Data FT-TS-Cashout-Paddys'!$E$5:$E$756,'Apr11-Mar12 FT-TS-Cashout-LG&amp;E'!L$220)/10</f>
        <v>0</v>
      </c>
      <c r="M291" s="992">
        <f>SUMIFS('Data FT-TS-Cashout-Paddys'!$G$5:$G$756,'Data FT-TS-Cashout-Paddys'!$F$5:$F$756,'Apr11-Mar12 FT-TS-Cashout-LG&amp;E'!$G291,'Data FT-TS-Cashout-Paddys'!$A$5:$A$756,'Apr11-Mar12 FT-TS-Cashout-LG&amp;E'!M$219,'Data FT-TS-Cashout-Paddys'!$C$5:$C$756,'Apr11-Mar12 FT-TS-Cashout-LG&amp;E'!$C291,'Data FT-TS-Cashout-Paddys'!$E$5:$E$756,'Apr11-Mar12 FT-TS-Cashout-LG&amp;E'!M$220)/10</f>
        <v>0</v>
      </c>
      <c r="N291" s="992">
        <f>SUMIFS('Data FT-TS-Cashout-Paddys'!$G$5:$G$756,'Data FT-TS-Cashout-Paddys'!$F$5:$F$756,'Apr11-Mar12 FT-TS-Cashout-LG&amp;E'!$G291,'Data FT-TS-Cashout-Paddys'!$A$5:$A$756,'Apr11-Mar12 FT-TS-Cashout-LG&amp;E'!N$219,'Data FT-TS-Cashout-Paddys'!$C$5:$C$756,'Apr11-Mar12 FT-TS-Cashout-LG&amp;E'!$C291,'Data FT-TS-Cashout-Paddys'!$E$5:$E$756,'Apr11-Mar12 FT-TS-Cashout-LG&amp;E'!N$220)/10</f>
        <v>0</v>
      </c>
      <c r="O291" s="992">
        <f>SUMIFS('Data FT-TS-Cashout-Paddys'!$G$5:$G$756,'Data FT-TS-Cashout-Paddys'!$F$5:$F$756,'Apr11-Mar12 FT-TS-Cashout-LG&amp;E'!$G291,'Data FT-TS-Cashout-Paddys'!$A$5:$A$756,'Apr11-Mar12 FT-TS-Cashout-LG&amp;E'!O$219,'Data FT-TS-Cashout-Paddys'!$C$5:$C$756,'Apr11-Mar12 FT-TS-Cashout-LG&amp;E'!$C291,'Data FT-TS-Cashout-Paddys'!$E$5:$E$756,'Apr11-Mar12 FT-TS-Cashout-LG&amp;E'!O$220)/10</f>
        <v>154.69999999999999</v>
      </c>
      <c r="P291" s="992">
        <f>SUMIFS('Data FT-TS-Cashout-Paddys'!$G$5:$G$756,'Data FT-TS-Cashout-Paddys'!$F$5:$F$756,'Apr11-Mar12 FT-TS-Cashout-LG&amp;E'!$G291,'Data FT-TS-Cashout-Paddys'!$A$5:$A$756,'Apr11-Mar12 FT-TS-Cashout-LG&amp;E'!P$219,'Data FT-TS-Cashout-Paddys'!$C$5:$C$756,'Apr11-Mar12 FT-TS-Cashout-LG&amp;E'!$C291,'Data FT-TS-Cashout-Paddys'!$E$5:$E$756,'Apr11-Mar12 FT-TS-Cashout-LG&amp;E'!P$220)/10</f>
        <v>0</v>
      </c>
      <c r="Q291" s="992">
        <f>SUMIFS('Data FT-TS-Cashout-Paddys'!$G$5:$G$756,'Data FT-TS-Cashout-Paddys'!$F$5:$F$756,'Apr11-Mar12 FT-TS-Cashout-LG&amp;E'!$G291,'Data FT-TS-Cashout-Paddys'!$A$5:$A$756,'Apr11-Mar12 FT-TS-Cashout-LG&amp;E'!Q$219,'Data FT-TS-Cashout-Paddys'!$C$5:$C$756,'Apr11-Mar12 FT-TS-Cashout-LG&amp;E'!$C291,'Data FT-TS-Cashout-Paddys'!$E$5:$E$756,'Apr11-Mar12 FT-TS-Cashout-LG&amp;E'!Q$220)/10</f>
        <v>70.8</v>
      </c>
      <c r="R291" s="992">
        <f>SUMIFS('Data FT-TS-Cashout-Paddys'!$G$5:$G$756,'Data FT-TS-Cashout-Paddys'!$F$5:$F$756,'Apr11-Mar12 FT-TS-Cashout-LG&amp;E'!$G291,'Data FT-TS-Cashout-Paddys'!$A$5:$A$756,'Apr11-Mar12 FT-TS-Cashout-LG&amp;E'!R$219,'Data FT-TS-Cashout-Paddys'!$C$5:$C$756,'Apr11-Mar12 FT-TS-Cashout-LG&amp;E'!$C291,'Data FT-TS-Cashout-Paddys'!$E$5:$E$756,'Apr11-Mar12 FT-TS-Cashout-LG&amp;E'!R$220)/10</f>
        <v>752.3</v>
      </c>
      <c r="S291" s="992">
        <f>SUMIFS('Data FT-TS-Cashout-Paddys'!$G$5:$G$756,'Data FT-TS-Cashout-Paddys'!$F$5:$F$756,'Apr11-Mar12 FT-TS-Cashout-LG&amp;E'!$G291,'Data FT-TS-Cashout-Paddys'!$A$5:$A$756,'Apr11-Mar12 FT-TS-Cashout-LG&amp;E'!S$219,'Data FT-TS-Cashout-Paddys'!$C$5:$C$756,'Apr11-Mar12 FT-TS-Cashout-LG&amp;E'!$C291,'Data FT-TS-Cashout-Paddys'!$E$5:$E$756,'Apr11-Mar12 FT-TS-Cashout-LG&amp;E'!S$220)/10</f>
        <v>380</v>
      </c>
      <c r="T291" s="1046">
        <f>SUM(H291:S291)</f>
        <v>4215.8999999999996</v>
      </c>
    </row>
    <row r="292" spans="2:20" x14ac:dyDescent="0.2">
      <c r="B292" s="561" t="str">
        <f>VLOOKUP($C292,'Retail Rates'!$B$46:$Q$55,13,FALSE)</f>
        <v>Special Contracts Public Authority</v>
      </c>
      <c r="C292" s="633" t="s">
        <v>106</v>
      </c>
      <c r="D292" s="633" t="str">
        <f t="shared" si="107"/>
        <v>991</v>
      </c>
      <c r="F292" s="991" t="s">
        <v>262</v>
      </c>
      <c r="G292" s="561" t="s">
        <v>849</v>
      </c>
      <c r="H292" s="994">
        <f>VLOOKUP($C292,'Retail Rates'!$B$45:$N$55,9,FALSE)</f>
        <v>781</v>
      </c>
      <c r="I292" s="994">
        <f>VLOOKUP($C292,'Retail Rates'!$B$45:$N$55,9,FALSE)</f>
        <v>781</v>
      </c>
      <c r="J292" s="994">
        <f>VLOOKUP($C292,'Retail Rates'!$B$45:$N$55,9,FALSE)</f>
        <v>781</v>
      </c>
      <c r="K292" s="994">
        <f>VLOOKUP($C292,'Retail Rates'!$B$45:$N$55,9,FALSE)</f>
        <v>781</v>
      </c>
      <c r="L292" s="994">
        <f>VLOOKUP($C292,'Retail Rates'!$B$45:$N$55,9,FALSE)</f>
        <v>781</v>
      </c>
      <c r="M292" s="994">
        <f>VLOOKUP($C292,'Retail Rates'!$B$45:$N$55,9,FALSE)</f>
        <v>781</v>
      </c>
      <c r="N292" s="994">
        <f>VLOOKUP($C292,'Retail Rates'!$B$45:$N$55,9,FALSE)</f>
        <v>781</v>
      </c>
      <c r="O292" s="994">
        <f>VLOOKUP($C292,'Retail Rates'!$B$45:$N$55,9,FALSE)</f>
        <v>781</v>
      </c>
      <c r="P292" s="994">
        <f>VLOOKUP($C292,'Retail Rates'!$B$45:$N$55,9,FALSE)</f>
        <v>781</v>
      </c>
      <c r="Q292" s="994">
        <f>VLOOKUP($C292,'Retail Rates'!$B$45:$N$55,9,FALSE)</f>
        <v>781</v>
      </c>
      <c r="R292" s="994">
        <f>VLOOKUP($C292,'Retail Rates'!$B$45:$N$55,9,FALSE)</f>
        <v>781</v>
      </c>
      <c r="S292" s="994">
        <f>VLOOKUP($C292,'Retail Rates'!$B$45:$N$55,9,FALSE)</f>
        <v>781</v>
      </c>
      <c r="T292" s="1043">
        <f>SUM(H292:S292)</f>
        <v>9372</v>
      </c>
    </row>
    <row r="293" spans="2:20" x14ac:dyDescent="0.2">
      <c r="B293" s="561" t="str">
        <f>VLOOKUP($C293,'Retail Rates'!$B$46:$Q$55,13,FALSE)</f>
        <v>Special Contracts Public Authority</v>
      </c>
      <c r="C293" s="633" t="s">
        <v>106</v>
      </c>
      <c r="D293" s="633" t="str">
        <f t="shared" si="107"/>
        <v>991</v>
      </c>
      <c r="F293" s="991" t="s">
        <v>6</v>
      </c>
      <c r="H293" s="995">
        <f>VLOOKUP($C293,'Retail Rates'!$B$45:$N$55,7,FALSE)</f>
        <v>4.87E-2</v>
      </c>
      <c r="I293" s="995">
        <f>VLOOKUP($C293,'Retail Rates'!$B$45:$N$55,7,FALSE)</f>
        <v>4.87E-2</v>
      </c>
      <c r="J293" s="995">
        <f>VLOOKUP($C293,'Retail Rates'!$B$45:$N$55,7,FALSE)</f>
        <v>4.87E-2</v>
      </c>
      <c r="K293" s="995">
        <f>VLOOKUP($C293,'Retail Rates'!$B$45:$N$55,7,FALSE)</f>
        <v>4.87E-2</v>
      </c>
      <c r="L293" s="995">
        <f>VLOOKUP($C293,'Retail Rates'!$B$45:$N$55,7,FALSE)</f>
        <v>4.87E-2</v>
      </c>
      <c r="M293" s="995">
        <f>VLOOKUP($C293,'Retail Rates'!$B$45:$N$55,7,FALSE)</f>
        <v>4.87E-2</v>
      </c>
      <c r="N293" s="995">
        <f>VLOOKUP($C293,'Retail Rates'!$B$45:$N$55,7,FALSE)</f>
        <v>4.87E-2</v>
      </c>
      <c r="O293" s="995">
        <f>VLOOKUP($C293,'Retail Rates'!$B$45:$N$55,7,FALSE)</f>
        <v>4.87E-2</v>
      </c>
      <c r="P293" s="995">
        <f>VLOOKUP($C293,'Retail Rates'!$B$45:$N$55,7,FALSE)</f>
        <v>4.87E-2</v>
      </c>
      <c r="Q293" s="995">
        <f>VLOOKUP($C293,'Retail Rates'!$B$45:$N$55,7,FALSE)</f>
        <v>4.87E-2</v>
      </c>
      <c r="R293" s="995">
        <f>VLOOKUP($C293,'Retail Rates'!$B$45:$N$55,7,FALSE)</f>
        <v>4.87E-2</v>
      </c>
      <c r="S293" s="995">
        <f>VLOOKUP($C293,'Retail Rates'!$B$45:$N$55,7,FALSE)</f>
        <v>4.87E-2</v>
      </c>
    </row>
    <row r="294" spans="2:20" x14ac:dyDescent="0.2">
      <c r="B294" s="561" t="str">
        <f>VLOOKUP($C294,'Retail Rates'!$B$46:$Q$55,13,FALSE)</f>
        <v>Special Contracts Public Authority</v>
      </c>
      <c r="C294" s="633" t="s">
        <v>106</v>
      </c>
      <c r="D294" s="633" t="str">
        <f t="shared" si="107"/>
        <v>991</v>
      </c>
      <c r="F294" s="991"/>
    </row>
    <row r="295" spans="2:20" x14ac:dyDescent="0.2">
      <c r="B295" s="561" t="str">
        <f>VLOOKUP($C295,'Retail Rates'!$B$46:$Q$55,13,FALSE)</f>
        <v>Special Contracts Public Authority</v>
      </c>
      <c r="C295" s="633" t="s">
        <v>106</v>
      </c>
      <c r="D295" s="633" t="str">
        <f t="shared" si="107"/>
        <v>991</v>
      </c>
      <c r="F295" s="998" t="s">
        <v>412</v>
      </c>
    </row>
    <row r="296" spans="2:20" x14ac:dyDescent="0.2">
      <c r="B296" s="561" t="str">
        <f>VLOOKUP($C296,'Retail Rates'!$B$46:$Q$55,13,FALSE)</f>
        <v>Special Contracts Public Authority</v>
      </c>
      <c r="C296" s="633" t="s">
        <v>106</v>
      </c>
      <c r="D296" s="633" t="str">
        <f t="shared" si="107"/>
        <v>991</v>
      </c>
      <c r="F296" s="991" t="s">
        <v>262</v>
      </c>
      <c r="G296" s="987" t="s">
        <v>833</v>
      </c>
      <c r="H296" s="1001">
        <f>SUMIFS('Data FT-TS-Cashout-Paddys'!$I$5:$I$756,'Data FT-TS-Cashout-Paddys'!$F$5:$F$756,'Apr11-Mar12 FT-TS-Cashout-LG&amp;E'!$G296,'Data FT-TS-Cashout-Paddys'!$A$5:$A$756,'Apr11-Mar12 FT-TS-Cashout-LG&amp;E'!H$219,'Data FT-TS-Cashout-Paddys'!$C$5:$C$756,'Apr11-Mar12 FT-TS-Cashout-LG&amp;E'!$C296)</f>
        <v>781</v>
      </c>
      <c r="I296" s="1001">
        <f>SUMIFS('Data FT-TS-Cashout-Paddys'!$I$5:$I$756,'Data FT-TS-Cashout-Paddys'!$F$5:$F$756,'Apr11-Mar12 FT-TS-Cashout-LG&amp;E'!$G296,'Data FT-TS-Cashout-Paddys'!$A$5:$A$756,'Apr11-Mar12 FT-TS-Cashout-LG&amp;E'!I$219,'Data FT-TS-Cashout-Paddys'!$C$5:$C$756,'Apr11-Mar12 FT-TS-Cashout-LG&amp;E'!$C296)</f>
        <v>781</v>
      </c>
      <c r="J296" s="1001">
        <f>SUMIFS('Data FT-TS-Cashout-Paddys'!$I$5:$I$756,'Data FT-TS-Cashout-Paddys'!$F$5:$F$756,'Apr11-Mar12 FT-TS-Cashout-LG&amp;E'!$G296,'Data FT-TS-Cashout-Paddys'!$A$5:$A$756,'Apr11-Mar12 FT-TS-Cashout-LG&amp;E'!J$219,'Data FT-TS-Cashout-Paddys'!$C$5:$C$756,'Apr11-Mar12 FT-TS-Cashout-LG&amp;E'!$C296)</f>
        <v>781</v>
      </c>
      <c r="K296" s="1001">
        <f>SUMIFS('Data FT-TS-Cashout-Paddys'!$I$5:$I$756,'Data FT-TS-Cashout-Paddys'!$F$5:$F$756,'Apr11-Mar12 FT-TS-Cashout-LG&amp;E'!$G296,'Data FT-TS-Cashout-Paddys'!$A$5:$A$756,'Apr11-Mar12 FT-TS-Cashout-LG&amp;E'!K$219,'Data FT-TS-Cashout-Paddys'!$C$5:$C$756,'Apr11-Mar12 FT-TS-Cashout-LG&amp;E'!$C296)</f>
        <v>781</v>
      </c>
      <c r="L296" s="1001">
        <f>SUMIFS('Data FT-TS-Cashout-Paddys'!$I$5:$I$756,'Data FT-TS-Cashout-Paddys'!$F$5:$F$756,'Apr11-Mar12 FT-TS-Cashout-LG&amp;E'!$G296,'Data FT-TS-Cashout-Paddys'!$A$5:$A$756,'Apr11-Mar12 FT-TS-Cashout-LG&amp;E'!L$219,'Data FT-TS-Cashout-Paddys'!$C$5:$C$756,'Apr11-Mar12 FT-TS-Cashout-LG&amp;E'!$C296)</f>
        <v>781</v>
      </c>
      <c r="M296" s="1001">
        <f>SUMIFS('Data FT-TS-Cashout-Paddys'!$I$5:$I$756,'Data FT-TS-Cashout-Paddys'!$F$5:$F$756,'Apr11-Mar12 FT-TS-Cashout-LG&amp;E'!$G296,'Data FT-TS-Cashout-Paddys'!$A$5:$A$756,'Apr11-Mar12 FT-TS-Cashout-LG&amp;E'!M$219,'Data FT-TS-Cashout-Paddys'!$C$5:$C$756,'Apr11-Mar12 FT-TS-Cashout-LG&amp;E'!$C296)</f>
        <v>781</v>
      </c>
      <c r="N296" s="1001">
        <f>SUMIFS('Data FT-TS-Cashout-Paddys'!$I$5:$I$756,'Data FT-TS-Cashout-Paddys'!$F$5:$F$756,'Apr11-Mar12 FT-TS-Cashout-LG&amp;E'!$G296,'Data FT-TS-Cashout-Paddys'!$A$5:$A$756,'Apr11-Mar12 FT-TS-Cashout-LG&amp;E'!N$219,'Data FT-TS-Cashout-Paddys'!$C$5:$C$756,'Apr11-Mar12 FT-TS-Cashout-LG&amp;E'!$C296)</f>
        <v>781</v>
      </c>
      <c r="O296" s="1001">
        <f>SUMIFS('Data FT-TS-Cashout-Paddys'!$I$5:$I$756,'Data FT-TS-Cashout-Paddys'!$F$5:$F$756,'Apr11-Mar12 FT-TS-Cashout-LG&amp;E'!$G296,'Data FT-TS-Cashout-Paddys'!$A$5:$A$756,'Apr11-Mar12 FT-TS-Cashout-LG&amp;E'!O$219,'Data FT-TS-Cashout-Paddys'!$C$5:$C$756,'Apr11-Mar12 FT-TS-Cashout-LG&amp;E'!$C296)</f>
        <v>781</v>
      </c>
      <c r="P296" s="1001">
        <f>SUMIFS('Data FT-TS-Cashout-Paddys'!$I$5:$I$756,'Data FT-TS-Cashout-Paddys'!$F$5:$F$756,'Apr11-Mar12 FT-TS-Cashout-LG&amp;E'!$G296,'Data FT-TS-Cashout-Paddys'!$A$5:$A$756,'Apr11-Mar12 FT-TS-Cashout-LG&amp;E'!P$219,'Data FT-TS-Cashout-Paddys'!$C$5:$C$756,'Apr11-Mar12 FT-TS-Cashout-LG&amp;E'!$C296)</f>
        <v>781</v>
      </c>
      <c r="Q296" s="1001">
        <f>SUMIFS('Data FT-TS-Cashout-Paddys'!$I$5:$I$756,'Data FT-TS-Cashout-Paddys'!$F$5:$F$756,'Apr11-Mar12 FT-TS-Cashout-LG&amp;E'!$G296,'Data FT-TS-Cashout-Paddys'!$A$5:$A$756,'Apr11-Mar12 FT-TS-Cashout-LG&amp;E'!Q$219,'Data FT-TS-Cashout-Paddys'!$C$5:$C$756,'Apr11-Mar12 FT-TS-Cashout-LG&amp;E'!$C296)</f>
        <v>781</v>
      </c>
      <c r="R296" s="1001">
        <f>SUMIFS('Data FT-TS-Cashout-Paddys'!$I$5:$I$756,'Data FT-TS-Cashout-Paddys'!$F$5:$F$756,'Apr11-Mar12 FT-TS-Cashout-LG&amp;E'!$G296,'Data FT-TS-Cashout-Paddys'!$A$5:$A$756,'Apr11-Mar12 FT-TS-Cashout-LG&amp;E'!R$219,'Data FT-TS-Cashout-Paddys'!$C$5:$C$756,'Apr11-Mar12 FT-TS-Cashout-LG&amp;E'!$C296)</f>
        <v>781</v>
      </c>
      <c r="S296" s="1001">
        <f>SUMIFS('Data FT-TS-Cashout-Paddys'!$I$5:$I$756,'Data FT-TS-Cashout-Paddys'!$F$5:$F$756,'Apr11-Mar12 FT-TS-Cashout-LG&amp;E'!$G296,'Data FT-TS-Cashout-Paddys'!$A$5:$A$756,'Apr11-Mar12 FT-TS-Cashout-LG&amp;E'!S$219,'Data FT-TS-Cashout-Paddys'!$C$5:$C$756,'Apr11-Mar12 FT-TS-Cashout-LG&amp;E'!$C296)</f>
        <v>781</v>
      </c>
      <c r="T296" s="1001">
        <f>SUM(H296:S296)</f>
        <v>9372</v>
      </c>
    </row>
    <row r="297" spans="2:20" x14ac:dyDescent="0.2">
      <c r="B297" s="561" t="str">
        <f>VLOOKUP($C297,'Retail Rates'!$B$46:$Q$55,13,FALSE)</f>
        <v>Special Contracts Public Authority</v>
      </c>
      <c r="C297" s="633" t="s">
        <v>106</v>
      </c>
      <c r="D297" s="633" t="str">
        <f t="shared" si="107"/>
        <v>991</v>
      </c>
      <c r="F297" s="991" t="s">
        <v>414</v>
      </c>
      <c r="H297" s="1001">
        <f>ROUND(H291*H293,2)</f>
        <v>20.85</v>
      </c>
      <c r="I297" s="1001">
        <f t="shared" ref="I297:S297" si="108">ROUND(I291*I293,2)</f>
        <v>69.709999999999994</v>
      </c>
      <c r="J297" s="1001">
        <f t="shared" si="108"/>
        <v>48.63</v>
      </c>
      <c r="K297" s="1001">
        <f t="shared" si="108"/>
        <v>0</v>
      </c>
      <c r="L297" s="1001">
        <f t="shared" si="108"/>
        <v>0</v>
      </c>
      <c r="M297" s="1001">
        <f t="shared" si="108"/>
        <v>0</v>
      </c>
      <c r="N297" s="1001">
        <f t="shared" si="108"/>
        <v>0</v>
      </c>
      <c r="O297" s="1001">
        <f t="shared" si="108"/>
        <v>7.53</v>
      </c>
      <c r="P297" s="1001">
        <f t="shared" si="108"/>
        <v>0</v>
      </c>
      <c r="Q297" s="1001">
        <f t="shared" si="108"/>
        <v>3.45</v>
      </c>
      <c r="R297" s="1001">
        <f t="shared" si="108"/>
        <v>36.64</v>
      </c>
      <c r="S297" s="1001">
        <f t="shared" si="108"/>
        <v>18.510000000000002</v>
      </c>
      <c r="T297" s="1050">
        <f>SUM(H297:S297)</f>
        <v>205.32</v>
      </c>
    </row>
    <row r="298" spans="2:20" x14ac:dyDescent="0.2">
      <c r="B298" s="561" t="str">
        <f>VLOOKUP($C298,'Retail Rates'!$B$46:$Q$55,13,FALSE)</f>
        <v>Special Contracts Public Authority</v>
      </c>
      <c r="C298" s="633" t="s">
        <v>106</v>
      </c>
      <c r="D298" s="633" t="str">
        <f t="shared" si="107"/>
        <v>991</v>
      </c>
      <c r="F298" s="991" t="s">
        <v>855</v>
      </c>
      <c r="G298" s="987" t="s">
        <v>823</v>
      </c>
      <c r="H298" s="1000">
        <f>SUMIFS('Data FT-TS-Cashout-Paddys'!$J$5:$J$756,'Data FT-TS-Cashout-Paddys'!$F$5:$F$756,'Apr11-Mar12 FT-TS-Cashout-LG&amp;E'!$G298,'Data FT-TS-Cashout-Paddys'!$A$5:$A$756,'Apr11-Mar12 FT-TS-Cashout-LG&amp;E'!H$219,'Data FT-TS-Cashout-Paddys'!$C$5:$C$756,'Apr11-Mar12 FT-TS-Cashout-LG&amp;E'!$C298)</f>
        <v>1566.85</v>
      </c>
      <c r="I298" s="1000">
        <f>SUMIFS('Data FT-TS-Cashout-Paddys'!$J$5:$J$756,'Data FT-TS-Cashout-Paddys'!$F$5:$F$756,'Apr11-Mar12 FT-TS-Cashout-LG&amp;E'!$G298,'Data FT-TS-Cashout-Paddys'!$A$5:$A$756,'Apr11-Mar12 FT-TS-Cashout-LG&amp;E'!I$219,'Data FT-TS-Cashout-Paddys'!$C$5:$C$756,'Apr11-Mar12 FT-TS-Cashout-LG&amp;E'!$C298)</f>
        <v>4258.42</v>
      </c>
      <c r="J298" s="1000">
        <f>SUMIFS('Data FT-TS-Cashout-Paddys'!$J$5:$J$756,'Data FT-TS-Cashout-Paddys'!$F$5:$F$756,'Apr11-Mar12 FT-TS-Cashout-LG&amp;E'!$G298,'Data FT-TS-Cashout-Paddys'!$A$5:$A$756,'Apr11-Mar12 FT-TS-Cashout-LG&amp;E'!J$219,'Data FT-TS-Cashout-Paddys'!$C$5:$C$756,'Apr11-Mar12 FT-TS-Cashout-LG&amp;E'!$C298)</f>
        <v>2746.15</v>
      </c>
      <c r="K298" s="1000">
        <f>SUMIFS('Data FT-TS-Cashout-Paddys'!$J$5:$J$756,'Data FT-TS-Cashout-Paddys'!$F$5:$F$756,'Apr11-Mar12 FT-TS-Cashout-LG&amp;E'!$G298,'Data FT-TS-Cashout-Paddys'!$A$5:$A$756,'Apr11-Mar12 FT-TS-Cashout-LG&amp;E'!K$219,'Data FT-TS-Cashout-Paddys'!$C$5:$C$756,'Apr11-Mar12 FT-TS-Cashout-LG&amp;E'!$C298)</f>
        <v>0</v>
      </c>
      <c r="L298" s="1000">
        <f>SUMIFS('Data FT-TS-Cashout-Paddys'!$J$5:$J$756,'Data FT-TS-Cashout-Paddys'!$F$5:$F$756,'Apr11-Mar12 FT-TS-Cashout-LG&amp;E'!$G298,'Data FT-TS-Cashout-Paddys'!$A$5:$A$756,'Apr11-Mar12 FT-TS-Cashout-LG&amp;E'!L$219,'Data FT-TS-Cashout-Paddys'!$C$5:$C$756,'Apr11-Mar12 FT-TS-Cashout-LG&amp;E'!$C298)</f>
        <v>0</v>
      </c>
      <c r="M298" s="1000">
        <f>SUMIFS('Data FT-TS-Cashout-Paddys'!$J$5:$J$756,'Data FT-TS-Cashout-Paddys'!$F$5:$F$756,'Apr11-Mar12 FT-TS-Cashout-LG&amp;E'!$G298,'Data FT-TS-Cashout-Paddys'!$A$5:$A$756,'Apr11-Mar12 FT-TS-Cashout-LG&amp;E'!M$219,'Data FT-TS-Cashout-Paddys'!$C$5:$C$756,'Apr11-Mar12 FT-TS-Cashout-LG&amp;E'!$C298)</f>
        <v>0</v>
      </c>
      <c r="N298" s="1000">
        <f>SUMIFS('Data FT-TS-Cashout-Paddys'!$J$5:$J$756,'Data FT-TS-Cashout-Paddys'!$F$5:$F$756,'Apr11-Mar12 FT-TS-Cashout-LG&amp;E'!$G298,'Data FT-TS-Cashout-Paddys'!$A$5:$A$756,'Apr11-Mar12 FT-TS-Cashout-LG&amp;E'!N$219,'Data FT-TS-Cashout-Paddys'!$C$5:$C$756,'Apr11-Mar12 FT-TS-Cashout-LG&amp;E'!$C298)</f>
        <v>0</v>
      </c>
      <c r="O298" s="1000">
        <f>SUMIFS('Data FT-TS-Cashout-Paddys'!$J$5:$J$756,'Data FT-TS-Cashout-Paddys'!$F$5:$F$756,'Apr11-Mar12 FT-TS-Cashout-LG&amp;E'!$G298,'Data FT-TS-Cashout-Paddys'!$A$5:$A$756,'Apr11-Mar12 FT-TS-Cashout-LG&amp;E'!O$219,'Data FT-TS-Cashout-Paddys'!$C$5:$C$756,'Apr11-Mar12 FT-TS-Cashout-LG&amp;E'!$C298)</f>
        <v>907.02</v>
      </c>
      <c r="P298" s="1000">
        <f>SUMIFS('Data FT-TS-Cashout-Paddys'!$J$5:$J$756,'Data FT-TS-Cashout-Paddys'!$F$5:$F$756,'Apr11-Mar12 FT-TS-Cashout-LG&amp;E'!$G298,'Data FT-TS-Cashout-Paddys'!$A$5:$A$756,'Apr11-Mar12 FT-TS-Cashout-LG&amp;E'!P$219,'Data FT-TS-Cashout-Paddys'!$C$5:$C$756,'Apr11-Mar12 FT-TS-Cashout-LG&amp;E'!$C298)</f>
        <v>0</v>
      </c>
      <c r="Q298" s="1000">
        <f>SUMIFS('Data FT-TS-Cashout-Paddys'!$J$5:$J$756,'Data FT-TS-Cashout-Paddys'!$F$5:$F$756,'Apr11-Mar12 FT-TS-Cashout-LG&amp;E'!$G298,'Data FT-TS-Cashout-Paddys'!$A$5:$A$756,'Apr11-Mar12 FT-TS-Cashout-LG&amp;E'!Q$219,'Data FT-TS-Cashout-Paddys'!$C$5:$C$756,'Apr11-Mar12 FT-TS-Cashout-LG&amp;E'!$C298)</f>
        <v>366.01</v>
      </c>
      <c r="R298" s="1000">
        <f>SUMIFS('Data FT-TS-Cashout-Paddys'!$J$5:$J$756,'Data FT-TS-Cashout-Paddys'!$F$5:$F$756,'Apr11-Mar12 FT-TS-Cashout-LG&amp;E'!$G298,'Data FT-TS-Cashout-Paddys'!$A$5:$A$756,'Apr11-Mar12 FT-TS-Cashout-LG&amp;E'!R$219,'Data FT-TS-Cashout-Paddys'!$C$5:$C$756,'Apr11-Mar12 FT-TS-Cashout-LG&amp;E'!$C298)</f>
        <v>3030.64</v>
      </c>
      <c r="S298" s="1000">
        <f>SUMIFS('Data FT-TS-Cashout-Paddys'!$J$5:$J$756,'Data FT-TS-Cashout-Paddys'!$F$5:$F$756,'Apr11-Mar12 FT-TS-Cashout-LG&amp;E'!$G298,'Data FT-TS-Cashout-Paddys'!$A$5:$A$756,'Apr11-Mar12 FT-TS-Cashout-LG&amp;E'!S$219,'Data FT-TS-Cashout-Paddys'!$C$5:$C$756,'Apr11-Mar12 FT-TS-Cashout-LG&amp;E'!$C298)</f>
        <v>1404.1</v>
      </c>
      <c r="T298" s="1001">
        <f>SUM(H298:S298)</f>
        <v>14279.19</v>
      </c>
    </row>
    <row r="299" spans="2:20" x14ac:dyDescent="0.2">
      <c r="B299" s="561" t="str">
        <f>VLOOKUP($C299,'Retail Rates'!$B$46:$Q$55,13,FALSE)</f>
        <v>Special Contracts Public Authority</v>
      </c>
      <c r="C299" s="633" t="s">
        <v>106</v>
      </c>
      <c r="D299" s="633" t="str">
        <f t="shared" si="107"/>
        <v>991</v>
      </c>
      <c r="F299" s="991" t="s">
        <v>433</v>
      </c>
      <c r="H299" s="999">
        <f>SUM(H296:H298)</f>
        <v>2368.6999999999998</v>
      </c>
      <c r="I299" s="999">
        <f t="shared" ref="I299:S299" si="109">SUM(I296:I298)</f>
        <v>5109.13</v>
      </c>
      <c r="J299" s="999">
        <f t="shared" si="109"/>
        <v>3575.78</v>
      </c>
      <c r="K299" s="999">
        <f t="shared" si="109"/>
        <v>781</v>
      </c>
      <c r="L299" s="999">
        <f t="shared" si="109"/>
        <v>781</v>
      </c>
      <c r="M299" s="999">
        <f t="shared" si="109"/>
        <v>781</v>
      </c>
      <c r="N299" s="999">
        <f t="shared" si="109"/>
        <v>781</v>
      </c>
      <c r="O299" s="999">
        <f t="shared" si="109"/>
        <v>1695.55</v>
      </c>
      <c r="P299" s="999">
        <f t="shared" si="109"/>
        <v>781</v>
      </c>
      <c r="Q299" s="999">
        <f t="shared" si="109"/>
        <v>1150.46</v>
      </c>
      <c r="R299" s="999">
        <f t="shared" si="109"/>
        <v>3848.2799999999997</v>
      </c>
      <c r="S299" s="999">
        <f t="shared" si="109"/>
        <v>2203.6099999999997</v>
      </c>
      <c r="T299" s="1001">
        <f>SUM(H299:S299)</f>
        <v>23856.51</v>
      </c>
    </row>
    <row r="300" spans="2:20" x14ac:dyDescent="0.2">
      <c r="B300" s="561" t="str">
        <f>VLOOKUP($C300,'Retail Rates'!$B$46:$Q$55,13,FALSE)</f>
        <v>Special Contracts Public Authority</v>
      </c>
      <c r="C300" s="633" t="s">
        <v>106</v>
      </c>
      <c r="D300" s="633" t="str">
        <f t="shared" si="107"/>
        <v>991</v>
      </c>
      <c r="F300" s="991"/>
    </row>
    <row r="301" spans="2:20" x14ac:dyDescent="0.2">
      <c r="B301" s="561" t="str">
        <f>VLOOKUP($C301,'Retail Rates'!$B$46:$Q$55,13,FALSE)</f>
        <v>Special Contracts Public Authority</v>
      </c>
      <c r="C301" s="633" t="s">
        <v>106</v>
      </c>
      <c r="D301" s="633" t="str">
        <f t="shared" si="107"/>
        <v>991</v>
      </c>
      <c r="F301" s="991" t="s">
        <v>841</v>
      </c>
      <c r="H301" s="999">
        <f>SUMIFS('FT_Cashouts_IntraCo-PR'!$G$4:$G$118,'FT_Cashouts_IntraCo-PR'!$A$4:$A$118,'Apr11-Mar12 FT-TS-Cashout-LG&amp;E'!$C301,'FT_Cashouts_IntraCo-PR'!$C$4:$C$118,'Apr11-Mar12 FT-TS-Cashout-LG&amp;E'!H$219)</f>
        <v>2368.6999999999998</v>
      </c>
      <c r="I301" s="999">
        <f>SUMIFS('FT_Cashouts_IntraCo-PR'!$G$4:$G$118,'FT_Cashouts_IntraCo-PR'!$A$4:$A$118,'Apr11-Mar12 FT-TS-Cashout-LG&amp;E'!$C301,'FT_Cashouts_IntraCo-PR'!$C$4:$C$118,'Apr11-Mar12 FT-TS-Cashout-LG&amp;E'!I$219)</f>
        <v>5109.13</v>
      </c>
      <c r="J301" s="999">
        <f>SUMIFS('FT_Cashouts_IntraCo-PR'!$G$4:$G$118,'FT_Cashouts_IntraCo-PR'!$A$4:$A$118,'Apr11-Mar12 FT-TS-Cashout-LG&amp;E'!$C301,'FT_Cashouts_IntraCo-PR'!$C$4:$C$118,'Apr11-Mar12 FT-TS-Cashout-LG&amp;E'!J$219)</f>
        <v>0</v>
      </c>
      <c r="K301" s="999">
        <f>SUMIFS('FT_Cashouts_IntraCo-PR'!$G$4:$G$118,'FT_Cashouts_IntraCo-PR'!$A$4:$A$118,'Apr11-Mar12 FT-TS-Cashout-LG&amp;E'!$C301,'FT_Cashouts_IntraCo-PR'!$C$4:$C$118,'Apr11-Mar12 FT-TS-Cashout-LG&amp;E'!K$219)</f>
        <v>781</v>
      </c>
      <c r="L301" s="999">
        <f>SUMIFS('FT_Cashouts_IntraCo-PR'!$G$4:$G$118,'FT_Cashouts_IntraCo-PR'!$A$4:$A$118,'Apr11-Mar12 FT-TS-Cashout-LG&amp;E'!$C301,'FT_Cashouts_IntraCo-PR'!$C$4:$C$118,'Apr11-Mar12 FT-TS-Cashout-LG&amp;E'!L$219)</f>
        <v>781</v>
      </c>
      <c r="M301" s="999">
        <f>SUMIFS('FT_Cashouts_IntraCo-PR'!$G$4:$G$118,'FT_Cashouts_IntraCo-PR'!$A$4:$A$118,'Apr11-Mar12 FT-TS-Cashout-LG&amp;E'!$C301,'FT_Cashouts_IntraCo-PR'!$C$4:$C$118,'Apr11-Mar12 FT-TS-Cashout-LG&amp;E'!M$219)</f>
        <v>781</v>
      </c>
      <c r="N301" s="999">
        <f>SUMIFS('FT_Cashouts_IntraCo-PR'!$G$4:$G$118,'FT_Cashouts_IntraCo-PR'!$A$4:$A$118,'Apr11-Mar12 FT-TS-Cashout-LG&amp;E'!$C301,'FT_Cashouts_IntraCo-PR'!$C$4:$C$118,'Apr11-Mar12 FT-TS-Cashout-LG&amp;E'!N$219)</f>
        <v>781</v>
      </c>
      <c r="O301" s="999">
        <f>SUMIFS('FT_Cashouts_IntraCo-PR'!$G$4:$G$118,'FT_Cashouts_IntraCo-PR'!$A$4:$A$118,'Apr11-Mar12 FT-TS-Cashout-LG&amp;E'!$C301,'FT_Cashouts_IntraCo-PR'!$C$4:$C$118,'Apr11-Mar12 FT-TS-Cashout-LG&amp;E'!O$219)</f>
        <v>1695.5499999999997</v>
      </c>
      <c r="P301" s="999">
        <f>SUMIFS('FT_Cashouts_IntraCo-PR'!$G$4:$G$118,'FT_Cashouts_IntraCo-PR'!$A$4:$A$118,'Apr11-Mar12 FT-TS-Cashout-LG&amp;E'!$C301,'FT_Cashouts_IntraCo-PR'!$C$4:$C$118,'Apr11-Mar12 FT-TS-Cashout-LG&amp;E'!P$219)</f>
        <v>781</v>
      </c>
      <c r="Q301" s="999">
        <f>SUMIFS('FT_Cashouts_IntraCo-PR'!$G$4:$G$118,'FT_Cashouts_IntraCo-PR'!$A$4:$A$118,'Apr11-Mar12 FT-TS-Cashout-LG&amp;E'!$C301,'FT_Cashouts_IntraCo-PR'!$C$4:$C$118,'Apr11-Mar12 FT-TS-Cashout-LG&amp;E'!Q$219)</f>
        <v>1150.46</v>
      </c>
      <c r="R301" s="999">
        <f>SUMIFS('FT_Cashouts_IntraCo-PR'!$G$4:$G$118,'FT_Cashouts_IntraCo-PR'!$A$4:$A$118,'Apr11-Mar12 FT-TS-Cashout-LG&amp;E'!$C301,'FT_Cashouts_IntraCo-PR'!$C$4:$C$118,'Apr11-Mar12 FT-TS-Cashout-LG&amp;E'!R$219)</f>
        <v>3848.28</v>
      </c>
      <c r="S301" s="999">
        <f>SUMIFS('FT_Cashouts_IntraCo-PR'!$G$4:$G$118,'FT_Cashouts_IntraCo-PR'!$A$4:$A$118,'Apr11-Mar12 FT-TS-Cashout-LG&amp;E'!$C301,'FT_Cashouts_IntraCo-PR'!$C$4:$C$118,'Apr11-Mar12 FT-TS-Cashout-LG&amp;E'!S$219)</f>
        <v>2203.6099999999997</v>
      </c>
      <c r="T301" s="1001">
        <f>SUM(H301:S301)</f>
        <v>20280.73</v>
      </c>
    </row>
    <row r="302" spans="2:20" x14ac:dyDescent="0.2">
      <c r="B302" s="561" t="str">
        <f>VLOOKUP($C302,'Retail Rates'!$B$46:$Q$55,13,FALSE)</f>
        <v>Special Contracts Public Authority</v>
      </c>
      <c r="C302" s="633" t="s">
        <v>106</v>
      </c>
      <c r="D302" s="633" t="str">
        <f t="shared" si="107"/>
        <v>991</v>
      </c>
      <c r="T302" s="1001"/>
    </row>
    <row r="303" spans="2:20" x14ac:dyDescent="0.2">
      <c r="B303" s="561" t="str">
        <f>VLOOKUP($C303,'Retail Rates'!$B$46:$Q$55,13,FALSE)</f>
        <v>Special Contracts Public Authority</v>
      </c>
      <c r="C303" s="633" t="s">
        <v>106</v>
      </c>
      <c r="D303" s="633" t="str">
        <f t="shared" si="107"/>
        <v>991</v>
      </c>
      <c r="F303" s="991" t="s">
        <v>386</v>
      </c>
      <c r="H303" s="999">
        <f>+H299-H301</f>
        <v>0</v>
      </c>
      <c r="I303" s="999">
        <f t="shared" ref="I303:S303" si="110">+I299-I301</f>
        <v>0</v>
      </c>
      <c r="J303" s="999">
        <f t="shared" si="110"/>
        <v>3575.78</v>
      </c>
      <c r="K303" s="999">
        <f t="shared" si="110"/>
        <v>0</v>
      </c>
      <c r="L303" s="999">
        <f t="shared" si="110"/>
        <v>0</v>
      </c>
      <c r="M303" s="999">
        <f t="shared" si="110"/>
        <v>0</v>
      </c>
      <c r="N303" s="999">
        <f t="shared" si="110"/>
        <v>0</v>
      </c>
      <c r="O303" s="999">
        <f t="shared" si="110"/>
        <v>0</v>
      </c>
      <c r="P303" s="999">
        <f t="shared" si="110"/>
        <v>0</v>
      </c>
      <c r="Q303" s="999">
        <f t="shared" si="110"/>
        <v>0</v>
      </c>
      <c r="R303" s="999">
        <f t="shared" si="110"/>
        <v>0</v>
      </c>
      <c r="S303" s="999">
        <f t="shared" si="110"/>
        <v>0</v>
      </c>
      <c r="T303" s="1001">
        <f>SUM(H303:S303)</f>
        <v>3575.78</v>
      </c>
    </row>
    <row r="306" spans="2:21" x14ac:dyDescent="0.2">
      <c r="E306" s="984"/>
      <c r="F306" s="986" t="s">
        <v>856</v>
      </c>
      <c r="G306" s="984"/>
      <c r="H306" s="1002">
        <f>+H266+H283+H299</f>
        <v>38260.99</v>
      </c>
      <c r="I306" s="1002">
        <f t="shared" ref="I306:S306" si="111">+I266+I283+I299</f>
        <v>6456.92</v>
      </c>
      <c r="J306" s="1002">
        <f t="shared" si="111"/>
        <v>6627.48</v>
      </c>
      <c r="K306" s="1002">
        <f t="shared" si="111"/>
        <v>59351.79</v>
      </c>
      <c r="L306" s="1002">
        <f t="shared" si="111"/>
        <v>28569.640000000003</v>
      </c>
      <c r="M306" s="1002">
        <f t="shared" si="111"/>
        <v>5312.48</v>
      </c>
      <c r="N306" s="1002">
        <f t="shared" si="111"/>
        <v>37455.850000000006</v>
      </c>
      <c r="O306" s="1002">
        <f t="shared" si="111"/>
        <v>61526.89</v>
      </c>
      <c r="P306" s="1002">
        <f t="shared" si="111"/>
        <v>3468.2400000000002</v>
      </c>
      <c r="Q306" s="1002">
        <f t="shared" si="111"/>
        <v>43735.090000000004</v>
      </c>
      <c r="R306" s="1002">
        <f t="shared" si="111"/>
        <v>88347.96</v>
      </c>
      <c r="S306" s="1002">
        <f t="shared" si="111"/>
        <v>42595.659999999996</v>
      </c>
      <c r="T306" s="1045">
        <f>SUM(H306:S306)</f>
        <v>421708.99000000005</v>
      </c>
    </row>
    <row r="307" spans="2:21" x14ac:dyDescent="0.2">
      <c r="E307" s="984"/>
      <c r="F307" s="986" t="s">
        <v>867</v>
      </c>
      <c r="G307" s="984"/>
      <c r="H307" s="1002">
        <f>+'SBR Jan12'!J76</f>
        <v>42053.1</v>
      </c>
      <c r="I307" s="1002">
        <f>+'SBR Feb12'!J78</f>
        <v>7472.45</v>
      </c>
      <c r="J307" s="1002">
        <f>+'SBR Mar12'!J47+'SBR Mar12'!J49+'SBR Mar12'!J51</f>
        <v>6627.48</v>
      </c>
      <c r="K307" s="1002">
        <f>+'SBR Apr11'!J75</f>
        <v>59351.64</v>
      </c>
      <c r="L307" s="1002">
        <f>+'SBR May11'!J75</f>
        <v>30131.64</v>
      </c>
      <c r="M307" s="1002">
        <f>+'SBR Jun11'!J72</f>
        <v>6093.46</v>
      </c>
      <c r="N307" s="1002">
        <f>+'SBR Jul11'!J75</f>
        <v>63673.5</v>
      </c>
      <c r="O307" s="1002">
        <f>+'SBR Aug11'!J75</f>
        <v>83481.960000000006</v>
      </c>
      <c r="P307" s="1002">
        <f>+'SBR Sep11'!J75</f>
        <v>4249.24</v>
      </c>
      <c r="Q307" s="1002">
        <f>+'SBR Oct11'!J76</f>
        <v>44516.09</v>
      </c>
      <c r="R307" s="1002">
        <f>+'SBR Nov11'!J79</f>
        <v>89207.810000000012</v>
      </c>
      <c r="S307" s="1002">
        <f>+'SBR Dec11'!J79</f>
        <v>49953.229999999996</v>
      </c>
      <c r="T307" s="1045">
        <f>SUM(H307:S307)</f>
        <v>486811.59999999992</v>
      </c>
      <c r="U307" s="999">
        <f>+T306-T307</f>
        <v>-65102.60999999987</v>
      </c>
    </row>
    <row r="308" spans="2:21" x14ac:dyDescent="0.2">
      <c r="E308" s="984"/>
      <c r="F308" s="986" t="s">
        <v>386</v>
      </c>
      <c r="G308" s="984"/>
      <c r="H308" s="1002">
        <f>+H306-H307</f>
        <v>-3792.1100000000006</v>
      </c>
      <c r="I308" s="1002">
        <f>+I306-I307</f>
        <v>-1015.5299999999997</v>
      </c>
      <c r="J308" s="1002">
        <f>+J306-J307</f>
        <v>0</v>
      </c>
      <c r="K308" s="1002">
        <f>+K306-K307</f>
        <v>0.15000000000145519</v>
      </c>
      <c r="L308" s="1002">
        <f t="shared" ref="L308:S308" si="112">+L306-L307</f>
        <v>-1561.9999999999964</v>
      </c>
      <c r="M308" s="1002">
        <f t="shared" si="112"/>
        <v>-780.98000000000047</v>
      </c>
      <c r="N308" s="1002">
        <f t="shared" si="112"/>
        <v>-26217.649999999994</v>
      </c>
      <c r="O308" s="1002">
        <f t="shared" si="112"/>
        <v>-21955.070000000007</v>
      </c>
      <c r="P308" s="1002">
        <f t="shared" si="112"/>
        <v>-780.99999999999955</v>
      </c>
      <c r="Q308" s="1002">
        <f t="shared" si="112"/>
        <v>-780.99999999999272</v>
      </c>
      <c r="R308" s="1002">
        <f t="shared" si="112"/>
        <v>-859.85000000000582</v>
      </c>
      <c r="S308" s="1002">
        <f t="shared" si="112"/>
        <v>-7357.57</v>
      </c>
      <c r="T308" s="1045">
        <f>SUM(H308:S308)</f>
        <v>-65102.609999999993</v>
      </c>
    </row>
    <row r="309" spans="2:21" x14ac:dyDescent="0.2">
      <c r="E309" s="984"/>
      <c r="F309" s="986" t="s">
        <v>868</v>
      </c>
      <c r="G309" s="984"/>
      <c r="H309" s="1002">
        <f>+'SBR Jan12'!J75</f>
        <v>3792.1099999999997</v>
      </c>
      <c r="I309" s="1002">
        <f>+'SBR Feb12'!J77</f>
        <v>1015.53</v>
      </c>
      <c r="J309" s="1002"/>
      <c r="K309" s="1002">
        <f>+'SBR Apr11'!J74</f>
        <v>0</v>
      </c>
      <c r="L309" s="1002">
        <f>+'SBR May11'!J74</f>
        <v>1562</v>
      </c>
      <c r="M309" s="1002">
        <f>+'SBR Jun11'!J71</f>
        <v>781</v>
      </c>
      <c r="N309" s="1002">
        <f>+'SBR Jul11'!J74</f>
        <v>26217.65</v>
      </c>
      <c r="O309" s="1002">
        <f>+'SBR Aug11'!J74</f>
        <v>21955.07</v>
      </c>
      <c r="P309" s="1002">
        <f>+'SBR Sep11'!J74</f>
        <v>781</v>
      </c>
      <c r="Q309" s="1002">
        <f>+'SBR Oct11'!J75</f>
        <v>781</v>
      </c>
      <c r="R309" s="1002">
        <f>+'SBR Nov11'!J78</f>
        <v>859.85</v>
      </c>
      <c r="S309" s="1002">
        <f>+'SBR Dec11'!J78</f>
        <v>7357.57</v>
      </c>
      <c r="T309" s="1045">
        <f>SUM(H309:S309)</f>
        <v>65102.78</v>
      </c>
      <c r="U309" s="999">
        <f>+U307+T309</f>
        <v>0.17000000012922101</v>
      </c>
    </row>
    <row r="310" spans="2:21" x14ac:dyDescent="0.2">
      <c r="E310" s="984"/>
      <c r="F310" s="986"/>
      <c r="G310" s="984"/>
      <c r="H310" s="1002"/>
      <c r="I310" s="1002"/>
      <c r="J310" s="1002"/>
      <c r="K310" s="1002"/>
      <c r="L310" s="1002"/>
      <c r="M310" s="1002"/>
      <c r="N310" s="1002"/>
      <c r="O310" s="1002"/>
      <c r="P310" s="1002"/>
      <c r="Q310" s="1002"/>
      <c r="R310" s="1002"/>
      <c r="S310" s="1002"/>
      <c r="T310" s="1045"/>
      <c r="U310" s="999"/>
    </row>
    <row r="311" spans="2:21" x14ac:dyDescent="0.2">
      <c r="E311" s="984"/>
      <c r="F311" s="986" t="s">
        <v>869</v>
      </c>
      <c r="G311" s="984"/>
      <c r="H311" s="1020">
        <f>(+H223+H238+H275+H291)*10</f>
        <v>4281</v>
      </c>
      <c r="I311" s="1020">
        <f t="shared" ref="I311:S311" si="113">(+I223+I238+I275+I291)*10</f>
        <v>14314</v>
      </c>
      <c r="J311" s="1020">
        <f t="shared" si="113"/>
        <v>9986</v>
      </c>
      <c r="K311" s="1020">
        <f t="shared" si="113"/>
        <v>10091</v>
      </c>
      <c r="L311" s="1020">
        <f t="shared" si="113"/>
        <v>6539</v>
      </c>
      <c r="M311" s="1020">
        <f t="shared" si="113"/>
        <v>245</v>
      </c>
      <c r="N311" s="1020">
        <f t="shared" si="113"/>
        <v>453</v>
      </c>
      <c r="O311" s="1020">
        <f t="shared" si="113"/>
        <v>1547</v>
      </c>
      <c r="P311" s="1020">
        <f t="shared" si="113"/>
        <v>214</v>
      </c>
      <c r="Q311" s="1020">
        <f t="shared" si="113"/>
        <v>3602</v>
      </c>
      <c r="R311" s="1020">
        <f t="shared" si="113"/>
        <v>64839.000000000007</v>
      </c>
      <c r="S311" s="1020">
        <f t="shared" si="113"/>
        <v>15230</v>
      </c>
      <c r="T311" s="1047">
        <f>SUM(H311:S311)</f>
        <v>131341</v>
      </c>
      <c r="U311" s="999"/>
    </row>
    <row r="312" spans="2:21" x14ac:dyDescent="0.2">
      <c r="E312" s="984"/>
      <c r="F312" s="986" t="s">
        <v>870</v>
      </c>
      <c r="G312" s="984"/>
      <c r="H312" s="1020">
        <f>+'SBR Jan12'!I76</f>
        <v>11427</v>
      </c>
      <c r="I312" s="1020">
        <f>+'SBR Feb12'!I78</f>
        <v>15152</v>
      </c>
      <c r="J312" s="1020">
        <f>+'SBR Mar12'!I47+'SBR Mar12'!I49+'SBR Mar12'!I51</f>
        <v>9986</v>
      </c>
      <c r="K312" s="1020">
        <f>+'SBR Apr11'!I75</f>
        <v>10091</v>
      </c>
      <c r="L312" s="1020">
        <f>+'SBR May11'!I75</f>
        <v>6539</v>
      </c>
      <c r="M312" s="1020">
        <f>+'SBR Jun11'!I72</f>
        <v>245</v>
      </c>
      <c r="N312" s="1020">
        <f>+'SBR Jul11'!I75</f>
        <v>51750</v>
      </c>
      <c r="O312" s="1020">
        <f>+'SBR Aug11'!I75</f>
        <v>47335</v>
      </c>
      <c r="P312" s="1020">
        <f>+'SBR Sep11'!I75</f>
        <v>214</v>
      </c>
      <c r="Q312" s="1020">
        <f>+'SBR Oct11'!I76</f>
        <v>3602</v>
      </c>
      <c r="R312" s="1020">
        <f>+'SBR Nov11'!I79</f>
        <v>64990</v>
      </c>
      <c r="S312" s="1020">
        <f>+'SBR Dec11'!I79</f>
        <v>27944</v>
      </c>
      <c r="T312" s="1047">
        <f>SUM(H312:S312)</f>
        <v>249275</v>
      </c>
      <c r="U312" s="562">
        <f>+T311-T312</f>
        <v>-117934</v>
      </c>
    </row>
    <row r="313" spans="2:21" x14ac:dyDescent="0.2">
      <c r="E313" s="984"/>
      <c r="F313" s="986" t="s">
        <v>386</v>
      </c>
      <c r="G313" s="984"/>
      <c r="H313" s="1020">
        <f>+H311-H312</f>
        <v>-7146</v>
      </c>
      <c r="I313" s="1020">
        <f t="shared" ref="I313:S313" si="114">+I311-I312</f>
        <v>-838</v>
      </c>
      <c r="J313" s="1020">
        <f t="shared" si="114"/>
        <v>0</v>
      </c>
      <c r="K313" s="1020">
        <f t="shared" si="114"/>
        <v>0</v>
      </c>
      <c r="L313" s="1020">
        <f t="shared" si="114"/>
        <v>0</v>
      </c>
      <c r="M313" s="1020">
        <f t="shared" si="114"/>
        <v>0</v>
      </c>
      <c r="N313" s="1020">
        <f t="shared" si="114"/>
        <v>-51297</v>
      </c>
      <c r="O313" s="1020">
        <f t="shared" si="114"/>
        <v>-45788</v>
      </c>
      <c r="P313" s="1020">
        <f t="shared" si="114"/>
        <v>0</v>
      </c>
      <c r="Q313" s="1020">
        <f t="shared" si="114"/>
        <v>0</v>
      </c>
      <c r="R313" s="1020">
        <f t="shared" si="114"/>
        <v>-150.99999999999272</v>
      </c>
      <c r="S313" s="1020">
        <f t="shared" si="114"/>
        <v>-12714</v>
      </c>
      <c r="T313" s="1047">
        <f>SUM(H313:S313)</f>
        <v>-117934</v>
      </c>
      <c r="U313" s="562"/>
    </row>
    <row r="314" spans="2:21" x14ac:dyDescent="0.2">
      <c r="E314" s="984"/>
      <c r="F314" s="986" t="s">
        <v>868</v>
      </c>
      <c r="G314" s="984"/>
      <c r="H314" s="1020">
        <f>+'SBR Jan12'!I75</f>
        <v>7146</v>
      </c>
      <c r="I314" s="1020">
        <f>+'SBR Feb12'!I77</f>
        <v>838</v>
      </c>
      <c r="J314" s="1020">
        <v>0</v>
      </c>
      <c r="K314" s="1020">
        <f>+'SBR Apr11'!I74</f>
        <v>0</v>
      </c>
      <c r="L314" s="1020">
        <f>+'SBR May11'!I74</f>
        <v>0</v>
      </c>
      <c r="M314" s="1020">
        <f>+'SBR Jun11'!I71</f>
        <v>0</v>
      </c>
      <c r="N314" s="1020">
        <f>+'SBR Jul11'!I74</f>
        <v>51297</v>
      </c>
      <c r="O314" s="1020">
        <f>+'SBR Aug11'!I74</f>
        <v>45788</v>
      </c>
      <c r="P314" s="1020">
        <f>+'SBR Sep11'!I74</f>
        <v>0</v>
      </c>
      <c r="Q314" s="1020">
        <f>+'SBR Oct11'!I75</f>
        <v>0</v>
      </c>
      <c r="R314" s="1020">
        <f>+'SBR Nov11'!I78</f>
        <v>151</v>
      </c>
      <c r="S314" s="1020">
        <f>+'SBR Dec11'!I78</f>
        <v>12714</v>
      </c>
      <c r="T314" s="1047">
        <f>SUM(H314:S314)</f>
        <v>117934</v>
      </c>
      <c r="U314" s="562">
        <f>+U312+T314</f>
        <v>0</v>
      </c>
    </row>
    <row r="315" spans="2:21" x14ac:dyDescent="0.2">
      <c r="E315" s="984"/>
      <c r="F315" s="986"/>
      <c r="G315" s="984"/>
      <c r="H315" s="1020">
        <f>+H313+H314</f>
        <v>0</v>
      </c>
      <c r="I315" s="1020">
        <f t="shared" ref="I315:S315" si="115">+I313+I314</f>
        <v>0</v>
      </c>
      <c r="J315" s="1020">
        <f t="shared" si="115"/>
        <v>0</v>
      </c>
      <c r="K315" s="1020">
        <f t="shared" si="115"/>
        <v>0</v>
      </c>
      <c r="L315" s="1020">
        <f t="shared" si="115"/>
        <v>0</v>
      </c>
      <c r="M315" s="1020">
        <f t="shared" si="115"/>
        <v>0</v>
      </c>
      <c r="N315" s="1020">
        <f t="shared" si="115"/>
        <v>0</v>
      </c>
      <c r="O315" s="1020">
        <f t="shared" si="115"/>
        <v>0</v>
      </c>
      <c r="P315" s="1020">
        <f t="shared" si="115"/>
        <v>0</v>
      </c>
      <c r="Q315" s="1020">
        <f t="shared" si="115"/>
        <v>0</v>
      </c>
      <c r="R315" s="1020">
        <f t="shared" si="115"/>
        <v>7.2759576141834259E-12</v>
      </c>
      <c r="S315" s="1020">
        <f t="shared" si="115"/>
        <v>0</v>
      </c>
      <c r="T315" s="1045"/>
      <c r="U315" s="999"/>
    </row>
    <row r="316" spans="2:21" x14ac:dyDescent="0.2">
      <c r="E316" s="984"/>
      <c r="F316" s="986"/>
      <c r="G316" s="984"/>
      <c r="H316" s="1002"/>
      <c r="I316" s="1002"/>
      <c r="J316" s="1002"/>
      <c r="K316" s="1002"/>
      <c r="L316" s="1002"/>
      <c r="M316" s="1002"/>
      <c r="N316" s="1002"/>
      <c r="O316" s="1002"/>
      <c r="P316" s="1002"/>
      <c r="Q316" s="1002"/>
      <c r="R316" s="1002"/>
      <c r="S316" s="1002"/>
      <c r="T316" s="1045"/>
      <c r="U316" s="999"/>
    </row>
    <row r="317" spans="2:21" x14ac:dyDescent="0.2">
      <c r="E317" s="984"/>
      <c r="F317" s="986"/>
      <c r="G317" s="984"/>
      <c r="H317" s="1002"/>
      <c r="I317" s="1002"/>
      <c r="J317" s="1002"/>
      <c r="K317" s="1002"/>
      <c r="L317" s="1002"/>
      <c r="M317" s="1002"/>
      <c r="N317" s="1002"/>
      <c r="O317" s="1002"/>
      <c r="P317" s="1002"/>
      <c r="Q317" s="1002"/>
      <c r="R317" s="1002"/>
      <c r="S317" s="1002"/>
      <c r="T317" s="1045"/>
    </row>
    <row r="319" spans="2:21" x14ac:dyDescent="0.2">
      <c r="F319" s="1009" t="s">
        <v>861</v>
      </c>
      <c r="H319" s="999"/>
    </row>
    <row r="320" spans="2:21" x14ac:dyDescent="0.2">
      <c r="B320" s="561" t="str">
        <f>VLOOKUP($C320,'Retail Rates'!$B$46:$Q$55,13,FALSE)</f>
        <v>TS Commercial</v>
      </c>
      <c r="C320" s="633" t="s">
        <v>63</v>
      </c>
      <c r="D320" s="633" t="str">
        <f t="shared" ref="D320:D343" si="116">MID(C320,6,3)</f>
        <v>881</v>
      </c>
      <c r="E320" s="561" t="str">
        <f>VLOOKUP($C320,'Retail Rates'!$B$46:$Q$55,3,FALSE)</f>
        <v>CGS-TS</v>
      </c>
      <c r="F320" s="1010" t="s">
        <v>407</v>
      </c>
      <c r="H320" s="992">
        <v>0</v>
      </c>
      <c r="I320" s="1011">
        <f>+I331/I325</f>
        <v>0</v>
      </c>
      <c r="J320" s="1011">
        <f t="shared" ref="J320:S320" si="117">+J331/J325</f>
        <v>0</v>
      </c>
      <c r="K320" s="1011">
        <f t="shared" si="117"/>
        <v>1</v>
      </c>
      <c r="L320" s="1011">
        <f t="shared" si="117"/>
        <v>1</v>
      </c>
      <c r="M320" s="1011">
        <f t="shared" si="117"/>
        <v>1</v>
      </c>
      <c r="N320" s="1011">
        <f t="shared" si="117"/>
        <v>2</v>
      </c>
      <c r="O320" s="1011">
        <f t="shared" si="117"/>
        <v>0</v>
      </c>
      <c r="P320" s="1011">
        <f t="shared" si="117"/>
        <v>1</v>
      </c>
      <c r="Q320" s="1011">
        <f t="shared" si="117"/>
        <v>1</v>
      </c>
      <c r="R320" s="1011">
        <f t="shared" si="117"/>
        <v>0</v>
      </c>
      <c r="S320" s="1011">
        <f t="shared" si="117"/>
        <v>0</v>
      </c>
      <c r="T320" s="1044">
        <f>SUM(H320:S320)</f>
        <v>7</v>
      </c>
    </row>
    <row r="321" spans="2:20" x14ac:dyDescent="0.2">
      <c r="B321" s="561" t="str">
        <f>VLOOKUP($C321,'Retail Rates'!$B$46:$Q$55,13,FALSE)</f>
        <v>TS Commercial</v>
      </c>
      <c r="C321" s="633" t="s">
        <v>63</v>
      </c>
      <c r="D321" s="633" t="str">
        <f t="shared" si="116"/>
        <v>881</v>
      </c>
      <c r="E321" s="561" t="str">
        <f>VLOOKUP($C321,'Retail Rates'!$B$46:$Q$55,3,FALSE)</f>
        <v>CGS-TS</v>
      </c>
      <c r="F321" s="1010" t="s">
        <v>714</v>
      </c>
      <c r="H321" s="992">
        <f t="shared" ref="H321:S321" si="118">IF(H323=0,H323,IF(H323&gt;=(H320*100),(H320*100),H323))</f>
        <v>0</v>
      </c>
      <c r="I321" s="992">
        <f t="shared" si="118"/>
        <v>0</v>
      </c>
      <c r="J321" s="992">
        <f t="shared" si="118"/>
        <v>0</v>
      </c>
      <c r="K321" s="992">
        <f t="shared" si="118"/>
        <v>100</v>
      </c>
      <c r="L321" s="992">
        <f t="shared" si="118"/>
        <v>100</v>
      </c>
      <c r="M321" s="992">
        <f t="shared" si="118"/>
        <v>100</v>
      </c>
      <c r="N321" s="992">
        <f t="shared" si="118"/>
        <v>145.4</v>
      </c>
      <c r="O321" s="1212">
        <f t="shared" si="118"/>
        <v>-22.6</v>
      </c>
      <c r="P321" s="992">
        <f t="shared" si="118"/>
        <v>91.1</v>
      </c>
      <c r="Q321" s="992">
        <f t="shared" si="118"/>
        <v>98</v>
      </c>
      <c r="R321" s="992">
        <f t="shared" si="118"/>
        <v>0</v>
      </c>
      <c r="S321" s="992">
        <f t="shared" si="118"/>
        <v>0</v>
      </c>
      <c r="T321" s="1044">
        <f>SUM(H321:S321)</f>
        <v>611.9</v>
      </c>
    </row>
    <row r="322" spans="2:20" x14ac:dyDescent="0.2">
      <c r="B322" s="561" t="str">
        <f>VLOOKUP($C322,'Retail Rates'!$B$46:$Q$55,13,FALSE)</f>
        <v>TS Commercial</v>
      </c>
      <c r="C322" s="633" t="s">
        <v>63</v>
      </c>
      <c r="D322" s="633" t="str">
        <f t="shared" si="116"/>
        <v>881</v>
      </c>
      <c r="E322" s="561" t="str">
        <f>VLOOKUP($C322,'Retail Rates'!$B$46:$Q$55,3,FALSE)</f>
        <v>CGS-TS</v>
      </c>
      <c r="F322" s="1010" t="s">
        <v>715</v>
      </c>
      <c r="H322" s="992">
        <f t="shared" ref="H322:S322" si="119">+H323-H321</f>
        <v>0</v>
      </c>
      <c r="I322" s="992">
        <f t="shared" si="119"/>
        <v>0</v>
      </c>
      <c r="J322" s="992">
        <f t="shared" si="119"/>
        <v>0</v>
      </c>
      <c r="K322" s="992">
        <f t="shared" si="119"/>
        <v>561.79999999999995</v>
      </c>
      <c r="L322" s="992">
        <f t="shared" si="119"/>
        <v>133.9</v>
      </c>
      <c r="M322" s="992">
        <f t="shared" si="119"/>
        <v>16.799999999999997</v>
      </c>
      <c r="N322" s="992">
        <f t="shared" si="119"/>
        <v>0</v>
      </c>
      <c r="O322" s="1211">
        <f t="shared" si="119"/>
        <v>0</v>
      </c>
      <c r="P322" s="992">
        <f t="shared" si="119"/>
        <v>0</v>
      </c>
      <c r="Q322" s="992">
        <f t="shared" si="119"/>
        <v>0</v>
      </c>
      <c r="R322" s="992">
        <f t="shared" si="119"/>
        <v>0</v>
      </c>
      <c r="S322" s="992">
        <f t="shared" si="119"/>
        <v>0</v>
      </c>
      <c r="T322" s="1044">
        <f>SUM(H322:S322)</f>
        <v>712.49999999999989</v>
      </c>
    </row>
    <row r="323" spans="2:20" x14ac:dyDescent="0.2">
      <c r="B323" s="561" t="str">
        <f>VLOOKUP($C323,'Retail Rates'!$B$46:$Q$55,13,FALSE)</f>
        <v>TS Commercial</v>
      </c>
      <c r="C323" s="633" t="s">
        <v>63</v>
      </c>
      <c r="D323" s="633" t="str">
        <f t="shared" si="116"/>
        <v>881</v>
      </c>
      <c r="E323" s="561" t="str">
        <f>VLOOKUP($C323,'Retail Rates'!$B$46:$Q$55,3,FALSE)</f>
        <v>CGS-TS</v>
      </c>
      <c r="F323" s="1010" t="s">
        <v>716</v>
      </c>
      <c r="G323" s="987" t="s">
        <v>812</v>
      </c>
      <c r="H323" s="992">
        <f>SUMIFS('Data FT-TS-Cashout-Paddys'!$G$5:$G$756,'Data FT-TS-Cashout-Paddys'!$F$5:$F$756,'Apr11-Mar12 FT-TS-Cashout-LG&amp;E'!$G323,'Data FT-TS-Cashout-Paddys'!$A$5:$A$756,'Apr11-Mar12 FT-TS-Cashout-LG&amp;E'!H$219,'Data FT-TS-Cashout-Paddys'!$C$5:$C$756,'Apr11-Mar12 FT-TS-Cashout-LG&amp;E'!$C323,'Data FT-TS-Cashout-Paddys'!$E$5:$E$756,'Apr11-Mar12 FT-TS-Cashout-LG&amp;E'!H$220)/10</f>
        <v>0</v>
      </c>
      <c r="I323" s="992">
        <f>SUMIFS('Data FT-TS-Cashout-Paddys'!$G$5:$G$756,'Data FT-TS-Cashout-Paddys'!$F$5:$F$756,'Apr11-Mar12 FT-TS-Cashout-LG&amp;E'!$G323,'Data FT-TS-Cashout-Paddys'!$A$5:$A$756,'Apr11-Mar12 FT-TS-Cashout-LG&amp;E'!I$219,'Data FT-TS-Cashout-Paddys'!$C$5:$C$756,'Apr11-Mar12 FT-TS-Cashout-LG&amp;E'!$C323,'Data FT-TS-Cashout-Paddys'!$E$5:$E$756,'Apr11-Mar12 FT-TS-Cashout-LG&amp;E'!I$220)/10</f>
        <v>0</v>
      </c>
      <c r="J323" s="992">
        <f>SUMIFS('Data FT-TS-Cashout-Paddys'!$G$5:$G$756,'Data FT-TS-Cashout-Paddys'!$F$5:$F$756,'Apr11-Mar12 FT-TS-Cashout-LG&amp;E'!$G323,'Data FT-TS-Cashout-Paddys'!$A$5:$A$756,'Apr11-Mar12 FT-TS-Cashout-LG&amp;E'!J$219,'Data FT-TS-Cashout-Paddys'!$C$5:$C$756,'Apr11-Mar12 FT-TS-Cashout-LG&amp;E'!$C323,'Data FT-TS-Cashout-Paddys'!$E$5:$E$756,'Apr11-Mar12 FT-TS-Cashout-LG&amp;E'!J$220)/10</f>
        <v>0</v>
      </c>
      <c r="K323" s="992">
        <f>SUMIFS('Data FT-TS-Cashout-Paddys'!$G$5:$G$756,'Data FT-TS-Cashout-Paddys'!$F$5:$F$756,'Apr11-Mar12 FT-TS-Cashout-LG&amp;E'!$G323,'Data FT-TS-Cashout-Paddys'!$A$5:$A$756,'Apr11-Mar12 FT-TS-Cashout-LG&amp;E'!K$219,'Data FT-TS-Cashout-Paddys'!$C$5:$C$756,'Apr11-Mar12 FT-TS-Cashout-LG&amp;E'!$C323,'Data FT-TS-Cashout-Paddys'!$E$5:$E$756,'Apr11-Mar12 FT-TS-Cashout-LG&amp;E'!K$220)/10</f>
        <v>661.8</v>
      </c>
      <c r="L323" s="992">
        <f>SUMIFS('Data FT-TS-Cashout-Paddys'!$G$5:$G$756,'Data FT-TS-Cashout-Paddys'!$F$5:$F$756,'Apr11-Mar12 FT-TS-Cashout-LG&amp;E'!$G323,'Data FT-TS-Cashout-Paddys'!$A$5:$A$756,'Apr11-Mar12 FT-TS-Cashout-LG&amp;E'!L$219,'Data FT-TS-Cashout-Paddys'!$C$5:$C$756,'Apr11-Mar12 FT-TS-Cashout-LG&amp;E'!$C323,'Data FT-TS-Cashout-Paddys'!$E$5:$E$756,'Apr11-Mar12 FT-TS-Cashout-LG&amp;E'!L$220)/10</f>
        <v>233.9</v>
      </c>
      <c r="M323" s="992">
        <f>SUMIFS('Data FT-TS-Cashout-Paddys'!$G$5:$G$756,'Data FT-TS-Cashout-Paddys'!$F$5:$F$756,'Apr11-Mar12 FT-TS-Cashout-LG&amp;E'!$G323,'Data FT-TS-Cashout-Paddys'!$A$5:$A$756,'Apr11-Mar12 FT-TS-Cashout-LG&amp;E'!M$219,'Data FT-TS-Cashout-Paddys'!$C$5:$C$756,'Apr11-Mar12 FT-TS-Cashout-LG&amp;E'!$C323,'Data FT-TS-Cashout-Paddys'!$E$5:$E$756,'Apr11-Mar12 FT-TS-Cashout-LG&amp;E'!M$220)/10</f>
        <v>116.8</v>
      </c>
      <c r="N323" s="992">
        <f>SUMIFS('Data FT-TS-Cashout-Paddys'!$G$5:$G$756,'Data FT-TS-Cashout-Paddys'!$F$5:$F$756,'Apr11-Mar12 FT-TS-Cashout-LG&amp;E'!$G323,'Data FT-TS-Cashout-Paddys'!$A$5:$A$756,'Apr11-Mar12 FT-TS-Cashout-LG&amp;E'!N$219,'Data FT-TS-Cashout-Paddys'!$C$5:$C$756,'Apr11-Mar12 FT-TS-Cashout-LG&amp;E'!$C323,'Data FT-TS-Cashout-Paddys'!$E$5:$E$756,'Apr11-Mar12 FT-TS-Cashout-LG&amp;E'!N$220)/10</f>
        <v>145.4</v>
      </c>
      <c r="O323" s="1212">
        <f>SUMIFS('Data FT-TS-Cashout-Paddys'!$G$5:$G$756,'Data FT-TS-Cashout-Paddys'!$F$5:$F$756,'Apr11-Mar12 FT-TS-Cashout-LG&amp;E'!$G323,'Data FT-TS-Cashout-Paddys'!$A$5:$A$756,'Apr11-Mar12 FT-TS-Cashout-LG&amp;E'!O$219,'Data FT-TS-Cashout-Paddys'!$C$5:$C$756,'Apr11-Mar12 FT-TS-Cashout-LG&amp;E'!$C323,'Data FT-TS-Cashout-Paddys'!$E$5:$E$756,'Apr11-Mar12 FT-TS-Cashout-LG&amp;E'!O$220)/10</f>
        <v>-22.6</v>
      </c>
      <c r="P323" s="992">
        <f>SUMIFS('Data FT-TS-Cashout-Paddys'!$G$5:$G$756,'Data FT-TS-Cashout-Paddys'!$F$5:$F$756,'Apr11-Mar12 FT-TS-Cashout-LG&amp;E'!$G323,'Data FT-TS-Cashout-Paddys'!$A$5:$A$756,'Apr11-Mar12 FT-TS-Cashout-LG&amp;E'!P$219,'Data FT-TS-Cashout-Paddys'!$C$5:$C$756,'Apr11-Mar12 FT-TS-Cashout-LG&amp;E'!$C323,'Data FT-TS-Cashout-Paddys'!$E$5:$E$756,'Apr11-Mar12 FT-TS-Cashout-LG&amp;E'!P$220)/10</f>
        <v>91.1</v>
      </c>
      <c r="Q323" s="992">
        <f>SUMIFS('Data FT-TS-Cashout-Paddys'!$G$5:$G$756,'Data FT-TS-Cashout-Paddys'!$F$5:$F$756,'Apr11-Mar12 FT-TS-Cashout-LG&amp;E'!$G323,'Data FT-TS-Cashout-Paddys'!$A$5:$A$756,'Apr11-Mar12 FT-TS-Cashout-LG&amp;E'!Q$219,'Data FT-TS-Cashout-Paddys'!$C$5:$C$756,'Apr11-Mar12 FT-TS-Cashout-LG&amp;E'!$C323,'Data FT-TS-Cashout-Paddys'!$E$5:$E$756,'Apr11-Mar12 FT-TS-Cashout-LG&amp;E'!Q$220)/10</f>
        <v>98</v>
      </c>
      <c r="R323" s="992">
        <f>SUMIFS('Data FT-TS-Cashout-Paddys'!$G$5:$G$756,'Data FT-TS-Cashout-Paddys'!$F$5:$F$756,'Apr11-Mar12 FT-TS-Cashout-LG&amp;E'!$G323,'Data FT-TS-Cashout-Paddys'!$A$5:$A$756,'Apr11-Mar12 FT-TS-Cashout-LG&amp;E'!R$219,'Data FT-TS-Cashout-Paddys'!$C$5:$C$756,'Apr11-Mar12 FT-TS-Cashout-LG&amp;E'!$C323,'Data FT-TS-Cashout-Paddys'!$E$5:$E$756,'Apr11-Mar12 FT-TS-Cashout-LG&amp;E'!R$220)/10</f>
        <v>0</v>
      </c>
      <c r="S323" s="992">
        <f>SUMIFS('Data FT-TS-Cashout-Paddys'!$G$5:$G$756,'Data FT-TS-Cashout-Paddys'!$F$5:$F$756,'Apr11-Mar12 FT-TS-Cashout-LG&amp;E'!$G323,'Data FT-TS-Cashout-Paddys'!$A$5:$A$756,'Apr11-Mar12 FT-TS-Cashout-LG&amp;E'!S$219,'Data FT-TS-Cashout-Paddys'!$C$5:$C$756,'Apr11-Mar12 FT-TS-Cashout-LG&amp;E'!$C323,'Data FT-TS-Cashout-Paddys'!$E$5:$E$756,'Apr11-Mar12 FT-TS-Cashout-LG&amp;E'!S$220)/10</f>
        <v>0</v>
      </c>
      <c r="T323" s="1044">
        <f>SUM(H323:S323)</f>
        <v>1324.3999999999999</v>
      </c>
    </row>
    <row r="324" spans="2:20" x14ac:dyDescent="0.2">
      <c r="B324" s="561" t="str">
        <f>VLOOKUP($C324,'Retail Rates'!$B$46:$Q$55,13,FALSE)</f>
        <v>TS Commercial</v>
      </c>
      <c r="C324" s="633" t="s">
        <v>63</v>
      </c>
      <c r="D324" s="633" t="str">
        <f t="shared" si="116"/>
        <v>881</v>
      </c>
      <c r="E324" s="561" t="str">
        <f>VLOOKUP($C324,'Retail Rates'!$B$46:$Q$55,3,FALSE)</f>
        <v>CGS-TS</v>
      </c>
      <c r="F324" s="1012"/>
      <c r="O324" s="1080"/>
    </row>
    <row r="325" spans="2:20" x14ac:dyDescent="0.2">
      <c r="B325" s="561" t="str">
        <f>VLOOKUP($C325,'Retail Rates'!$B$46:$Q$55,13,FALSE)</f>
        <v>TS Commercial</v>
      </c>
      <c r="C325" s="633" t="s">
        <v>63</v>
      </c>
      <c r="D325" s="633" t="str">
        <f t="shared" si="116"/>
        <v>881</v>
      </c>
      <c r="E325" s="561" t="str">
        <f>VLOOKUP($C325,'Retail Rates'!$B$46:$Q$55,3,FALSE)</f>
        <v>CGS-TS</v>
      </c>
      <c r="F325" s="1010" t="s">
        <v>1007</v>
      </c>
      <c r="H325" s="994">
        <f>VLOOKUP($C325,'Retail Rates'!$B$45:$N$55,9,FALSE)</f>
        <v>170</v>
      </c>
      <c r="I325" s="994">
        <f>VLOOKUP($C325,'Retail Rates'!$B$45:$N$55,9,FALSE)</f>
        <v>170</v>
      </c>
      <c r="J325" s="994">
        <f>VLOOKUP($C325,'Retail Rates'!$B$45:$N$55,9,FALSE)</f>
        <v>170</v>
      </c>
      <c r="K325" s="994">
        <f>VLOOKUP($C325,'Retail Rates'!$B$45:$N$55,9,FALSE)</f>
        <v>170</v>
      </c>
      <c r="L325" s="994">
        <f>VLOOKUP($C325,'Retail Rates'!$B$45:$N$55,9,FALSE)</f>
        <v>170</v>
      </c>
      <c r="M325" s="994">
        <f>VLOOKUP($C325,'Retail Rates'!$B$45:$N$55,9,FALSE)</f>
        <v>170</v>
      </c>
      <c r="N325" s="994">
        <f>VLOOKUP($C325,'Retail Rates'!$B$45:$N$55,9,FALSE)</f>
        <v>170</v>
      </c>
      <c r="O325" s="994">
        <f>VLOOKUP($C325,'Retail Rates'!$B$45:$N$55,9,FALSE)</f>
        <v>170</v>
      </c>
      <c r="P325" s="994">
        <f>VLOOKUP($C325,'Retail Rates'!$B$45:$N$55,9,FALSE)</f>
        <v>170</v>
      </c>
      <c r="Q325" s="994">
        <f>VLOOKUP($C325,'Retail Rates'!$B$45:$N$55,9,FALSE)</f>
        <v>170</v>
      </c>
      <c r="R325" s="994">
        <f>VLOOKUP($C325,'Retail Rates'!$B$45:$N$55,9,FALSE)</f>
        <v>170</v>
      </c>
      <c r="S325" s="994">
        <f>VLOOKUP($C325,'Retail Rates'!$B$45:$N$55,9,FALSE)</f>
        <v>170</v>
      </c>
    </row>
    <row r="326" spans="2:20" x14ac:dyDescent="0.2">
      <c r="B326" s="561" t="str">
        <f>VLOOKUP($C326,'Retail Rates'!$B$46:$Q$55,13,FALSE)</f>
        <v>TS Commercial</v>
      </c>
      <c r="C326" s="633" t="s">
        <v>63</v>
      </c>
      <c r="D326" s="633" t="str">
        <f t="shared" si="116"/>
        <v>881</v>
      </c>
      <c r="E326" s="561" t="str">
        <f>VLOOKUP($C326,'Retail Rates'!$B$46:$Q$55,3,FALSE)</f>
        <v>CGS-TS</v>
      </c>
      <c r="F326" s="1010" t="s">
        <v>717</v>
      </c>
      <c r="H326" s="995">
        <f>VLOOKUP($C326,'Retail Rates'!$B$45:$N$55,7,FALSE)</f>
        <v>1.8722000000000001</v>
      </c>
      <c r="I326" s="995">
        <f>VLOOKUP($C326,'Retail Rates'!$B$45:$N$55,7,FALSE)</f>
        <v>1.8722000000000001</v>
      </c>
      <c r="J326" s="995">
        <f>VLOOKUP($C326,'Retail Rates'!$B$45:$N$55,7,FALSE)</f>
        <v>1.8722000000000001</v>
      </c>
      <c r="K326" s="995">
        <f>VLOOKUP($C326,'Retail Rates'!$B$45:$N$55,7,FALSE)</f>
        <v>1.8722000000000001</v>
      </c>
      <c r="L326" s="995">
        <f>VLOOKUP($C326,'Retail Rates'!$B$45:$N$55,7,FALSE)</f>
        <v>1.8722000000000001</v>
      </c>
      <c r="M326" s="995">
        <f>VLOOKUP($C326,'Retail Rates'!$B$45:$N$55,7,FALSE)</f>
        <v>1.8722000000000001</v>
      </c>
      <c r="N326" s="995">
        <f>VLOOKUP($C326,'Retail Rates'!$B$45:$N$55,7,FALSE)</f>
        <v>1.8722000000000001</v>
      </c>
      <c r="O326" s="995">
        <f>VLOOKUP($C326,'Retail Rates'!$B$45:$N$55,7,FALSE)</f>
        <v>1.8722000000000001</v>
      </c>
      <c r="P326" s="995">
        <f>VLOOKUP($C326,'Retail Rates'!$B$45:$N$55,7,FALSE)</f>
        <v>1.8722000000000001</v>
      </c>
      <c r="Q326" s="995">
        <f>VLOOKUP($C326,'Retail Rates'!$B$45:$N$55,7,FALSE)</f>
        <v>1.8722000000000001</v>
      </c>
      <c r="R326" s="995">
        <f>VLOOKUP($C326,'Retail Rates'!$B$45:$N$55,7,FALSE)</f>
        <v>1.8722000000000001</v>
      </c>
      <c r="S326" s="995">
        <f>VLOOKUP($C326,'Retail Rates'!$B$45:$N$55,7,FALSE)</f>
        <v>1.8722000000000001</v>
      </c>
    </row>
    <row r="327" spans="2:20" x14ac:dyDescent="0.2">
      <c r="B327" s="561" t="str">
        <f>VLOOKUP($C327,'Retail Rates'!$B$46:$Q$55,13,FALSE)</f>
        <v>TS Commercial</v>
      </c>
      <c r="C327" s="633" t="s">
        <v>63</v>
      </c>
      <c r="D327" s="633" t="str">
        <f t="shared" si="116"/>
        <v>881</v>
      </c>
      <c r="E327" s="561" t="str">
        <f>VLOOKUP($C327,'Retail Rates'!$B$46:$Q$55,3,FALSE)</f>
        <v>CGS-TS</v>
      </c>
      <c r="F327" s="1010" t="s">
        <v>718</v>
      </c>
      <c r="H327" s="995">
        <f>+H326</f>
        <v>1.8722000000000001</v>
      </c>
      <c r="I327" s="995">
        <f>+I326</f>
        <v>1.8722000000000001</v>
      </c>
      <c r="J327" s="995">
        <f>+J326</f>
        <v>1.8722000000000001</v>
      </c>
      <c r="K327" s="995">
        <f>VLOOKUP($C327,'Retail Rates'!$B$45:$N$55,8,FALSE)</f>
        <v>1.3722000000000001</v>
      </c>
      <c r="L327" s="995">
        <f>VLOOKUP($C327,'Retail Rates'!$B$45:$N$55,8,FALSE)</f>
        <v>1.3722000000000001</v>
      </c>
      <c r="M327" s="995">
        <f>VLOOKUP($C327,'Retail Rates'!$B$45:$N$55,8,FALSE)</f>
        <v>1.3722000000000001</v>
      </c>
      <c r="N327" s="995">
        <f>VLOOKUP($C327,'Retail Rates'!$B$45:$N$55,8,FALSE)</f>
        <v>1.3722000000000001</v>
      </c>
      <c r="O327" s="995">
        <f>VLOOKUP($C327,'Retail Rates'!$B$45:$N$55,8,FALSE)</f>
        <v>1.3722000000000001</v>
      </c>
      <c r="P327" s="995">
        <f>VLOOKUP($C327,'Retail Rates'!$B$45:$N$55,8,FALSE)</f>
        <v>1.3722000000000001</v>
      </c>
      <c r="Q327" s="995">
        <f>VLOOKUP($C327,'Retail Rates'!$B$45:$N$55,8,FALSE)</f>
        <v>1.3722000000000001</v>
      </c>
      <c r="R327" s="995">
        <f>+R326</f>
        <v>1.8722000000000001</v>
      </c>
      <c r="S327" s="995">
        <f>+S326</f>
        <v>1.8722000000000001</v>
      </c>
    </row>
    <row r="328" spans="2:20" x14ac:dyDescent="0.2">
      <c r="B328" s="561" t="str">
        <f>VLOOKUP($C328,'Retail Rates'!$B$46:$Q$55,13,FALSE)</f>
        <v>TS Commercial</v>
      </c>
      <c r="C328" s="633" t="s">
        <v>63</v>
      </c>
      <c r="D328" s="633" t="str">
        <f t="shared" si="116"/>
        <v>881</v>
      </c>
      <c r="E328" s="561" t="str">
        <f>VLOOKUP($C328,'Retail Rates'!$B$46:$Q$55,3,FALSE)</f>
        <v>CGS-TS</v>
      </c>
      <c r="F328" s="1010" t="s">
        <v>862</v>
      </c>
      <c r="H328" s="995">
        <f>SUMIF('GSC-DSM Factors'!$A$14:$A$44,'Apr11-Mar12 FT-TS-Cashout-LG&amp;E'!H$5,'GSC-DSM Factors'!$N$14:$N$44)</f>
        <v>5.1601999999999997</v>
      </c>
      <c r="I328" s="995">
        <f>SUMIF('GSC-DSM Factors'!$A$14:$A$44,'Apr11-Mar12 FT-TS-Cashout-LG&amp;E'!I$5,'GSC-DSM Factors'!$N$14:$N$44)</f>
        <v>4.7423000000000002</v>
      </c>
      <c r="J328" s="995">
        <f>SUMIF('GSC-DSM Factors'!$A$14:$A$44,'Apr11-Mar12 FT-TS-Cashout-LG&amp;E'!J$5,'GSC-DSM Factors'!$N$14:$N$44)</f>
        <v>4.7423000000000002</v>
      </c>
      <c r="K328" s="995">
        <f>SUMIF('GSC-DSM Factors'!$A$14:$A$44,'Apr11-Mar12 FT-TS-Cashout-LG&amp;E'!K$5,'GSC-DSM Factors'!$N$14:$N$44)</f>
        <v>5.2720000000000002</v>
      </c>
      <c r="L328" s="995">
        <f>SUMIF('GSC-DSM Factors'!$A$14:$A$44,'Apr11-Mar12 FT-TS-Cashout-LG&amp;E'!L$5,'GSC-DSM Factors'!$N$14:$N$44)</f>
        <v>5.6143000000000001</v>
      </c>
      <c r="M328" s="995">
        <f>SUMIF('GSC-DSM Factors'!$A$14:$A$44,'Apr11-Mar12 FT-TS-Cashout-LG&amp;E'!M$5,'GSC-DSM Factors'!$N$14:$N$44)</f>
        <v>5.6143000000000001</v>
      </c>
      <c r="N328" s="995">
        <f>SUMIF('GSC-DSM Factors'!$A$14:$A$44,'Apr11-Mar12 FT-TS-Cashout-LG&amp;E'!N$5,'GSC-DSM Factors'!$N$14:$N$44)</f>
        <v>5.6143000000000001</v>
      </c>
      <c r="O328" s="995">
        <f>SUMIF('GSC-DSM Factors'!$A$14:$A$44,'Apr11-Mar12 FT-TS-Cashout-LG&amp;E'!O$5,'GSC-DSM Factors'!$N$14:$N$44)</f>
        <v>5.6049999999999995</v>
      </c>
      <c r="P328" s="995">
        <f>SUMIF('GSC-DSM Factors'!$A$14:$A$44,'Apr11-Mar12 FT-TS-Cashout-LG&amp;E'!P$5,'GSC-DSM Factors'!$N$14:$N$44)</f>
        <v>5.6049999999999995</v>
      </c>
      <c r="Q328" s="995">
        <f>SUMIF('GSC-DSM Factors'!$A$14:$A$44,'Apr11-Mar12 FT-TS-Cashout-LG&amp;E'!Q$5,'GSC-DSM Factors'!$N$14:$N$44)</f>
        <v>5.6049999999999995</v>
      </c>
      <c r="R328" s="995">
        <f>SUMIF('GSC-DSM Factors'!$A$14:$A$44,'Apr11-Mar12 FT-TS-Cashout-LG&amp;E'!R$5,'GSC-DSM Factors'!$N$14:$N$44)</f>
        <v>5.1601999999999997</v>
      </c>
      <c r="S328" s="995">
        <f>SUMIF('GSC-DSM Factors'!$A$14:$A$44,'Apr11-Mar12 FT-TS-Cashout-LG&amp;E'!S$5,'GSC-DSM Factors'!$N$14:$N$44)</f>
        <v>5.1601999999999997</v>
      </c>
    </row>
    <row r="329" spans="2:20" x14ac:dyDescent="0.2">
      <c r="B329" s="561" t="str">
        <f>VLOOKUP($C329,'Retail Rates'!$B$46:$Q$55,13,FALSE)</f>
        <v>TS Commercial</v>
      </c>
      <c r="C329" s="633" t="s">
        <v>63</v>
      </c>
      <c r="D329" s="633" t="str">
        <f t="shared" si="116"/>
        <v>881</v>
      </c>
      <c r="E329" s="561" t="str">
        <f>VLOOKUP($C329,'Retail Rates'!$B$46:$Q$55,3,FALSE)</f>
        <v>CGS-TS</v>
      </c>
      <c r="F329" s="1010" t="s">
        <v>411</v>
      </c>
      <c r="H329" s="995">
        <f>SUMIF('GSC-DSM Factors'!$A$14:$A$44,'Apr11-Mar12 FT-TS-Cashout-LG&amp;E'!H$5,'GSC-DSM Factors'!$J$14:$J$44)</f>
        <v>1.1599999999999999E-2</v>
      </c>
      <c r="I329" s="995">
        <f>SUMIF('GSC-DSM Factors'!$A$14:$A$44,'Apr11-Mar12 FT-TS-Cashout-LG&amp;E'!I$5,'GSC-DSM Factors'!$J$14:$J$44)</f>
        <v>1.1599999999999999E-2</v>
      </c>
      <c r="J329" s="995">
        <f>SUMIF('GSC-DSM Factors'!$A$14:$A$44,'Apr11-Mar12 FT-TS-Cashout-LG&amp;E'!J$5,'GSC-DSM Factors'!$J$14:$J$44)</f>
        <v>1.1599999999999999E-2</v>
      </c>
      <c r="K329" s="995">
        <f>SUMIF('GSC-DSM Factors'!$A$14:$A$44,'Apr11-Mar12 FT-TS-Cashout-LG&amp;E'!K$5,'GSC-DSM Factors'!$J$14:$J$44)</f>
        <v>8.8999999999999982E-3</v>
      </c>
      <c r="L329" s="995">
        <f>SUMIF('GSC-DSM Factors'!$A$14:$A$44,'Apr11-Mar12 FT-TS-Cashout-LG&amp;E'!L$5,'GSC-DSM Factors'!$J$14:$J$44)</f>
        <v>8.8999999999999982E-3</v>
      </c>
      <c r="M329" s="995">
        <f>SUMIF('GSC-DSM Factors'!$A$14:$A$44,'Apr11-Mar12 FT-TS-Cashout-LG&amp;E'!M$5,'GSC-DSM Factors'!$J$14:$J$44)</f>
        <v>9.5999999999999992E-3</v>
      </c>
      <c r="N329" s="995">
        <f>SUMIF('GSC-DSM Factors'!$A$14:$A$44,'Apr11-Mar12 FT-TS-Cashout-LG&amp;E'!N$5,'GSC-DSM Factors'!$J$14:$J$44)</f>
        <v>9.5999999999999992E-3</v>
      </c>
      <c r="O329" s="995">
        <f>SUMIF('GSC-DSM Factors'!$A$14:$A$44,'Apr11-Mar12 FT-TS-Cashout-LG&amp;E'!O$5,'GSC-DSM Factors'!$J$14:$J$44)</f>
        <v>9.5999999999999992E-3</v>
      </c>
      <c r="P329" s="995">
        <f>SUMIF('GSC-DSM Factors'!$A$14:$A$44,'Apr11-Mar12 FT-TS-Cashout-LG&amp;E'!P$5,'GSC-DSM Factors'!$J$14:$J$44)</f>
        <v>9.5999999999999992E-3</v>
      </c>
      <c r="Q329" s="995">
        <f>SUMIF('GSC-DSM Factors'!$A$14:$A$44,'Apr11-Mar12 FT-TS-Cashout-LG&amp;E'!Q$5,'GSC-DSM Factors'!$J$14:$J$44)</f>
        <v>9.5999999999999992E-3</v>
      </c>
      <c r="R329" s="995">
        <f>SUMIF('GSC-DSM Factors'!$A$14:$A$44,'Apr11-Mar12 FT-TS-Cashout-LG&amp;E'!R$5,'GSC-DSM Factors'!$J$14:$J$44)</f>
        <v>9.5999999999999992E-3</v>
      </c>
      <c r="S329" s="995">
        <f>SUMIF('GSC-DSM Factors'!$A$14:$A$44,'Apr11-Mar12 FT-TS-Cashout-LG&amp;E'!S$5,'GSC-DSM Factors'!$J$14:$J$44)</f>
        <v>9.5999999999999992E-3</v>
      </c>
    </row>
    <row r="330" spans="2:20" x14ac:dyDescent="0.2">
      <c r="B330" s="561" t="str">
        <f>VLOOKUP($C330,'Retail Rates'!$B$46:$Q$55,13,FALSE)</f>
        <v>TS Commercial</v>
      </c>
      <c r="C330" s="633" t="s">
        <v>63</v>
      </c>
      <c r="D330" s="633" t="str">
        <f t="shared" si="116"/>
        <v>881</v>
      </c>
      <c r="E330" s="561" t="str">
        <f>VLOOKUP($C330,'Retail Rates'!$B$46:$Q$55,3,FALSE)</f>
        <v>CGS-TS</v>
      </c>
      <c r="F330" s="1013" t="s">
        <v>412</v>
      </c>
    </row>
    <row r="331" spans="2:20" x14ac:dyDescent="0.2">
      <c r="B331" s="561" t="str">
        <f>VLOOKUP($C331,'Retail Rates'!$B$46:$Q$55,13,FALSE)</f>
        <v>TS Commercial</v>
      </c>
      <c r="C331" s="633" t="s">
        <v>63</v>
      </c>
      <c r="D331" s="633" t="str">
        <f t="shared" si="116"/>
        <v>881</v>
      </c>
      <c r="E331" s="561" t="str">
        <f>VLOOKUP($C331,'Retail Rates'!$B$46:$Q$55,3,FALSE)</f>
        <v>CGS-TS</v>
      </c>
      <c r="F331" s="991" t="s">
        <v>262</v>
      </c>
      <c r="G331" s="987" t="s">
        <v>833</v>
      </c>
      <c r="H331" s="1001">
        <f>SUMIFS('Data FT-TS-Cashout-Paddys'!$I$5:$I$756,'Data FT-TS-Cashout-Paddys'!$F$5:$F$756,'Apr11-Mar12 FT-TS-Cashout-LG&amp;E'!$G331,'Data FT-TS-Cashout-Paddys'!$A$5:$A$756,'Apr11-Mar12 FT-TS-Cashout-LG&amp;E'!H$219,'Data FT-TS-Cashout-Paddys'!$C$5:$C$756,'Apr11-Mar12 FT-TS-Cashout-LG&amp;E'!$C331)</f>
        <v>0</v>
      </c>
      <c r="I331" s="1001">
        <f>SUMIFS('Data FT-TS-Cashout-Paddys'!$I$5:$I$756,'Data FT-TS-Cashout-Paddys'!$F$5:$F$756,'Apr11-Mar12 FT-TS-Cashout-LG&amp;E'!$G331,'Data FT-TS-Cashout-Paddys'!$A$5:$A$756,'Apr11-Mar12 FT-TS-Cashout-LG&amp;E'!I$219,'Data FT-TS-Cashout-Paddys'!$C$5:$C$756,'Apr11-Mar12 FT-TS-Cashout-LG&amp;E'!$C331)</f>
        <v>0</v>
      </c>
      <c r="J331" s="1001">
        <f>SUMIFS('Data FT-TS-Cashout-Paddys'!$I$5:$I$756,'Data FT-TS-Cashout-Paddys'!$F$5:$F$756,'Apr11-Mar12 FT-TS-Cashout-LG&amp;E'!$G331,'Data FT-TS-Cashout-Paddys'!$A$5:$A$756,'Apr11-Mar12 FT-TS-Cashout-LG&amp;E'!J$219,'Data FT-TS-Cashout-Paddys'!$C$5:$C$756,'Apr11-Mar12 FT-TS-Cashout-LG&amp;E'!$C331)</f>
        <v>0</v>
      </c>
      <c r="K331" s="1001">
        <f>SUMIFS('Data FT-TS-Cashout-Paddys'!$I$5:$I$756,'Data FT-TS-Cashout-Paddys'!$F$5:$F$756,'Apr11-Mar12 FT-TS-Cashout-LG&amp;E'!$G331,'Data FT-TS-Cashout-Paddys'!$A$5:$A$756,'Apr11-Mar12 FT-TS-Cashout-LG&amp;E'!K$219,'Data FT-TS-Cashout-Paddys'!$C$5:$C$756,'Apr11-Mar12 FT-TS-Cashout-LG&amp;E'!$C331)</f>
        <v>170</v>
      </c>
      <c r="L331" s="1001">
        <f>SUMIFS('Data FT-TS-Cashout-Paddys'!$I$5:$I$756,'Data FT-TS-Cashout-Paddys'!$F$5:$F$756,'Apr11-Mar12 FT-TS-Cashout-LG&amp;E'!$G331,'Data FT-TS-Cashout-Paddys'!$A$5:$A$756,'Apr11-Mar12 FT-TS-Cashout-LG&amp;E'!L$219,'Data FT-TS-Cashout-Paddys'!$C$5:$C$756,'Apr11-Mar12 FT-TS-Cashout-LG&amp;E'!$C331)</f>
        <v>170</v>
      </c>
      <c r="M331" s="1001">
        <f>SUMIFS('Data FT-TS-Cashout-Paddys'!$I$5:$I$756,'Data FT-TS-Cashout-Paddys'!$F$5:$F$756,'Apr11-Mar12 FT-TS-Cashout-LG&amp;E'!$G331,'Data FT-TS-Cashout-Paddys'!$A$5:$A$756,'Apr11-Mar12 FT-TS-Cashout-LG&amp;E'!M$219,'Data FT-TS-Cashout-Paddys'!$C$5:$C$756,'Apr11-Mar12 FT-TS-Cashout-LG&amp;E'!$C331)</f>
        <v>170</v>
      </c>
      <c r="N331" s="1001">
        <f>SUMIFS('Data FT-TS-Cashout-Paddys'!$I$5:$I$756,'Data FT-TS-Cashout-Paddys'!$F$5:$F$756,'Apr11-Mar12 FT-TS-Cashout-LG&amp;E'!$G331,'Data FT-TS-Cashout-Paddys'!$A$5:$A$756,'Apr11-Mar12 FT-TS-Cashout-LG&amp;E'!N$219,'Data FT-TS-Cashout-Paddys'!$C$5:$C$756,'Apr11-Mar12 FT-TS-Cashout-LG&amp;E'!$C331)</f>
        <v>340</v>
      </c>
      <c r="O331" s="1001">
        <f>SUMIFS('Data FT-TS-Cashout-Paddys'!$I$5:$I$756,'Data FT-TS-Cashout-Paddys'!$F$5:$F$756,'Apr11-Mar12 FT-TS-Cashout-LG&amp;E'!$G331,'Data FT-TS-Cashout-Paddys'!$A$5:$A$756,'Apr11-Mar12 FT-TS-Cashout-LG&amp;E'!O$219,'Data FT-TS-Cashout-Paddys'!$C$5:$C$756,'Apr11-Mar12 FT-TS-Cashout-LG&amp;E'!$C331)</f>
        <v>0</v>
      </c>
      <c r="P331" s="1001">
        <f>SUMIFS('Data FT-TS-Cashout-Paddys'!$I$5:$I$756,'Data FT-TS-Cashout-Paddys'!$F$5:$F$756,'Apr11-Mar12 FT-TS-Cashout-LG&amp;E'!$G331,'Data FT-TS-Cashout-Paddys'!$A$5:$A$756,'Apr11-Mar12 FT-TS-Cashout-LG&amp;E'!P$219,'Data FT-TS-Cashout-Paddys'!$C$5:$C$756,'Apr11-Mar12 FT-TS-Cashout-LG&amp;E'!$C331)</f>
        <v>170</v>
      </c>
      <c r="Q331" s="1001">
        <f>SUMIFS('Data FT-TS-Cashout-Paddys'!$I$5:$I$756,'Data FT-TS-Cashout-Paddys'!$F$5:$F$756,'Apr11-Mar12 FT-TS-Cashout-LG&amp;E'!$G331,'Data FT-TS-Cashout-Paddys'!$A$5:$A$756,'Apr11-Mar12 FT-TS-Cashout-LG&amp;E'!Q$219,'Data FT-TS-Cashout-Paddys'!$C$5:$C$756,'Apr11-Mar12 FT-TS-Cashout-LG&amp;E'!$C331)</f>
        <v>170</v>
      </c>
      <c r="R331" s="1001">
        <f>SUMIFS('Data FT-TS-Cashout-Paddys'!$I$5:$I$756,'Data FT-TS-Cashout-Paddys'!$F$5:$F$756,'Apr11-Mar12 FT-TS-Cashout-LG&amp;E'!$G331,'Data FT-TS-Cashout-Paddys'!$A$5:$A$756,'Apr11-Mar12 FT-TS-Cashout-LG&amp;E'!R$219,'Data FT-TS-Cashout-Paddys'!$C$5:$C$756,'Apr11-Mar12 FT-TS-Cashout-LG&amp;E'!$C331)</f>
        <v>0</v>
      </c>
      <c r="S331" s="1001">
        <f>SUMIFS('Data FT-TS-Cashout-Paddys'!$I$5:$I$756,'Data FT-TS-Cashout-Paddys'!$F$5:$F$756,'Apr11-Mar12 FT-TS-Cashout-LG&amp;E'!$G331,'Data FT-TS-Cashout-Paddys'!$A$5:$A$756,'Apr11-Mar12 FT-TS-Cashout-LG&amp;E'!S$219,'Data FT-TS-Cashout-Paddys'!$C$5:$C$756,'Apr11-Mar12 FT-TS-Cashout-LG&amp;E'!$C331)</f>
        <v>0</v>
      </c>
      <c r="T331" s="1001">
        <f t="shared" ref="T331:T338" si="120">SUM(H331:S331)</f>
        <v>1190</v>
      </c>
    </row>
    <row r="332" spans="2:20" x14ac:dyDescent="0.2">
      <c r="B332" s="561" t="str">
        <f>VLOOKUP($C332,'Retail Rates'!$B$46:$Q$55,13,FALSE)</f>
        <v>TS Commercial</v>
      </c>
      <c r="C332" s="633" t="s">
        <v>63</v>
      </c>
      <c r="D332" s="633" t="str">
        <f t="shared" si="116"/>
        <v>881</v>
      </c>
      <c r="E332" s="561" t="str">
        <f>VLOOKUP($C332,'Retail Rates'!$B$46:$Q$55,3,FALSE)</f>
        <v>CGS-TS</v>
      </c>
      <c r="F332" s="1010" t="s">
        <v>719</v>
      </c>
      <c r="H332" s="994">
        <f>ROUND(+H321*H326,2)</f>
        <v>0</v>
      </c>
      <c r="I332" s="994">
        <f t="shared" ref="I332:S332" si="121">ROUND(+I321*I326,2)</f>
        <v>0</v>
      </c>
      <c r="J332" s="994">
        <f t="shared" si="121"/>
        <v>0</v>
      </c>
      <c r="K332" s="999">
        <f t="shared" si="121"/>
        <v>187.22</v>
      </c>
      <c r="L332" s="999">
        <f t="shared" si="121"/>
        <v>187.22</v>
      </c>
      <c r="M332" s="999">
        <f t="shared" si="121"/>
        <v>187.22</v>
      </c>
      <c r="N332" s="999">
        <f t="shared" si="121"/>
        <v>272.22000000000003</v>
      </c>
      <c r="O332" s="999">
        <f t="shared" si="121"/>
        <v>-42.31</v>
      </c>
      <c r="P332" s="999">
        <f t="shared" si="121"/>
        <v>170.56</v>
      </c>
      <c r="Q332" s="994">
        <f t="shared" si="121"/>
        <v>183.48</v>
      </c>
      <c r="R332" s="994">
        <f t="shared" si="121"/>
        <v>0</v>
      </c>
      <c r="S332" s="994">
        <f t="shared" si="121"/>
        <v>0</v>
      </c>
      <c r="T332" s="1001">
        <f t="shared" si="120"/>
        <v>1145.6099999999999</v>
      </c>
    </row>
    <row r="333" spans="2:20" x14ac:dyDescent="0.2">
      <c r="B333" s="561" t="str">
        <f>VLOOKUP($C333,'Retail Rates'!$B$46:$Q$55,13,FALSE)</f>
        <v>TS Commercial</v>
      </c>
      <c r="C333" s="633" t="s">
        <v>63</v>
      </c>
      <c r="D333" s="633" t="str">
        <f t="shared" si="116"/>
        <v>881</v>
      </c>
      <c r="E333" s="561" t="str">
        <f>VLOOKUP($C333,'Retail Rates'!$B$46:$Q$55,3,FALSE)</f>
        <v>CGS-TS</v>
      </c>
      <c r="F333" s="1010" t="s">
        <v>720</v>
      </c>
      <c r="H333" s="1007">
        <f>ROUND(+H322*H327,2)</f>
        <v>0</v>
      </c>
      <c r="I333" s="1007">
        <f t="shared" ref="I333:S333" si="122">ROUND(+I322*I327,2)</f>
        <v>0</v>
      </c>
      <c r="J333" s="1007">
        <f t="shared" si="122"/>
        <v>0</v>
      </c>
      <c r="K333" s="1000">
        <f t="shared" si="122"/>
        <v>770.9</v>
      </c>
      <c r="L333" s="1000">
        <f t="shared" si="122"/>
        <v>183.74</v>
      </c>
      <c r="M333" s="1000">
        <f t="shared" si="122"/>
        <v>23.05</v>
      </c>
      <c r="N333" s="1000">
        <f t="shared" si="122"/>
        <v>0</v>
      </c>
      <c r="O333" s="1000">
        <f t="shared" si="122"/>
        <v>0</v>
      </c>
      <c r="P333" s="1000">
        <f t="shared" si="122"/>
        <v>0</v>
      </c>
      <c r="Q333" s="1007">
        <f t="shared" si="122"/>
        <v>0</v>
      </c>
      <c r="R333" s="1007">
        <f t="shared" si="122"/>
        <v>0</v>
      </c>
      <c r="S333" s="1007">
        <f t="shared" si="122"/>
        <v>0</v>
      </c>
      <c r="T333" s="1001">
        <f t="shared" si="120"/>
        <v>977.68999999999994</v>
      </c>
    </row>
    <row r="334" spans="2:20" x14ac:dyDescent="0.2">
      <c r="B334" s="561" t="str">
        <f>VLOOKUP($C334,'Retail Rates'!$B$46:$Q$55,13,FALSE)</f>
        <v>TS Commercial</v>
      </c>
      <c r="C334" s="633" t="s">
        <v>63</v>
      </c>
      <c r="D334" s="633" t="str">
        <f t="shared" si="116"/>
        <v>881</v>
      </c>
      <c r="E334" s="561" t="str">
        <f>VLOOKUP($C334,'Retail Rates'!$B$46:$Q$55,3,FALSE)</f>
        <v>CGS-TS</v>
      </c>
      <c r="F334" s="1010" t="s">
        <v>415</v>
      </c>
      <c r="H334" s="994">
        <f t="shared" ref="H334:S334" si="123">SUM(H331:H333)</f>
        <v>0</v>
      </c>
      <c r="I334" s="994">
        <f t="shared" si="123"/>
        <v>0</v>
      </c>
      <c r="J334" s="994">
        <f t="shared" si="123"/>
        <v>0</v>
      </c>
      <c r="K334" s="999">
        <f t="shared" si="123"/>
        <v>1128.1199999999999</v>
      </c>
      <c r="L334" s="999">
        <f t="shared" si="123"/>
        <v>540.96</v>
      </c>
      <c r="M334" s="999">
        <f t="shared" si="123"/>
        <v>380.27000000000004</v>
      </c>
      <c r="N334" s="999">
        <f t="shared" si="123"/>
        <v>612.22</v>
      </c>
      <c r="O334" s="999">
        <f t="shared" si="123"/>
        <v>-42.31</v>
      </c>
      <c r="P334" s="999">
        <f t="shared" si="123"/>
        <v>340.56</v>
      </c>
      <c r="Q334" s="994">
        <f t="shared" si="123"/>
        <v>353.48</v>
      </c>
      <c r="R334" s="994">
        <f t="shared" si="123"/>
        <v>0</v>
      </c>
      <c r="S334" s="994">
        <f t="shared" si="123"/>
        <v>0</v>
      </c>
      <c r="T334" s="1001">
        <f t="shared" si="120"/>
        <v>3313.2999999999997</v>
      </c>
    </row>
    <row r="335" spans="2:20" x14ac:dyDescent="0.2">
      <c r="B335" s="561" t="str">
        <f>VLOOKUP($C335,'Retail Rates'!$B$46:$Q$55,13,FALSE)</f>
        <v>TS Commercial</v>
      </c>
      <c r="C335" s="633" t="s">
        <v>63</v>
      </c>
      <c r="D335" s="633" t="str">
        <f t="shared" si="116"/>
        <v>881</v>
      </c>
      <c r="E335" s="561" t="str">
        <f>VLOOKUP($C335,'Retail Rates'!$B$46:$Q$55,3,FALSE)</f>
        <v>CGS-TS</v>
      </c>
      <c r="F335" s="1010" t="s">
        <v>292</v>
      </c>
      <c r="G335" s="987" t="s">
        <v>292</v>
      </c>
      <c r="H335" s="1007">
        <f>SUMIFS('Data FT-TS-Cashout-Paddys'!$H$5:$H$756,'Data FT-TS-Cashout-Paddys'!$F$5:$F$756,'Apr11-Mar12 FT-TS-Cashout-LG&amp;E'!$G335,'Data FT-TS-Cashout-Paddys'!$A$5:$A$756,'Apr11-Mar12 FT-TS-Cashout-LG&amp;E'!H$219,'Data FT-TS-Cashout-Paddys'!$C$5:$C$756,'Apr11-Mar12 FT-TS-Cashout-LG&amp;E'!$C335)</f>
        <v>0</v>
      </c>
      <c r="I335" s="1007">
        <f>SUMIFS('Data FT-TS-Cashout-Paddys'!$H$5:$H$756,'Data FT-TS-Cashout-Paddys'!$F$5:$F$756,'Apr11-Mar12 FT-TS-Cashout-LG&amp;E'!$G335,'Data FT-TS-Cashout-Paddys'!$A$5:$A$756,'Apr11-Mar12 FT-TS-Cashout-LG&amp;E'!I$219,'Data FT-TS-Cashout-Paddys'!$C$5:$C$756,'Apr11-Mar12 FT-TS-Cashout-LG&amp;E'!$C335)</f>
        <v>0</v>
      </c>
      <c r="J335" s="1007">
        <f>SUMIFS('Data FT-TS-Cashout-Paddys'!$H$5:$H$756,'Data FT-TS-Cashout-Paddys'!$F$5:$F$756,'Apr11-Mar12 FT-TS-Cashout-LG&amp;E'!$G335,'Data FT-TS-Cashout-Paddys'!$A$5:$A$756,'Apr11-Mar12 FT-TS-Cashout-LG&amp;E'!J$219,'Data FT-TS-Cashout-Paddys'!$C$5:$C$756,'Apr11-Mar12 FT-TS-Cashout-LG&amp;E'!$C335)</f>
        <v>0</v>
      </c>
      <c r="K335" s="1007">
        <f>SUMIFS('Data FT-TS-Cashout-Paddys'!$H$5:$H$756,'Data FT-TS-Cashout-Paddys'!$F$5:$F$756,'Apr11-Mar12 FT-TS-Cashout-LG&amp;E'!$G335,'Data FT-TS-Cashout-Paddys'!$A$5:$A$756,'Apr11-Mar12 FT-TS-Cashout-LG&amp;E'!K$219,'Data FT-TS-Cashout-Paddys'!$C$5:$C$756,'Apr11-Mar12 FT-TS-Cashout-LG&amp;E'!$C335)</f>
        <v>3489.01</v>
      </c>
      <c r="L335" s="1007">
        <f>SUMIFS('Data FT-TS-Cashout-Paddys'!$H$5:$H$756,'Data FT-TS-Cashout-Paddys'!$F$5:$F$756,'Apr11-Mar12 FT-TS-Cashout-LG&amp;E'!$G335,'Data FT-TS-Cashout-Paddys'!$A$5:$A$756,'Apr11-Mar12 FT-TS-Cashout-LG&amp;E'!L$219,'Data FT-TS-Cashout-Paddys'!$C$5:$C$756,'Apr11-Mar12 FT-TS-Cashout-LG&amp;E'!$C335)</f>
        <v>1266.25</v>
      </c>
      <c r="M335" s="1007">
        <f>SUMIFS('Data FT-TS-Cashout-Paddys'!$H$5:$H$756,'Data FT-TS-Cashout-Paddys'!$F$5:$F$756,'Apr11-Mar12 FT-TS-Cashout-LG&amp;E'!$G335,'Data FT-TS-Cashout-Paddys'!$A$5:$A$756,'Apr11-Mar12 FT-TS-Cashout-LG&amp;E'!M$219,'Data FT-TS-Cashout-Paddys'!$C$5:$C$756,'Apr11-Mar12 FT-TS-Cashout-LG&amp;E'!$C335)</f>
        <v>655.75</v>
      </c>
      <c r="N335" s="1007">
        <f>SUMIFS('Data FT-TS-Cashout-Paddys'!$H$5:$H$756,'Data FT-TS-Cashout-Paddys'!$F$5:$F$756,'Apr11-Mar12 FT-TS-Cashout-LG&amp;E'!$G335,'Data FT-TS-Cashout-Paddys'!$A$5:$A$756,'Apr11-Mar12 FT-TS-Cashout-LG&amp;E'!N$219,'Data FT-TS-Cashout-Paddys'!$C$5:$C$756,'Apr11-Mar12 FT-TS-Cashout-LG&amp;E'!$C335)</f>
        <v>816.32</v>
      </c>
      <c r="O335" s="1007">
        <f>SUMIFS('Data FT-TS-Cashout-Paddys'!$H$5:$H$756,'Data FT-TS-Cashout-Paddys'!$F$5:$F$756,'Apr11-Mar12 FT-TS-Cashout-LG&amp;E'!$G335,'Data FT-TS-Cashout-Paddys'!$A$5:$A$756,'Apr11-Mar12 FT-TS-Cashout-LG&amp;E'!O$219,'Data FT-TS-Cashout-Paddys'!$C$5:$C$756,'Apr11-Mar12 FT-TS-Cashout-LG&amp;E'!$C335)</f>
        <v>-127.07000000000005</v>
      </c>
      <c r="P335" s="1007">
        <f>SUMIFS('Data FT-TS-Cashout-Paddys'!$H$5:$H$756,'Data FT-TS-Cashout-Paddys'!$F$5:$F$756,'Apr11-Mar12 FT-TS-Cashout-LG&amp;E'!$G335,'Data FT-TS-Cashout-Paddys'!$A$5:$A$756,'Apr11-Mar12 FT-TS-Cashout-LG&amp;E'!P$219,'Data FT-TS-Cashout-Paddys'!$C$5:$C$756,'Apr11-Mar12 FT-TS-Cashout-LG&amp;E'!$C335)</f>
        <v>510.62</v>
      </c>
      <c r="Q335" s="1007">
        <f>SUMIFS('Data FT-TS-Cashout-Paddys'!$H$5:$H$756,'Data FT-TS-Cashout-Paddys'!$F$5:$F$756,'Apr11-Mar12 FT-TS-Cashout-LG&amp;E'!$G335,'Data FT-TS-Cashout-Paddys'!$A$5:$A$756,'Apr11-Mar12 FT-TS-Cashout-LG&amp;E'!Q$219,'Data FT-TS-Cashout-Paddys'!$C$5:$C$756,'Apr11-Mar12 FT-TS-Cashout-LG&amp;E'!$C335)</f>
        <v>549.29</v>
      </c>
      <c r="R335" s="1007">
        <f>SUMIFS('Data FT-TS-Cashout-Paddys'!$H$5:$H$756,'Data FT-TS-Cashout-Paddys'!$F$5:$F$756,'Apr11-Mar12 FT-TS-Cashout-LG&amp;E'!$G335,'Data FT-TS-Cashout-Paddys'!$A$5:$A$756,'Apr11-Mar12 FT-TS-Cashout-LG&amp;E'!R$219,'Data FT-TS-Cashout-Paddys'!$C$5:$C$756,'Apr11-Mar12 FT-TS-Cashout-LG&amp;E'!$C335)</f>
        <v>0</v>
      </c>
      <c r="S335" s="1007">
        <f>SUMIFS('Data FT-TS-Cashout-Paddys'!$H$5:$H$756,'Data FT-TS-Cashout-Paddys'!$F$5:$F$756,'Apr11-Mar12 FT-TS-Cashout-LG&amp;E'!$G335,'Data FT-TS-Cashout-Paddys'!$A$5:$A$756,'Apr11-Mar12 FT-TS-Cashout-LG&amp;E'!S$219,'Data FT-TS-Cashout-Paddys'!$C$5:$C$756,'Apr11-Mar12 FT-TS-Cashout-LG&amp;E'!$C335)</f>
        <v>0</v>
      </c>
      <c r="T335" s="1001">
        <f t="shared" si="120"/>
        <v>7160.17</v>
      </c>
    </row>
    <row r="336" spans="2:20" x14ac:dyDescent="0.2">
      <c r="B336" s="561" t="str">
        <f>VLOOKUP($C336,'Retail Rates'!$B$46:$Q$55,13,FALSE)</f>
        <v>TS Commercial</v>
      </c>
      <c r="C336" s="633" t="s">
        <v>63</v>
      </c>
      <c r="D336" s="633" t="str">
        <f t="shared" si="116"/>
        <v>881</v>
      </c>
      <c r="E336" s="561" t="str">
        <f>VLOOKUP($C336,'Retail Rates'!$B$46:$Q$55,3,FALSE)</f>
        <v>CGS-TS</v>
      </c>
      <c r="F336" s="1010" t="s">
        <v>415</v>
      </c>
      <c r="H336" s="994">
        <f t="shared" ref="H336:S336" si="124">+H334+H335</f>
        <v>0</v>
      </c>
      <c r="I336" s="994">
        <f t="shared" si="124"/>
        <v>0</v>
      </c>
      <c r="J336" s="994">
        <f t="shared" si="124"/>
        <v>0</v>
      </c>
      <c r="K336" s="999">
        <f t="shared" si="124"/>
        <v>4617.13</v>
      </c>
      <c r="L336" s="999">
        <f t="shared" si="124"/>
        <v>1807.21</v>
      </c>
      <c r="M336" s="999">
        <f t="shared" si="124"/>
        <v>1036.02</v>
      </c>
      <c r="N336" s="999">
        <f t="shared" si="124"/>
        <v>1428.54</v>
      </c>
      <c r="O336" s="999">
        <f t="shared" si="124"/>
        <v>-169.38000000000005</v>
      </c>
      <c r="P336" s="999">
        <f t="shared" si="124"/>
        <v>851.18000000000006</v>
      </c>
      <c r="Q336" s="994">
        <f t="shared" si="124"/>
        <v>902.77</v>
      </c>
      <c r="R336" s="994">
        <f t="shared" si="124"/>
        <v>0</v>
      </c>
      <c r="S336" s="994">
        <f t="shared" si="124"/>
        <v>0</v>
      </c>
      <c r="T336" s="1001">
        <f t="shared" si="120"/>
        <v>10473.470000000003</v>
      </c>
    </row>
    <row r="337" spans="2:21" x14ac:dyDescent="0.2">
      <c r="B337" s="561" t="str">
        <f>VLOOKUP($C337,'Retail Rates'!$B$46:$Q$55,13,FALSE)</f>
        <v>TS Commercial</v>
      </c>
      <c r="C337" s="633" t="s">
        <v>63</v>
      </c>
      <c r="D337" s="633" t="str">
        <f t="shared" si="116"/>
        <v>881</v>
      </c>
      <c r="E337" s="561" t="str">
        <f>VLOOKUP($C337,'Retail Rates'!$B$46:$Q$55,3,FALSE)</f>
        <v>CGS-TS</v>
      </c>
      <c r="F337" s="1014" t="s">
        <v>411</v>
      </c>
      <c r="H337" s="1000">
        <f>ROUND(H323*H329,2)</f>
        <v>0</v>
      </c>
      <c r="I337" s="1000">
        <f t="shared" ref="I337:S337" si="125">ROUND(I323*I329,2)</f>
        <v>0</v>
      </c>
      <c r="J337" s="1000">
        <f t="shared" si="125"/>
        <v>0</v>
      </c>
      <c r="K337" s="1000">
        <f t="shared" si="125"/>
        <v>5.89</v>
      </c>
      <c r="L337" s="1000">
        <f t="shared" si="125"/>
        <v>2.08</v>
      </c>
      <c r="M337" s="1000">
        <f t="shared" si="125"/>
        <v>1.1200000000000001</v>
      </c>
      <c r="N337" s="1000">
        <f t="shared" si="125"/>
        <v>1.4</v>
      </c>
      <c r="O337" s="1000">
        <f t="shared" si="125"/>
        <v>-0.22</v>
      </c>
      <c r="P337" s="1000">
        <f t="shared" si="125"/>
        <v>0.87</v>
      </c>
      <c r="Q337" s="1000">
        <f t="shared" si="125"/>
        <v>0.94</v>
      </c>
      <c r="R337" s="1000">
        <f t="shared" si="125"/>
        <v>0</v>
      </c>
      <c r="S337" s="1000">
        <f t="shared" si="125"/>
        <v>0</v>
      </c>
      <c r="T337" s="1001">
        <f t="shared" si="120"/>
        <v>12.079999999999998</v>
      </c>
    </row>
    <row r="338" spans="2:21" x14ac:dyDescent="0.2">
      <c r="B338" s="561" t="str">
        <f>VLOOKUP($C338,'Retail Rates'!$B$46:$Q$55,13,FALSE)</f>
        <v>TS Commercial</v>
      </c>
      <c r="C338" s="633" t="s">
        <v>63</v>
      </c>
      <c r="D338" s="633" t="str">
        <f t="shared" si="116"/>
        <v>881</v>
      </c>
      <c r="E338" s="561" t="str">
        <f>VLOOKUP($C338,'Retail Rates'!$B$46:$Q$55,3,FALSE)</f>
        <v>CGS-TS</v>
      </c>
      <c r="F338" s="1010" t="s">
        <v>432</v>
      </c>
      <c r="H338" s="999">
        <f t="shared" ref="H338:S338" si="126">+H336+H337</f>
        <v>0</v>
      </c>
      <c r="I338" s="999">
        <f t="shared" si="126"/>
        <v>0</v>
      </c>
      <c r="J338" s="999">
        <f t="shared" si="126"/>
        <v>0</v>
      </c>
      <c r="K338" s="999">
        <f t="shared" si="126"/>
        <v>4623.0200000000004</v>
      </c>
      <c r="L338" s="999">
        <f t="shared" si="126"/>
        <v>1809.29</v>
      </c>
      <c r="M338" s="999">
        <f t="shared" si="126"/>
        <v>1037.1399999999999</v>
      </c>
      <c r="N338" s="999">
        <f t="shared" si="126"/>
        <v>1429.94</v>
      </c>
      <c r="O338" s="999">
        <f t="shared" si="126"/>
        <v>-169.60000000000005</v>
      </c>
      <c r="P338" s="999">
        <f t="shared" si="126"/>
        <v>852.05000000000007</v>
      </c>
      <c r="Q338" s="999">
        <f t="shared" si="126"/>
        <v>903.71</v>
      </c>
      <c r="R338" s="999">
        <f t="shared" si="126"/>
        <v>0</v>
      </c>
      <c r="S338" s="999">
        <f t="shared" si="126"/>
        <v>0</v>
      </c>
      <c r="T338" s="1001">
        <f t="shared" si="120"/>
        <v>10485.549999999999</v>
      </c>
    </row>
    <row r="339" spans="2:21" x14ac:dyDescent="0.2">
      <c r="B339" s="561" t="str">
        <f>VLOOKUP($C339,'Retail Rates'!$B$46:$Q$55,13,FALSE)</f>
        <v>TS Commercial</v>
      </c>
      <c r="C339" s="633" t="s">
        <v>63</v>
      </c>
      <c r="D339" s="633" t="str">
        <f t="shared" si="116"/>
        <v>881</v>
      </c>
      <c r="E339" s="561" t="str">
        <f>VLOOKUP($C339,'Retail Rates'!$B$46:$Q$55,3,FALSE)</f>
        <v>CGS-TS</v>
      </c>
      <c r="F339" s="1015"/>
    </row>
    <row r="340" spans="2:21" x14ac:dyDescent="0.2">
      <c r="B340" s="561" t="str">
        <f>VLOOKUP($C340,'Retail Rates'!$B$46:$Q$55,13,FALSE)</f>
        <v>TS Commercial</v>
      </c>
      <c r="C340" s="633" t="s">
        <v>63</v>
      </c>
      <c r="D340" s="633" t="str">
        <f t="shared" si="116"/>
        <v>881</v>
      </c>
      <c r="E340" s="561" t="str">
        <f>VLOOKUP($C340,'Retail Rates'!$B$46:$Q$55,3,FALSE)</f>
        <v>CGS-TS</v>
      </c>
      <c r="F340" s="1016"/>
    </row>
    <row r="341" spans="2:21" x14ac:dyDescent="0.2">
      <c r="B341" s="561" t="str">
        <f>VLOOKUP($C341,'Retail Rates'!$B$46:$Q$55,13,FALSE)</f>
        <v>TS Commercial</v>
      </c>
      <c r="C341" s="633" t="s">
        <v>63</v>
      </c>
      <c r="D341" s="633" t="str">
        <f t="shared" si="116"/>
        <v>881</v>
      </c>
      <c r="E341" s="561" t="str">
        <f>VLOOKUP($C341,'Retail Rates'!$B$46:$Q$55,3,FALSE)</f>
        <v>CGS-TS</v>
      </c>
      <c r="F341" s="991" t="s">
        <v>841</v>
      </c>
      <c r="H341" s="999">
        <f>SUMIFS('FT_Cashouts_IntraCo-PR'!$G$4:$G$118,'FT_Cashouts_IntraCo-PR'!$A$4:$A$118,'Apr11-Mar12 FT-TS-Cashout-LG&amp;E'!$C341,'FT_Cashouts_IntraCo-PR'!$C$4:$C$118,'Apr11-Mar12 FT-TS-Cashout-LG&amp;E'!H$219)</f>
        <v>0</v>
      </c>
      <c r="I341" s="999">
        <f>SUMIFS('FT_Cashouts_IntraCo-PR'!$G$4:$G$118,'FT_Cashouts_IntraCo-PR'!$A$4:$A$118,'Apr11-Mar12 FT-TS-Cashout-LG&amp;E'!$C341,'FT_Cashouts_IntraCo-PR'!$C$4:$C$118,'Apr11-Mar12 FT-TS-Cashout-LG&amp;E'!I$219)</f>
        <v>0</v>
      </c>
      <c r="J341" s="999">
        <f>SUMIFS('FT_Cashouts_IntraCo-PR'!$G$4:$G$118,'FT_Cashouts_IntraCo-PR'!$A$4:$A$118,'Apr11-Mar12 FT-TS-Cashout-LG&amp;E'!$C341,'FT_Cashouts_IntraCo-PR'!$C$4:$C$118,'Apr11-Mar12 FT-TS-Cashout-LG&amp;E'!J$219)</f>
        <v>0</v>
      </c>
      <c r="K341" s="999">
        <f>SUMIFS('FT_Cashouts_IntraCo-PR'!$G$4:$G$118,'FT_Cashouts_IntraCo-PR'!$A$4:$A$118,'Apr11-Mar12 FT-TS-Cashout-LG&amp;E'!$C341,'FT_Cashouts_IntraCo-PR'!$C$4:$C$118,'Apr11-Mar12 FT-TS-Cashout-LG&amp;E'!K$219)</f>
        <v>4623.0200000000004</v>
      </c>
      <c r="L341" s="999">
        <f>SUMIFS('FT_Cashouts_IntraCo-PR'!$G$4:$G$118,'FT_Cashouts_IntraCo-PR'!$A$4:$A$118,'Apr11-Mar12 FT-TS-Cashout-LG&amp;E'!$C341,'FT_Cashouts_IntraCo-PR'!$C$4:$C$118,'Apr11-Mar12 FT-TS-Cashout-LG&amp;E'!L$219)</f>
        <v>1809.29</v>
      </c>
      <c r="M341" s="999">
        <f>SUMIFS('FT_Cashouts_IntraCo-PR'!$G$4:$G$118,'FT_Cashouts_IntraCo-PR'!$A$4:$A$118,'Apr11-Mar12 FT-TS-Cashout-LG&amp;E'!$C341,'FT_Cashouts_IntraCo-PR'!$C$4:$C$118,'Apr11-Mar12 FT-TS-Cashout-LG&amp;E'!M$219)</f>
        <v>1037.1399999999999</v>
      </c>
      <c r="N341" s="999">
        <f>SUMIFS('FT_Cashouts_IntraCo-PR'!$G$4:$G$118,'FT_Cashouts_IntraCo-PR'!$A$4:$A$118,'Apr11-Mar12 FT-TS-Cashout-LG&amp;E'!$C341,'FT_Cashouts_IntraCo-PR'!$C$4:$C$118,'Apr11-Mar12 FT-TS-Cashout-LG&amp;E'!N$219)</f>
        <v>1429.94</v>
      </c>
      <c r="O341" s="999">
        <f>SUMIFS('FT_Cashouts_IntraCo-PR'!$G$4:$G$118,'FT_Cashouts_IntraCo-PR'!$A$4:$A$118,'Apr11-Mar12 FT-TS-Cashout-LG&amp;E'!$C341,'FT_Cashouts_IntraCo-PR'!$C$4:$C$118,'Apr11-Mar12 FT-TS-Cashout-LG&amp;E'!O$219)</f>
        <v>-169.60000000000002</v>
      </c>
      <c r="P341" s="999">
        <f>SUMIFS('FT_Cashouts_IntraCo-PR'!$G$4:$G$118,'FT_Cashouts_IntraCo-PR'!$A$4:$A$118,'Apr11-Mar12 FT-TS-Cashout-LG&amp;E'!$C341,'FT_Cashouts_IntraCo-PR'!$C$4:$C$118,'Apr11-Mar12 FT-TS-Cashout-LG&amp;E'!P$219)</f>
        <v>852.05000000000007</v>
      </c>
      <c r="Q341" s="999">
        <f>SUMIFS('FT_Cashouts_IntraCo-PR'!$G$4:$G$118,'FT_Cashouts_IntraCo-PR'!$A$4:$A$118,'Apr11-Mar12 FT-TS-Cashout-LG&amp;E'!$C341,'FT_Cashouts_IntraCo-PR'!$C$4:$C$118,'Apr11-Mar12 FT-TS-Cashout-LG&amp;E'!Q$219)</f>
        <v>903.71</v>
      </c>
      <c r="R341" s="999">
        <f>SUMIFS('FT_Cashouts_IntraCo-PR'!$G$4:$G$118,'FT_Cashouts_IntraCo-PR'!$A$4:$A$118,'Apr11-Mar12 FT-TS-Cashout-LG&amp;E'!$C341,'FT_Cashouts_IntraCo-PR'!$C$4:$C$118,'Apr11-Mar12 FT-TS-Cashout-LG&amp;E'!R$219)</f>
        <v>0</v>
      </c>
      <c r="S341" s="999">
        <f>SUMIFS('FT_Cashouts_IntraCo-PR'!$G$4:$G$118,'FT_Cashouts_IntraCo-PR'!$A$4:$A$118,'Apr11-Mar12 FT-TS-Cashout-LG&amp;E'!$C341,'FT_Cashouts_IntraCo-PR'!$C$4:$C$118,'Apr11-Mar12 FT-TS-Cashout-LG&amp;E'!S$219)</f>
        <v>0</v>
      </c>
      <c r="T341" s="1001">
        <f>SUM(H341:S341)</f>
        <v>10485.549999999999</v>
      </c>
    </row>
    <row r="342" spans="2:21" x14ac:dyDescent="0.2">
      <c r="B342" s="561" t="str">
        <f>VLOOKUP($C342,'Retail Rates'!$B$46:$Q$55,13,FALSE)</f>
        <v>TS Commercial</v>
      </c>
      <c r="C342" s="633" t="s">
        <v>63</v>
      </c>
      <c r="D342" s="633" t="str">
        <f t="shared" si="116"/>
        <v>881</v>
      </c>
      <c r="E342" s="561" t="str">
        <f>VLOOKUP($C342,'Retail Rates'!$B$46:$Q$55,3,FALSE)</f>
        <v>CGS-TS</v>
      </c>
    </row>
    <row r="343" spans="2:21" x14ac:dyDescent="0.2">
      <c r="B343" s="561" t="str">
        <f>VLOOKUP($C343,'Retail Rates'!$B$46:$Q$55,13,FALSE)</f>
        <v>TS Commercial</v>
      </c>
      <c r="C343" s="633" t="s">
        <v>63</v>
      </c>
      <c r="D343" s="633" t="str">
        <f t="shared" si="116"/>
        <v>881</v>
      </c>
      <c r="E343" s="561" t="str">
        <f>VLOOKUP($C343,'Retail Rates'!$B$46:$Q$55,3,FALSE)</f>
        <v>CGS-TS</v>
      </c>
      <c r="F343" s="991" t="s">
        <v>386</v>
      </c>
      <c r="H343" s="999">
        <f>+H338-H341</f>
        <v>0</v>
      </c>
      <c r="I343" s="999">
        <f>+I338-I341</f>
        <v>0</v>
      </c>
      <c r="J343" s="999">
        <f>+J338-J341</f>
        <v>0</v>
      </c>
      <c r="K343" s="999">
        <f>+K338-K341</f>
        <v>0</v>
      </c>
      <c r="L343" s="999">
        <f t="shared" ref="L343:S343" si="127">+L338-L341</f>
        <v>0</v>
      </c>
      <c r="M343" s="999">
        <f t="shared" si="127"/>
        <v>0</v>
      </c>
      <c r="N343" s="999">
        <f t="shared" si="127"/>
        <v>0</v>
      </c>
      <c r="O343" s="999">
        <f t="shared" si="127"/>
        <v>0</v>
      </c>
      <c r="P343" s="999">
        <f t="shared" si="127"/>
        <v>0</v>
      </c>
      <c r="Q343" s="999">
        <f t="shared" si="127"/>
        <v>0</v>
      </c>
      <c r="R343" s="999">
        <f t="shared" si="127"/>
        <v>0</v>
      </c>
      <c r="S343" s="999">
        <f t="shared" si="127"/>
        <v>0</v>
      </c>
      <c r="T343" s="1001">
        <f>SUM(H343:S343)</f>
        <v>0</v>
      </c>
    </row>
    <row r="344" spans="2:21" x14ac:dyDescent="0.2">
      <c r="C344" s="633"/>
      <c r="D344" s="633"/>
    </row>
    <row r="345" spans="2:21" x14ac:dyDescent="0.2">
      <c r="C345" s="633"/>
      <c r="D345" s="633"/>
    </row>
    <row r="346" spans="2:21" x14ac:dyDescent="0.2">
      <c r="F346" s="1009" t="s">
        <v>863</v>
      </c>
    </row>
    <row r="347" spans="2:21" x14ac:dyDescent="0.2">
      <c r="B347" s="561" t="str">
        <f>VLOOKUP($C347,'Retail Rates'!$B$46:$Q$55,13,FALSE)</f>
        <v>TS Industrial</v>
      </c>
      <c r="C347" s="633" t="s">
        <v>66</v>
      </c>
      <c r="D347" s="633" t="str">
        <f t="shared" ref="D347:D367" si="128">MID(C347,6,3)</f>
        <v>882</v>
      </c>
      <c r="E347" s="561" t="str">
        <f>VLOOKUP($C347,'Retail Rates'!$B$46:$Q$55,3,FALSE)</f>
        <v>IGS-TS</v>
      </c>
      <c r="F347" s="1010" t="s">
        <v>407</v>
      </c>
      <c r="H347" s="992">
        <f>+H358/H352</f>
        <v>2</v>
      </c>
      <c r="I347" s="992">
        <f t="shared" ref="I347:S347" si="129">+I358/I352</f>
        <v>2</v>
      </c>
      <c r="J347" s="992">
        <f t="shared" si="129"/>
        <v>2</v>
      </c>
      <c r="K347" s="992">
        <f t="shared" si="129"/>
        <v>3</v>
      </c>
      <c r="L347" s="992">
        <f t="shared" si="129"/>
        <v>1</v>
      </c>
      <c r="M347" s="992">
        <f t="shared" si="129"/>
        <v>2</v>
      </c>
      <c r="N347" s="992">
        <f t="shared" si="129"/>
        <v>2</v>
      </c>
      <c r="O347" s="992">
        <f t="shared" si="129"/>
        <v>2</v>
      </c>
      <c r="P347" s="992">
        <f t="shared" si="129"/>
        <v>2</v>
      </c>
      <c r="Q347" s="992">
        <f t="shared" si="129"/>
        <v>2</v>
      </c>
      <c r="R347" s="992">
        <f t="shared" si="129"/>
        <v>2</v>
      </c>
      <c r="S347" s="992">
        <f t="shared" si="129"/>
        <v>2</v>
      </c>
      <c r="T347" s="1044">
        <f>SUM(H347:S347)</f>
        <v>24</v>
      </c>
    </row>
    <row r="348" spans="2:21" x14ac:dyDescent="0.2">
      <c r="B348" s="561" t="str">
        <f>VLOOKUP($C348,'Retail Rates'!$B$46:$Q$55,13,FALSE)</f>
        <v>TS Industrial</v>
      </c>
      <c r="C348" s="633" t="s">
        <v>66</v>
      </c>
      <c r="D348" s="633" t="str">
        <f t="shared" si="128"/>
        <v>882</v>
      </c>
      <c r="E348" s="561" t="str">
        <f>VLOOKUP($C348,'Retail Rates'!$B$46:$Q$55,3,FALSE)</f>
        <v>IGS-TS</v>
      </c>
      <c r="F348" s="1010" t="s">
        <v>714</v>
      </c>
      <c r="H348" s="992">
        <f>IF(H350=0,H350,IF(H350&gt;=(H347*100),(H347*100),H350))</f>
        <v>200</v>
      </c>
      <c r="I348" s="992">
        <f t="shared" ref="I348:S348" si="130">IF(I350=0,I350,IF(I350&gt;=(I347*100),(I347*100),I350))</f>
        <v>113.1</v>
      </c>
      <c r="J348" s="992">
        <f t="shared" si="130"/>
        <v>200</v>
      </c>
      <c r="K348" s="992">
        <f>IF(K350=0,K350,IF(K350&gt;=(K347*100),(K347*100),K350))-39.4</f>
        <v>100</v>
      </c>
      <c r="L348" s="992">
        <f t="shared" si="130"/>
        <v>100</v>
      </c>
      <c r="M348" s="1212">
        <f>IF(M350=0,M350,IF(M350&gt;=(M347*100),(M347*100),M350))-484.3</f>
        <v>-284.3</v>
      </c>
      <c r="N348" s="992">
        <f t="shared" si="130"/>
        <v>40.700000000000003</v>
      </c>
      <c r="O348" s="992">
        <f>IF(O350=0,O350,IF(O350&gt;=(O347*100),(O347*100),O350))-46.3</f>
        <v>100.00000000000001</v>
      </c>
      <c r="P348" s="992">
        <f t="shared" si="130"/>
        <v>0</v>
      </c>
      <c r="Q348" s="992">
        <f t="shared" si="130"/>
        <v>200</v>
      </c>
      <c r="R348" s="992">
        <f t="shared" si="130"/>
        <v>200</v>
      </c>
      <c r="S348" s="992">
        <f t="shared" si="130"/>
        <v>0</v>
      </c>
      <c r="T348" s="1044">
        <f>SUM(H348:S348)</f>
        <v>969.5</v>
      </c>
      <c r="U348" s="1404">
        <f>SUM(H350:S350)-SUM(K349:Q349)</f>
        <v>4321.5000000000018</v>
      </c>
    </row>
    <row r="349" spans="2:21" x14ac:dyDescent="0.2">
      <c r="B349" s="561" t="str">
        <f>VLOOKUP($C349,'Retail Rates'!$B$46:$Q$55,13,FALSE)</f>
        <v>TS Industrial</v>
      </c>
      <c r="C349" s="633" t="s">
        <v>66</v>
      </c>
      <c r="D349" s="633" t="str">
        <f t="shared" si="128"/>
        <v>882</v>
      </c>
      <c r="E349" s="561" t="str">
        <f>VLOOKUP($C349,'Retail Rates'!$B$46:$Q$55,3,FALSE)</f>
        <v>IGS-TS</v>
      </c>
      <c r="F349" s="1010" t="s">
        <v>715</v>
      </c>
      <c r="H349" s="992">
        <f t="shared" ref="H349:S349" si="131">+H350-H348</f>
        <v>316.29999999999995</v>
      </c>
      <c r="I349" s="992">
        <f t="shared" si="131"/>
        <v>0</v>
      </c>
      <c r="J349" s="992">
        <f t="shared" si="131"/>
        <v>2545.1</v>
      </c>
      <c r="K349" s="992">
        <f t="shared" si="131"/>
        <v>39.400000000000006</v>
      </c>
      <c r="L349" s="992">
        <f t="shared" si="131"/>
        <v>163.30000000000001</v>
      </c>
      <c r="M349" s="992">
        <f t="shared" si="131"/>
        <v>1315</v>
      </c>
      <c r="N349" s="992">
        <f t="shared" si="131"/>
        <v>0</v>
      </c>
      <c r="O349" s="992">
        <f t="shared" si="131"/>
        <v>46.3</v>
      </c>
      <c r="P349" s="992">
        <f t="shared" si="131"/>
        <v>0</v>
      </c>
      <c r="Q349" s="992">
        <f t="shared" si="131"/>
        <v>2010.9</v>
      </c>
      <c r="R349" s="992">
        <f t="shared" si="131"/>
        <v>490.6</v>
      </c>
      <c r="S349" s="992">
        <f t="shared" si="131"/>
        <v>0</v>
      </c>
      <c r="T349" s="1044">
        <f>SUM(H349:S349)</f>
        <v>6926.9000000000015</v>
      </c>
      <c r="U349" s="1404">
        <f>SUM(K349:Q349)</f>
        <v>3574.9</v>
      </c>
    </row>
    <row r="350" spans="2:21" x14ac:dyDescent="0.2">
      <c r="B350" s="561" t="str">
        <f>VLOOKUP($C350,'Retail Rates'!$B$46:$Q$55,13,FALSE)</f>
        <v>TS Industrial</v>
      </c>
      <c r="C350" s="633" t="s">
        <v>66</v>
      </c>
      <c r="D350" s="633" t="str">
        <f t="shared" si="128"/>
        <v>882</v>
      </c>
      <c r="E350" s="561" t="str">
        <f>VLOOKUP($C350,'Retail Rates'!$B$46:$Q$55,3,FALSE)</f>
        <v>IGS-TS</v>
      </c>
      <c r="F350" s="1010" t="s">
        <v>716</v>
      </c>
      <c r="G350" s="987" t="s">
        <v>812</v>
      </c>
      <c r="H350" s="992">
        <f>SUMIFS('Data FT-TS-Cashout-Paddys'!$G$5:$G$756,'Data FT-TS-Cashout-Paddys'!$F$5:$F$756,'Apr11-Mar12 FT-TS-Cashout-LG&amp;E'!$G350,'Data FT-TS-Cashout-Paddys'!$A$5:$A$756,'Apr11-Mar12 FT-TS-Cashout-LG&amp;E'!H$219,'Data FT-TS-Cashout-Paddys'!$C$5:$C$756,'Apr11-Mar12 FT-TS-Cashout-LG&amp;E'!$C350,'Data FT-TS-Cashout-Paddys'!$E$5:$E$756,'Apr11-Mar12 FT-TS-Cashout-LG&amp;E'!H$220)/10</f>
        <v>516.29999999999995</v>
      </c>
      <c r="I350" s="992">
        <f>SUMIFS('Data FT-TS-Cashout-Paddys'!$G$5:$G$756,'Data FT-TS-Cashout-Paddys'!$F$5:$F$756,'Apr11-Mar12 FT-TS-Cashout-LG&amp;E'!$G350,'Data FT-TS-Cashout-Paddys'!$A$5:$A$756,'Apr11-Mar12 FT-TS-Cashout-LG&amp;E'!I$219,'Data FT-TS-Cashout-Paddys'!$C$5:$C$756,'Apr11-Mar12 FT-TS-Cashout-LG&amp;E'!$C350,'Data FT-TS-Cashout-Paddys'!$E$5:$E$756,'Apr11-Mar12 FT-TS-Cashout-LG&amp;E'!I$220)/10</f>
        <v>113.1</v>
      </c>
      <c r="J350" s="992">
        <f>SUMIFS('Data FT-TS-Cashout-Paddys'!$G$5:$G$756,'Data FT-TS-Cashout-Paddys'!$F$5:$F$756,'Apr11-Mar12 FT-TS-Cashout-LG&amp;E'!$G350,'Data FT-TS-Cashout-Paddys'!$A$5:$A$756,'Apr11-Mar12 FT-TS-Cashout-LG&amp;E'!J$219,'Data FT-TS-Cashout-Paddys'!$C$5:$C$756,'Apr11-Mar12 FT-TS-Cashout-LG&amp;E'!$C350,'Data FT-TS-Cashout-Paddys'!$E$5:$E$756,'Apr11-Mar12 FT-TS-Cashout-LG&amp;E'!J$220)/10</f>
        <v>2745.1</v>
      </c>
      <c r="K350" s="992">
        <f>SUMIFS('Data FT-TS-Cashout-Paddys'!$G$5:$G$756,'Data FT-TS-Cashout-Paddys'!$F$5:$F$756,'Apr11-Mar12 FT-TS-Cashout-LG&amp;E'!$G350,'Data FT-TS-Cashout-Paddys'!$A$5:$A$756,'Apr11-Mar12 FT-TS-Cashout-LG&amp;E'!K$219,'Data FT-TS-Cashout-Paddys'!$C$5:$C$756,'Apr11-Mar12 FT-TS-Cashout-LG&amp;E'!$C350,'Data FT-TS-Cashout-Paddys'!$E$5:$E$756,'Apr11-Mar12 FT-TS-Cashout-LG&amp;E'!K$220)/10</f>
        <v>139.4</v>
      </c>
      <c r="L350" s="992">
        <f>SUMIFS('Data FT-TS-Cashout-Paddys'!$G$5:$G$756,'Data FT-TS-Cashout-Paddys'!$F$5:$F$756,'Apr11-Mar12 FT-TS-Cashout-LG&amp;E'!$G350,'Data FT-TS-Cashout-Paddys'!$A$5:$A$756,'Apr11-Mar12 FT-TS-Cashout-LG&amp;E'!L$219,'Data FT-TS-Cashout-Paddys'!$C$5:$C$756,'Apr11-Mar12 FT-TS-Cashout-LG&amp;E'!$C350,'Data FT-TS-Cashout-Paddys'!$E$5:$E$756,'Apr11-Mar12 FT-TS-Cashout-LG&amp;E'!L$220)/10</f>
        <v>263.3</v>
      </c>
      <c r="M350" s="992">
        <f>SUMIFS('Data FT-TS-Cashout-Paddys'!$G$5:$G$756,'Data FT-TS-Cashout-Paddys'!$F$5:$F$756,'Apr11-Mar12 FT-TS-Cashout-LG&amp;E'!$G350,'Data FT-TS-Cashout-Paddys'!$A$5:$A$756,'Apr11-Mar12 FT-TS-Cashout-LG&amp;E'!M$219,'Data FT-TS-Cashout-Paddys'!$C$5:$C$756,'Apr11-Mar12 FT-TS-Cashout-LG&amp;E'!$C350,'Data FT-TS-Cashout-Paddys'!$E$5:$E$756,'Apr11-Mar12 FT-TS-Cashout-LG&amp;E'!M$220)/10</f>
        <v>1030.7</v>
      </c>
      <c r="N350" s="992">
        <f>SUMIFS('Data FT-TS-Cashout-Paddys'!$G$5:$G$756,'Data FT-TS-Cashout-Paddys'!$F$5:$F$756,'Apr11-Mar12 FT-TS-Cashout-LG&amp;E'!$G350,'Data FT-TS-Cashout-Paddys'!$A$5:$A$756,'Apr11-Mar12 FT-TS-Cashout-LG&amp;E'!N$219,'Data FT-TS-Cashout-Paddys'!$C$5:$C$756,'Apr11-Mar12 FT-TS-Cashout-LG&amp;E'!$C350,'Data FT-TS-Cashout-Paddys'!$E$5:$E$756,'Apr11-Mar12 FT-TS-Cashout-LG&amp;E'!N$220)/10</f>
        <v>40.700000000000003</v>
      </c>
      <c r="O350" s="992">
        <f>SUMIFS('Data FT-TS-Cashout-Paddys'!$G$5:$G$756,'Data FT-TS-Cashout-Paddys'!$F$5:$F$756,'Apr11-Mar12 FT-TS-Cashout-LG&amp;E'!$G350,'Data FT-TS-Cashout-Paddys'!$A$5:$A$756,'Apr11-Mar12 FT-TS-Cashout-LG&amp;E'!O$219,'Data FT-TS-Cashout-Paddys'!$C$5:$C$756,'Apr11-Mar12 FT-TS-Cashout-LG&amp;E'!$C350,'Data FT-TS-Cashout-Paddys'!$E$5:$E$756,'Apr11-Mar12 FT-TS-Cashout-LG&amp;E'!O$220)/10</f>
        <v>146.30000000000001</v>
      </c>
      <c r="P350" s="992">
        <f>SUMIFS('Data FT-TS-Cashout-Paddys'!$G$5:$G$756,'Data FT-TS-Cashout-Paddys'!$F$5:$F$756,'Apr11-Mar12 FT-TS-Cashout-LG&amp;E'!$G350,'Data FT-TS-Cashout-Paddys'!$A$5:$A$756,'Apr11-Mar12 FT-TS-Cashout-LG&amp;E'!P$219,'Data FT-TS-Cashout-Paddys'!$C$5:$C$756,'Apr11-Mar12 FT-TS-Cashout-LG&amp;E'!$C350,'Data FT-TS-Cashout-Paddys'!$E$5:$E$756,'Apr11-Mar12 FT-TS-Cashout-LG&amp;E'!P$220)/10</f>
        <v>0</v>
      </c>
      <c r="Q350" s="992">
        <f>SUMIFS('Data FT-TS-Cashout-Paddys'!$G$5:$G$756,'Data FT-TS-Cashout-Paddys'!$F$5:$F$756,'Apr11-Mar12 FT-TS-Cashout-LG&amp;E'!$G350,'Data FT-TS-Cashout-Paddys'!$A$5:$A$756,'Apr11-Mar12 FT-TS-Cashout-LG&amp;E'!Q$219,'Data FT-TS-Cashout-Paddys'!$C$5:$C$756,'Apr11-Mar12 FT-TS-Cashout-LG&amp;E'!$C350,'Data FT-TS-Cashout-Paddys'!$E$5:$E$756,'Apr11-Mar12 FT-TS-Cashout-LG&amp;E'!Q$220)/10</f>
        <v>2210.9</v>
      </c>
      <c r="R350" s="992">
        <f>SUMIFS('Data FT-TS-Cashout-Paddys'!$G$5:$G$756,'Data FT-TS-Cashout-Paddys'!$F$5:$F$756,'Apr11-Mar12 FT-TS-Cashout-LG&amp;E'!$G350,'Data FT-TS-Cashout-Paddys'!$A$5:$A$756,'Apr11-Mar12 FT-TS-Cashout-LG&amp;E'!R$219,'Data FT-TS-Cashout-Paddys'!$C$5:$C$756,'Apr11-Mar12 FT-TS-Cashout-LG&amp;E'!$C350,'Data FT-TS-Cashout-Paddys'!$E$5:$E$756,'Apr11-Mar12 FT-TS-Cashout-LG&amp;E'!R$220)/10</f>
        <v>690.6</v>
      </c>
      <c r="S350" s="992">
        <f>SUMIFS('Data FT-TS-Cashout-Paddys'!$G$5:$G$756,'Data FT-TS-Cashout-Paddys'!$F$5:$F$756,'Apr11-Mar12 FT-TS-Cashout-LG&amp;E'!$G350,'Data FT-TS-Cashout-Paddys'!$A$5:$A$756,'Apr11-Mar12 FT-TS-Cashout-LG&amp;E'!S$219,'Data FT-TS-Cashout-Paddys'!$C$5:$C$756,'Apr11-Mar12 FT-TS-Cashout-LG&amp;E'!$C350,'Data FT-TS-Cashout-Paddys'!$E$5:$E$756,'Apr11-Mar12 FT-TS-Cashout-LG&amp;E'!S$220)/10</f>
        <v>0</v>
      </c>
      <c r="T350" s="1044">
        <f>SUM(H350:S350)</f>
        <v>7896.4000000000015</v>
      </c>
      <c r="U350" s="1404">
        <f>+U349+U348</f>
        <v>7896.4000000000015</v>
      </c>
    </row>
    <row r="351" spans="2:21" x14ac:dyDescent="0.2">
      <c r="B351" s="561" t="str">
        <f>VLOOKUP($C351,'Retail Rates'!$B$46:$Q$55,13,FALSE)</f>
        <v>TS Industrial</v>
      </c>
      <c r="C351" s="633" t="s">
        <v>66</v>
      </c>
      <c r="D351" s="633" t="str">
        <f t="shared" si="128"/>
        <v>882</v>
      </c>
      <c r="E351" s="561" t="str">
        <f>VLOOKUP($C351,'Retail Rates'!$B$46:$Q$55,3,FALSE)</f>
        <v>IGS-TS</v>
      </c>
      <c r="F351" s="1012"/>
    </row>
    <row r="352" spans="2:21" x14ac:dyDescent="0.2">
      <c r="B352" s="561" t="str">
        <f>VLOOKUP($C352,'Retail Rates'!$B$46:$Q$55,13,FALSE)</f>
        <v>TS Industrial</v>
      </c>
      <c r="C352" s="633" t="s">
        <v>66</v>
      </c>
      <c r="D352" s="633" t="str">
        <f t="shared" si="128"/>
        <v>882</v>
      </c>
      <c r="E352" s="561" t="str">
        <f>VLOOKUP($C352,'Retail Rates'!$B$46:$Q$55,3,FALSE)</f>
        <v>IGS-TS</v>
      </c>
      <c r="F352" s="1010" t="s">
        <v>1007</v>
      </c>
      <c r="H352" s="994">
        <f>VLOOKUP($C352,'Retail Rates'!$B$45:$N$55,9,FALSE)</f>
        <v>170</v>
      </c>
      <c r="I352" s="994">
        <f>VLOOKUP($C352,'Retail Rates'!$B$45:$N$55,9,FALSE)</f>
        <v>170</v>
      </c>
      <c r="J352" s="994">
        <f>VLOOKUP($C352,'Retail Rates'!$B$45:$N$55,9,FALSE)</f>
        <v>170</v>
      </c>
      <c r="K352" s="994">
        <f>VLOOKUP($C352,'Retail Rates'!$B$45:$N$55,9,FALSE)</f>
        <v>170</v>
      </c>
      <c r="L352" s="994">
        <f>VLOOKUP($C352,'Retail Rates'!$B$45:$N$55,9,FALSE)</f>
        <v>170</v>
      </c>
      <c r="M352" s="994">
        <f>VLOOKUP($C352,'Retail Rates'!$B$45:$N$55,9,FALSE)</f>
        <v>170</v>
      </c>
      <c r="N352" s="994">
        <f>VLOOKUP($C352,'Retail Rates'!$B$45:$N$55,9,FALSE)</f>
        <v>170</v>
      </c>
      <c r="O352" s="994">
        <f>VLOOKUP($C352,'Retail Rates'!$B$45:$N$55,9,FALSE)</f>
        <v>170</v>
      </c>
      <c r="P352" s="994">
        <f>VLOOKUP($C352,'Retail Rates'!$B$45:$N$55,9,FALSE)</f>
        <v>170</v>
      </c>
      <c r="Q352" s="994">
        <f>VLOOKUP($C352,'Retail Rates'!$B$45:$N$55,9,FALSE)</f>
        <v>170</v>
      </c>
      <c r="R352" s="994">
        <f>VLOOKUP($C352,'Retail Rates'!$B$45:$N$55,9,FALSE)</f>
        <v>170</v>
      </c>
      <c r="S352" s="994">
        <f>VLOOKUP($C352,'Retail Rates'!$B$45:$N$55,9,FALSE)</f>
        <v>170</v>
      </c>
    </row>
    <row r="353" spans="2:20" x14ac:dyDescent="0.2">
      <c r="B353" s="561" t="str">
        <f>VLOOKUP($C353,'Retail Rates'!$B$46:$Q$55,13,FALSE)</f>
        <v>TS Industrial</v>
      </c>
      <c r="C353" s="633" t="s">
        <v>66</v>
      </c>
      <c r="D353" s="633" t="str">
        <f t="shared" si="128"/>
        <v>882</v>
      </c>
      <c r="E353" s="561" t="str">
        <f>VLOOKUP($C353,'Retail Rates'!$B$46:$Q$55,3,FALSE)</f>
        <v>IGS-TS</v>
      </c>
      <c r="F353" s="1010" t="s">
        <v>717</v>
      </c>
      <c r="H353" s="995">
        <f>VLOOKUP($C353,'Retail Rates'!$B$45:$N$55,7,FALSE)</f>
        <v>1.9021999999999999</v>
      </c>
      <c r="I353" s="995">
        <f>VLOOKUP($C353,'Retail Rates'!$B$45:$N$55,7,FALSE)</f>
        <v>1.9021999999999999</v>
      </c>
      <c r="J353" s="995">
        <f>VLOOKUP($C353,'Retail Rates'!$B$45:$N$55,7,FALSE)</f>
        <v>1.9021999999999999</v>
      </c>
      <c r="K353" s="995">
        <f>VLOOKUP($C353,'Retail Rates'!$B$45:$N$55,7,FALSE)</f>
        <v>1.9021999999999999</v>
      </c>
      <c r="L353" s="995">
        <f>VLOOKUP($C353,'Retail Rates'!$B$45:$N$55,7,FALSE)</f>
        <v>1.9021999999999999</v>
      </c>
      <c r="M353" s="995">
        <f>VLOOKUP($C353,'Retail Rates'!$B$45:$N$55,7,FALSE)</f>
        <v>1.9021999999999999</v>
      </c>
      <c r="N353" s="995">
        <f>VLOOKUP($C353,'Retail Rates'!$B$45:$N$55,7,FALSE)</f>
        <v>1.9021999999999999</v>
      </c>
      <c r="O353" s="995">
        <f>VLOOKUP($C353,'Retail Rates'!$B$45:$N$55,7,FALSE)</f>
        <v>1.9021999999999999</v>
      </c>
      <c r="P353" s="995">
        <f>VLOOKUP($C353,'Retail Rates'!$B$45:$N$55,7,FALSE)</f>
        <v>1.9021999999999999</v>
      </c>
      <c r="Q353" s="995">
        <f>VLOOKUP($C353,'Retail Rates'!$B$45:$N$55,7,FALSE)</f>
        <v>1.9021999999999999</v>
      </c>
      <c r="R353" s="995">
        <f>VLOOKUP($C353,'Retail Rates'!$B$45:$N$55,7,FALSE)</f>
        <v>1.9021999999999999</v>
      </c>
      <c r="S353" s="995">
        <f>VLOOKUP($C353,'Retail Rates'!$B$45:$N$55,7,FALSE)</f>
        <v>1.9021999999999999</v>
      </c>
    </row>
    <row r="354" spans="2:20" x14ac:dyDescent="0.2">
      <c r="B354" s="561" t="str">
        <f>VLOOKUP($C354,'Retail Rates'!$B$46:$Q$55,13,FALSE)</f>
        <v>TS Industrial</v>
      </c>
      <c r="C354" s="633" t="s">
        <v>66</v>
      </c>
      <c r="D354" s="633" t="str">
        <f t="shared" si="128"/>
        <v>882</v>
      </c>
      <c r="E354" s="561" t="str">
        <f>VLOOKUP($C354,'Retail Rates'!$B$46:$Q$55,3,FALSE)</f>
        <v>IGS-TS</v>
      </c>
      <c r="F354" s="1010" t="s">
        <v>718</v>
      </c>
      <c r="H354" s="995">
        <f>+H353</f>
        <v>1.9021999999999999</v>
      </c>
      <c r="I354" s="995">
        <f>+I353</f>
        <v>1.9021999999999999</v>
      </c>
      <c r="J354" s="995">
        <f>+J353</f>
        <v>1.9021999999999999</v>
      </c>
      <c r="K354" s="995">
        <f>VLOOKUP($C354,'Retail Rates'!$B$45:$N$55,8,FALSE)</f>
        <v>1.4021999999999999</v>
      </c>
      <c r="L354" s="995">
        <f>VLOOKUP($C354,'Retail Rates'!$B$45:$N$55,8,FALSE)</f>
        <v>1.4021999999999999</v>
      </c>
      <c r="M354" s="995">
        <f>VLOOKUP($C354,'Retail Rates'!$B$45:$N$55,8,FALSE)</f>
        <v>1.4021999999999999</v>
      </c>
      <c r="N354" s="995">
        <f>VLOOKUP($C354,'Retail Rates'!$B$45:$N$55,8,FALSE)</f>
        <v>1.4021999999999999</v>
      </c>
      <c r="O354" s="995">
        <f>VLOOKUP($C354,'Retail Rates'!$B$45:$N$55,8,FALSE)</f>
        <v>1.4021999999999999</v>
      </c>
      <c r="P354" s="995">
        <f>VLOOKUP($C354,'Retail Rates'!$B$45:$N$55,8,FALSE)</f>
        <v>1.4021999999999999</v>
      </c>
      <c r="Q354" s="995">
        <f>VLOOKUP($C354,'Retail Rates'!$B$45:$N$55,8,FALSE)</f>
        <v>1.4021999999999999</v>
      </c>
      <c r="R354" s="995">
        <f>+R353</f>
        <v>1.9021999999999999</v>
      </c>
      <c r="S354" s="995">
        <f>+S353</f>
        <v>1.9021999999999999</v>
      </c>
    </row>
    <row r="355" spans="2:20" x14ac:dyDescent="0.2">
      <c r="B355" s="561" t="str">
        <f>VLOOKUP($C355,'Retail Rates'!$B$46:$Q$55,13,FALSE)</f>
        <v>TS Industrial</v>
      </c>
      <c r="C355" s="633" t="s">
        <v>66</v>
      </c>
      <c r="D355" s="633" t="str">
        <f t="shared" si="128"/>
        <v>882</v>
      </c>
      <c r="E355" s="561" t="str">
        <f>VLOOKUP($C355,'Retail Rates'!$B$46:$Q$55,3,FALSE)</f>
        <v>IGS-TS</v>
      </c>
      <c r="F355" s="1010" t="s">
        <v>862</v>
      </c>
      <c r="H355" s="995">
        <f>SUMIF('GSC-DSM Factors'!$A$14:$A$44,'Apr11-Mar12 FT-TS-Cashout-LG&amp;E'!H$5,'GSC-DSM Factors'!$N$14:$N$44)</f>
        <v>5.1601999999999997</v>
      </c>
      <c r="I355" s="995">
        <f>SUMIF('GSC-DSM Factors'!$A$14:$A$44,'Apr11-Mar12 FT-TS-Cashout-LG&amp;E'!I$5,'GSC-DSM Factors'!$N$14:$N$44)</f>
        <v>4.7423000000000002</v>
      </c>
      <c r="J355" s="995">
        <f>SUMIF('GSC-DSM Factors'!$A$14:$A$44,'Apr11-Mar12 FT-TS-Cashout-LG&amp;E'!J$5,'GSC-DSM Factors'!$N$14:$N$44)</f>
        <v>4.7423000000000002</v>
      </c>
      <c r="K355" s="995">
        <f>SUMIF('GSC-DSM Factors'!$A$14:$A$44,'Apr11-Mar12 FT-TS-Cashout-LG&amp;E'!K$5,'GSC-DSM Factors'!$N$14:$N$44)</f>
        <v>5.2720000000000002</v>
      </c>
      <c r="L355" s="995">
        <f>SUMIF('GSC-DSM Factors'!$A$14:$A$44,'Apr11-Mar12 FT-TS-Cashout-LG&amp;E'!L$5,'GSC-DSM Factors'!$N$14:$N$44)</f>
        <v>5.6143000000000001</v>
      </c>
      <c r="M355" s="995">
        <f>SUMIF('GSC-DSM Factors'!$A$14:$A$44,'Apr11-Mar12 FT-TS-Cashout-LG&amp;E'!M$5,'GSC-DSM Factors'!$N$14:$N$44)</f>
        <v>5.6143000000000001</v>
      </c>
      <c r="N355" s="995">
        <f>SUMIF('GSC-DSM Factors'!$A$14:$A$44,'Apr11-Mar12 FT-TS-Cashout-LG&amp;E'!N$5,'GSC-DSM Factors'!$N$14:$N$44)</f>
        <v>5.6143000000000001</v>
      </c>
      <c r="O355" s="995">
        <f>SUMIF('GSC-DSM Factors'!$A$14:$A$44,'Apr11-Mar12 FT-TS-Cashout-LG&amp;E'!O$5,'GSC-DSM Factors'!$N$14:$N$44)</f>
        <v>5.6049999999999995</v>
      </c>
      <c r="P355" s="995">
        <f>SUMIF('GSC-DSM Factors'!$A$14:$A$44,'Apr11-Mar12 FT-TS-Cashout-LG&amp;E'!P$5,'GSC-DSM Factors'!$N$14:$N$44)</f>
        <v>5.6049999999999995</v>
      </c>
      <c r="Q355" s="995">
        <f>SUMIF('GSC-DSM Factors'!$A$14:$A$44,'Apr11-Mar12 FT-TS-Cashout-LG&amp;E'!Q$5,'GSC-DSM Factors'!$N$14:$N$44)</f>
        <v>5.6049999999999995</v>
      </c>
      <c r="R355" s="995">
        <f>SUMIF('GSC-DSM Factors'!$A$14:$A$44,'Apr11-Mar12 FT-TS-Cashout-LG&amp;E'!R$5,'GSC-DSM Factors'!$N$14:$N$44)</f>
        <v>5.1601999999999997</v>
      </c>
      <c r="S355" s="995">
        <f>SUMIF('GSC-DSM Factors'!$A$14:$A$44,'Apr11-Mar12 FT-TS-Cashout-LG&amp;E'!S$5,'GSC-DSM Factors'!$N$14:$N$44)</f>
        <v>5.1601999999999997</v>
      </c>
    </row>
    <row r="356" spans="2:20" x14ac:dyDescent="0.2">
      <c r="B356" s="561" t="str">
        <f>VLOOKUP($C356,'Retail Rates'!$B$46:$Q$55,13,FALSE)</f>
        <v>TS Industrial</v>
      </c>
      <c r="C356" s="633" t="s">
        <v>66</v>
      </c>
      <c r="D356" s="633" t="str">
        <f t="shared" si="128"/>
        <v>882</v>
      </c>
      <c r="E356" s="561" t="str">
        <f>VLOOKUP($C356,'Retail Rates'!$B$46:$Q$55,3,FALSE)</f>
        <v>IGS-TS</v>
      </c>
      <c r="F356" s="1010"/>
      <c r="H356" s="995"/>
      <c r="I356" s="995"/>
      <c r="J356" s="995"/>
      <c r="K356" s="995"/>
      <c r="L356" s="995"/>
      <c r="M356" s="995"/>
      <c r="N356" s="995"/>
      <c r="O356" s="995"/>
      <c r="P356" s="995"/>
      <c r="Q356" s="995"/>
      <c r="R356" s="995"/>
      <c r="S356" s="995"/>
    </row>
    <row r="357" spans="2:20" x14ac:dyDescent="0.2">
      <c r="B357" s="561" t="str">
        <f>VLOOKUP($C357,'Retail Rates'!$B$46:$Q$55,13,FALSE)</f>
        <v>TS Industrial</v>
      </c>
      <c r="C357" s="633" t="s">
        <v>66</v>
      </c>
      <c r="D357" s="633" t="str">
        <f t="shared" si="128"/>
        <v>882</v>
      </c>
      <c r="E357" s="561" t="str">
        <f>VLOOKUP($C357,'Retail Rates'!$B$46:$Q$55,3,FALSE)</f>
        <v>IGS-TS</v>
      </c>
      <c r="F357" s="1013" t="s">
        <v>412</v>
      </c>
    </row>
    <row r="358" spans="2:20" x14ac:dyDescent="0.2">
      <c r="B358" s="561" t="str">
        <f>VLOOKUP($C358,'Retail Rates'!$B$46:$Q$55,13,FALSE)</f>
        <v>TS Industrial</v>
      </c>
      <c r="C358" s="633" t="s">
        <v>66</v>
      </c>
      <c r="D358" s="633" t="str">
        <f t="shared" si="128"/>
        <v>882</v>
      </c>
      <c r="E358" s="561" t="str">
        <f>VLOOKUP($C358,'Retail Rates'!$B$46:$Q$55,3,FALSE)</f>
        <v>IGS-TS</v>
      </c>
      <c r="F358" s="991" t="s">
        <v>262</v>
      </c>
      <c r="G358" s="987" t="s">
        <v>833</v>
      </c>
      <c r="H358" s="1001">
        <f>SUMIFS('Data FT-TS-Cashout-Paddys'!$I$5:$I$756,'Data FT-TS-Cashout-Paddys'!$F$5:$F$756,'Apr11-Mar12 FT-TS-Cashout-LG&amp;E'!$G358,'Data FT-TS-Cashout-Paddys'!$A$5:$A$756,'Apr11-Mar12 FT-TS-Cashout-LG&amp;E'!H$219,'Data FT-TS-Cashout-Paddys'!$C$5:$C$756,'Apr11-Mar12 FT-TS-Cashout-LG&amp;E'!$C358)</f>
        <v>340</v>
      </c>
      <c r="I358" s="1001">
        <f>SUMIFS('Data FT-TS-Cashout-Paddys'!$I$5:$I$756,'Data FT-TS-Cashout-Paddys'!$F$5:$F$756,'Apr11-Mar12 FT-TS-Cashout-LG&amp;E'!$G358,'Data FT-TS-Cashout-Paddys'!$A$5:$A$756,'Apr11-Mar12 FT-TS-Cashout-LG&amp;E'!I$219,'Data FT-TS-Cashout-Paddys'!$C$5:$C$756,'Apr11-Mar12 FT-TS-Cashout-LG&amp;E'!$C358)</f>
        <v>340</v>
      </c>
      <c r="J358" s="1001">
        <f>SUMIFS('Data FT-TS-Cashout-Paddys'!$I$5:$I$756,'Data FT-TS-Cashout-Paddys'!$F$5:$F$756,'Apr11-Mar12 FT-TS-Cashout-LG&amp;E'!$G358,'Data FT-TS-Cashout-Paddys'!$A$5:$A$756,'Apr11-Mar12 FT-TS-Cashout-LG&amp;E'!J$219,'Data FT-TS-Cashout-Paddys'!$C$5:$C$756,'Apr11-Mar12 FT-TS-Cashout-LG&amp;E'!$C358)</f>
        <v>340</v>
      </c>
      <c r="K358" s="1001">
        <f>SUMIFS('Data FT-TS-Cashout-Paddys'!$I$5:$I$756,'Data FT-TS-Cashout-Paddys'!$F$5:$F$756,'Apr11-Mar12 FT-TS-Cashout-LG&amp;E'!$G358,'Data FT-TS-Cashout-Paddys'!$A$5:$A$756,'Apr11-Mar12 FT-TS-Cashout-LG&amp;E'!K$219,'Data FT-TS-Cashout-Paddys'!$C$5:$C$756,'Apr11-Mar12 FT-TS-Cashout-LG&amp;E'!$C358)</f>
        <v>510</v>
      </c>
      <c r="L358" s="1001">
        <f>SUMIFS('Data FT-TS-Cashout-Paddys'!$I$5:$I$756,'Data FT-TS-Cashout-Paddys'!$F$5:$F$756,'Apr11-Mar12 FT-TS-Cashout-LG&amp;E'!$G358,'Data FT-TS-Cashout-Paddys'!$A$5:$A$756,'Apr11-Mar12 FT-TS-Cashout-LG&amp;E'!L$219,'Data FT-TS-Cashout-Paddys'!$C$5:$C$756,'Apr11-Mar12 FT-TS-Cashout-LG&amp;E'!$C358)</f>
        <v>170</v>
      </c>
      <c r="M358" s="1001">
        <f>SUMIFS('Data FT-TS-Cashout-Paddys'!$I$5:$I$756,'Data FT-TS-Cashout-Paddys'!$F$5:$F$756,'Apr11-Mar12 FT-TS-Cashout-LG&amp;E'!$G358,'Data FT-TS-Cashout-Paddys'!$A$5:$A$756,'Apr11-Mar12 FT-TS-Cashout-LG&amp;E'!M$219,'Data FT-TS-Cashout-Paddys'!$C$5:$C$756,'Apr11-Mar12 FT-TS-Cashout-LG&amp;E'!$C358)</f>
        <v>340</v>
      </c>
      <c r="N358" s="1001">
        <f>SUMIFS('Data FT-TS-Cashout-Paddys'!$I$5:$I$756,'Data FT-TS-Cashout-Paddys'!$F$5:$F$756,'Apr11-Mar12 FT-TS-Cashout-LG&amp;E'!$G358,'Data FT-TS-Cashout-Paddys'!$A$5:$A$756,'Apr11-Mar12 FT-TS-Cashout-LG&amp;E'!N$219,'Data FT-TS-Cashout-Paddys'!$C$5:$C$756,'Apr11-Mar12 FT-TS-Cashout-LG&amp;E'!$C358)</f>
        <v>340</v>
      </c>
      <c r="O358" s="1001">
        <f>SUMIFS('Data FT-TS-Cashout-Paddys'!$I$5:$I$756,'Data FT-TS-Cashout-Paddys'!$F$5:$F$756,'Apr11-Mar12 FT-TS-Cashout-LG&amp;E'!$G358,'Data FT-TS-Cashout-Paddys'!$A$5:$A$756,'Apr11-Mar12 FT-TS-Cashout-LG&amp;E'!O$219,'Data FT-TS-Cashout-Paddys'!$C$5:$C$756,'Apr11-Mar12 FT-TS-Cashout-LG&amp;E'!$C358)</f>
        <v>340</v>
      </c>
      <c r="P358" s="1001">
        <f>SUMIFS('Data FT-TS-Cashout-Paddys'!$I$5:$I$756,'Data FT-TS-Cashout-Paddys'!$F$5:$F$756,'Apr11-Mar12 FT-TS-Cashout-LG&amp;E'!$G358,'Data FT-TS-Cashout-Paddys'!$A$5:$A$756,'Apr11-Mar12 FT-TS-Cashout-LG&amp;E'!P$219,'Data FT-TS-Cashout-Paddys'!$C$5:$C$756,'Apr11-Mar12 FT-TS-Cashout-LG&amp;E'!$C358)</f>
        <v>340</v>
      </c>
      <c r="Q358" s="1001">
        <f>SUMIFS('Data FT-TS-Cashout-Paddys'!$I$5:$I$756,'Data FT-TS-Cashout-Paddys'!$F$5:$F$756,'Apr11-Mar12 FT-TS-Cashout-LG&amp;E'!$G358,'Data FT-TS-Cashout-Paddys'!$A$5:$A$756,'Apr11-Mar12 FT-TS-Cashout-LG&amp;E'!Q$219,'Data FT-TS-Cashout-Paddys'!$C$5:$C$756,'Apr11-Mar12 FT-TS-Cashout-LG&amp;E'!$C358)</f>
        <v>340</v>
      </c>
      <c r="R358" s="1001">
        <f>SUMIFS('Data FT-TS-Cashout-Paddys'!$I$5:$I$756,'Data FT-TS-Cashout-Paddys'!$F$5:$F$756,'Apr11-Mar12 FT-TS-Cashout-LG&amp;E'!$G358,'Data FT-TS-Cashout-Paddys'!$A$5:$A$756,'Apr11-Mar12 FT-TS-Cashout-LG&amp;E'!R$219,'Data FT-TS-Cashout-Paddys'!$C$5:$C$756,'Apr11-Mar12 FT-TS-Cashout-LG&amp;E'!$C358)</f>
        <v>340</v>
      </c>
      <c r="S358" s="1001">
        <f>SUMIFS('Data FT-TS-Cashout-Paddys'!$I$5:$I$756,'Data FT-TS-Cashout-Paddys'!$F$5:$F$756,'Apr11-Mar12 FT-TS-Cashout-LG&amp;E'!$G358,'Data FT-TS-Cashout-Paddys'!$A$5:$A$756,'Apr11-Mar12 FT-TS-Cashout-LG&amp;E'!S$219,'Data FT-TS-Cashout-Paddys'!$C$5:$C$756,'Apr11-Mar12 FT-TS-Cashout-LG&amp;E'!$C358)</f>
        <v>340</v>
      </c>
      <c r="T358" s="1037">
        <f t="shared" ref="T358:T363" si="132">SUM(H358:S358)</f>
        <v>4080</v>
      </c>
    </row>
    <row r="359" spans="2:20" x14ac:dyDescent="0.2">
      <c r="B359" s="561" t="str">
        <f>VLOOKUP($C359,'Retail Rates'!$B$46:$Q$55,13,FALSE)</f>
        <v>TS Industrial</v>
      </c>
      <c r="C359" s="633" t="s">
        <v>66</v>
      </c>
      <c r="D359" s="633" t="str">
        <f t="shared" si="128"/>
        <v>882</v>
      </c>
      <c r="E359" s="561" t="str">
        <f>VLOOKUP($C359,'Retail Rates'!$B$46:$Q$55,3,FALSE)</f>
        <v>IGS-TS</v>
      </c>
      <c r="F359" s="1010" t="s">
        <v>719</v>
      </c>
      <c r="H359" s="994">
        <f>ROUND(+H348*H353,2)</f>
        <v>380.44</v>
      </c>
      <c r="I359" s="994">
        <f t="shared" ref="I359:S359" si="133">ROUND(+I348*I353,2)</f>
        <v>215.14</v>
      </c>
      <c r="J359" s="994">
        <f t="shared" si="133"/>
        <v>380.44</v>
      </c>
      <c r="K359" s="994">
        <f t="shared" si="133"/>
        <v>190.22</v>
      </c>
      <c r="L359" s="994">
        <f t="shared" si="133"/>
        <v>190.22</v>
      </c>
      <c r="M359" s="994">
        <f t="shared" si="133"/>
        <v>-540.79999999999995</v>
      </c>
      <c r="N359" s="994">
        <f t="shared" si="133"/>
        <v>77.42</v>
      </c>
      <c r="O359" s="994">
        <f t="shared" si="133"/>
        <v>190.22</v>
      </c>
      <c r="P359" s="994">
        <f t="shared" si="133"/>
        <v>0</v>
      </c>
      <c r="Q359" s="994">
        <f t="shared" si="133"/>
        <v>380.44</v>
      </c>
      <c r="R359" s="994">
        <f t="shared" si="133"/>
        <v>380.44</v>
      </c>
      <c r="S359" s="994">
        <f t="shared" si="133"/>
        <v>0</v>
      </c>
      <c r="T359" s="1037">
        <f t="shared" si="132"/>
        <v>1844.18</v>
      </c>
    </row>
    <row r="360" spans="2:20" x14ac:dyDescent="0.2">
      <c r="B360" s="561" t="str">
        <f>VLOOKUP($C360,'Retail Rates'!$B$46:$Q$55,13,FALSE)</f>
        <v>TS Industrial</v>
      </c>
      <c r="C360" s="633" t="s">
        <v>66</v>
      </c>
      <c r="D360" s="633" t="str">
        <f t="shared" si="128"/>
        <v>882</v>
      </c>
      <c r="E360" s="561" t="str">
        <f>VLOOKUP($C360,'Retail Rates'!$B$46:$Q$55,3,FALSE)</f>
        <v>IGS-TS</v>
      </c>
      <c r="F360" s="1010" t="s">
        <v>720</v>
      </c>
      <c r="H360" s="1007">
        <f>ROUND(+H349*H354,2)</f>
        <v>601.66999999999996</v>
      </c>
      <c r="I360" s="1007">
        <f t="shared" ref="I360:S360" si="134">ROUND(+I349*I354,2)</f>
        <v>0</v>
      </c>
      <c r="J360" s="1007">
        <f t="shared" si="134"/>
        <v>4841.29</v>
      </c>
      <c r="K360" s="1007">
        <f t="shared" si="134"/>
        <v>55.25</v>
      </c>
      <c r="L360" s="1007">
        <f t="shared" si="134"/>
        <v>228.98</v>
      </c>
      <c r="M360" s="1007">
        <f t="shared" si="134"/>
        <v>1843.89</v>
      </c>
      <c r="N360" s="1007">
        <f t="shared" si="134"/>
        <v>0</v>
      </c>
      <c r="O360" s="1007">
        <f t="shared" si="134"/>
        <v>64.92</v>
      </c>
      <c r="P360" s="1007">
        <f t="shared" si="134"/>
        <v>0</v>
      </c>
      <c r="Q360" s="1007">
        <f t="shared" si="134"/>
        <v>2819.68</v>
      </c>
      <c r="R360" s="1007">
        <f t="shared" si="134"/>
        <v>933.22</v>
      </c>
      <c r="S360" s="1007">
        <f t="shared" si="134"/>
        <v>0</v>
      </c>
      <c r="T360" s="1037">
        <f t="shared" si="132"/>
        <v>11388.9</v>
      </c>
    </row>
    <row r="361" spans="2:20" x14ac:dyDescent="0.2">
      <c r="B361" s="561" t="str">
        <f>VLOOKUP($C361,'Retail Rates'!$B$46:$Q$55,13,FALSE)</f>
        <v>TS Industrial</v>
      </c>
      <c r="C361" s="633" t="s">
        <v>66</v>
      </c>
      <c r="D361" s="633" t="str">
        <f t="shared" si="128"/>
        <v>882</v>
      </c>
      <c r="E361" s="561" t="str">
        <f>VLOOKUP($C361,'Retail Rates'!$B$46:$Q$55,3,FALSE)</f>
        <v>IGS-TS</v>
      </c>
      <c r="F361" s="1010" t="s">
        <v>415</v>
      </c>
      <c r="H361" s="994">
        <f>SUM(H358:H360)</f>
        <v>1322.1100000000001</v>
      </c>
      <c r="I361" s="994">
        <f t="shared" ref="I361:S361" si="135">SUM(I358:I360)</f>
        <v>555.14</v>
      </c>
      <c r="J361" s="994">
        <f t="shared" si="135"/>
        <v>5561.73</v>
      </c>
      <c r="K361" s="994">
        <f t="shared" si="135"/>
        <v>755.47</v>
      </c>
      <c r="L361" s="994">
        <f t="shared" si="135"/>
        <v>589.20000000000005</v>
      </c>
      <c r="M361" s="994">
        <f t="shared" si="135"/>
        <v>1643.0900000000001</v>
      </c>
      <c r="N361" s="994">
        <f t="shared" si="135"/>
        <v>417.42</v>
      </c>
      <c r="O361" s="994">
        <f t="shared" si="135"/>
        <v>595.14</v>
      </c>
      <c r="P361" s="994">
        <f t="shared" si="135"/>
        <v>340</v>
      </c>
      <c r="Q361" s="994">
        <f t="shared" si="135"/>
        <v>3540.12</v>
      </c>
      <c r="R361" s="994">
        <f t="shared" si="135"/>
        <v>1653.66</v>
      </c>
      <c r="S361" s="994">
        <f t="shared" si="135"/>
        <v>340</v>
      </c>
      <c r="T361" s="1037">
        <f t="shared" si="132"/>
        <v>17313.079999999998</v>
      </c>
    </row>
    <row r="362" spans="2:20" x14ac:dyDescent="0.2">
      <c r="B362" s="561" t="str">
        <f>VLOOKUP($C362,'Retail Rates'!$B$46:$Q$55,13,FALSE)</f>
        <v>TS Industrial</v>
      </c>
      <c r="C362" s="633" t="s">
        <v>66</v>
      </c>
      <c r="D362" s="633" t="str">
        <f t="shared" si="128"/>
        <v>882</v>
      </c>
      <c r="E362" s="561" t="str">
        <f>VLOOKUP($C362,'Retail Rates'!$B$46:$Q$55,3,FALSE)</f>
        <v>IGS-TS</v>
      </c>
      <c r="F362" s="1010" t="s">
        <v>292</v>
      </c>
      <c r="G362" s="987" t="s">
        <v>292</v>
      </c>
      <c r="H362" s="1007">
        <f>SUMIFS('Data FT-TS-Cashout-Paddys'!$H$5:$H$756,'Data FT-TS-Cashout-Paddys'!$F$5:$F$756,'Apr11-Mar12 FT-TS-Cashout-LG&amp;E'!$G362,'Data FT-TS-Cashout-Paddys'!$A$5:$A$756,'Apr11-Mar12 FT-TS-Cashout-LG&amp;E'!H$219,'Data FT-TS-Cashout-Paddys'!$C$5:$C$756,'Apr11-Mar12 FT-TS-Cashout-LG&amp;E'!$C362)</f>
        <v>2664.21</v>
      </c>
      <c r="I362" s="1007">
        <f>SUMIFS('Data FT-TS-Cashout-Paddys'!$H$5:$H$756,'Data FT-TS-Cashout-Paddys'!$F$5:$F$756,'Apr11-Mar12 FT-TS-Cashout-LG&amp;E'!$G362,'Data FT-TS-Cashout-Paddys'!$A$5:$A$756,'Apr11-Mar12 FT-TS-Cashout-LG&amp;E'!I$219,'Data FT-TS-Cashout-Paddys'!$C$5:$C$756,'Apr11-Mar12 FT-TS-Cashout-LG&amp;E'!$C362)</f>
        <v>536.35</v>
      </c>
      <c r="J362" s="1007">
        <f>SUMIFS('Data FT-TS-Cashout-Paddys'!$H$5:$H$756,'Data FT-TS-Cashout-Paddys'!$F$5:$F$756,'Apr11-Mar12 FT-TS-Cashout-LG&amp;E'!$G362,'Data FT-TS-Cashout-Paddys'!$A$5:$A$756,'Apr11-Mar12 FT-TS-Cashout-LG&amp;E'!J$219,'Data FT-TS-Cashout-Paddys'!$C$5:$C$756,'Apr11-Mar12 FT-TS-Cashout-LG&amp;E'!$C362)</f>
        <v>13018.08</v>
      </c>
      <c r="K362" s="1007">
        <f>SUMIFS('Data FT-TS-Cashout-Paddys'!$H$5:$H$756,'Data FT-TS-Cashout-Paddys'!$F$5:$F$756,'Apr11-Mar12 FT-TS-Cashout-LG&amp;E'!$G362,'Data FT-TS-Cashout-Paddys'!$A$5:$A$756,'Apr11-Mar12 FT-TS-Cashout-LG&amp;E'!K$219,'Data FT-TS-Cashout-Paddys'!$C$5:$C$756,'Apr11-Mar12 FT-TS-Cashout-LG&amp;E'!$C362)</f>
        <v>734.92</v>
      </c>
      <c r="L362" s="1007">
        <f>SUMIFS('Data FT-TS-Cashout-Paddys'!$H$5:$H$756,'Data FT-TS-Cashout-Paddys'!$F$5:$F$756,'Apr11-Mar12 FT-TS-Cashout-LG&amp;E'!$G362,'Data FT-TS-Cashout-Paddys'!$A$5:$A$756,'Apr11-Mar12 FT-TS-Cashout-LG&amp;E'!L$219,'Data FT-TS-Cashout-Paddys'!$C$5:$C$756,'Apr11-Mar12 FT-TS-Cashout-LG&amp;E'!$C362)</f>
        <v>1469.45</v>
      </c>
      <c r="M362" s="1007">
        <f>SUMIFS('Data FT-TS-Cashout-Paddys'!$H$5:$H$756,'Data FT-TS-Cashout-Paddys'!$F$5:$F$756,'Apr11-Mar12 FT-TS-Cashout-LG&amp;E'!$G362,'Data FT-TS-Cashout-Paddys'!$A$5:$A$756,'Apr11-Mar12 FT-TS-Cashout-LG&amp;E'!M$219,'Data FT-TS-Cashout-Paddys'!$C$5:$C$756,'Apr11-Mar12 FT-TS-Cashout-LG&amp;E'!$C362)</f>
        <v>5942.1399999999994</v>
      </c>
      <c r="N362" s="1007">
        <f>SUMIFS('Data FT-TS-Cashout-Paddys'!$H$5:$H$756,'Data FT-TS-Cashout-Paddys'!$F$5:$F$756,'Apr11-Mar12 FT-TS-Cashout-LG&amp;E'!$G362,'Data FT-TS-Cashout-Paddys'!$A$5:$A$756,'Apr11-Mar12 FT-TS-Cashout-LG&amp;E'!N$219,'Data FT-TS-Cashout-Paddys'!$C$5:$C$756,'Apr11-Mar12 FT-TS-Cashout-LG&amp;E'!$C362)</f>
        <v>228.5</v>
      </c>
      <c r="O362" s="1007">
        <f>SUMIFS('Data FT-TS-Cashout-Paddys'!$H$5:$H$756,'Data FT-TS-Cashout-Paddys'!$F$5:$F$756,'Apr11-Mar12 FT-TS-Cashout-LG&amp;E'!$G362,'Data FT-TS-Cashout-Paddys'!$A$5:$A$756,'Apr11-Mar12 FT-TS-Cashout-LG&amp;E'!O$219,'Data FT-TS-Cashout-Paddys'!$C$5:$C$756,'Apr11-Mar12 FT-TS-Cashout-LG&amp;E'!$C362)</f>
        <v>820.2</v>
      </c>
      <c r="P362" s="1007">
        <f>SUMIFS('Data FT-TS-Cashout-Paddys'!$H$5:$H$756,'Data FT-TS-Cashout-Paddys'!$F$5:$F$756,'Apr11-Mar12 FT-TS-Cashout-LG&amp;E'!$G362,'Data FT-TS-Cashout-Paddys'!$A$5:$A$756,'Apr11-Mar12 FT-TS-Cashout-LG&amp;E'!P$219,'Data FT-TS-Cashout-Paddys'!$C$5:$C$756,'Apr11-Mar12 FT-TS-Cashout-LG&amp;E'!$C362)</f>
        <v>0</v>
      </c>
      <c r="Q362" s="1007">
        <f>SUMIFS('Data FT-TS-Cashout-Paddys'!$H$5:$H$756,'Data FT-TS-Cashout-Paddys'!$F$5:$F$756,'Apr11-Mar12 FT-TS-Cashout-LG&amp;E'!$G362,'Data FT-TS-Cashout-Paddys'!$A$5:$A$756,'Apr11-Mar12 FT-TS-Cashout-LG&amp;E'!Q$219,'Data FT-TS-Cashout-Paddys'!$C$5:$C$756,'Apr11-Mar12 FT-TS-Cashout-LG&amp;E'!$C362)</f>
        <v>12392.09</v>
      </c>
      <c r="R362" s="1007">
        <f>SUMIFS('Data FT-TS-Cashout-Paddys'!$H$5:$H$756,'Data FT-TS-Cashout-Paddys'!$F$5:$F$756,'Apr11-Mar12 FT-TS-Cashout-LG&amp;E'!$G362,'Data FT-TS-Cashout-Paddys'!$A$5:$A$756,'Apr11-Mar12 FT-TS-Cashout-LG&amp;E'!R$219,'Data FT-TS-Cashout-Paddys'!$C$5:$C$756,'Apr11-Mar12 FT-TS-Cashout-LG&amp;E'!$C362)</f>
        <v>3616.43</v>
      </c>
      <c r="S362" s="1007">
        <f>SUMIFS('Data FT-TS-Cashout-Paddys'!$H$5:$H$756,'Data FT-TS-Cashout-Paddys'!$F$5:$F$756,'Apr11-Mar12 FT-TS-Cashout-LG&amp;E'!$G362,'Data FT-TS-Cashout-Paddys'!$A$5:$A$756,'Apr11-Mar12 FT-TS-Cashout-LG&amp;E'!S$219,'Data FT-TS-Cashout-Paddys'!$C$5:$C$756,'Apr11-Mar12 FT-TS-Cashout-LG&amp;E'!$C362)</f>
        <v>0</v>
      </c>
      <c r="T362" s="1037">
        <f t="shared" si="132"/>
        <v>41422.370000000003</v>
      </c>
    </row>
    <row r="363" spans="2:20" x14ac:dyDescent="0.2">
      <c r="B363" s="561" t="str">
        <f>VLOOKUP($C363,'Retail Rates'!$B$46:$Q$55,13,FALSE)</f>
        <v>TS Industrial</v>
      </c>
      <c r="C363" s="633" t="s">
        <v>66</v>
      </c>
      <c r="D363" s="633" t="str">
        <f t="shared" si="128"/>
        <v>882</v>
      </c>
      <c r="E363" s="561" t="str">
        <f>VLOOKUP($C363,'Retail Rates'!$B$46:$Q$55,3,FALSE)</f>
        <v>IGS-TS</v>
      </c>
      <c r="F363" s="1010" t="s">
        <v>432</v>
      </c>
      <c r="H363" s="624">
        <f>+H361+H362</f>
        <v>3986.32</v>
      </c>
      <c r="I363" s="624">
        <f t="shared" ref="I363:S363" si="136">+I361+I362</f>
        <v>1091.49</v>
      </c>
      <c r="J363" s="624">
        <f t="shared" si="136"/>
        <v>18579.809999999998</v>
      </c>
      <c r="K363" s="624">
        <f t="shared" si="136"/>
        <v>1490.3899999999999</v>
      </c>
      <c r="L363" s="624">
        <f t="shared" si="136"/>
        <v>2058.65</v>
      </c>
      <c r="M363" s="624">
        <f t="shared" si="136"/>
        <v>7585.23</v>
      </c>
      <c r="N363" s="624">
        <f t="shared" si="136"/>
        <v>645.92000000000007</v>
      </c>
      <c r="O363" s="624">
        <f t="shared" si="136"/>
        <v>1415.3400000000001</v>
      </c>
      <c r="P363" s="624">
        <f t="shared" si="136"/>
        <v>340</v>
      </c>
      <c r="Q363" s="624">
        <f t="shared" si="136"/>
        <v>15932.21</v>
      </c>
      <c r="R363" s="624">
        <f t="shared" si="136"/>
        <v>5270.09</v>
      </c>
      <c r="S363" s="624">
        <f t="shared" si="136"/>
        <v>340</v>
      </c>
      <c r="T363" s="1037">
        <f t="shared" si="132"/>
        <v>58735.45</v>
      </c>
    </row>
    <row r="364" spans="2:20" x14ac:dyDescent="0.2">
      <c r="B364" s="561" t="str">
        <f>VLOOKUP($C364,'Retail Rates'!$B$46:$Q$55,13,FALSE)</f>
        <v>TS Industrial</v>
      </c>
      <c r="C364" s="633" t="s">
        <v>66</v>
      </c>
      <c r="D364" s="633" t="str">
        <f t="shared" si="128"/>
        <v>882</v>
      </c>
      <c r="E364" s="561" t="str">
        <f>VLOOKUP($C364,'Retail Rates'!$B$46:$Q$55,3,FALSE)</f>
        <v>IGS-TS</v>
      </c>
      <c r="F364" s="1016"/>
      <c r="H364" s="624"/>
      <c r="I364" s="624"/>
      <c r="J364" s="624"/>
      <c r="K364" s="624"/>
      <c r="L364" s="624"/>
      <c r="M364" s="624"/>
      <c r="N364" s="624"/>
      <c r="O364" s="624"/>
      <c r="P364" s="624"/>
      <c r="Q364" s="624"/>
      <c r="R364" s="624"/>
      <c r="S364" s="624"/>
      <c r="T364" s="1037"/>
    </row>
    <row r="365" spans="2:20" x14ac:dyDescent="0.2">
      <c r="B365" s="561" t="str">
        <f>VLOOKUP($C365,'Retail Rates'!$B$46:$Q$55,13,FALSE)</f>
        <v>TS Industrial</v>
      </c>
      <c r="C365" s="633" t="s">
        <v>66</v>
      </c>
      <c r="D365" s="633" t="str">
        <f t="shared" si="128"/>
        <v>882</v>
      </c>
      <c r="E365" s="561" t="str">
        <f>VLOOKUP($C365,'Retail Rates'!$B$46:$Q$55,3,FALSE)</f>
        <v>IGS-TS</v>
      </c>
      <c r="F365" s="991" t="s">
        <v>841</v>
      </c>
      <c r="H365" s="999">
        <f>SUMIFS('FT_Cashouts_IntraCo-PR'!$G$4:$G$118,'FT_Cashouts_IntraCo-PR'!$A$4:$A$118,'Apr11-Mar12 FT-TS-Cashout-LG&amp;E'!$C365,'FT_Cashouts_IntraCo-PR'!$C$4:$C$118,'Apr11-Mar12 FT-TS-Cashout-LG&amp;E'!H$219)</f>
        <v>3986.32</v>
      </c>
      <c r="I365" s="999">
        <f>SUMIFS('FT_Cashouts_IntraCo-PR'!$G$4:$G$118,'FT_Cashouts_IntraCo-PR'!$A$4:$A$118,'Apr11-Mar12 FT-TS-Cashout-LG&amp;E'!$C365,'FT_Cashouts_IntraCo-PR'!$C$4:$C$118,'Apr11-Mar12 FT-TS-Cashout-LG&amp;E'!I$219)</f>
        <v>1091.49</v>
      </c>
      <c r="J365" s="999">
        <f>SUMIFS('FT_Cashouts_IntraCo-PR'!$G$4:$G$118,'FT_Cashouts_IntraCo-PR'!$A$4:$A$118,'Apr11-Mar12 FT-TS-Cashout-LG&amp;E'!$C365,'FT_Cashouts_IntraCo-PR'!$C$4:$C$118,'Apr11-Mar12 FT-TS-Cashout-LG&amp;E'!J$219)</f>
        <v>18579.809999999998</v>
      </c>
      <c r="K365" s="999">
        <f>SUMIFS('FT_Cashouts_IntraCo-PR'!$G$4:$G$118,'FT_Cashouts_IntraCo-PR'!$A$4:$A$118,'Apr11-Mar12 FT-TS-Cashout-LG&amp;E'!$C365,'FT_Cashouts_IntraCo-PR'!$C$4:$C$118,'Apr11-Mar12 FT-TS-Cashout-LG&amp;E'!K$219)</f>
        <v>1490.3899999999999</v>
      </c>
      <c r="L365" s="999">
        <f>SUMIFS('FT_Cashouts_IntraCo-PR'!$G$4:$G$118,'FT_Cashouts_IntraCo-PR'!$A$4:$A$118,'Apr11-Mar12 FT-TS-Cashout-LG&amp;E'!$C365,'FT_Cashouts_IntraCo-PR'!$C$4:$C$118,'Apr11-Mar12 FT-TS-Cashout-LG&amp;E'!L$219)</f>
        <v>2058.65</v>
      </c>
      <c r="M365" s="999">
        <f>SUMIFS('FT_Cashouts_IntraCo-PR'!$G$4:$G$118,'FT_Cashouts_IntraCo-PR'!$A$4:$A$118,'Apr11-Mar12 FT-TS-Cashout-LG&amp;E'!$C365,'FT_Cashouts_IntraCo-PR'!$C$4:$C$118,'Apr11-Mar12 FT-TS-Cashout-LG&amp;E'!M$219)</f>
        <v>7585.24</v>
      </c>
      <c r="N365" s="999">
        <f>SUMIFS('FT_Cashouts_IntraCo-PR'!$G$4:$G$118,'FT_Cashouts_IntraCo-PR'!$A$4:$A$118,'Apr11-Mar12 FT-TS-Cashout-LG&amp;E'!$C365,'FT_Cashouts_IntraCo-PR'!$C$4:$C$118,'Apr11-Mar12 FT-TS-Cashout-LG&amp;E'!N$219)</f>
        <v>645.92000000000007</v>
      </c>
      <c r="O365" s="999">
        <f>SUMIFS('FT_Cashouts_IntraCo-PR'!$G$4:$G$118,'FT_Cashouts_IntraCo-PR'!$A$4:$A$118,'Apr11-Mar12 FT-TS-Cashout-LG&amp;E'!$C365,'FT_Cashouts_IntraCo-PR'!$C$4:$C$118,'Apr11-Mar12 FT-TS-Cashout-LG&amp;E'!O$219)</f>
        <v>1415.3400000000001</v>
      </c>
      <c r="P365" s="999">
        <f>SUMIFS('FT_Cashouts_IntraCo-PR'!$G$4:$G$118,'FT_Cashouts_IntraCo-PR'!$A$4:$A$118,'Apr11-Mar12 FT-TS-Cashout-LG&amp;E'!$C365,'FT_Cashouts_IntraCo-PR'!$C$4:$C$118,'Apr11-Mar12 FT-TS-Cashout-LG&amp;E'!P$219)</f>
        <v>340</v>
      </c>
      <c r="Q365" s="999">
        <f>SUMIFS('FT_Cashouts_IntraCo-PR'!$G$4:$G$118,'FT_Cashouts_IntraCo-PR'!$A$4:$A$118,'Apr11-Mar12 FT-TS-Cashout-LG&amp;E'!$C365,'FT_Cashouts_IntraCo-PR'!$C$4:$C$118,'Apr11-Mar12 FT-TS-Cashout-LG&amp;E'!Q$219)</f>
        <v>15932.21</v>
      </c>
      <c r="R365" s="999">
        <f>SUMIFS('FT_Cashouts_IntraCo-PR'!$G$4:$G$118,'FT_Cashouts_IntraCo-PR'!$A$4:$A$118,'Apr11-Mar12 FT-TS-Cashout-LG&amp;E'!$C365,'FT_Cashouts_IntraCo-PR'!$C$4:$C$118,'Apr11-Mar12 FT-TS-Cashout-LG&amp;E'!R$219)</f>
        <v>5270.09</v>
      </c>
      <c r="S365" s="999">
        <f>SUMIFS('FT_Cashouts_IntraCo-PR'!$G$4:$G$118,'FT_Cashouts_IntraCo-PR'!$A$4:$A$118,'Apr11-Mar12 FT-TS-Cashout-LG&amp;E'!$C365,'FT_Cashouts_IntraCo-PR'!$C$4:$C$118,'Apr11-Mar12 FT-TS-Cashout-LG&amp;E'!S$219)</f>
        <v>340</v>
      </c>
      <c r="T365" s="1037">
        <f>SUM(H365:S365)</f>
        <v>58735.460000000006</v>
      </c>
    </row>
    <row r="366" spans="2:20" x14ac:dyDescent="0.2">
      <c r="B366" s="561" t="str">
        <f>VLOOKUP($C366,'Retail Rates'!$B$46:$Q$55,13,FALSE)</f>
        <v>TS Industrial</v>
      </c>
      <c r="C366" s="633" t="s">
        <v>66</v>
      </c>
      <c r="D366" s="633" t="str">
        <f t="shared" si="128"/>
        <v>882</v>
      </c>
      <c r="E366" s="561" t="str">
        <f>VLOOKUP($C366,'Retail Rates'!$B$46:$Q$55,3,FALSE)</f>
        <v>IGS-TS</v>
      </c>
      <c r="H366" s="624"/>
      <c r="I366" s="624"/>
      <c r="J366" s="624"/>
      <c r="K366" s="624"/>
      <c r="L366" s="624"/>
      <c r="M366" s="624"/>
      <c r="N366" s="624"/>
      <c r="O366" s="624"/>
      <c r="P366" s="624"/>
      <c r="Q366" s="624"/>
      <c r="R366" s="624"/>
      <c r="S366" s="624"/>
      <c r="T366" s="1037"/>
    </row>
    <row r="367" spans="2:20" x14ac:dyDescent="0.2">
      <c r="B367" s="561" t="str">
        <f>VLOOKUP($C367,'Retail Rates'!$B$46:$Q$55,13,FALSE)</f>
        <v>TS Industrial</v>
      </c>
      <c r="C367" s="633" t="s">
        <v>66</v>
      </c>
      <c r="D367" s="633" t="str">
        <f t="shared" si="128"/>
        <v>882</v>
      </c>
      <c r="E367" s="561" t="str">
        <f>VLOOKUP($C367,'Retail Rates'!$B$46:$Q$55,3,FALSE)</f>
        <v>IGS-TS</v>
      </c>
      <c r="F367" s="991" t="s">
        <v>386</v>
      </c>
      <c r="H367" s="624">
        <f>+H363-H365</f>
        <v>0</v>
      </c>
      <c r="I367" s="624">
        <f t="shared" ref="I367:S367" si="137">+I363-I365</f>
        <v>0</v>
      </c>
      <c r="J367" s="624">
        <f t="shared" si="137"/>
        <v>0</v>
      </c>
      <c r="K367" s="624">
        <f t="shared" si="137"/>
        <v>0</v>
      </c>
      <c r="L367" s="624">
        <f t="shared" si="137"/>
        <v>0</v>
      </c>
      <c r="M367" s="624">
        <f t="shared" si="137"/>
        <v>-1.0000000000218279E-2</v>
      </c>
      <c r="N367" s="624">
        <f t="shared" si="137"/>
        <v>0</v>
      </c>
      <c r="O367" s="624">
        <f t="shared" si="137"/>
        <v>0</v>
      </c>
      <c r="P367" s="624">
        <f t="shared" si="137"/>
        <v>0</v>
      </c>
      <c r="Q367" s="624">
        <f t="shared" si="137"/>
        <v>0</v>
      </c>
      <c r="R367" s="624">
        <f t="shared" si="137"/>
        <v>0</v>
      </c>
      <c r="S367" s="624">
        <f t="shared" si="137"/>
        <v>0</v>
      </c>
      <c r="T367" s="1037">
        <f>SUM(H367:S367)</f>
        <v>-1.0000000000218279E-2</v>
      </c>
    </row>
    <row r="370" spans="6:21" x14ac:dyDescent="0.2">
      <c r="F370" s="1009" t="s">
        <v>864</v>
      </c>
    </row>
    <row r="371" spans="6:21" x14ac:dyDescent="0.2">
      <c r="F371" s="1010" t="s">
        <v>719</v>
      </c>
      <c r="H371" s="624">
        <f>+H332+H359</f>
        <v>380.44</v>
      </c>
      <c r="I371" s="624">
        <f t="shared" ref="I371:S371" si="138">+I332+I359</f>
        <v>215.14</v>
      </c>
      <c r="J371" s="624">
        <f t="shared" si="138"/>
        <v>380.44</v>
      </c>
      <c r="K371" s="624">
        <f t="shared" si="138"/>
        <v>377.44</v>
      </c>
      <c r="L371" s="624">
        <f t="shared" si="138"/>
        <v>377.44</v>
      </c>
      <c r="M371" s="624">
        <f t="shared" si="138"/>
        <v>-353.57999999999993</v>
      </c>
      <c r="N371" s="624">
        <f t="shared" si="138"/>
        <v>349.64000000000004</v>
      </c>
      <c r="O371" s="624">
        <f t="shared" si="138"/>
        <v>147.91</v>
      </c>
      <c r="P371" s="624">
        <f t="shared" si="138"/>
        <v>170.56</v>
      </c>
      <c r="Q371" s="624">
        <f t="shared" si="138"/>
        <v>563.91999999999996</v>
      </c>
      <c r="R371" s="624">
        <f t="shared" si="138"/>
        <v>380.44</v>
      </c>
      <c r="S371" s="624">
        <f t="shared" si="138"/>
        <v>0</v>
      </c>
      <c r="T371" s="1037">
        <f t="shared" ref="T371:T378" si="139">SUM(H371:S371)</f>
        <v>2989.7900000000004</v>
      </c>
    </row>
    <row r="372" spans="6:21" x14ac:dyDescent="0.2">
      <c r="F372" s="1010" t="s">
        <v>720</v>
      </c>
      <c r="H372" s="1017">
        <f>+H333+H360</f>
        <v>601.66999999999996</v>
      </c>
      <c r="I372" s="1017">
        <f t="shared" ref="I372:S372" si="140">+I333+I360</f>
        <v>0</v>
      </c>
      <c r="J372" s="1017">
        <f t="shared" si="140"/>
        <v>4841.29</v>
      </c>
      <c r="K372" s="1017">
        <f t="shared" si="140"/>
        <v>826.15</v>
      </c>
      <c r="L372" s="1017">
        <f t="shared" si="140"/>
        <v>412.72</v>
      </c>
      <c r="M372" s="1017">
        <f t="shared" si="140"/>
        <v>1866.94</v>
      </c>
      <c r="N372" s="1017">
        <f t="shared" si="140"/>
        <v>0</v>
      </c>
      <c r="O372" s="1017">
        <f t="shared" si="140"/>
        <v>64.92</v>
      </c>
      <c r="P372" s="1017">
        <f t="shared" si="140"/>
        <v>0</v>
      </c>
      <c r="Q372" s="1017">
        <f t="shared" si="140"/>
        <v>2819.68</v>
      </c>
      <c r="R372" s="1017">
        <f t="shared" si="140"/>
        <v>933.22</v>
      </c>
      <c r="S372" s="1017">
        <f t="shared" si="140"/>
        <v>0</v>
      </c>
      <c r="T372" s="1037">
        <f t="shared" si="139"/>
        <v>12366.59</v>
      </c>
    </row>
    <row r="373" spans="6:21" x14ac:dyDescent="0.2">
      <c r="F373" s="1010" t="s">
        <v>423</v>
      </c>
      <c r="H373" s="624">
        <f t="shared" ref="H373:S373" si="141">+H371+H372</f>
        <v>982.1099999999999</v>
      </c>
      <c r="I373" s="624">
        <f t="shared" si="141"/>
        <v>215.14</v>
      </c>
      <c r="J373" s="624">
        <f t="shared" si="141"/>
        <v>5221.7299999999996</v>
      </c>
      <c r="K373" s="624">
        <f t="shared" si="141"/>
        <v>1203.5899999999999</v>
      </c>
      <c r="L373" s="624">
        <f t="shared" si="141"/>
        <v>790.16000000000008</v>
      </c>
      <c r="M373" s="624">
        <f t="shared" si="141"/>
        <v>1513.3600000000001</v>
      </c>
      <c r="N373" s="624">
        <f t="shared" si="141"/>
        <v>349.64000000000004</v>
      </c>
      <c r="O373" s="624">
        <f t="shared" si="141"/>
        <v>212.82999999999998</v>
      </c>
      <c r="P373" s="624">
        <f t="shared" si="141"/>
        <v>170.56</v>
      </c>
      <c r="Q373" s="624">
        <f t="shared" si="141"/>
        <v>3383.6</v>
      </c>
      <c r="R373" s="624">
        <f t="shared" si="141"/>
        <v>1313.66</v>
      </c>
      <c r="S373" s="624">
        <f t="shared" si="141"/>
        <v>0</v>
      </c>
      <c r="T373" s="1037">
        <f t="shared" si="139"/>
        <v>15356.38</v>
      </c>
    </row>
    <row r="374" spans="6:21" x14ac:dyDescent="0.2">
      <c r="F374" s="1010" t="s">
        <v>354</v>
      </c>
      <c r="H374" s="624">
        <f>+H335+H362</f>
        <v>2664.21</v>
      </c>
      <c r="I374" s="624">
        <f t="shared" ref="I374:S374" si="142">+I335+I362</f>
        <v>536.35</v>
      </c>
      <c r="J374" s="624">
        <f t="shared" si="142"/>
        <v>13018.08</v>
      </c>
      <c r="K374" s="624">
        <f t="shared" si="142"/>
        <v>4223.93</v>
      </c>
      <c r="L374" s="624">
        <f t="shared" si="142"/>
        <v>2735.7</v>
      </c>
      <c r="M374" s="624">
        <f t="shared" si="142"/>
        <v>6597.8899999999994</v>
      </c>
      <c r="N374" s="624">
        <f t="shared" si="142"/>
        <v>1044.8200000000002</v>
      </c>
      <c r="O374" s="624">
        <f t="shared" si="142"/>
        <v>693.13</v>
      </c>
      <c r="P374" s="624">
        <f t="shared" si="142"/>
        <v>510.62</v>
      </c>
      <c r="Q374" s="624">
        <f t="shared" si="142"/>
        <v>12941.380000000001</v>
      </c>
      <c r="R374" s="624">
        <f t="shared" si="142"/>
        <v>3616.43</v>
      </c>
      <c r="S374" s="624">
        <f t="shared" si="142"/>
        <v>0</v>
      </c>
      <c r="T374" s="1037">
        <f t="shared" si="139"/>
        <v>48582.54</v>
      </c>
    </row>
    <row r="375" spans="6:21" x14ac:dyDescent="0.2">
      <c r="F375" s="1014" t="s">
        <v>411</v>
      </c>
      <c r="H375" s="1017">
        <f>+H337</f>
        <v>0</v>
      </c>
      <c r="I375" s="1017">
        <f t="shared" ref="I375:S375" si="143">+I337</f>
        <v>0</v>
      </c>
      <c r="J375" s="1017">
        <f t="shared" si="143"/>
        <v>0</v>
      </c>
      <c r="K375" s="1017">
        <f t="shared" si="143"/>
        <v>5.89</v>
      </c>
      <c r="L375" s="1017">
        <f t="shared" si="143"/>
        <v>2.08</v>
      </c>
      <c r="M375" s="1017">
        <f t="shared" si="143"/>
        <v>1.1200000000000001</v>
      </c>
      <c r="N375" s="1017">
        <f t="shared" si="143"/>
        <v>1.4</v>
      </c>
      <c r="O375" s="1017">
        <f t="shared" si="143"/>
        <v>-0.22</v>
      </c>
      <c r="P375" s="1017">
        <f t="shared" si="143"/>
        <v>0.87</v>
      </c>
      <c r="Q375" s="1017">
        <f t="shared" si="143"/>
        <v>0.94</v>
      </c>
      <c r="R375" s="1017">
        <f t="shared" si="143"/>
        <v>0</v>
      </c>
      <c r="S375" s="1017">
        <f t="shared" si="143"/>
        <v>0</v>
      </c>
      <c r="T375" s="1037">
        <f t="shared" si="139"/>
        <v>12.079999999999998</v>
      </c>
    </row>
    <row r="376" spans="6:21" x14ac:dyDescent="0.2">
      <c r="F376" s="1014" t="s">
        <v>424</v>
      </c>
      <c r="H376" s="624">
        <f t="shared" ref="H376:S376" si="144">SUM(H373:H375)</f>
        <v>3646.3199999999997</v>
      </c>
      <c r="I376" s="624">
        <f t="shared" si="144"/>
        <v>751.49</v>
      </c>
      <c r="J376" s="624">
        <f t="shared" si="144"/>
        <v>18239.809999999998</v>
      </c>
      <c r="K376" s="624">
        <f t="shared" si="144"/>
        <v>5433.4100000000008</v>
      </c>
      <c r="L376" s="624">
        <f t="shared" si="144"/>
        <v>3527.9399999999996</v>
      </c>
      <c r="M376" s="624">
        <f t="shared" si="144"/>
        <v>8112.37</v>
      </c>
      <c r="N376" s="624">
        <f t="shared" si="144"/>
        <v>1395.8600000000004</v>
      </c>
      <c r="O376" s="624">
        <f t="shared" si="144"/>
        <v>905.74</v>
      </c>
      <c r="P376" s="624">
        <f t="shared" si="144"/>
        <v>682.05000000000007</v>
      </c>
      <c r="Q376" s="624">
        <f t="shared" si="144"/>
        <v>16325.920000000002</v>
      </c>
      <c r="R376" s="624">
        <f t="shared" si="144"/>
        <v>4930.09</v>
      </c>
      <c r="S376" s="624">
        <f t="shared" si="144"/>
        <v>0</v>
      </c>
      <c r="T376" s="1037">
        <f t="shared" si="139"/>
        <v>63951</v>
      </c>
    </row>
    <row r="377" spans="6:21" x14ac:dyDescent="0.2">
      <c r="F377" s="1014" t="s">
        <v>427</v>
      </c>
      <c r="H377" s="1017">
        <f>+H331+H358</f>
        <v>340</v>
      </c>
      <c r="I377" s="1017">
        <f t="shared" ref="I377:S377" si="145">+I331+I358</f>
        <v>340</v>
      </c>
      <c r="J377" s="1017">
        <f t="shared" si="145"/>
        <v>340</v>
      </c>
      <c r="K377" s="1017">
        <f t="shared" si="145"/>
        <v>680</v>
      </c>
      <c r="L377" s="1017">
        <f t="shared" si="145"/>
        <v>340</v>
      </c>
      <c r="M377" s="1017">
        <f t="shared" si="145"/>
        <v>510</v>
      </c>
      <c r="N377" s="1017">
        <f t="shared" si="145"/>
        <v>680</v>
      </c>
      <c r="O377" s="1017">
        <f t="shared" si="145"/>
        <v>340</v>
      </c>
      <c r="P377" s="1017">
        <f t="shared" si="145"/>
        <v>510</v>
      </c>
      <c r="Q377" s="1017">
        <f t="shared" si="145"/>
        <v>510</v>
      </c>
      <c r="R377" s="1017">
        <f t="shared" si="145"/>
        <v>340</v>
      </c>
      <c r="S377" s="1017">
        <f t="shared" si="145"/>
        <v>340</v>
      </c>
      <c r="T377" s="1037">
        <f t="shared" si="139"/>
        <v>5270</v>
      </c>
    </row>
    <row r="378" spans="6:21" x14ac:dyDescent="0.2">
      <c r="F378" s="1014" t="s">
        <v>432</v>
      </c>
      <c r="H378" s="624">
        <f t="shared" ref="H378:S378" si="146">+H376+H377</f>
        <v>3986.3199999999997</v>
      </c>
      <c r="I378" s="624">
        <f t="shared" si="146"/>
        <v>1091.49</v>
      </c>
      <c r="J378" s="624">
        <f t="shared" si="146"/>
        <v>18579.809999999998</v>
      </c>
      <c r="K378" s="624">
        <f t="shared" si="146"/>
        <v>6113.4100000000008</v>
      </c>
      <c r="L378" s="624">
        <f t="shared" si="146"/>
        <v>3867.9399999999996</v>
      </c>
      <c r="M378" s="624">
        <f t="shared" si="146"/>
        <v>8622.369999999999</v>
      </c>
      <c r="N378" s="624">
        <f t="shared" si="146"/>
        <v>2075.8600000000006</v>
      </c>
      <c r="O378" s="624">
        <f t="shared" si="146"/>
        <v>1245.74</v>
      </c>
      <c r="P378" s="624">
        <f t="shared" si="146"/>
        <v>1192.0500000000002</v>
      </c>
      <c r="Q378" s="624">
        <f t="shared" si="146"/>
        <v>16835.920000000002</v>
      </c>
      <c r="R378" s="624">
        <f t="shared" si="146"/>
        <v>5270.09</v>
      </c>
      <c r="S378" s="624">
        <f t="shared" si="146"/>
        <v>340</v>
      </c>
      <c r="T378" s="1037">
        <f t="shared" si="139"/>
        <v>69221</v>
      </c>
    </row>
    <row r="379" spans="6:21" x14ac:dyDescent="0.2">
      <c r="F379" s="1014"/>
      <c r="K379" s="1018"/>
      <c r="L379" s="1018"/>
      <c r="M379" s="1018"/>
      <c r="N379" s="1018"/>
      <c r="O379" s="1018"/>
      <c r="P379" s="1018"/>
      <c r="Q379" s="1018"/>
      <c r="R379" s="1018"/>
      <c r="S379" s="1018"/>
    </row>
    <row r="380" spans="6:21" x14ac:dyDescent="0.2">
      <c r="F380" s="991" t="s">
        <v>841</v>
      </c>
      <c r="H380" s="624">
        <f>+H341+H365</f>
        <v>3986.32</v>
      </c>
      <c r="I380" s="624">
        <f t="shared" ref="I380:S380" si="147">+I341+I365</f>
        <v>1091.49</v>
      </c>
      <c r="J380" s="624">
        <f t="shared" si="147"/>
        <v>18579.809999999998</v>
      </c>
      <c r="K380" s="624">
        <f t="shared" si="147"/>
        <v>6113.41</v>
      </c>
      <c r="L380" s="624">
        <f t="shared" si="147"/>
        <v>3867.94</v>
      </c>
      <c r="M380" s="624">
        <f t="shared" si="147"/>
        <v>8622.3799999999992</v>
      </c>
      <c r="N380" s="624">
        <f t="shared" si="147"/>
        <v>2075.86</v>
      </c>
      <c r="O380" s="624">
        <f t="shared" si="147"/>
        <v>1245.7400000000002</v>
      </c>
      <c r="P380" s="624">
        <f t="shared" si="147"/>
        <v>1192.0500000000002</v>
      </c>
      <c r="Q380" s="624">
        <f t="shared" si="147"/>
        <v>16835.919999999998</v>
      </c>
      <c r="R380" s="624">
        <f t="shared" si="147"/>
        <v>5270.09</v>
      </c>
      <c r="S380" s="624">
        <f t="shared" si="147"/>
        <v>340</v>
      </c>
      <c r="T380" s="1037">
        <f>SUM(H380:S380)</f>
        <v>69221.009999999995</v>
      </c>
    </row>
    <row r="381" spans="6:21" x14ac:dyDescent="0.2">
      <c r="H381" s="624"/>
      <c r="I381" s="624"/>
      <c r="J381" s="624"/>
      <c r="K381" s="1018"/>
      <c r="L381" s="1018"/>
      <c r="M381" s="1018"/>
      <c r="N381" s="1018"/>
      <c r="O381" s="1018"/>
      <c r="P381" s="1018"/>
      <c r="Q381" s="1018"/>
      <c r="R381" s="1018"/>
      <c r="S381" s="1018"/>
      <c r="T381" s="1037"/>
    </row>
    <row r="382" spans="6:21" x14ac:dyDescent="0.2">
      <c r="F382" s="991" t="s">
        <v>386</v>
      </c>
      <c r="H382" s="624">
        <f>+H378-H380</f>
        <v>0</v>
      </c>
      <c r="I382" s="624">
        <f t="shared" ref="I382:S382" si="148">+I378-I380</f>
        <v>0</v>
      </c>
      <c r="J382" s="624">
        <f t="shared" si="148"/>
        <v>0</v>
      </c>
      <c r="K382" s="624">
        <f t="shared" si="148"/>
        <v>0</v>
      </c>
      <c r="L382" s="624">
        <f t="shared" si="148"/>
        <v>0</v>
      </c>
      <c r="M382" s="624">
        <f t="shared" si="148"/>
        <v>-1.0000000000218279E-2</v>
      </c>
      <c r="N382" s="624">
        <f t="shared" si="148"/>
        <v>0</v>
      </c>
      <c r="O382" s="624">
        <f t="shared" si="148"/>
        <v>0</v>
      </c>
      <c r="P382" s="624">
        <f t="shared" si="148"/>
        <v>0</v>
      </c>
      <c r="Q382" s="624">
        <f t="shared" si="148"/>
        <v>0</v>
      </c>
      <c r="R382" s="624">
        <f t="shared" si="148"/>
        <v>0</v>
      </c>
      <c r="S382" s="624">
        <f t="shared" si="148"/>
        <v>0</v>
      </c>
      <c r="T382" s="1037">
        <f>SUM(H382:S382)</f>
        <v>-1.0000000000218279E-2</v>
      </c>
    </row>
    <row r="383" spans="6:21" x14ac:dyDescent="0.2">
      <c r="F383" s="991"/>
      <c r="H383" s="624"/>
      <c r="I383" s="624"/>
      <c r="J383" s="624"/>
      <c r="K383" s="624"/>
      <c r="L383" s="624"/>
      <c r="M383" s="624"/>
      <c r="N383" s="624"/>
      <c r="O383" s="624"/>
      <c r="P383" s="624"/>
      <c r="Q383" s="624"/>
      <c r="R383" s="624"/>
      <c r="S383" s="624"/>
      <c r="T383" s="1037"/>
    </row>
    <row r="384" spans="6:21" x14ac:dyDescent="0.2">
      <c r="F384" s="986" t="s">
        <v>867</v>
      </c>
      <c r="H384" s="1028">
        <f>+'SBR Jan12'!J34</f>
        <v>3986.32</v>
      </c>
      <c r="I384" s="1028">
        <f>+'SBR Feb12'!J34</f>
        <v>1091.49</v>
      </c>
      <c r="J384" s="1028">
        <f>+'SBR Mar12'!J36</f>
        <v>18579.809999999998</v>
      </c>
      <c r="K384" s="1028">
        <f>+'SBR Apr11'!J32</f>
        <v>6113.41</v>
      </c>
      <c r="L384" s="1028">
        <f>+'SBR May11'!J32</f>
        <v>3867.94</v>
      </c>
      <c r="M384" s="1028">
        <f>+'SBR Jun11'!J32</f>
        <v>8622.3799999999992</v>
      </c>
      <c r="N384" s="1028">
        <f>+'SBR Jul11'!J32</f>
        <v>2075.86</v>
      </c>
      <c r="O384" s="1028">
        <f>+'SBR Aug11'!J32</f>
        <v>1245.7400000000002</v>
      </c>
      <c r="P384" s="1028">
        <f>+'SBR Sep11'!J32</f>
        <v>1192.0500000000002</v>
      </c>
      <c r="Q384" s="1028">
        <f>+'SBR Oct11'!J32</f>
        <v>16835.919999999998</v>
      </c>
      <c r="R384" s="1028">
        <f>+'SBR Nov11'!J34</f>
        <v>5270.09</v>
      </c>
      <c r="S384" s="1028">
        <f>+'SBR Dec11'!J34</f>
        <v>340</v>
      </c>
      <c r="T384" s="1049">
        <f>SUM(H384:S384)</f>
        <v>69221.009999999995</v>
      </c>
      <c r="U384" s="624">
        <f>+T378-T384</f>
        <v>-9.9999999947613105E-3</v>
      </c>
    </row>
    <row r="385" spans="2:20" x14ac:dyDescent="0.2">
      <c r="F385" s="986"/>
      <c r="H385" s="1028"/>
      <c r="I385" s="1028"/>
      <c r="J385" s="1028"/>
      <c r="K385" s="1028"/>
      <c r="L385" s="1028"/>
      <c r="M385" s="1028"/>
      <c r="N385" s="1028"/>
      <c r="O385" s="1028"/>
      <c r="P385" s="1028"/>
      <c r="Q385" s="1028"/>
      <c r="R385" s="1028"/>
      <c r="S385" s="1028"/>
      <c r="T385" s="1049"/>
    </row>
    <row r="386" spans="2:20" x14ac:dyDescent="0.2">
      <c r="F386" s="986" t="s">
        <v>872</v>
      </c>
      <c r="H386" s="1020">
        <f>(+H323+H350)*10</f>
        <v>5163</v>
      </c>
      <c r="I386" s="1020">
        <f t="shared" ref="I386:S386" si="149">(+I323+I350)*10</f>
        <v>1131</v>
      </c>
      <c r="J386" s="1020">
        <f t="shared" si="149"/>
        <v>27451</v>
      </c>
      <c r="K386" s="1020">
        <f t="shared" si="149"/>
        <v>8011.9999999999991</v>
      </c>
      <c r="L386" s="1020">
        <f t="shared" si="149"/>
        <v>4972</v>
      </c>
      <c r="M386" s="1020">
        <f t="shared" si="149"/>
        <v>11475</v>
      </c>
      <c r="N386" s="1020">
        <f t="shared" si="149"/>
        <v>1861.0000000000002</v>
      </c>
      <c r="O386" s="1020">
        <f t="shared" si="149"/>
        <v>1237.0000000000002</v>
      </c>
      <c r="P386" s="1020">
        <f t="shared" si="149"/>
        <v>911</v>
      </c>
      <c r="Q386" s="1020">
        <f t="shared" si="149"/>
        <v>23089</v>
      </c>
      <c r="R386" s="1020">
        <f t="shared" si="149"/>
        <v>6906</v>
      </c>
      <c r="S386" s="1020">
        <f t="shared" si="149"/>
        <v>0</v>
      </c>
      <c r="T386" s="1047">
        <f>SUM(H386:S386)</f>
        <v>92208</v>
      </c>
    </row>
    <row r="387" spans="2:20" x14ac:dyDescent="0.2">
      <c r="F387" s="986" t="s">
        <v>870</v>
      </c>
      <c r="H387" s="1020">
        <f>+'SBR Jan12'!I34</f>
        <v>5163</v>
      </c>
      <c r="I387" s="1020">
        <f>+'SBR Feb12'!I34</f>
        <v>1131</v>
      </c>
      <c r="J387" s="1020">
        <f>+'SBR Mar12'!I36</f>
        <v>27451</v>
      </c>
      <c r="K387" s="1020">
        <f>+'SBR Apr11'!I32</f>
        <v>8012</v>
      </c>
      <c r="L387" s="1020">
        <f>+'SBR May11'!I32</f>
        <v>4972</v>
      </c>
      <c r="M387" s="1020">
        <f>+'SBR Jun11'!I32</f>
        <v>11475</v>
      </c>
      <c r="N387" s="1020">
        <f>+'SBR Jul11'!I32</f>
        <v>1861</v>
      </c>
      <c r="O387" s="1020">
        <f>+'SBR Aug11'!I32</f>
        <v>1237</v>
      </c>
      <c r="P387" s="1020">
        <f>+'SBR Sep11'!I32</f>
        <v>911</v>
      </c>
      <c r="Q387" s="1020">
        <f>+'SBR Oct11'!I32</f>
        <v>23089</v>
      </c>
      <c r="R387" s="1020">
        <f>+'SBR Nov11'!I34</f>
        <v>6906</v>
      </c>
      <c r="S387" s="1020">
        <f>+'SBR Dec11'!I34</f>
        <v>0</v>
      </c>
      <c r="T387" s="1047">
        <f>SUM(H387:S387)</f>
        <v>92208</v>
      </c>
    </row>
    <row r="388" spans="2:20" x14ac:dyDescent="0.2">
      <c r="F388" s="986"/>
      <c r="H388" s="624"/>
      <c r="I388" s="624"/>
      <c r="J388" s="624"/>
      <c r="K388" s="624"/>
      <c r="L388" s="624"/>
      <c r="M388" s="624"/>
      <c r="N388" s="624"/>
      <c r="O388" s="624"/>
      <c r="P388" s="624"/>
      <c r="Q388" s="624"/>
      <c r="R388" s="624"/>
      <c r="S388" s="624"/>
      <c r="T388" s="1037"/>
    </row>
    <row r="389" spans="2:20" x14ac:dyDescent="0.2">
      <c r="F389" s="991"/>
      <c r="H389" s="624"/>
      <c r="I389" s="624"/>
      <c r="J389" s="624"/>
      <c r="K389" s="624"/>
      <c r="L389" s="624"/>
      <c r="M389" s="624"/>
      <c r="N389" s="624"/>
      <c r="O389" s="624"/>
      <c r="P389" s="624"/>
      <c r="Q389" s="624"/>
      <c r="R389" s="624"/>
      <c r="S389" s="624"/>
      <c r="T389" s="1037"/>
    </row>
    <row r="390" spans="2:20" x14ac:dyDescent="0.2">
      <c r="F390" s="991"/>
      <c r="H390" s="624"/>
      <c r="I390" s="624"/>
      <c r="J390" s="624"/>
      <c r="K390" s="624"/>
      <c r="L390" s="624"/>
      <c r="M390" s="624"/>
      <c r="N390" s="624"/>
      <c r="O390" s="624"/>
      <c r="P390" s="624"/>
      <c r="Q390" s="624"/>
      <c r="R390" s="624"/>
      <c r="S390" s="624"/>
      <c r="T390" s="1037"/>
    </row>
    <row r="394" spans="2:20" x14ac:dyDescent="0.2">
      <c r="B394" s="984" t="s">
        <v>865</v>
      </c>
      <c r="G394" s="984" t="s">
        <v>845</v>
      </c>
      <c r="H394" s="985">
        <v>40909</v>
      </c>
      <c r="I394" s="985">
        <v>40940</v>
      </c>
      <c r="J394" s="985">
        <v>40969</v>
      </c>
      <c r="K394" s="985">
        <v>40634</v>
      </c>
      <c r="L394" s="985">
        <v>40664</v>
      </c>
      <c r="M394" s="985">
        <v>40695</v>
      </c>
      <c r="N394" s="985">
        <v>40725</v>
      </c>
      <c r="O394" s="985">
        <v>40756</v>
      </c>
      <c r="P394" s="985">
        <v>40787</v>
      </c>
      <c r="Q394" s="985">
        <v>40817</v>
      </c>
      <c r="R394" s="985">
        <v>40848</v>
      </c>
      <c r="S394" s="985">
        <v>40878</v>
      </c>
    </row>
    <row r="395" spans="2:20" x14ac:dyDescent="0.2">
      <c r="F395" s="324" t="s">
        <v>850</v>
      </c>
    </row>
    <row r="396" spans="2:20" x14ac:dyDescent="0.2">
      <c r="B396" s="561" t="str">
        <f>VLOOKUP($C396,'Retail Rates'!$B$46:$Q$55,13,FALSE)</f>
        <v>Intercompany</v>
      </c>
      <c r="C396" s="633" t="s">
        <v>113</v>
      </c>
      <c r="D396" s="633" t="str">
        <f t="shared" ref="D396:D418" si="150">MID(C396,6,3)</f>
        <v>997</v>
      </c>
      <c r="E396" s="561" t="str">
        <f>VLOOKUP($C396,'Retail Rates'!$B$46:$Q$55,3,FALSE)</f>
        <v>Paddy's Run</v>
      </c>
      <c r="F396" s="991" t="s">
        <v>429</v>
      </c>
      <c r="H396" s="1006">
        <v>43200</v>
      </c>
      <c r="I396" s="1006">
        <v>43200</v>
      </c>
      <c r="J396" s="1006">
        <v>43200</v>
      </c>
      <c r="K396" s="1006">
        <v>43200</v>
      </c>
      <c r="L396" s="1006">
        <v>43200</v>
      </c>
      <c r="M396" s="1006">
        <v>43200</v>
      </c>
      <c r="N396" s="1006">
        <v>43200</v>
      </c>
      <c r="O396" s="1006">
        <v>43200</v>
      </c>
      <c r="P396" s="1006">
        <v>43200</v>
      </c>
      <c r="Q396" s="1006">
        <v>43200</v>
      </c>
      <c r="R396" s="1006">
        <v>43200</v>
      </c>
      <c r="S396" s="1006">
        <v>43200</v>
      </c>
      <c r="T396" s="1046">
        <f>SUM(H396:S396)</f>
        <v>518400</v>
      </c>
    </row>
    <row r="397" spans="2:20" x14ac:dyDescent="0.2">
      <c r="B397" s="561" t="str">
        <f>VLOOKUP($C397,'Retail Rates'!$B$46:$Q$55,13,FALSE)</f>
        <v>Intercompany</v>
      </c>
      <c r="C397" s="633" t="s">
        <v>113</v>
      </c>
      <c r="D397" s="633" t="str">
        <f t="shared" si="150"/>
        <v>997</v>
      </c>
      <c r="E397" s="561" t="str">
        <f>VLOOKUP($C397,'Retail Rates'!$B$46:$Q$55,3,FALSE)</f>
        <v>Paddy's Run</v>
      </c>
      <c r="F397" s="991" t="s">
        <v>408</v>
      </c>
      <c r="G397" s="987" t="s">
        <v>812</v>
      </c>
      <c r="H397" s="992">
        <f>SUMIFS('Data FT-TS-Cashout-Paddys'!$G$5:$G$756,'Data FT-TS-Cashout-Paddys'!$F$5:$F$756,'Apr11-Mar12 FT-TS-Cashout-LG&amp;E'!$G397,'Data FT-TS-Cashout-Paddys'!$A$5:$A$756,'Apr11-Mar12 FT-TS-Cashout-LG&amp;E'!H$394,'Data FT-TS-Cashout-Paddys'!$C$5:$C$756,'Apr11-Mar12 FT-TS-Cashout-LG&amp;E'!$C397,'Data FT-TS-Cashout-Paddys'!$E$5:$E$756,'Apr11-Mar12 FT-TS-Cashout-LG&amp;E'!H$6)/10</f>
        <v>0</v>
      </c>
      <c r="I397" s="992">
        <f>SUMIFS('Data FT-TS-Cashout-Paddys'!$G$5:$G$756,'Data FT-TS-Cashout-Paddys'!$F$5:$F$756,'Apr11-Mar12 FT-TS-Cashout-LG&amp;E'!$G397,'Data FT-TS-Cashout-Paddys'!$A$5:$A$756,'Apr11-Mar12 FT-TS-Cashout-LG&amp;E'!I$394,'Data FT-TS-Cashout-Paddys'!$C$5:$C$756,'Apr11-Mar12 FT-TS-Cashout-LG&amp;E'!$C397,'Data FT-TS-Cashout-Paddys'!$E$5:$E$756,'Apr11-Mar12 FT-TS-Cashout-LG&amp;E'!I$6)/10</f>
        <v>4566</v>
      </c>
      <c r="J397" s="992">
        <f>SUMIFS('Data FT-TS-Cashout-Paddys'!$G$5:$G$756,'Data FT-TS-Cashout-Paddys'!$F$5:$F$756,'Apr11-Mar12 FT-TS-Cashout-LG&amp;E'!$G397,'Data FT-TS-Cashout-Paddys'!$A$5:$A$756,'Apr11-Mar12 FT-TS-Cashout-LG&amp;E'!J$394,'Data FT-TS-Cashout-Paddys'!$C$5:$C$756,'Apr11-Mar12 FT-TS-Cashout-LG&amp;E'!$C397,'Data FT-TS-Cashout-Paddys'!$E$5:$E$756,'Apr11-Mar12 FT-TS-Cashout-LG&amp;E'!J$6)/10</f>
        <v>0</v>
      </c>
      <c r="K397" s="992">
        <f>SUMIFS('Data FT-TS-Cashout-Paddys'!$G$5:$G$756,'Data FT-TS-Cashout-Paddys'!$F$5:$F$756,'Apr11-Mar12 FT-TS-Cashout-LG&amp;E'!$G397,'Data FT-TS-Cashout-Paddys'!$A$5:$A$756,'Apr11-Mar12 FT-TS-Cashout-LG&amp;E'!K$394,'Data FT-TS-Cashout-Paddys'!$C$5:$C$756,'Apr11-Mar12 FT-TS-Cashout-LG&amp;E'!$C397,'Data FT-TS-Cashout-Paddys'!$E$5:$E$756,'Apr11-Mar12 FT-TS-Cashout-LG&amp;E'!K$6)/10</f>
        <v>0</v>
      </c>
      <c r="L397" s="992">
        <f>SUMIFS('Data FT-TS-Cashout-Paddys'!$G$5:$G$756,'Data FT-TS-Cashout-Paddys'!$F$5:$F$756,'Apr11-Mar12 FT-TS-Cashout-LG&amp;E'!$G397,'Data FT-TS-Cashout-Paddys'!$A$5:$A$756,'Apr11-Mar12 FT-TS-Cashout-LG&amp;E'!L$394,'Data FT-TS-Cashout-Paddys'!$C$5:$C$756,'Apr11-Mar12 FT-TS-Cashout-LG&amp;E'!$C397,'Data FT-TS-Cashout-Paddys'!$E$5:$E$756,'Apr11-Mar12 FT-TS-Cashout-LG&amp;E'!L$6)/10</f>
        <v>42632.5</v>
      </c>
      <c r="M397" s="992">
        <f>SUMIFS('Data FT-TS-Cashout-Paddys'!$G$5:$G$756,'Data FT-TS-Cashout-Paddys'!$F$5:$F$756,'Apr11-Mar12 FT-TS-Cashout-LG&amp;E'!$G397,'Data FT-TS-Cashout-Paddys'!$A$5:$A$756,'Apr11-Mar12 FT-TS-Cashout-LG&amp;E'!M$394,'Data FT-TS-Cashout-Paddys'!$C$5:$C$756,'Apr11-Mar12 FT-TS-Cashout-LG&amp;E'!$C397,'Data FT-TS-Cashout-Paddys'!$E$5:$E$756,'Apr11-Mar12 FT-TS-Cashout-LG&amp;E'!M$6)/10</f>
        <v>70011.899999999994</v>
      </c>
      <c r="N397" s="992">
        <f>SUMIFS('Data FT-TS-Cashout-Paddys'!$G$5:$G$756,'Data FT-TS-Cashout-Paddys'!$F$5:$F$756,'Apr11-Mar12 FT-TS-Cashout-LG&amp;E'!$G397,'Data FT-TS-Cashout-Paddys'!$A$5:$A$756,'Apr11-Mar12 FT-TS-Cashout-LG&amp;E'!N$394,'Data FT-TS-Cashout-Paddys'!$C$5:$C$756,'Apr11-Mar12 FT-TS-Cashout-LG&amp;E'!$C397,'Data FT-TS-Cashout-Paddys'!$E$5:$E$756,'Apr11-Mar12 FT-TS-Cashout-LG&amp;E'!N$6)/10</f>
        <v>112052</v>
      </c>
      <c r="O397" s="992">
        <f>SUMIFS('Data FT-TS-Cashout-Paddys'!$G$5:$G$756,'Data FT-TS-Cashout-Paddys'!$F$5:$F$756,'Apr11-Mar12 FT-TS-Cashout-LG&amp;E'!$G397,'Data FT-TS-Cashout-Paddys'!$A$5:$A$756,'Apr11-Mar12 FT-TS-Cashout-LG&amp;E'!O$394,'Data FT-TS-Cashout-Paddys'!$C$5:$C$756,'Apr11-Mar12 FT-TS-Cashout-LG&amp;E'!$C397,'Data FT-TS-Cashout-Paddys'!$E$5:$E$756,'Apr11-Mar12 FT-TS-Cashout-LG&amp;E'!O$6)/10</f>
        <v>61463</v>
      </c>
      <c r="P397" s="992">
        <f>SUMIFS('Data FT-TS-Cashout-Paddys'!$G$5:$G$756,'Data FT-TS-Cashout-Paddys'!$F$5:$F$756,'Apr11-Mar12 FT-TS-Cashout-LG&amp;E'!$G397,'Data FT-TS-Cashout-Paddys'!$A$5:$A$756,'Apr11-Mar12 FT-TS-Cashout-LG&amp;E'!P$394,'Data FT-TS-Cashout-Paddys'!$C$5:$C$756,'Apr11-Mar12 FT-TS-Cashout-LG&amp;E'!$C397,'Data FT-TS-Cashout-Paddys'!$E$5:$E$756,'Apr11-Mar12 FT-TS-Cashout-LG&amp;E'!P$6)/10</f>
        <v>50615.4</v>
      </c>
      <c r="Q397" s="992">
        <f>SUMIFS('Data FT-TS-Cashout-Paddys'!$G$5:$G$756,'Data FT-TS-Cashout-Paddys'!$F$5:$F$756,'Apr11-Mar12 FT-TS-Cashout-LG&amp;E'!$G397,'Data FT-TS-Cashout-Paddys'!$A$5:$A$756,'Apr11-Mar12 FT-TS-Cashout-LG&amp;E'!Q$394,'Data FT-TS-Cashout-Paddys'!$C$5:$C$756,'Apr11-Mar12 FT-TS-Cashout-LG&amp;E'!$C397,'Data FT-TS-Cashout-Paddys'!$E$5:$E$756,'Apr11-Mar12 FT-TS-Cashout-LG&amp;E'!Q$6)/10</f>
        <v>0</v>
      </c>
      <c r="R397" s="992">
        <f>SUMIFS('Data FT-TS-Cashout-Paddys'!$G$5:$G$756,'Data FT-TS-Cashout-Paddys'!$F$5:$F$756,'Apr11-Mar12 FT-TS-Cashout-LG&amp;E'!$G397,'Data FT-TS-Cashout-Paddys'!$A$5:$A$756,'Apr11-Mar12 FT-TS-Cashout-LG&amp;E'!R$394,'Data FT-TS-Cashout-Paddys'!$C$5:$C$756,'Apr11-Mar12 FT-TS-Cashout-LG&amp;E'!$C397,'Data FT-TS-Cashout-Paddys'!$E$5:$E$756,'Apr11-Mar12 FT-TS-Cashout-LG&amp;E'!R$6)/10</f>
        <v>0</v>
      </c>
      <c r="S397" s="992">
        <f>SUMIFS('Data FT-TS-Cashout-Paddys'!$G$5:$G$756,'Data FT-TS-Cashout-Paddys'!$F$5:$F$756,'Apr11-Mar12 FT-TS-Cashout-LG&amp;E'!$G397,'Data FT-TS-Cashout-Paddys'!$A$5:$A$756,'Apr11-Mar12 FT-TS-Cashout-LG&amp;E'!S$394,'Data FT-TS-Cashout-Paddys'!$C$5:$C$756,'Apr11-Mar12 FT-TS-Cashout-LG&amp;E'!$C397,'Data FT-TS-Cashout-Paddys'!$E$5:$E$756,'Apr11-Mar12 FT-TS-Cashout-LG&amp;E'!S$6)/10</f>
        <v>0</v>
      </c>
      <c r="T397" s="1046">
        <f>SUM(H397:S397)</f>
        <v>341340.80000000005</v>
      </c>
    </row>
    <row r="398" spans="2:20" x14ac:dyDescent="0.2">
      <c r="B398" s="561" t="str">
        <f>VLOOKUP($C398,'Retail Rates'!$B$46:$Q$55,13,FALSE)</f>
        <v>Intercompany</v>
      </c>
      <c r="C398" s="633" t="s">
        <v>113</v>
      </c>
      <c r="D398" s="633" t="str">
        <f t="shared" si="150"/>
        <v>997</v>
      </c>
      <c r="E398" s="561" t="str">
        <f>VLOOKUP($C398,'Retail Rates'!$B$46:$Q$55,3,FALSE)</f>
        <v>Paddy's Run</v>
      </c>
      <c r="F398" s="991" t="s">
        <v>262</v>
      </c>
      <c r="G398" s="561" t="s">
        <v>849</v>
      </c>
      <c r="H398" s="994">
        <v>0</v>
      </c>
      <c r="I398" s="994">
        <v>0</v>
      </c>
      <c r="J398" s="994">
        <v>0</v>
      </c>
      <c r="K398" s="994">
        <v>0</v>
      </c>
      <c r="L398" s="994">
        <v>0</v>
      </c>
      <c r="M398" s="994">
        <v>0</v>
      </c>
      <c r="N398" s="994">
        <v>0</v>
      </c>
      <c r="O398" s="994">
        <v>0</v>
      </c>
      <c r="P398" s="994">
        <v>0</v>
      </c>
      <c r="Q398" s="994">
        <v>0</v>
      </c>
      <c r="R398" s="994">
        <v>0</v>
      </c>
      <c r="S398" s="994">
        <v>0</v>
      </c>
    </row>
    <row r="399" spans="2:20" x14ac:dyDescent="0.2">
      <c r="B399" s="561" t="str">
        <f>VLOOKUP($C399,'Retail Rates'!$B$46:$Q$55,13,FALSE)</f>
        <v>Intercompany</v>
      </c>
      <c r="C399" s="633" t="s">
        <v>113</v>
      </c>
      <c r="D399" s="633" t="str">
        <f t="shared" si="150"/>
        <v>997</v>
      </c>
      <c r="E399" s="561" t="str">
        <f>VLOOKUP($C399,'Retail Rates'!$B$46:$Q$55,3,FALSE)</f>
        <v>Paddy's Run</v>
      </c>
      <c r="F399" s="991" t="s">
        <v>409</v>
      </c>
      <c r="H399" s="994">
        <f>VLOOKUP($C399,'Retail Rates'!$B$45:$N$55,5,FALSE)</f>
        <v>0</v>
      </c>
      <c r="I399" s="994">
        <f>VLOOKUP($C399,'Retail Rates'!$B$45:$N$55,5,FALSE)</f>
        <v>0</v>
      </c>
      <c r="J399" s="994">
        <f>VLOOKUP($C399,'Retail Rates'!$B$45:$N$55,5,FALSE)</f>
        <v>0</v>
      </c>
      <c r="K399" s="994">
        <f>VLOOKUP($C399,'Retail Rates'!$B$45:$N$55,5,FALSE)</f>
        <v>0</v>
      </c>
      <c r="L399" s="994">
        <f>VLOOKUP($C399,'Retail Rates'!$B$45:$N$55,5,FALSE)</f>
        <v>0</v>
      </c>
      <c r="M399" s="994">
        <f>VLOOKUP($C399,'Retail Rates'!$B$45:$N$55,5,FALSE)</f>
        <v>0</v>
      </c>
      <c r="N399" s="994">
        <f>VLOOKUP($C399,'Retail Rates'!$B$45:$N$55,5,FALSE)</f>
        <v>0</v>
      </c>
      <c r="O399" s="994">
        <f>VLOOKUP($C399,'Retail Rates'!$B$45:$N$55,5,FALSE)</f>
        <v>0</v>
      </c>
      <c r="P399" s="994">
        <f>VLOOKUP($C399,'Retail Rates'!$B$45:$N$55,5,FALSE)</f>
        <v>0</v>
      </c>
      <c r="Q399" s="994">
        <f>VLOOKUP($C399,'Retail Rates'!$B$45:$N$55,5,FALSE)</f>
        <v>0</v>
      </c>
      <c r="R399" s="994">
        <f>VLOOKUP($C399,'Retail Rates'!$B$45:$N$55,5,FALSE)</f>
        <v>0</v>
      </c>
      <c r="S399" s="994">
        <f>VLOOKUP($C399,'Retail Rates'!$B$45:$N$55,5,FALSE)</f>
        <v>0</v>
      </c>
    </row>
    <row r="400" spans="2:20" x14ac:dyDescent="0.2">
      <c r="B400" s="561" t="str">
        <f>VLOOKUP($C400,'Retail Rates'!$B$46:$Q$55,13,FALSE)</f>
        <v>Intercompany</v>
      </c>
      <c r="C400" s="633" t="s">
        <v>113</v>
      </c>
      <c r="D400" s="633" t="str">
        <f t="shared" si="150"/>
        <v>997</v>
      </c>
      <c r="E400" s="561" t="str">
        <f>VLOOKUP($C400,'Retail Rates'!$B$46:$Q$55,3,FALSE)</f>
        <v>Paddy's Run</v>
      </c>
      <c r="F400" s="991" t="s">
        <v>430</v>
      </c>
      <c r="H400" s="994">
        <f>VLOOKUP($C400,'Retail Rates'!$B$45:$N$55,11,FALSE)</f>
        <v>2.4300000000000002</v>
      </c>
      <c r="I400" s="994">
        <f>VLOOKUP($C400,'Retail Rates'!$B$45:$N$55,11,FALSE)</f>
        <v>2.4300000000000002</v>
      </c>
      <c r="J400" s="994">
        <f>VLOOKUP($C400,'Retail Rates'!$B$45:$N$55,11,FALSE)</f>
        <v>2.4300000000000002</v>
      </c>
      <c r="K400" s="994">
        <f>VLOOKUP($C400,'Retail Rates'!$B$45:$N$55,11,FALSE)</f>
        <v>2.4300000000000002</v>
      </c>
      <c r="L400" s="994">
        <f>VLOOKUP($C400,'Retail Rates'!$B$45:$N$55,11,FALSE)</f>
        <v>2.4300000000000002</v>
      </c>
      <c r="M400" s="994">
        <f>VLOOKUP($C400,'Retail Rates'!$B$45:$N$55,11,FALSE)</f>
        <v>2.4300000000000002</v>
      </c>
      <c r="N400" s="994">
        <f>VLOOKUP($C400,'Retail Rates'!$B$45:$N$55,11,FALSE)</f>
        <v>2.4300000000000002</v>
      </c>
      <c r="O400" s="994">
        <f>VLOOKUP($C400,'Retail Rates'!$B$45:$N$55,11,FALSE)</f>
        <v>2.4300000000000002</v>
      </c>
      <c r="P400" s="994">
        <f>VLOOKUP($C400,'Retail Rates'!$B$45:$N$55,11,FALSE)</f>
        <v>2.4300000000000002</v>
      </c>
      <c r="Q400" s="994">
        <f>VLOOKUP($C400,'Retail Rates'!$B$45:$N$55,11,FALSE)</f>
        <v>2.4300000000000002</v>
      </c>
      <c r="R400" s="994">
        <f>VLOOKUP($C400,'Retail Rates'!$B$45:$N$55,11,FALSE)</f>
        <v>2.4300000000000002</v>
      </c>
      <c r="S400" s="994">
        <f>VLOOKUP($C400,'Retail Rates'!$B$45:$N$55,11,FALSE)</f>
        <v>2.4300000000000002</v>
      </c>
    </row>
    <row r="401" spans="2:22" x14ac:dyDescent="0.2">
      <c r="B401" s="561" t="str">
        <f>VLOOKUP($C401,'Retail Rates'!$B$46:$Q$55,13,FALSE)</f>
        <v>Intercompany</v>
      </c>
      <c r="C401" s="633" t="s">
        <v>113</v>
      </c>
      <c r="D401" s="633" t="str">
        <f t="shared" si="150"/>
        <v>997</v>
      </c>
      <c r="E401" s="561" t="str">
        <f>VLOOKUP($C401,'Retail Rates'!$B$46:$Q$55,3,FALSE)</f>
        <v>Paddy's Run</v>
      </c>
      <c r="F401" s="991" t="s">
        <v>6</v>
      </c>
      <c r="H401" s="995">
        <f>VLOOKUP($C401,'Retail Rates'!$B$45:$N$55,7,FALSE)</f>
        <v>4.87E-2</v>
      </c>
      <c r="I401" s="995">
        <f>VLOOKUP($C401,'Retail Rates'!$B$45:$N$55,7,FALSE)</f>
        <v>4.87E-2</v>
      </c>
      <c r="J401" s="995">
        <f>VLOOKUP($C401,'Retail Rates'!$B$45:$N$55,7,FALSE)</f>
        <v>4.87E-2</v>
      </c>
      <c r="K401" s="995">
        <f>VLOOKUP($C401,'Retail Rates'!$B$45:$N$55,7,FALSE)</f>
        <v>4.87E-2</v>
      </c>
      <c r="L401" s="995">
        <f>VLOOKUP($C401,'Retail Rates'!$B$45:$N$55,7,FALSE)</f>
        <v>4.87E-2</v>
      </c>
      <c r="M401" s="995">
        <f>VLOOKUP($C401,'Retail Rates'!$B$45:$N$55,7,FALSE)</f>
        <v>4.87E-2</v>
      </c>
      <c r="N401" s="995">
        <f>VLOOKUP($C401,'Retail Rates'!$B$45:$N$55,7,FALSE)</f>
        <v>4.87E-2</v>
      </c>
      <c r="O401" s="995">
        <f>VLOOKUP($C401,'Retail Rates'!$B$45:$N$55,7,FALSE)</f>
        <v>4.87E-2</v>
      </c>
      <c r="P401" s="995">
        <f>VLOOKUP($C401,'Retail Rates'!$B$45:$N$55,7,FALSE)</f>
        <v>4.87E-2</v>
      </c>
      <c r="Q401" s="995">
        <f>VLOOKUP($C401,'Retail Rates'!$B$45:$N$55,7,FALSE)</f>
        <v>4.87E-2</v>
      </c>
      <c r="R401" s="995">
        <f>VLOOKUP($C401,'Retail Rates'!$B$45:$N$55,7,FALSE)</f>
        <v>4.87E-2</v>
      </c>
      <c r="S401" s="995">
        <f>VLOOKUP($C401,'Retail Rates'!$B$45:$N$55,7,FALSE)</f>
        <v>4.87E-2</v>
      </c>
    </row>
    <row r="402" spans="2:22" x14ac:dyDescent="0.2">
      <c r="B402" s="561" t="str">
        <f>VLOOKUP($C402,'Retail Rates'!$B$46:$Q$55,13,FALSE)</f>
        <v>Intercompany</v>
      </c>
      <c r="C402" s="633" t="s">
        <v>113</v>
      </c>
      <c r="D402" s="633" t="str">
        <f t="shared" si="150"/>
        <v>997</v>
      </c>
      <c r="E402" s="561" t="str">
        <f>VLOOKUP($C402,'Retail Rates'!$B$46:$Q$55,3,FALSE)</f>
        <v>Paddy's Run</v>
      </c>
      <c r="F402" s="991" t="s">
        <v>418</v>
      </c>
      <c r="H402" s="995">
        <f>SUMIF('GSC-DSM Factors'!$A$14:$A$44,'Apr11-Mar12 FT-TS-Cashout-LG&amp;E'!H$5,'GSC-DSM Factors'!$I$14:$I$44)</f>
        <v>0.17199999999999999</v>
      </c>
      <c r="I402" s="995">
        <f>SUMIF('GSC-DSM Factors'!$A$14:$A$44,'Apr11-Mar12 FT-TS-Cashout-LG&amp;E'!I$5,'GSC-DSM Factors'!$I$14:$I$44)</f>
        <v>0.17219999999999999</v>
      </c>
      <c r="J402" s="995">
        <f>SUMIF('GSC-DSM Factors'!$A$14:$A$44,'Apr11-Mar12 FT-TS-Cashout-LG&amp;E'!J$5,'GSC-DSM Factors'!$I$14:$I$44)</f>
        <v>0.17219999999999999</v>
      </c>
      <c r="K402" s="995">
        <f>SUMIF('GSC-DSM Factors'!$A$14:$A$44,'Apr11-Mar12 FT-TS-Cashout-LG&amp;E'!K$5,'GSC-DSM Factors'!$I$14:$I$44)</f>
        <v>0.1847</v>
      </c>
      <c r="L402" s="995">
        <f>SUMIF('GSC-DSM Factors'!$A$14:$A$44,'Apr11-Mar12 FT-TS-Cashout-LG&amp;E'!L$5,'GSC-DSM Factors'!$I$14:$I$44)</f>
        <v>0.185</v>
      </c>
      <c r="M402" s="995">
        <f>SUMIF('GSC-DSM Factors'!$A$14:$A$44,'Apr11-Mar12 FT-TS-Cashout-LG&amp;E'!M$5,'GSC-DSM Factors'!$I$14:$I$44)</f>
        <v>0.185</v>
      </c>
      <c r="N402" s="995">
        <f>SUMIF('GSC-DSM Factors'!$A$14:$A$44,'Apr11-Mar12 FT-TS-Cashout-LG&amp;E'!N$5,'GSC-DSM Factors'!$I$14:$I$44)</f>
        <v>0.185</v>
      </c>
      <c r="O402" s="995">
        <f>SUMIF('GSC-DSM Factors'!$A$14:$A$44,'Apr11-Mar12 FT-TS-Cashout-LG&amp;E'!O$5,'GSC-DSM Factors'!$I$14:$I$44)</f>
        <v>0.18459999999999999</v>
      </c>
      <c r="P402" s="995">
        <f>SUMIF('GSC-DSM Factors'!$A$14:$A$44,'Apr11-Mar12 FT-TS-Cashout-LG&amp;E'!P$5,'GSC-DSM Factors'!$I$14:$I$44)</f>
        <v>0.18459999999999999</v>
      </c>
      <c r="Q402" s="995">
        <f>SUMIF('GSC-DSM Factors'!$A$14:$A$44,'Apr11-Mar12 FT-TS-Cashout-LG&amp;E'!Q$5,'GSC-DSM Factors'!$I$14:$I$44)</f>
        <v>0.18459999999999999</v>
      </c>
      <c r="R402" s="995">
        <f>SUMIF('GSC-DSM Factors'!$A$14:$A$44,'Apr11-Mar12 FT-TS-Cashout-LG&amp;E'!R$5,'GSC-DSM Factors'!$I$14:$I$44)</f>
        <v>0.17199999999999999</v>
      </c>
      <c r="S402" s="995">
        <f>SUMIF('GSC-DSM Factors'!$A$14:$A$44,'Apr11-Mar12 FT-TS-Cashout-LG&amp;E'!S$5,'GSC-DSM Factors'!$I$14:$I$44)</f>
        <v>0.17199999999999999</v>
      </c>
    </row>
    <row r="403" spans="2:22" x14ac:dyDescent="0.2">
      <c r="B403" s="561" t="str">
        <f>VLOOKUP($C403,'Retail Rates'!$B$46:$Q$55,13,FALSE)</f>
        <v>Intercompany</v>
      </c>
      <c r="C403" s="633" t="s">
        <v>113</v>
      </c>
      <c r="D403" s="633" t="str">
        <f t="shared" si="150"/>
        <v>997</v>
      </c>
      <c r="E403" s="561" t="str">
        <f>VLOOKUP($C403,'Retail Rates'!$B$46:$Q$55,3,FALSE)</f>
        <v>Paddy's Run</v>
      </c>
      <c r="F403" s="991" t="s">
        <v>419</v>
      </c>
      <c r="H403" s="995">
        <f>VLOOKUP($C403,'Retail Rates'!$B$45:$N$55,10,FALSE)</f>
        <v>0.18329999999999999</v>
      </c>
      <c r="I403" s="995">
        <f>VLOOKUP($C403,'Retail Rates'!$B$45:$N$55,10,FALSE)</f>
        <v>0.18329999999999999</v>
      </c>
      <c r="J403" s="995">
        <f>VLOOKUP($C403,'Retail Rates'!$B$45:$N$55,10,FALSE)</f>
        <v>0.18329999999999999</v>
      </c>
      <c r="K403" s="995">
        <f>VLOOKUP($C403,'Retail Rates'!$B$45:$N$55,10,FALSE)</f>
        <v>0.18329999999999999</v>
      </c>
      <c r="L403" s="995">
        <f>VLOOKUP($C403,'Retail Rates'!$B$45:$N$55,10,FALSE)</f>
        <v>0.18329999999999999</v>
      </c>
      <c r="M403" s="995">
        <f>VLOOKUP($C403,'Retail Rates'!$B$45:$N$55,10,FALSE)</f>
        <v>0.18329999999999999</v>
      </c>
      <c r="N403" s="995">
        <f>VLOOKUP($C403,'Retail Rates'!$B$45:$N$55,10,FALSE)</f>
        <v>0.18329999999999999</v>
      </c>
      <c r="O403" s="995">
        <f>VLOOKUP($C403,'Retail Rates'!$B$45:$N$55,10,FALSE)</f>
        <v>0.18329999999999999</v>
      </c>
      <c r="P403" s="995">
        <f>VLOOKUP($C403,'Retail Rates'!$B$45:$N$55,10,FALSE)</f>
        <v>0.18329999999999999</v>
      </c>
      <c r="Q403" s="995">
        <f>VLOOKUP($C403,'Retail Rates'!$B$45:$N$55,10,FALSE)</f>
        <v>0.18329999999999999</v>
      </c>
      <c r="R403" s="995">
        <f>VLOOKUP($C403,'Retail Rates'!$B$45:$N$55,10,FALSE)</f>
        <v>0.18329999999999999</v>
      </c>
      <c r="S403" s="995">
        <f>VLOOKUP($C403,'Retail Rates'!$B$45:$N$55,10,FALSE)</f>
        <v>0.18329999999999999</v>
      </c>
    </row>
    <row r="404" spans="2:22" x14ac:dyDescent="0.2">
      <c r="B404" s="561" t="str">
        <f>VLOOKUP($C404,'Retail Rates'!$B$46:$Q$55,13,FALSE)</f>
        <v>Intercompany</v>
      </c>
      <c r="C404" s="633" t="s">
        <v>113</v>
      </c>
      <c r="D404" s="633" t="str">
        <f t="shared" si="150"/>
        <v>997</v>
      </c>
      <c r="E404" s="561" t="str">
        <f>VLOOKUP($C404,'Retail Rates'!$B$46:$Q$55,3,FALSE)</f>
        <v>Paddy's Run</v>
      </c>
      <c r="F404" s="991"/>
    </row>
    <row r="405" spans="2:22" x14ac:dyDescent="0.2">
      <c r="B405" s="561" t="str">
        <f>VLOOKUP($C405,'Retail Rates'!$B$46:$Q$55,13,FALSE)</f>
        <v>Intercompany</v>
      </c>
      <c r="C405" s="633" t="s">
        <v>113</v>
      </c>
      <c r="D405" s="633" t="str">
        <f t="shared" si="150"/>
        <v>997</v>
      </c>
      <c r="E405" s="561" t="str">
        <f>VLOOKUP($C405,'Retail Rates'!$B$46:$Q$55,3,FALSE)</f>
        <v>Paddy's Run</v>
      </c>
      <c r="F405" s="998" t="s">
        <v>412</v>
      </c>
    </row>
    <row r="406" spans="2:22" x14ac:dyDescent="0.2">
      <c r="B406" s="561" t="str">
        <f>VLOOKUP($C406,'Retail Rates'!$B$46:$Q$55,13,FALSE)</f>
        <v>Intercompany</v>
      </c>
      <c r="C406" s="633" t="s">
        <v>113</v>
      </c>
      <c r="D406" s="633" t="str">
        <f t="shared" si="150"/>
        <v>997</v>
      </c>
      <c r="E406" s="561" t="str">
        <f>VLOOKUP($C406,'Retail Rates'!$B$46:$Q$55,3,FALSE)</f>
        <v>Paddy's Run</v>
      </c>
      <c r="F406" s="991" t="s">
        <v>431</v>
      </c>
      <c r="H406" s="999">
        <f>+H396*H400</f>
        <v>104976</v>
      </c>
      <c r="I406" s="999">
        <f t="shared" ref="I406:S406" si="151">+I396*I400</f>
        <v>104976</v>
      </c>
      <c r="J406" s="999">
        <f t="shared" si="151"/>
        <v>104976</v>
      </c>
      <c r="K406" s="999">
        <f t="shared" si="151"/>
        <v>104976</v>
      </c>
      <c r="L406" s="999">
        <f t="shared" si="151"/>
        <v>104976</v>
      </c>
      <c r="M406" s="999">
        <f t="shared" si="151"/>
        <v>104976</v>
      </c>
      <c r="N406" s="999">
        <f t="shared" si="151"/>
        <v>104976</v>
      </c>
      <c r="O406" s="999">
        <f t="shared" si="151"/>
        <v>104976</v>
      </c>
      <c r="P406" s="999">
        <f t="shared" si="151"/>
        <v>104976</v>
      </c>
      <c r="Q406" s="999">
        <f t="shared" si="151"/>
        <v>104976</v>
      </c>
      <c r="R406" s="999">
        <f t="shared" si="151"/>
        <v>104976</v>
      </c>
      <c r="S406" s="999">
        <f t="shared" si="151"/>
        <v>104976</v>
      </c>
      <c r="T406" s="1001">
        <f t="shared" ref="T406:T414" si="152">SUM(H406:S406)</f>
        <v>1259712</v>
      </c>
    </row>
    <row r="407" spans="2:22" x14ac:dyDescent="0.2">
      <c r="B407" s="561" t="str">
        <f>VLOOKUP($C407,'Retail Rates'!$B$46:$Q$55,13,FALSE)</f>
        <v>Intercompany</v>
      </c>
      <c r="C407" s="633" t="s">
        <v>113</v>
      </c>
      <c r="D407" s="633" t="str">
        <f t="shared" si="150"/>
        <v>997</v>
      </c>
      <c r="E407" s="561" t="str">
        <f>VLOOKUP($C407,'Retail Rates'!$B$46:$Q$55,3,FALSE)</f>
        <v>Paddy's Run</v>
      </c>
      <c r="F407" s="991" t="s">
        <v>414</v>
      </c>
      <c r="H407" s="1000">
        <f>ROUND(H397*H401,2)</f>
        <v>0</v>
      </c>
      <c r="I407" s="1000">
        <f>ROUND(I397*I401,2)</f>
        <v>222.36</v>
      </c>
      <c r="J407" s="1000">
        <f t="shared" ref="J407:S407" si="153">ROUND(J397*J401,2)</f>
        <v>0</v>
      </c>
      <c r="K407" s="1000">
        <f t="shared" si="153"/>
        <v>0</v>
      </c>
      <c r="L407" s="1000">
        <f t="shared" si="153"/>
        <v>2076.1999999999998</v>
      </c>
      <c r="M407" s="1000">
        <f t="shared" si="153"/>
        <v>3409.58</v>
      </c>
      <c r="N407" s="1000">
        <f t="shared" si="153"/>
        <v>5456.93</v>
      </c>
      <c r="O407" s="1000">
        <f t="shared" si="153"/>
        <v>2993.25</v>
      </c>
      <c r="P407" s="1000">
        <f t="shared" si="153"/>
        <v>2464.9699999999998</v>
      </c>
      <c r="Q407" s="1000">
        <f t="shared" si="153"/>
        <v>0</v>
      </c>
      <c r="R407" s="1000">
        <f t="shared" si="153"/>
        <v>0</v>
      </c>
      <c r="S407" s="1000">
        <f t="shared" si="153"/>
        <v>0</v>
      </c>
      <c r="T407" s="1001">
        <f t="shared" si="152"/>
        <v>16623.29</v>
      </c>
    </row>
    <row r="408" spans="2:22" x14ac:dyDescent="0.2">
      <c r="B408" s="561" t="str">
        <f>VLOOKUP($C408,'Retail Rates'!$B$46:$Q$55,13,FALSE)</f>
        <v>Intercompany</v>
      </c>
      <c r="C408" s="633" t="s">
        <v>113</v>
      </c>
      <c r="D408" s="633" t="str">
        <f t="shared" si="150"/>
        <v>997</v>
      </c>
      <c r="E408" s="561" t="str">
        <f>VLOOKUP($C408,'Retail Rates'!$B$46:$Q$55,3,FALSE)</f>
        <v>Paddy's Run</v>
      </c>
      <c r="F408" s="991" t="s">
        <v>424</v>
      </c>
      <c r="H408" s="999">
        <f>SUM(H406:H407)</f>
        <v>104976</v>
      </c>
      <c r="I408" s="999">
        <f t="shared" ref="I408:S408" si="154">SUM(I406:I407)</f>
        <v>105198.36</v>
      </c>
      <c r="J408" s="999">
        <f t="shared" si="154"/>
        <v>104976</v>
      </c>
      <c r="K408" s="999">
        <f t="shared" si="154"/>
        <v>104976</v>
      </c>
      <c r="L408" s="999">
        <f t="shared" si="154"/>
        <v>107052.2</v>
      </c>
      <c r="M408" s="999">
        <f t="shared" si="154"/>
        <v>108385.58</v>
      </c>
      <c r="N408" s="999">
        <f t="shared" si="154"/>
        <v>110432.93</v>
      </c>
      <c r="O408" s="999">
        <f t="shared" si="154"/>
        <v>107969.25</v>
      </c>
      <c r="P408" s="999">
        <f t="shared" si="154"/>
        <v>107440.97</v>
      </c>
      <c r="Q408" s="999">
        <f t="shared" si="154"/>
        <v>104976</v>
      </c>
      <c r="R408" s="999">
        <f t="shared" si="154"/>
        <v>104976</v>
      </c>
      <c r="S408" s="999">
        <f t="shared" si="154"/>
        <v>104976</v>
      </c>
      <c r="T408" s="1001">
        <f t="shared" si="152"/>
        <v>1276335.2899999998</v>
      </c>
    </row>
    <row r="409" spans="2:22" x14ac:dyDescent="0.2">
      <c r="B409" s="561" t="str">
        <f>VLOOKUP($C409,'Retail Rates'!$B$46:$Q$55,13,FALSE)</f>
        <v>Intercompany</v>
      </c>
      <c r="C409" s="633" t="s">
        <v>113</v>
      </c>
      <c r="D409" s="633" t="str">
        <f t="shared" si="150"/>
        <v>997</v>
      </c>
      <c r="E409" s="561" t="str">
        <f>VLOOKUP($C409,'Retail Rates'!$B$46:$Q$55,3,FALSE)</f>
        <v>Paddy's Run</v>
      </c>
      <c r="F409" s="991" t="s">
        <v>413</v>
      </c>
      <c r="H409" s="1007">
        <f>+H399</f>
        <v>0</v>
      </c>
      <c r="I409" s="1007">
        <f t="shared" ref="I409:S409" si="155">+I399</f>
        <v>0</v>
      </c>
      <c r="J409" s="1007">
        <f t="shared" si="155"/>
        <v>0</v>
      </c>
      <c r="K409" s="1007">
        <f t="shared" si="155"/>
        <v>0</v>
      </c>
      <c r="L409" s="1007">
        <f t="shared" si="155"/>
        <v>0</v>
      </c>
      <c r="M409" s="1007">
        <f t="shared" si="155"/>
        <v>0</v>
      </c>
      <c r="N409" s="1007">
        <f t="shared" si="155"/>
        <v>0</v>
      </c>
      <c r="O409" s="1007">
        <f t="shared" si="155"/>
        <v>0</v>
      </c>
      <c r="P409" s="1007">
        <f t="shared" si="155"/>
        <v>0</v>
      </c>
      <c r="Q409" s="1007">
        <f t="shared" si="155"/>
        <v>0</v>
      </c>
      <c r="R409" s="1007">
        <f t="shared" si="155"/>
        <v>0</v>
      </c>
      <c r="S409" s="1007">
        <f t="shared" si="155"/>
        <v>0</v>
      </c>
      <c r="T409" s="1001">
        <f t="shared" si="152"/>
        <v>0</v>
      </c>
    </row>
    <row r="410" spans="2:22" x14ac:dyDescent="0.2">
      <c r="B410" s="561" t="str">
        <f>VLOOKUP($C410,'Retail Rates'!$B$46:$Q$55,13,FALSE)</f>
        <v>Intercompany</v>
      </c>
      <c r="C410" s="633" t="s">
        <v>113</v>
      </c>
      <c r="D410" s="633" t="str">
        <f t="shared" si="150"/>
        <v>997</v>
      </c>
      <c r="E410" s="561" t="str">
        <f>VLOOKUP($C410,'Retail Rates'!$B$46:$Q$55,3,FALSE)</f>
        <v>Paddy's Run</v>
      </c>
      <c r="F410" s="991" t="s">
        <v>424</v>
      </c>
      <c r="H410" s="999">
        <f>SUM(H408:H409)</f>
        <v>104976</v>
      </c>
      <c r="I410" s="999">
        <f t="shared" ref="I410:S410" si="156">SUM(I408:I409)</f>
        <v>105198.36</v>
      </c>
      <c r="J410" s="999">
        <f t="shared" si="156"/>
        <v>104976</v>
      </c>
      <c r="K410" s="999">
        <f t="shared" si="156"/>
        <v>104976</v>
      </c>
      <c r="L410" s="999">
        <f t="shared" si="156"/>
        <v>107052.2</v>
      </c>
      <c r="M410" s="999">
        <f t="shared" si="156"/>
        <v>108385.58</v>
      </c>
      <c r="N410" s="999">
        <f t="shared" si="156"/>
        <v>110432.93</v>
      </c>
      <c r="O410" s="999">
        <f t="shared" si="156"/>
        <v>107969.25</v>
      </c>
      <c r="P410" s="999">
        <f t="shared" si="156"/>
        <v>107440.97</v>
      </c>
      <c r="Q410" s="999">
        <f t="shared" si="156"/>
        <v>104976</v>
      </c>
      <c r="R410" s="999">
        <f t="shared" si="156"/>
        <v>104976</v>
      </c>
      <c r="S410" s="999">
        <f t="shared" si="156"/>
        <v>104976</v>
      </c>
      <c r="T410" s="1001">
        <f t="shared" si="152"/>
        <v>1276335.2899999998</v>
      </c>
    </row>
    <row r="411" spans="2:22" x14ac:dyDescent="0.2">
      <c r="B411" s="561" t="str">
        <f>VLOOKUP($C411,'Retail Rates'!$B$46:$Q$55,13,FALSE)</f>
        <v>Intercompany</v>
      </c>
      <c r="C411" s="633" t="s">
        <v>113</v>
      </c>
      <c r="D411" s="633" t="str">
        <f t="shared" si="150"/>
        <v>997</v>
      </c>
      <c r="E411" s="561" t="str">
        <f>VLOOKUP($C411,'Retail Rates'!$B$46:$Q$55,3,FALSE)</f>
        <v>Paddy's Run</v>
      </c>
      <c r="F411" s="991" t="s">
        <v>418</v>
      </c>
      <c r="G411" s="987" t="s">
        <v>830</v>
      </c>
      <c r="H411" s="1037">
        <v>122.91119999999999</v>
      </c>
      <c r="I411" s="1037">
        <f>1.8081+'SBR Feb12'!N56</f>
        <v>-362.2319</v>
      </c>
      <c r="J411" s="1037">
        <v>0</v>
      </c>
      <c r="K411" s="1001">
        <v>2677.1341499999999</v>
      </c>
      <c r="L411" s="1001">
        <v>605.505</v>
      </c>
      <c r="M411" s="1001">
        <v>478.42849999999999</v>
      </c>
      <c r="N411" s="1001">
        <v>676.23050000000001</v>
      </c>
      <c r="O411" s="1001">
        <v>416.01455999999996</v>
      </c>
      <c r="P411" s="1001">
        <v>988.64376000000004</v>
      </c>
      <c r="Q411" s="1001">
        <v>0</v>
      </c>
      <c r="R411" s="1001">
        <v>2.5972</v>
      </c>
      <c r="S411" s="1001">
        <v>218.6808</v>
      </c>
      <c r="T411" s="1001">
        <f t="shared" si="152"/>
        <v>5823.9137699999992</v>
      </c>
      <c r="V411" s="999"/>
    </row>
    <row r="412" spans="2:22" x14ac:dyDescent="0.2">
      <c r="B412" s="561" t="str">
        <f>VLOOKUP($C412,'Retail Rates'!$B$46:$Q$55,13,FALSE)</f>
        <v>Intercompany</v>
      </c>
      <c r="C412" s="633" t="s">
        <v>113</v>
      </c>
      <c r="D412" s="633" t="str">
        <f t="shared" si="150"/>
        <v>997</v>
      </c>
      <c r="E412" s="561" t="str">
        <f>VLOOKUP($C412,'Retail Rates'!$B$46:$Q$55,3,FALSE)</f>
        <v>Paddy's Run</v>
      </c>
      <c r="F412" s="991" t="s">
        <v>419</v>
      </c>
      <c r="H412" s="624">
        <v>130.98617999999999</v>
      </c>
      <c r="I412" s="624">
        <f>1.92465+'SBR Feb12'!L56</f>
        <v>365.96465000000001</v>
      </c>
      <c r="J412" s="624">
        <v>0</v>
      </c>
      <c r="K412" s="1001">
        <v>2656.8418499999998</v>
      </c>
      <c r="L412" s="1001">
        <v>599.94089999999994</v>
      </c>
      <c r="M412" s="1001">
        <v>474.03212999999994</v>
      </c>
      <c r="N412" s="1001">
        <v>670.01648999999998</v>
      </c>
      <c r="O412" s="1001">
        <v>413.08487999999994</v>
      </c>
      <c r="P412" s="1001">
        <v>981.68147999999997</v>
      </c>
      <c r="Q412" s="1001">
        <v>0</v>
      </c>
      <c r="R412" s="1001">
        <v>2.76783</v>
      </c>
      <c r="S412" s="1001">
        <v>233.04761999999999</v>
      </c>
      <c r="T412" s="1001">
        <f t="shared" si="152"/>
        <v>6528.3640100000002</v>
      </c>
      <c r="V412" s="999"/>
    </row>
    <row r="413" spans="2:22" x14ac:dyDescent="0.2">
      <c r="B413" s="561" t="str">
        <f>VLOOKUP($C413,'Retail Rates'!$B$46:$Q$55,13,FALSE)</f>
        <v>Intercompany</v>
      </c>
      <c r="C413" s="633" t="s">
        <v>113</v>
      </c>
      <c r="D413" s="633" t="str">
        <f t="shared" si="150"/>
        <v>997</v>
      </c>
      <c r="E413" s="561" t="str">
        <f>VLOOKUP($C413,'Retail Rates'!$B$46:$Q$55,3,FALSE)</f>
        <v>Paddy's Run</v>
      </c>
      <c r="F413" s="991" t="s">
        <v>421</v>
      </c>
      <c r="H413" s="1005"/>
      <c r="I413" s="1005"/>
      <c r="J413" s="1005"/>
      <c r="K413" s="1005"/>
      <c r="L413" s="1005"/>
      <c r="M413" s="1005"/>
      <c r="N413" s="1005"/>
      <c r="O413" s="1005"/>
      <c r="P413" s="1005"/>
      <c r="Q413" s="1005"/>
      <c r="R413" s="1005"/>
      <c r="S413" s="1005"/>
      <c r="T413" s="1001">
        <f t="shared" si="152"/>
        <v>0</v>
      </c>
      <c r="V413" s="999"/>
    </row>
    <row r="414" spans="2:22" x14ac:dyDescent="0.2">
      <c r="B414" s="561" t="str">
        <f>VLOOKUP($C414,'Retail Rates'!$B$46:$Q$55,13,FALSE)</f>
        <v>Intercompany</v>
      </c>
      <c r="C414" s="633" t="s">
        <v>113</v>
      </c>
      <c r="D414" s="633" t="str">
        <f t="shared" si="150"/>
        <v>997</v>
      </c>
      <c r="E414" s="561" t="str">
        <f>VLOOKUP($C414,'Retail Rates'!$B$46:$Q$55,3,FALSE)</f>
        <v>Paddy's Run</v>
      </c>
      <c r="F414" s="991" t="s">
        <v>433</v>
      </c>
      <c r="H414" s="999">
        <f>SUM(H410:H413)</f>
        <v>105229.89738000001</v>
      </c>
      <c r="I414" s="999">
        <f t="shared" ref="I414:S414" si="157">SUM(I410:I413)</f>
        <v>105202.09275</v>
      </c>
      <c r="J414" s="999">
        <f t="shared" si="157"/>
        <v>104976</v>
      </c>
      <c r="K414" s="999">
        <f t="shared" si="157"/>
        <v>110309.976</v>
      </c>
      <c r="L414" s="999">
        <f t="shared" si="157"/>
        <v>108257.6459</v>
      </c>
      <c r="M414" s="999">
        <f t="shared" si="157"/>
        <v>109338.04063</v>
      </c>
      <c r="N414" s="999">
        <f t="shared" si="157"/>
        <v>111779.17698999999</v>
      </c>
      <c r="O414" s="999">
        <f t="shared" si="157"/>
        <v>108798.34943999999</v>
      </c>
      <c r="P414" s="999">
        <f t="shared" si="157"/>
        <v>109411.29524000001</v>
      </c>
      <c r="Q414" s="999">
        <f t="shared" si="157"/>
        <v>104976</v>
      </c>
      <c r="R414" s="999">
        <f t="shared" si="157"/>
        <v>104981.36503</v>
      </c>
      <c r="S414" s="999">
        <f t="shared" si="157"/>
        <v>105427.72842</v>
      </c>
      <c r="T414" s="1001">
        <f t="shared" si="152"/>
        <v>1288687.5677799999</v>
      </c>
      <c r="V414" s="999"/>
    </row>
    <row r="415" spans="2:22" x14ac:dyDescent="0.2">
      <c r="B415" s="561" t="str">
        <f>VLOOKUP($C415,'Retail Rates'!$B$46:$Q$55,13,FALSE)</f>
        <v>Intercompany</v>
      </c>
      <c r="C415" s="633" t="s">
        <v>113</v>
      </c>
      <c r="D415" s="633" t="str">
        <f t="shared" si="150"/>
        <v>997</v>
      </c>
      <c r="E415" s="561" t="str">
        <f>VLOOKUP($C415,'Retail Rates'!$B$46:$Q$55,3,FALSE)</f>
        <v>Paddy's Run</v>
      </c>
      <c r="F415" s="991"/>
      <c r="V415" s="999"/>
    </row>
    <row r="416" spans="2:22" x14ac:dyDescent="0.2">
      <c r="B416" s="561" t="str">
        <f>VLOOKUP($C416,'Retail Rates'!$B$46:$Q$55,13,FALSE)</f>
        <v>Intercompany</v>
      </c>
      <c r="C416" s="633" t="s">
        <v>113</v>
      </c>
      <c r="D416" s="633" t="str">
        <f t="shared" si="150"/>
        <v>997</v>
      </c>
      <c r="E416" s="561" t="str">
        <f>VLOOKUP($C416,'Retail Rates'!$B$46:$Q$55,3,FALSE)</f>
        <v>Paddy's Run</v>
      </c>
      <c r="F416" s="991" t="s">
        <v>841</v>
      </c>
      <c r="H416" s="999">
        <f>SUMIFS('FT_Cashouts_IntraCo-PR'!$F$4:$F$118,'FT_Cashouts_IntraCo-PR'!$A$4:$A$118,'Apr11-Mar12 FT-TS-Cashout-LG&amp;E'!$C416,'FT_Cashouts_IntraCo-PR'!$D$4:$D$118,'Apr11-Mar12 FT-TS-Cashout-LG&amp;E'!H$394)</f>
        <v>105229.9</v>
      </c>
      <c r="I416" s="999">
        <f>SUMIFS('FT_Cashouts_IntraCo-PR'!$F$4:$F$118,'FT_Cashouts_IntraCo-PR'!$A$4:$A$118,'Apr11-Mar12 FT-TS-Cashout-LG&amp;E'!$C416,'FT_Cashouts_IntraCo-PR'!$D$4:$D$118,'Apr11-Mar12 FT-TS-Cashout-LG&amp;E'!I$394)</f>
        <v>105202.09</v>
      </c>
      <c r="J416" s="999">
        <f>SUMIFS('FT_Cashouts_IntraCo-PR'!$F$4:$F$118,'FT_Cashouts_IntraCo-PR'!$A$4:$A$118,'Apr11-Mar12 FT-TS-Cashout-LG&amp;E'!$C416,'FT_Cashouts_IntraCo-PR'!$D$4:$D$118,'Apr11-Mar12 FT-TS-Cashout-LG&amp;E'!J$394)</f>
        <v>0</v>
      </c>
      <c r="K416" s="999">
        <f>SUMIFS('FT_Cashouts_IntraCo-PR'!$F$4:$F$118,'FT_Cashouts_IntraCo-PR'!$A$4:$A$118,'Apr11-Mar12 FT-TS-Cashout-LG&amp;E'!$C416,'FT_Cashouts_IntraCo-PR'!$D$4:$D$118,'Apr11-Mar12 FT-TS-Cashout-LG&amp;E'!K$394)</f>
        <v>0</v>
      </c>
      <c r="L416" s="999">
        <f>SUMIFS('FT_Cashouts_IntraCo-PR'!$F$4:$F$118,'FT_Cashouts_IntraCo-PR'!$A$4:$A$118,'Apr11-Mar12 FT-TS-Cashout-LG&amp;E'!$C416,'FT_Cashouts_IntraCo-PR'!$D$4:$D$118,'Apr11-Mar12 FT-TS-Cashout-LG&amp;E'!L$394)</f>
        <v>218567.61000000002</v>
      </c>
      <c r="M416" s="999">
        <f>SUMIFS('FT_Cashouts_IntraCo-PR'!$F$4:$F$118,'FT_Cashouts_IntraCo-PR'!$A$4:$A$118,'Apr11-Mar12 FT-TS-Cashout-LG&amp;E'!$C416,'FT_Cashouts_IntraCo-PR'!$D$4:$D$118,'Apr11-Mar12 FT-TS-Cashout-LG&amp;E'!M$394)</f>
        <v>109338.04000000001</v>
      </c>
      <c r="N416" s="999">
        <f>SUMIFS('FT_Cashouts_IntraCo-PR'!$F$4:$F$118,'FT_Cashouts_IntraCo-PR'!$A$4:$A$118,'Apr11-Mar12 FT-TS-Cashout-LG&amp;E'!$C416,'FT_Cashouts_IntraCo-PR'!$D$4:$D$118,'Apr11-Mar12 FT-TS-Cashout-LG&amp;E'!N$394)</f>
        <v>111779.18</v>
      </c>
      <c r="O416" s="999">
        <f>SUMIFS('FT_Cashouts_IntraCo-PR'!$F$4:$F$118,'FT_Cashouts_IntraCo-PR'!$A$4:$A$118,'Apr11-Mar12 FT-TS-Cashout-LG&amp;E'!$C416,'FT_Cashouts_IntraCo-PR'!$D$4:$D$118,'Apr11-Mar12 FT-TS-Cashout-LG&amp;E'!O$394)</f>
        <v>108798.35</v>
      </c>
      <c r="P416" s="999">
        <f>SUMIFS('FT_Cashouts_IntraCo-PR'!$F$4:$F$118,'FT_Cashouts_IntraCo-PR'!$A$4:$A$118,'Apr11-Mar12 FT-TS-Cashout-LG&amp;E'!$C416,'FT_Cashouts_IntraCo-PR'!$D$4:$D$118,'Apr11-Mar12 FT-TS-Cashout-LG&amp;E'!P$394)</f>
        <v>109411.3</v>
      </c>
      <c r="Q416" s="999">
        <f>SUMIFS('FT_Cashouts_IntraCo-PR'!$F$4:$F$118,'FT_Cashouts_IntraCo-PR'!$A$4:$A$118,'Apr11-Mar12 FT-TS-Cashout-LG&amp;E'!$C416,'FT_Cashouts_IntraCo-PR'!$D$4:$D$118,'Apr11-Mar12 FT-TS-Cashout-LG&amp;E'!Q$394)</f>
        <v>104976</v>
      </c>
      <c r="R416" s="999">
        <f>SUMIFS('FT_Cashouts_IntraCo-PR'!$F$4:$F$118,'FT_Cashouts_IntraCo-PR'!$A$4:$A$118,'Apr11-Mar12 FT-TS-Cashout-LG&amp;E'!$C416,'FT_Cashouts_IntraCo-PR'!$D$4:$D$118,'Apr11-Mar12 FT-TS-Cashout-LG&amp;E'!R$394)</f>
        <v>104981.37</v>
      </c>
      <c r="S416" s="999">
        <f>SUMIFS('FT_Cashouts_IntraCo-PR'!$F$4:$F$118,'FT_Cashouts_IntraCo-PR'!$A$4:$A$118,'Apr11-Mar12 FT-TS-Cashout-LG&amp;E'!$C416,'FT_Cashouts_IntraCo-PR'!$D$4:$D$118,'Apr11-Mar12 FT-TS-Cashout-LG&amp;E'!S$394)</f>
        <v>105427.73</v>
      </c>
      <c r="T416" s="1001">
        <f>SUM(H416:S416)</f>
        <v>1183711.57</v>
      </c>
      <c r="V416" s="999"/>
    </row>
    <row r="417" spans="2:22" x14ac:dyDescent="0.2">
      <c r="B417" s="561" t="str">
        <f>VLOOKUP($C417,'Retail Rates'!$B$46:$Q$55,13,FALSE)</f>
        <v>Intercompany</v>
      </c>
      <c r="C417" s="633" t="s">
        <v>113</v>
      </c>
      <c r="D417" s="633" t="str">
        <f t="shared" si="150"/>
        <v>997</v>
      </c>
      <c r="E417" s="561" t="str">
        <f>VLOOKUP($C417,'Retail Rates'!$B$46:$Q$55,3,FALSE)</f>
        <v>Paddy's Run</v>
      </c>
    </row>
    <row r="418" spans="2:22" x14ac:dyDescent="0.2">
      <c r="B418" s="561" t="str">
        <f>VLOOKUP($C418,'Retail Rates'!$B$46:$Q$55,13,FALSE)</f>
        <v>Intercompany</v>
      </c>
      <c r="C418" s="633" t="s">
        <v>113</v>
      </c>
      <c r="D418" s="633" t="str">
        <f t="shared" si="150"/>
        <v>997</v>
      </c>
      <c r="E418" s="561" t="str">
        <f>VLOOKUP($C418,'Retail Rates'!$B$46:$Q$55,3,FALSE)</f>
        <v>Paddy's Run</v>
      </c>
      <c r="F418" s="991" t="s">
        <v>386</v>
      </c>
      <c r="H418" s="999">
        <f>+H414-H416</f>
        <v>-2.6199999847449362E-3</v>
      </c>
      <c r="I418" s="999">
        <f t="shared" ref="I418:S418" si="158">+I414-I416</f>
        <v>2.749999999650754E-3</v>
      </c>
      <c r="J418" s="999">
        <f t="shared" si="158"/>
        <v>104976</v>
      </c>
      <c r="K418" s="1038">
        <f t="shared" si="158"/>
        <v>110309.976</v>
      </c>
      <c r="L418" s="1039">
        <f t="shared" si="158"/>
        <v>-110309.96410000001</v>
      </c>
      <c r="M418" s="999">
        <f t="shared" si="158"/>
        <v>6.2999999499879777E-4</v>
      </c>
      <c r="N418" s="999">
        <f t="shared" si="158"/>
        <v>-3.0100000003585592E-3</v>
      </c>
      <c r="O418" s="999">
        <f t="shared" si="158"/>
        <v>-5.6000001495704055E-4</v>
      </c>
      <c r="P418" s="999">
        <f t="shared" si="158"/>
        <v>-4.7599999961676076E-3</v>
      </c>
      <c r="Q418" s="999">
        <f t="shared" si="158"/>
        <v>0</v>
      </c>
      <c r="R418" s="999">
        <f t="shared" si="158"/>
        <v>-4.9699999945005402E-3</v>
      </c>
      <c r="S418" s="999">
        <f t="shared" si="158"/>
        <v>-1.5799999964656308E-3</v>
      </c>
      <c r="T418" s="1001">
        <f>SUM(H418:S418)</f>
        <v>104975.99778000001</v>
      </c>
      <c r="V418" s="999"/>
    </row>
    <row r="419" spans="2:22" x14ac:dyDescent="0.2">
      <c r="C419" s="633"/>
      <c r="D419" s="633"/>
      <c r="F419" s="991"/>
      <c r="H419" s="999"/>
      <c r="I419" s="999"/>
      <c r="J419" s="999"/>
      <c r="K419" s="999"/>
      <c r="L419" s="999"/>
      <c r="M419" s="999"/>
      <c r="N419" s="999"/>
      <c r="O419" s="999"/>
      <c r="P419" s="999"/>
      <c r="Q419" s="999"/>
      <c r="R419" s="999"/>
      <c r="S419" s="999"/>
    </row>
    <row r="420" spans="2:22" ht="15" x14ac:dyDescent="0.25">
      <c r="C420" s="633"/>
      <c r="D420" s="633"/>
      <c r="F420" s="991"/>
      <c r="H420" s="999"/>
      <c r="I420" s="999"/>
      <c r="J420" s="999"/>
      <c r="K420" s="430"/>
      <c r="L420" s="430"/>
      <c r="M420" s="430"/>
      <c r="N420" s="430"/>
      <c r="O420" s="430"/>
      <c r="P420" s="430"/>
      <c r="Q420" s="430"/>
      <c r="R420" s="430"/>
      <c r="S420" s="430"/>
    </row>
    <row r="421" spans="2:22" x14ac:dyDescent="0.2">
      <c r="B421" s="984"/>
      <c r="C421" s="633"/>
      <c r="D421" s="633"/>
      <c r="F421" s="991"/>
      <c r="H421" s="999"/>
      <c r="I421" s="999"/>
      <c r="J421" s="999"/>
      <c r="K421" s="999"/>
      <c r="L421" s="999"/>
      <c r="M421" s="999"/>
      <c r="N421" s="999"/>
      <c r="O421" s="999"/>
      <c r="P421" s="999"/>
      <c r="Q421" s="999"/>
      <c r="R421" s="999"/>
      <c r="S421" s="999"/>
    </row>
    <row r="422" spans="2:22" ht="25.5" x14ac:dyDescent="0.2">
      <c r="B422" s="984" t="s">
        <v>873</v>
      </c>
      <c r="C422" s="633"/>
      <c r="D422" s="633"/>
      <c r="F422" s="991"/>
      <c r="G422" s="987" t="s">
        <v>811</v>
      </c>
      <c r="H422" s="1036" t="s">
        <v>825</v>
      </c>
      <c r="I422" s="1036" t="s">
        <v>825</v>
      </c>
      <c r="J422" s="1036" t="s">
        <v>825</v>
      </c>
      <c r="K422" s="1036" t="s">
        <v>825</v>
      </c>
      <c r="L422" s="1036" t="s">
        <v>825</v>
      </c>
      <c r="M422" s="1036" t="s">
        <v>825</v>
      </c>
      <c r="N422" s="1036" t="s">
        <v>825</v>
      </c>
      <c r="O422" s="1036" t="s">
        <v>825</v>
      </c>
      <c r="P422" s="1036" t="s">
        <v>825</v>
      </c>
      <c r="Q422" s="1036" t="s">
        <v>825</v>
      </c>
      <c r="R422" s="1036" t="s">
        <v>825</v>
      </c>
      <c r="S422" s="1036" t="s">
        <v>825</v>
      </c>
    </row>
    <row r="423" spans="2:22" x14ac:dyDescent="0.2">
      <c r="C423" s="633"/>
      <c r="D423" s="633"/>
      <c r="F423" s="991"/>
      <c r="H423" s="999"/>
      <c r="I423" s="999"/>
      <c r="J423" s="999"/>
      <c r="K423" s="999"/>
      <c r="L423" s="999"/>
      <c r="M423" s="999"/>
      <c r="N423" s="999"/>
      <c r="O423" s="999"/>
      <c r="P423" s="999"/>
      <c r="Q423" s="999"/>
      <c r="R423" s="999"/>
      <c r="S423" s="999"/>
    </row>
    <row r="424" spans="2:22" x14ac:dyDescent="0.2">
      <c r="F424" s="324" t="s">
        <v>883</v>
      </c>
    </row>
    <row r="425" spans="2:22" x14ac:dyDescent="0.2">
      <c r="B425" s="561" t="str">
        <f>VLOOKUP($C425,'Retail Rates'!$B$46:$Q$55,13,FALSE)</f>
        <v>Intercompany</v>
      </c>
      <c r="C425" s="633" t="s">
        <v>113</v>
      </c>
      <c r="D425" s="633" t="str">
        <f t="shared" ref="D425:D437" si="159">MID(C425,6,3)</f>
        <v>997</v>
      </c>
      <c r="E425" s="561" t="str">
        <f>VLOOKUP($C425,'Retail Rates'!$B$46:$Q$55,3,FALSE)</f>
        <v>Paddy's Run</v>
      </c>
      <c r="F425" s="991" t="s">
        <v>408</v>
      </c>
      <c r="G425" s="987" t="s">
        <v>812</v>
      </c>
      <c r="H425" s="992">
        <f>SUMIFS('Data FT-TS-Cashout-Paddys'!$G$5:$G$756,'Data FT-TS-Cashout-Paddys'!$F$5:$F$756,'Apr11-Mar12 FT-TS-Cashout-LG&amp;E'!$G425,'Data FT-TS-Cashout-Paddys'!$A$5:$A$756,'Apr11-Mar12 FT-TS-Cashout-LG&amp;E'!H$394,'Data FT-TS-Cashout-Paddys'!$C$5:$C$756,'Apr11-Mar12 FT-TS-Cashout-LG&amp;E'!$C425,'Data FT-TS-Cashout-Paddys'!$E$5:$E$756,'Apr11-Mar12 FT-TS-Cashout-LG&amp;E'!H$422)/10</f>
        <v>714.6</v>
      </c>
      <c r="I425" s="992">
        <f>SUMIFS('Data FT-TS-Cashout-Paddys'!$G$5:$G$756,'Data FT-TS-Cashout-Paddys'!$F$5:$F$756,'Apr11-Mar12 FT-TS-Cashout-LG&amp;E'!$G425,'Data FT-TS-Cashout-Paddys'!$A$5:$A$756,'Apr11-Mar12 FT-TS-Cashout-LG&amp;E'!I$394,'Data FT-TS-Cashout-Paddys'!$C$5:$C$756,'Apr11-Mar12 FT-TS-Cashout-LG&amp;E'!$C425,'Data FT-TS-Cashout-Paddys'!$E$5:$E$756,'Apr11-Mar12 FT-TS-Cashout-LG&amp;E'!I$422)/10</f>
        <v>83.8</v>
      </c>
      <c r="J425" s="992">
        <f>SUMIFS('Data FT-TS-Cashout-Paddys'!$G$5:$G$756,'Data FT-TS-Cashout-Paddys'!$F$5:$F$756,'Apr11-Mar12 FT-TS-Cashout-LG&amp;E'!$G425,'Data FT-TS-Cashout-Paddys'!$A$5:$A$756,'Apr11-Mar12 FT-TS-Cashout-LG&amp;E'!J$394,'Data FT-TS-Cashout-Paddys'!$C$5:$C$756,'Apr11-Mar12 FT-TS-Cashout-LG&amp;E'!$C425,'Data FT-TS-Cashout-Paddys'!$E$5:$E$756,'Apr11-Mar12 FT-TS-Cashout-LG&amp;E'!J$422)/10</f>
        <v>0</v>
      </c>
      <c r="K425" s="992">
        <f>SUMIFS('Data FT-TS-Cashout-Paddys'!$G$5:$G$756,'Data FT-TS-Cashout-Paddys'!$F$5:$F$756,'Apr11-Mar12 FT-TS-Cashout-LG&amp;E'!$G425,'Data FT-TS-Cashout-Paddys'!$A$5:$A$756,'Apr11-Mar12 FT-TS-Cashout-LG&amp;E'!K$394,'Data FT-TS-Cashout-Paddys'!$C$5:$C$756,'Apr11-Mar12 FT-TS-Cashout-LG&amp;E'!$C425,'Data FT-TS-Cashout-Paddys'!$E$5:$E$756,'Apr11-Mar12 FT-TS-Cashout-LG&amp;E'!K$422)/10</f>
        <v>0</v>
      </c>
      <c r="L425" s="992">
        <f>SUMIFS('Data FT-TS-Cashout-Paddys'!$G$5:$G$756,'Data FT-TS-Cashout-Paddys'!$F$5:$F$756,'Apr11-Mar12 FT-TS-Cashout-LG&amp;E'!$G425,'Data FT-TS-Cashout-Paddys'!$A$5:$A$756,'Apr11-Mar12 FT-TS-Cashout-LG&amp;E'!L$394,'Data FT-TS-Cashout-Paddys'!$C$5:$C$756,'Apr11-Mar12 FT-TS-Cashout-LG&amp;E'!$C425,'Data FT-TS-Cashout-Paddys'!$E$5:$E$756,'Apr11-Mar12 FT-TS-Cashout-LG&amp;E'!L$422)/10</f>
        <v>0</v>
      </c>
      <c r="M425" s="992">
        <f>SUMIFS('Data FT-TS-Cashout-Paddys'!$G$5:$G$756,'Data FT-TS-Cashout-Paddys'!$F$5:$F$756,'Apr11-Mar12 FT-TS-Cashout-LG&amp;E'!$G425,'Data FT-TS-Cashout-Paddys'!$A$5:$A$756,'Apr11-Mar12 FT-TS-Cashout-LG&amp;E'!M$394,'Data FT-TS-Cashout-Paddys'!$C$5:$C$756,'Apr11-Mar12 FT-TS-Cashout-LG&amp;E'!$C425,'Data FT-TS-Cashout-Paddys'!$E$5:$E$756,'Apr11-Mar12 FT-TS-Cashout-LG&amp;E'!M$422)/10</f>
        <v>0</v>
      </c>
      <c r="N425" s="992">
        <f>SUMIFS('Data FT-TS-Cashout-Paddys'!$G$5:$G$756,'Data FT-TS-Cashout-Paddys'!$F$5:$F$756,'Apr11-Mar12 FT-TS-Cashout-LG&amp;E'!$G425,'Data FT-TS-Cashout-Paddys'!$A$5:$A$756,'Apr11-Mar12 FT-TS-Cashout-LG&amp;E'!N$394,'Data FT-TS-Cashout-Paddys'!$C$5:$C$756,'Apr11-Mar12 FT-TS-Cashout-LG&amp;E'!$C425,'Data FT-TS-Cashout-Paddys'!$E$5:$E$756,'Apr11-Mar12 FT-TS-Cashout-LG&amp;E'!N$422)/10</f>
        <v>5129.7</v>
      </c>
      <c r="O425" s="992">
        <f>SUMIFS('Data FT-TS-Cashout-Paddys'!$G$5:$G$756,'Data FT-TS-Cashout-Paddys'!$F$5:$F$756,'Apr11-Mar12 FT-TS-Cashout-LG&amp;E'!$G425,'Data FT-TS-Cashout-Paddys'!$A$5:$A$756,'Apr11-Mar12 FT-TS-Cashout-LG&amp;E'!O$394,'Data FT-TS-Cashout-Paddys'!$C$5:$C$756,'Apr11-Mar12 FT-TS-Cashout-LG&amp;E'!$C425,'Data FT-TS-Cashout-Paddys'!$E$5:$E$756,'Apr11-Mar12 FT-TS-Cashout-LG&amp;E'!O$422)/10</f>
        <v>4578.8</v>
      </c>
      <c r="P425" s="992">
        <f>SUMIFS('Data FT-TS-Cashout-Paddys'!$G$5:$G$756,'Data FT-TS-Cashout-Paddys'!$F$5:$F$756,'Apr11-Mar12 FT-TS-Cashout-LG&amp;E'!$G425,'Data FT-TS-Cashout-Paddys'!$A$5:$A$756,'Apr11-Mar12 FT-TS-Cashout-LG&amp;E'!P$394,'Data FT-TS-Cashout-Paddys'!$C$5:$C$756,'Apr11-Mar12 FT-TS-Cashout-LG&amp;E'!$C425,'Data FT-TS-Cashout-Paddys'!$E$5:$E$756,'Apr11-Mar12 FT-TS-Cashout-LG&amp;E'!P$422)/10</f>
        <v>0</v>
      </c>
      <c r="Q425" s="992">
        <f>SUMIFS('Data FT-TS-Cashout-Paddys'!$G$5:$G$756,'Data FT-TS-Cashout-Paddys'!$F$5:$F$756,'Apr11-Mar12 FT-TS-Cashout-LG&amp;E'!$G425,'Data FT-TS-Cashout-Paddys'!$A$5:$A$756,'Apr11-Mar12 FT-TS-Cashout-LG&amp;E'!Q$394,'Data FT-TS-Cashout-Paddys'!$C$5:$C$756,'Apr11-Mar12 FT-TS-Cashout-LG&amp;E'!$C425,'Data FT-TS-Cashout-Paddys'!$E$5:$E$756,'Apr11-Mar12 FT-TS-Cashout-LG&amp;E'!Q$422)/10</f>
        <v>0</v>
      </c>
      <c r="R425" s="992">
        <f>SUMIFS('Data FT-TS-Cashout-Paddys'!$G$5:$G$756,'Data FT-TS-Cashout-Paddys'!$F$5:$F$756,'Apr11-Mar12 FT-TS-Cashout-LG&amp;E'!$G425,'Data FT-TS-Cashout-Paddys'!$A$5:$A$756,'Apr11-Mar12 FT-TS-Cashout-LG&amp;E'!R$394,'Data FT-TS-Cashout-Paddys'!$C$5:$C$756,'Apr11-Mar12 FT-TS-Cashout-LG&amp;E'!$C425,'Data FT-TS-Cashout-Paddys'!$E$5:$E$756,'Apr11-Mar12 FT-TS-Cashout-LG&amp;E'!R$422)/10</f>
        <v>15.1</v>
      </c>
      <c r="S425" s="992">
        <f>SUMIFS('Data FT-TS-Cashout-Paddys'!$G$5:$G$756,'Data FT-TS-Cashout-Paddys'!$F$5:$F$756,'Apr11-Mar12 FT-TS-Cashout-LG&amp;E'!$G425,'Data FT-TS-Cashout-Paddys'!$A$5:$A$756,'Apr11-Mar12 FT-TS-Cashout-LG&amp;E'!S$394,'Data FT-TS-Cashout-Paddys'!$C$5:$C$756,'Apr11-Mar12 FT-TS-Cashout-LG&amp;E'!$C425,'Data FT-TS-Cashout-Paddys'!$E$5:$E$756,'Apr11-Mar12 FT-TS-Cashout-LG&amp;E'!S$422)/10</f>
        <v>1271.4000000000001</v>
      </c>
      <c r="T425" s="1046">
        <f>SUM(H425:S425)</f>
        <v>11793.4</v>
      </c>
    </row>
    <row r="426" spans="2:22" x14ac:dyDescent="0.2">
      <c r="B426" s="561" t="str">
        <f>VLOOKUP($C426,'Retail Rates'!$B$46:$Q$55,13,FALSE)</f>
        <v>Intercompany</v>
      </c>
      <c r="C426" s="633" t="s">
        <v>113</v>
      </c>
      <c r="D426" s="633" t="str">
        <f t="shared" si="159"/>
        <v>997</v>
      </c>
      <c r="E426" s="561" t="str">
        <f>VLOOKUP($C426,'Retail Rates'!$B$46:$Q$55,3,FALSE)</f>
        <v>Paddy's Run</v>
      </c>
      <c r="F426" s="991" t="s">
        <v>262</v>
      </c>
      <c r="G426" s="561" t="s">
        <v>849</v>
      </c>
      <c r="H426" s="994">
        <f>VLOOKUP($C426,'Retail Rates'!$B$45:$N$55,9,FALSE)</f>
        <v>781</v>
      </c>
      <c r="I426" s="994">
        <f>VLOOKUP($C426,'Retail Rates'!$B$45:$N$55,9,FALSE)</f>
        <v>781</v>
      </c>
      <c r="J426" s="994">
        <f>VLOOKUP($C426,'Retail Rates'!$B$45:$N$55,9,FALSE)</f>
        <v>781</v>
      </c>
      <c r="K426" s="994">
        <f>VLOOKUP($C426,'Retail Rates'!$B$45:$N$55,9,FALSE)</f>
        <v>781</v>
      </c>
      <c r="L426" s="994">
        <f>VLOOKUP($C426,'Retail Rates'!$B$45:$N$55,9,FALSE)</f>
        <v>781</v>
      </c>
      <c r="M426" s="994">
        <f>VLOOKUP($C426,'Retail Rates'!$B$45:$N$55,9,FALSE)</f>
        <v>781</v>
      </c>
      <c r="N426" s="994">
        <f>VLOOKUP($C426,'Retail Rates'!$B$45:$N$55,9,FALSE)</f>
        <v>781</v>
      </c>
      <c r="O426" s="994">
        <f>VLOOKUP($C426,'Retail Rates'!$B$45:$N$55,9,FALSE)</f>
        <v>781</v>
      </c>
      <c r="P426" s="994">
        <f>VLOOKUP($C426,'Retail Rates'!$B$45:$N$55,9,FALSE)</f>
        <v>781</v>
      </c>
      <c r="Q426" s="994">
        <f>VLOOKUP($C426,'Retail Rates'!$B$45:$N$55,9,FALSE)</f>
        <v>781</v>
      </c>
      <c r="R426" s="994">
        <f>VLOOKUP($C426,'Retail Rates'!$B$45:$N$55,9,FALSE)</f>
        <v>781</v>
      </c>
      <c r="S426" s="994">
        <f>VLOOKUP($C426,'Retail Rates'!$B$45:$N$55,9,FALSE)</f>
        <v>781</v>
      </c>
      <c r="T426" s="1001">
        <f>SUM(H426:S426)</f>
        <v>9372</v>
      </c>
    </row>
    <row r="427" spans="2:22" x14ac:dyDescent="0.2">
      <c r="B427" s="561" t="str">
        <f>VLOOKUP($C427,'Retail Rates'!$B$46:$Q$55,13,FALSE)</f>
        <v>Intercompany</v>
      </c>
      <c r="C427" s="633" t="s">
        <v>113</v>
      </c>
      <c r="D427" s="633" t="str">
        <f t="shared" si="159"/>
        <v>997</v>
      </c>
      <c r="E427" s="561" t="str">
        <f>VLOOKUP($C427,'Retail Rates'!$B$46:$Q$55,3,FALSE)</f>
        <v>Paddy's Run</v>
      </c>
      <c r="F427" s="991" t="s">
        <v>6</v>
      </c>
      <c r="H427" s="995">
        <f>VLOOKUP($C427,'Retail Rates'!$B$45:$N$55,7,FALSE)</f>
        <v>4.87E-2</v>
      </c>
      <c r="I427" s="995">
        <f>VLOOKUP($C427,'Retail Rates'!$B$45:$N$55,7,FALSE)</f>
        <v>4.87E-2</v>
      </c>
      <c r="J427" s="995">
        <f>VLOOKUP($C427,'Retail Rates'!$B$45:$N$55,7,FALSE)</f>
        <v>4.87E-2</v>
      </c>
      <c r="K427" s="995">
        <f>VLOOKUP($C427,'Retail Rates'!$B$45:$N$55,7,FALSE)</f>
        <v>4.87E-2</v>
      </c>
      <c r="L427" s="995">
        <f>VLOOKUP($C427,'Retail Rates'!$B$45:$N$55,7,FALSE)</f>
        <v>4.87E-2</v>
      </c>
      <c r="M427" s="995">
        <f>VLOOKUP($C427,'Retail Rates'!$B$45:$N$55,7,FALSE)</f>
        <v>4.87E-2</v>
      </c>
      <c r="N427" s="995">
        <f>VLOOKUP($C427,'Retail Rates'!$B$45:$N$55,7,FALSE)</f>
        <v>4.87E-2</v>
      </c>
      <c r="O427" s="995">
        <f>VLOOKUP($C427,'Retail Rates'!$B$45:$N$55,7,FALSE)</f>
        <v>4.87E-2</v>
      </c>
      <c r="P427" s="995">
        <f>VLOOKUP($C427,'Retail Rates'!$B$45:$N$55,7,FALSE)</f>
        <v>4.87E-2</v>
      </c>
      <c r="Q427" s="995">
        <f>VLOOKUP($C427,'Retail Rates'!$B$45:$N$55,7,FALSE)</f>
        <v>4.87E-2</v>
      </c>
      <c r="R427" s="995">
        <f>VLOOKUP($C427,'Retail Rates'!$B$45:$N$55,7,FALSE)</f>
        <v>4.87E-2</v>
      </c>
      <c r="S427" s="995">
        <f>VLOOKUP($C427,'Retail Rates'!$B$45:$N$55,7,FALSE)</f>
        <v>4.87E-2</v>
      </c>
    </row>
    <row r="428" spans="2:22" x14ac:dyDescent="0.2">
      <c r="B428" s="561" t="str">
        <f>VLOOKUP($C428,'Retail Rates'!$B$46:$Q$55,13,FALSE)</f>
        <v>Intercompany</v>
      </c>
      <c r="C428" s="633" t="s">
        <v>113</v>
      </c>
      <c r="D428" s="633" t="str">
        <f t="shared" si="159"/>
        <v>997</v>
      </c>
      <c r="E428" s="561" t="str">
        <f>VLOOKUP($C428,'Retail Rates'!$B$46:$Q$55,3,FALSE)</f>
        <v>Paddy's Run</v>
      </c>
      <c r="F428" s="991"/>
    </row>
    <row r="429" spans="2:22" x14ac:dyDescent="0.2">
      <c r="B429" s="561" t="str">
        <f>VLOOKUP($C429,'Retail Rates'!$B$46:$Q$55,13,FALSE)</f>
        <v>Intercompany</v>
      </c>
      <c r="C429" s="633" t="s">
        <v>113</v>
      </c>
      <c r="D429" s="633" t="str">
        <f t="shared" si="159"/>
        <v>997</v>
      </c>
      <c r="E429" s="561" t="str">
        <f>VLOOKUP($C429,'Retail Rates'!$B$46:$Q$55,3,FALSE)</f>
        <v>Paddy's Run</v>
      </c>
      <c r="F429" s="998" t="s">
        <v>412</v>
      </c>
    </row>
    <row r="430" spans="2:22" x14ac:dyDescent="0.2">
      <c r="B430" s="561" t="str">
        <f>VLOOKUP($C430,'Retail Rates'!$B$46:$Q$55,13,FALSE)</f>
        <v>Intercompany</v>
      </c>
      <c r="C430" s="633" t="s">
        <v>113</v>
      </c>
      <c r="D430" s="633" t="str">
        <f t="shared" si="159"/>
        <v>997</v>
      </c>
      <c r="E430" s="561" t="str">
        <f>VLOOKUP($C430,'Retail Rates'!$B$46:$Q$55,3,FALSE)</f>
        <v>Paddy's Run</v>
      </c>
      <c r="F430" s="991" t="s">
        <v>262</v>
      </c>
      <c r="G430" s="987" t="s">
        <v>833</v>
      </c>
      <c r="H430" s="1001">
        <f>SUMIFS('Data FT-TS-Cashout-Paddys'!$I$5:$I$756,'Data FT-TS-Cashout-Paddys'!$F$5:$F$756,'Apr11-Mar12 FT-TS-Cashout-LG&amp;E'!$G430,'Data FT-TS-Cashout-Paddys'!$A$5:$A$756,'Apr11-Mar12 FT-TS-Cashout-LG&amp;E'!H$394,'Data FT-TS-Cashout-Paddys'!$C$5:$C$756,'Apr11-Mar12 FT-TS-Cashout-LG&amp;E'!$C430)</f>
        <v>781</v>
      </c>
      <c r="I430" s="1001">
        <f>SUMIFS('Data FT-TS-Cashout-Paddys'!$I$5:$I$756,'Data FT-TS-Cashout-Paddys'!$F$5:$F$756,'Apr11-Mar12 FT-TS-Cashout-LG&amp;E'!$G430,'Data FT-TS-Cashout-Paddys'!$A$5:$A$756,'Apr11-Mar12 FT-TS-Cashout-LG&amp;E'!I$394,'Data FT-TS-Cashout-Paddys'!$C$5:$C$756,'Apr11-Mar12 FT-TS-Cashout-LG&amp;E'!$C430)</f>
        <v>781</v>
      </c>
      <c r="J430" s="1001">
        <f>SUMIFS('Data FT-TS-Cashout-Paddys'!$I$5:$I$756,'Data FT-TS-Cashout-Paddys'!$F$5:$F$756,'Apr11-Mar12 FT-TS-Cashout-LG&amp;E'!$G430,'Data FT-TS-Cashout-Paddys'!$A$5:$A$756,'Apr11-Mar12 FT-TS-Cashout-LG&amp;E'!J$394,'Data FT-TS-Cashout-Paddys'!$C$5:$C$756,'Apr11-Mar12 FT-TS-Cashout-LG&amp;E'!$C430)</f>
        <v>781</v>
      </c>
      <c r="K430" s="1001">
        <f>SUMIFS('Data FT-TS-Cashout-Paddys'!$I$5:$I$756,'Data FT-TS-Cashout-Paddys'!$F$5:$F$756,'Apr11-Mar12 FT-TS-Cashout-LG&amp;E'!$G430,'Data FT-TS-Cashout-Paddys'!$A$5:$A$756,'Apr11-Mar12 FT-TS-Cashout-LG&amp;E'!K$394,'Data FT-TS-Cashout-Paddys'!$C$5:$C$756,'Apr11-Mar12 FT-TS-Cashout-LG&amp;E'!$C430)</f>
        <v>0</v>
      </c>
      <c r="L430" s="1001">
        <f>SUMIFS('Data FT-TS-Cashout-Paddys'!$I$5:$I$756,'Data FT-TS-Cashout-Paddys'!$F$5:$F$756,'Apr11-Mar12 FT-TS-Cashout-LG&amp;E'!$G430,'Data FT-TS-Cashout-Paddys'!$A$5:$A$756,'Apr11-Mar12 FT-TS-Cashout-LG&amp;E'!L$394,'Data FT-TS-Cashout-Paddys'!$C$5:$C$756,'Apr11-Mar12 FT-TS-Cashout-LG&amp;E'!$C430)</f>
        <v>1562</v>
      </c>
      <c r="M430" s="1001">
        <f>SUMIFS('Data FT-TS-Cashout-Paddys'!$I$5:$I$756,'Data FT-TS-Cashout-Paddys'!$F$5:$F$756,'Apr11-Mar12 FT-TS-Cashout-LG&amp;E'!$G430,'Data FT-TS-Cashout-Paddys'!$A$5:$A$756,'Apr11-Mar12 FT-TS-Cashout-LG&amp;E'!M$394,'Data FT-TS-Cashout-Paddys'!$C$5:$C$756,'Apr11-Mar12 FT-TS-Cashout-LG&amp;E'!$C430)</f>
        <v>781</v>
      </c>
      <c r="N430" s="1001">
        <f>SUMIFS('Data FT-TS-Cashout-Paddys'!$I$5:$I$756,'Data FT-TS-Cashout-Paddys'!$F$5:$F$756,'Apr11-Mar12 FT-TS-Cashout-LG&amp;E'!$G430,'Data FT-TS-Cashout-Paddys'!$A$5:$A$756,'Apr11-Mar12 FT-TS-Cashout-LG&amp;E'!N$394,'Data FT-TS-Cashout-Paddys'!$C$5:$C$756,'Apr11-Mar12 FT-TS-Cashout-LG&amp;E'!$C430)</f>
        <v>781</v>
      </c>
      <c r="O430" s="1001">
        <f>SUMIFS('Data FT-TS-Cashout-Paddys'!$I$5:$I$756,'Data FT-TS-Cashout-Paddys'!$F$5:$F$756,'Apr11-Mar12 FT-TS-Cashout-LG&amp;E'!$G430,'Data FT-TS-Cashout-Paddys'!$A$5:$A$756,'Apr11-Mar12 FT-TS-Cashout-LG&amp;E'!O$394,'Data FT-TS-Cashout-Paddys'!$C$5:$C$756,'Apr11-Mar12 FT-TS-Cashout-LG&amp;E'!$C430)</f>
        <v>781</v>
      </c>
      <c r="P430" s="1001">
        <f>SUMIFS('Data FT-TS-Cashout-Paddys'!$I$5:$I$756,'Data FT-TS-Cashout-Paddys'!$F$5:$F$756,'Apr11-Mar12 FT-TS-Cashout-LG&amp;E'!$G430,'Data FT-TS-Cashout-Paddys'!$A$5:$A$756,'Apr11-Mar12 FT-TS-Cashout-LG&amp;E'!P$394,'Data FT-TS-Cashout-Paddys'!$C$5:$C$756,'Apr11-Mar12 FT-TS-Cashout-LG&amp;E'!$C430)</f>
        <v>781</v>
      </c>
      <c r="Q430" s="1001">
        <f>SUMIFS('Data FT-TS-Cashout-Paddys'!$I$5:$I$756,'Data FT-TS-Cashout-Paddys'!$F$5:$F$756,'Apr11-Mar12 FT-TS-Cashout-LG&amp;E'!$G430,'Data FT-TS-Cashout-Paddys'!$A$5:$A$756,'Apr11-Mar12 FT-TS-Cashout-LG&amp;E'!Q$394,'Data FT-TS-Cashout-Paddys'!$C$5:$C$756,'Apr11-Mar12 FT-TS-Cashout-LG&amp;E'!$C430)</f>
        <v>781</v>
      </c>
      <c r="R430" s="1001">
        <f>SUMIFS('Data FT-TS-Cashout-Paddys'!$I$5:$I$756,'Data FT-TS-Cashout-Paddys'!$F$5:$F$756,'Apr11-Mar12 FT-TS-Cashout-LG&amp;E'!$G430,'Data FT-TS-Cashout-Paddys'!$A$5:$A$756,'Apr11-Mar12 FT-TS-Cashout-LG&amp;E'!R$394,'Data FT-TS-Cashout-Paddys'!$C$5:$C$756,'Apr11-Mar12 FT-TS-Cashout-LG&amp;E'!$C430)</f>
        <v>781</v>
      </c>
      <c r="S430" s="1001">
        <f>SUMIFS('Data FT-TS-Cashout-Paddys'!$I$5:$I$756,'Data FT-TS-Cashout-Paddys'!$F$5:$F$756,'Apr11-Mar12 FT-TS-Cashout-LG&amp;E'!$G430,'Data FT-TS-Cashout-Paddys'!$A$5:$A$756,'Apr11-Mar12 FT-TS-Cashout-LG&amp;E'!S$394,'Data FT-TS-Cashout-Paddys'!$C$5:$C$756,'Apr11-Mar12 FT-TS-Cashout-LG&amp;E'!$C430)</f>
        <v>781</v>
      </c>
      <c r="T430" s="1001">
        <f>SUM(H430:S430)</f>
        <v>9372</v>
      </c>
    </row>
    <row r="431" spans="2:22" x14ac:dyDescent="0.2">
      <c r="B431" s="561" t="str">
        <f>VLOOKUP($C431,'Retail Rates'!$B$46:$Q$55,13,FALSE)</f>
        <v>Intercompany</v>
      </c>
      <c r="C431" s="633" t="s">
        <v>113</v>
      </c>
      <c r="D431" s="633" t="str">
        <f t="shared" si="159"/>
        <v>997</v>
      </c>
      <c r="E431" s="561" t="str">
        <f>VLOOKUP($C431,'Retail Rates'!$B$46:$Q$55,3,FALSE)</f>
        <v>Paddy's Run</v>
      </c>
      <c r="F431" s="991" t="s">
        <v>414</v>
      </c>
      <c r="H431" s="1001">
        <f>ROUND(H425*H427,2)</f>
        <v>34.799999999999997</v>
      </c>
      <c r="I431" s="1001">
        <f t="shared" ref="I431:S431" si="160">ROUND(I425*I427,2)</f>
        <v>4.08</v>
      </c>
      <c r="J431" s="1001">
        <f t="shared" si="160"/>
        <v>0</v>
      </c>
      <c r="K431" s="1001">
        <f t="shared" si="160"/>
        <v>0</v>
      </c>
      <c r="L431" s="1001">
        <f t="shared" si="160"/>
        <v>0</v>
      </c>
      <c r="M431" s="1001">
        <f t="shared" si="160"/>
        <v>0</v>
      </c>
      <c r="N431" s="1001">
        <f t="shared" si="160"/>
        <v>249.82</v>
      </c>
      <c r="O431" s="1001">
        <f t="shared" si="160"/>
        <v>222.99</v>
      </c>
      <c r="P431" s="1001">
        <f t="shared" si="160"/>
        <v>0</v>
      </c>
      <c r="Q431" s="1001">
        <f t="shared" si="160"/>
        <v>0</v>
      </c>
      <c r="R431" s="1001">
        <f t="shared" si="160"/>
        <v>0.74</v>
      </c>
      <c r="S431" s="1001">
        <f t="shared" si="160"/>
        <v>61.92</v>
      </c>
      <c r="T431" s="1001">
        <f>SUM(H431:S431)</f>
        <v>574.34999999999991</v>
      </c>
    </row>
    <row r="432" spans="2:22" x14ac:dyDescent="0.2">
      <c r="B432" s="561" t="str">
        <f>VLOOKUP($C432,'Retail Rates'!$B$46:$Q$55,13,FALSE)</f>
        <v>Intercompany</v>
      </c>
      <c r="C432" s="633" t="s">
        <v>113</v>
      </c>
      <c r="D432" s="633" t="str">
        <f t="shared" si="159"/>
        <v>997</v>
      </c>
      <c r="E432" s="561" t="str">
        <f>VLOOKUP($C432,'Retail Rates'!$B$46:$Q$55,3,FALSE)</f>
        <v>Paddy's Run</v>
      </c>
      <c r="F432" s="991" t="s">
        <v>855</v>
      </c>
      <c r="G432" s="987" t="s">
        <v>823</v>
      </c>
      <c r="H432" s="1000">
        <f>SUMIFS('Data FT-TS-Cashout-Paddys'!$J$5:$J$756,'Data FT-TS-Cashout-Paddys'!$F$5:$F$756,'Apr11-Mar12 FT-TS-Cashout-LG&amp;E'!$G432,'Data FT-TS-Cashout-Paddys'!$A$5:$A$756,'Apr11-Mar12 FT-TS-Cashout-LG&amp;E'!H$394,'Data FT-TS-Cashout-Paddys'!$C$5:$C$756,'Apr11-Mar12 FT-TS-Cashout-LG&amp;E'!$C432)</f>
        <v>2976.31</v>
      </c>
      <c r="I432" s="1000">
        <f>SUMIFS('Data FT-TS-Cashout-Paddys'!$J$5:$J$756,'Data FT-TS-Cashout-Paddys'!$F$5:$F$756,'Apr11-Mar12 FT-TS-Cashout-LG&amp;E'!$G432,'Data FT-TS-Cashout-Paddys'!$A$5:$A$756,'Apr11-Mar12 FT-TS-Cashout-LG&amp;E'!I$394,'Data FT-TS-Cashout-Paddys'!$C$5:$C$756,'Apr11-Mar12 FT-TS-Cashout-LG&amp;E'!$C432)</f>
        <v>230.45</v>
      </c>
      <c r="J432" s="1000">
        <f>SUMIFS('Data FT-TS-Cashout-Paddys'!$J$5:$J$756,'Data FT-TS-Cashout-Paddys'!$F$5:$F$756,'Apr11-Mar12 FT-TS-Cashout-LG&amp;E'!$G432,'Data FT-TS-Cashout-Paddys'!$A$5:$A$756,'Apr11-Mar12 FT-TS-Cashout-LG&amp;E'!J$394,'Data FT-TS-Cashout-Paddys'!$C$5:$C$756,'Apr11-Mar12 FT-TS-Cashout-LG&amp;E'!$C432)</f>
        <v>0</v>
      </c>
      <c r="K432" s="1000">
        <f>SUMIFS('Data FT-TS-Cashout-Paddys'!$J$5:$J$756,'Data FT-TS-Cashout-Paddys'!$F$5:$F$756,'Apr11-Mar12 FT-TS-Cashout-LG&amp;E'!$G432,'Data FT-TS-Cashout-Paddys'!$A$5:$A$756,'Apr11-Mar12 FT-TS-Cashout-LG&amp;E'!K$394,'Data FT-TS-Cashout-Paddys'!$C$5:$C$756,'Apr11-Mar12 FT-TS-Cashout-LG&amp;E'!$C432)</f>
        <v>0</v>
      </c>
      <c r="L432" s="1000">
        <f>SUMIFS('Data FT-TS-Cashout-Paddys'!$J$5:$J$756,'Data FT-TS-Cashout-Paddys'!$F$5:$F$756,'Apr11-Mar12 FT-TS-Cashout-LG&amp;E'!$G432,'Data FT-TS-Cashout-Paddys'!$A$5:$A$756,'Apr11-Mar12 FT-TS-Cashout-LG&amp;E'!L$394,'Data FT-TS-Cashout-Paddys'!$C$5:$C$756,'Apr11-Mar12 FT-TS-Cashout-LG&amp;E'!$C432)</f>
        <v>0</v>
      </c>
      <c r="M432" s="1000">
        <f>SUMIFS('Data FT-TS-Cashout-Paddys'!$J$5:$J$756,'Data FT-TS-Cashout-Paddys'!$F$5:$F$756,'Apr11-Mar12 FT-TS-Cashout-LG&amp;E'!$G432,'Data FT-TS-Cashout-Paddys'!$A$5:$A$756,'Apr11-Mar12 FT-TS-Cashout-LG&amp;E'!M$394,'Data FT-TS-Cashout-Paddys'!$C$5:$C$756,'Apr11-Mar12 FT-TS-Cashout-LG&amp;E'!$C432)</f>
        <v>0</v>
      </c>
      <c r="N432" s="1000">
        <f>SUMIFS('Data FT-TS-Cashout-Paddys'!$J$5:$J$756,'Data FT-TS-Cashout-Paddys'!$F$5:$F$756,'Apr11-Mar12 FT-TS-Cashout-LG&amp;E'!$G432,'Data FT-TS-Cashout-Paddys'!$A$5:$A$756,'Apr11-Mar12 FT-TS-Cashout-LG&amp;E'!N$394,'Data FT-TS-Cashout-Paddys'!$C$5:$C$756,'Apr11-Mar12 FT-TS-Cashout-LG&amp;E'!$C432)</f>
        <v>25186.83</v>
      </c>
      <c r="O432" s="1000">
        <f>SUMIFS('Data FT-TS-Cashout-Paddys'!$J$5:$J$756,'Data FT-TS-Cashout-Paddys'!$F$5:$F$756,'Apr11-Mar12 FT-TS-Cashout-LG&amp;E'!$G432,'Data FT-TS-Cashout-Paddys'!$A$5:$A$756,'Apr11-Mar12 FT-TS-Cashout-LG&amp;E'!O$394,'Data FT-TS-Cashout-Paddys'!$C$5:$C$756,'Apr11-Mar12 FT-TS-Cashout-LG&amp;E'!$C432)</f>
        <v>20951.080000000002</v>
      </c>
      <c r="P432" s="1000">
        <f>SUMIFS('Data FT-TS-Cashout-Paddys'!$J$5:$J$756,'Data FT-TS-Cashout-Paddys'!$F$5:$F$756,'Apr11-Mar12 FT-TS-Cashout-LG&amp;E'!$G432,'Data FT-TS-Cashout-Paddys'!$A$5:$A$756,'Apr11-Mar12 FT-TS-Cashout-LG&amp;E'!P$394,'Data FT-TS-Cashout-Paddys'!$C$5:$C$756,'Apr11-Mar12 FT-TS-Cashout-LG&amp;E'!$C432)+'SBR Sep11'!N53</f>
        <v>-18223.53</v>
      </c>
      <c r="Q432" s="1000">
        <f>SUMIFS('Data FT-TS-Cashout-Paddys'!$J$5:$J$756,'Data FT-TS-Cashout-Paddys'!$F$5:$F$756,'Apr11-Mar12 FT-TS-Cashout-LG&amp;E'!$G432,'Data FT-TS-Cashout-Paddys'!$A$5:$A$756,'Apr11-Mar12 FT-TS-Cashout-LG&amp;E'!Q$394,'Data FT-TS-Cashout-Paddys'!$C$5:$C$756,'Apr11-Mar12 FT-TS-Cashout-LG&amp;E'!$C432)</f>
        <v>0</v>
      </c>
      <c r="R432" s="1000">
        <f>SUMIFS('Data FT-TS-Cashout-Paddys'!$J$5:$J$756,'Data FT-TS-Cashout-Paddys'!$F$5:$F$756,'Apr11-Mar12 FT-TS-Cashout-LG&amp;E'!$G432,'Data FT-TS-Cashout-Paddys'!$A$5:$A$756,'Apr11-Mar12 FT-TS-Cashout-LG&amp;E'!R$394,'Data FT-TS-Cashout-Paddys'!$C$5:$C$756,'Apr11-Mar12 FT-TS-Cashout-LG&amp;E'!$C432)</f>
        <v>78.11</v>
      </c>
      <c r="S432" s="1000">
        <f>SUMIFS('Data FT-TS-Cashout-Paddys'!$J$5:$J$756,'Data FT-TS-Cashout-Paddys'!$F$5:$F$756,'Apr11-Mar12 FT-TS-Cashout-LG&amp;E'!$G432,'Data FT-TS-Cashout-Paddys'!$A$5:$A$756,'Apr11-Mar12 FT-TS-Cashout-LG&amp;E'!S$394,'Data FT-TS-Cashout-Paddys'!$C$5:$C$756,'Apr11-Mar12 FT-TS-Cashout-LG&amp;E'!$C432)</f>
        <v>6514.65</v>
      </c>
      <c r="T432" s="1001">
        <f>SUM(H432:S432)</f>
        <v>37713.9</v>
      </c>
    </row>
    <row r="433" spans="2:20" x14ac:dyDescent="0.2">
      <c r="B433" s="561" t="str">
        <f>VLOOKUP($C433,'Retail Rates'!$B$46:$Q$55,13,FALSE)</f>
        <v>Intercompany</v>
      </c>
      <c r="C433" s="633" t="s">
        <v>113</v>
      </c>
      <c r="D433" s="633" t="str">
        <f t="shared" si="159"/>
        <v>997</v>
      </c>
      <c r="E433" s="561" t="str">
        <f>VLOOKUP($C433,'Retail Rates'!$B$46:$Q$55,3,FALSE)</f>
        <v>Paddy's Run</v>
      </c>
      <c r="F433" s="991" t="s">
        <v>433</v>
      </c>
      <c r="G433" s="987" t="s">
        <v>830</v>
      </c>
      <c r="H433" s="999">
        <f>SUM(H430:H432)</f>
        <v>3792.1099999999997</v>
      </c>
      <c r="I433" s="999">
        <f t="shared" ref="I433:S433" si="161">SUM(I430:I432)</f>
        <v>1015.53</v>
      </c>
      <c r="J433" s="999">
        <f t="shared" si="161"/>
        <v>781</v>
      </c>
      <c r="K433" s="999">
        <f t="shared" si="161"/>
        <v>0</v>
      </c>
      <c r="L433" s="999">
        <f t="shared" si="161"/>
        <v>1562</v>
      </c>
      <c r="M433" s="999">
        <f t="shared" si="161"/>
        <v>781</v>
      </c>
      <c r="N433" s="999">
        <f t="shared" si="161"/>
        <v>26217.65</v>
      </c>
      <c r="O433" s="999">
        <f t="shared" si="161"/>
        <v>21955.070000000003</v>
      </c>
      <c r="P433" s="999">
        <f t="shared" si="161"/>
        <v>-17442.53</v>
      </c>
      <c r="Q433" s="999">
        <f t="shared" si="161"/>
        <v>781</v>
      </c>
      <c r="R433" s="999">
        <f t="shared" si="161"/>
        <v>859.85</v>
      </c>
      <c r="S433" s="999">
        <f t="shared" si="161"/>
        <v>7357.57</v>
      </c>
      <c r="T433" s="1001">
        <f>SUM(H433:S433)</f>
        <v>47660.25</v>
      </c>
    </row>
    <row r="434" spans="2:20" x14ac:dyDescent="0.2">
      <c r="B434" s="561" t="str">
        <f>VLOOKUP($C434,'Retail Rates'!$B$46:$Q$55,13,FALSE)</f>
        <v>Intercompany</v>
      </c>
      <c r="C434" s="633" t="s">
        <v>113</v>
      </c>
      <c r="D434" s="633" t="str">
        <f t="shared" si="159"/>
        <v>997</v>
      </c>
      <c r="E434" s="561" t="str">
        <f>VLOOKUP($C434,'Retail Rates'!$B$46:$Q$55,3,FALSE)</f>
        <v>Paddy's Run</v>
      </c>
      <c r="F434" s="991"/>
    </row>
    <row r="435" spans="2:20" x14ac:dyDescent="0.2">
      <c r="B435" s="561" t="str">
        <f>VLOOKUP($C435,'Retail Rates'!$B$46:$Q$55,13,FALSE)</f>
        <v>Intercompany</v>
      </c>
      <c r="C435" s="633" t="s">
        <v>113</v>
      </c>
      <c r="D435" s="633" t="str">
        <f t="shared" si="159"/>
        <v>997</v>
      </c>
      <c r="E435" s="561" t="str">
        <f>VLOOKUP($C435,'Retail Rates'!$B$46:$Q$55,3,FALSE)</f>
        <v>Paddy's Run</v>
      </c>
      <c r="F435" s="991" t="s">
        <v>841</v>
      </c>
      <c r="H435" s="999">
        <f>SUMIFS('FT_Cashouts_IntraCo-PR'!$G$4:$G$118,'FT_Cashouts_IntraCo-PR'!$A$4:$A$118,'Apr11-Mar12 FT-TS-Cashout-LG&amp;E'!$C435,'FT_Cashouts_IntraCo-PR'!$C$4:$C$118,'Apr11-Mar12 FT-TS-Cashout-LG&amp;E'!H$394)</f>
        <v>3792.1099999999997</v>
      </c>
      <c r="I435" s="999">
        <f>SUMIFS('FT_Cashouts_IntraCo-PR'!$G$4:$G$118,'FT_Cashouts_IntraCo-PR'!$A$4:$A$118,'Apr11-Mar12 FT-TS-Cashout-LG&amp;E'!$C435,'FT_Cashouts_IntraCo-PR'!$C$4:$C$118,'Apr11-Mar12 FT-TS-Cashout-LG&amp;E'!I$394)</f>
        <v>1015.53</v>
      </c>
      <c r="J435" s="999">
        <f>SUMIFS('FT_Cashouts_IntraCo-PR'!$G$4:$G$118,'FT_Cashouts_IntraCo-PR'!$A$4:$A$118,'Apr11-Mar12 FT-TS-Cashout-LG&amp;E'!$C435,'FT_Cashouts_IntraCo-PR'!$C$4:$C$118,'Apr11-Mar12 FT-TS-Cashout-LG&amp;E'!J$394)</f>
        <v>0</v>
      </c>
      <c r="K435" s="999">
        <f>SUMIFS('FT_Cashouts_IntraCo-PR'!$G$4:$G$118,'FT_Cashouts_IntraCo-PR'!$A$4:$A$118,'Apr11-Mar12 FT-TS-Cashout-LG&amp;E'!$C435,'FT_Cashouts_IntraCo-PR'!$C$4:$C$118,'Apr11-Mar12 FT-TS-Cashout-LG&amp;E'!K$394)</f>
        <v>0</v>
      </c>
      <c r="L435" s="999">
        <f>SUMIFS('FT_Cashouts_IntraCo-PR'!$G$4:$G$118,'FT_Cashouts_IntraCo-PR'!$A$4:$A$118,'Apr11-Mar12 FT-TS-Cashout-LG&amp;E'!$C435,'FT_Cashouts_IntraCo-PR'!$C$4:$C$118,'Apr11-Mar12 FT-TS-Cashout-LG&amp;E'!L$394)</f>
        <v>1562</v>
      </c>
      <c r="M435" s="999">
        <f>SUMIFS('FT_Cashouts_IntraCo-PR'!$G$4:$G$118,'FT_Cashouts_IntraCo-PR'!$A$4:$A$118,'Apr11-Mar12 FT-TS-Cashout-LG&amp;E'!$C435,'FT_Cashouts_IntraCo-PR'!$C$4:$C$118,'Apr11-Mar12 FT-TS-Cashout-LG&amp;E'!M$394)</f>
        <v>781</v>
      </c>
      <c r="N435" s="999">
        <f>SUMIFS('FT_Cashouts_IntraCo-PR'!$G$4:$G$118,'FT_Cashouts_IntraCo-PR'!$A$4:$A$118,'Apr11-Mar12 FT-TS-Cashout-LG&amp;E'!$C435,'FT_Cashouts_IntraCo-PR'!$C$4:$C$118,'Apr11-Mar12 FT-TS-Cashout-LG&amp;E'!N$394)</f>
        <v>26217.65</v>
      </c>
      <c r="O435" s="999">
        <f>SUMIFS('FT_Cashouts_IntraCo-PR'!$G$4:$G$118,'FT_Cashouts_IntraCo-PR'!$A$4:$A$118,'Apr11-Mar12 FT-TS-Cashout-LG&amp;E'!$C435,'FT_Cashouts_IntraCo-PR'!$C$4:$C$118,'Apr11-Mar12 FT-TS-Cashout-LG&amp;E'!O$394)</f>
        <v>21955.07</v>
      </c>
      <c r="P435" s="999">
        <f>SUMIFS('FT_Cashouts_IntraCo-PR'!$G$4:$G$118,'FT_Cashouts_IntraCo-PR'!$A$4:$A$118,'Apr11-Mar12 FT-TS-Cashout-LG&amp;E'!$C435,'FT_Cashouts_IntraCo-PR'!$C$4:$C$118,'Apr11-Mar12 FT-TS-Cashout-LG&amp;E'!P$394)</f>
        <v>781</v>
      </c>
      <c r="Q435" s="999">
        <f>SUMIFS('FT_Cashouts_IntraCo-PR'!$G$4:$G$118,'FT_Cashouts_IntraCo-PR'!$A$4:$A$118,'Apr11-Mar12 FT-TS-Cashout-LG&amp;E'!$C435,'FT_Cashouts_IntraCo-PR'!$C$4:$C$118,'Apr11-Mar12 FT-TS-Cashout-LG&amp;E'!Q$394)</f>
        <v>781</v>
      </c>
      <c r="R435" s="999">
        <f>SUMIFS('FT_Cashouts_IntraCo-PR'!$G$4:$G$118,'FT_Cashouts_IntraCo-PR'!$A$4:$A$118,'Apr11-Mar12 FT-TS-Cashout-LG&amp;E'!$C435,'FT_Cashouts_IntraCo-PR'!$C$4:$C$118,'Apr11-Mar12 FT-TS-Cashout-LG&amp;E'!R$394)</f>
        <v>859.85</v>
      </c>
      <c r="S435" s="999">
        <f>SUMIFS('FT_Cashouts_IntraCo-PR'!$G$4:$G$118,'FT_Cashouts_IntraCo-PR'!$A$4:$A$118,'Apr11-Mar12 FT-TS-Cashout-LG&amp;E'!$C435,'FT_Cashouts_IntraCo-PR'!$C$4:$C$118,'Apr11-Mar12 FT-TS-Cashout-LG&amp;E'!S$394)</f>
        <v>7357.57</v>
      </c>
      <c r="T435" s="1001">
        <f>SUM(H435:S435)</f>
        <v>65102.78</v>
      </c>
    </row>
    <row r="436" spans="2:20" x14ac:dyDescent="0.2">
      <c r="B436" s="561" t="str">
        <f>VLOOKUP($C436,'Retail Rates'!$B$46:$Q$55,13,FALSE)</f>
        <v>Intercompany</v>
      </c>
      <c r="C436" s="633" t="s">
        <v>113</v>
      </c>
      <c r="D436" s="633" t="str">
        <f t="shared" si="159"/>
        <v>997</v>
      </c>
      <c r="E436" s="561" t="str">
        <f>VLOOKUP($C436,'Retail Rates'!$B$46:$Q$55,3,FALSE)</f>
        <v>Paddy's Run</v>
      </c>
      <c r="F436" s="991" t="s">
        <v>677</v>
      </c>
      <c r="H436" s="999">
        <f>+'SBR Jan12'!J75</f>
        <v>3792.1099999999997</v>
      </c>
      <c r="I436" s="999">
        <f>+'SBR Feb12'!J77</f>
        <v>1015.53</v>
      </c>
      <c r="J436" s="999"/>
      <c r="K436" s="999">
        <f>+'SBR Apr11'!J74</f>
        <v>0</v>
      </c>
      <c r="L436" s="999">
        <f>+'SBR May11'!J74</f>
        <v>1562</v>
      </c>
      <c r="M436" s="999">
        <f>+'SBR Jun11'!J71</f>
        <v>781</v>
      </c>
      <c r="N436" s="999">
        <f>+'SBR Jul11'!J74</f>
        <v>26217.65</v>
      </c>
      <c r="O436" s="999">
        <f>+'SBR Aug11'!J74</f>
        <v>21955.07</v>
      </c>
      <c r="P436" s="999">
        <f>+'SBR Sep11'!J53</f>
        <v>-17442.53</v>
      </c>
      <c r="Q436" s="999">
        <f>+'SBR Oct11'!J75</f>
        <v>781</v>
      </c>
      <c r="R436" s="999">
        <f>+'SBR Nov11'!J78</f>
        <v>859.85</v>
      </c>
      <c r="S436" s="999">
        <f>+'SBR Dec11'!J78</f>
        <v>7357.57</v>
      </c>
      <c r="T436" s="1001">
        <f>SUM(H436:S436)</f>
        <v>46879.25</v>
      </c>
    </row>
    <row r="437" spans="2:20" x14ac:dyDescent="0.2">
      <c r="B437" s="561" t="str">
        <f>VLOOKUP($C437,'Retail Rates'!$B$46:$Q$55,13,FALSE)</f>
        <v>Intercompany</v>
      </c>
      <c r="C437" s="633" t="s">
        <v>113</v>
      </c>
      <c r="D437" s="633" t="str">
        <f t="shared" si="159"/>
        <v>997</v>
      </c>
      <c r="E437" s="561" t="str">
        <f>VLOOKUP($C437,'Retail Rates'!$B$46:$Q$55,3,FALSE)</f>
        <v>Paddy's Run</v>
      </c>
      <c r="F437" s="991" t="s">
        <v>386</v>
      </c>
      <c r="H437" s="999">
        <f>+H433-H435</f>
        <v>0</v>
      </c>
      <c r="I437" s="999">
        <f t="shared" ref="I437:S437" si="162">+I433-I435</f>
        <v>0</v>
      </c>
      <c r="J437" s="999">
        <f t="shared" si="162"/>
        <v>781</v>
      </c>
      <c r="K437" s="999">
        <f t="shared" si="162"/>
        <v>0</v>
      </c>
      <c r="L437" s="999">
        <f t="shared" si="162"/>
        <v>0</v>
      </c>
      <c r="M437" s="999">
        <f t="shared" si="162"/>
        <v>0</v>
      </c>
      <c r="N437" s="999">
        <f t="shared" si="162"/>
        <v>0</v>
      </c>
      <c r="O437" s="999">
        <f t="shared" si="162"/>
        <v>0</v>
      </c>
      <c r="P437" s="999">
        <f t="shared" si="162"/>
        <v>-18223.53</v>
      </c>
      <c r="Q437" s="999">
        <f t="shared" si="162"/>
        <v>0</v>
      </c>
      <c r="R437" s="999">
        <f t="shared" si="162"/>
        <v>0</v>
      </c>
      <c r="S437" s="999">
        <f t="shared" si="162"/>
        <v>0</v>
      </c>
      <c r="T437" s="1001">
        <f>SUM(H437:S437)</f>
        <v>-17442.53</v>
      </c>
    </row>
    <row r="438" spans="2:20" x14ac:dyDescent="0.2">
      <c r="C438" s="633"/>
      <c r="D438" s="633"/>
      <c r="F438" s="991"/>
      <c r="H438" s="999"/>
      <c r="I438" s="999"/>
      <c r="J438" s="999"/>
      <c r="K438" s="999"/>
      <c r="L438" s="999"/>
      <c r="M438" s="999"/>
      <c r="N438" s="999"/>
      <c r="O438" s="999"/>
      <c r="P438" s="999"/>
      <c r="Q438" s="999"/>
      <c r="R438" s="999"/>
      <c r="S438" s="999"/>
    </row>
    <row r="439" spans="2:20" x14ac:dyDescent="0.2">
      <c r="C439" s="633"/>
      <c r="D439" s="633"/>
      <c r="F439" s="991"/>
      <c r="H439" s="999"/>
      <c r="I439" s="999"/>
      <c r="J439" s="999"/>
      <c r="K439" s="999"/>
      <c r="L439" s="999"/>
      <c r="M439" s="999"/>
      <c r="N439" s="999"/>
      <c r="O439" s="999"/>
      <c r="P439" s="999"/>
      <c r="Q439" s="999"/>
      <c r="R439" s="999"/>
      <c r="S439" s="999"/>
    </row>
    <row r="440" spans="2:20" x14ac:dyDescent="0.2">
      <c r="B440" s="984" t="s">
        <v>953</v>
      </c>
      <c r="C440" s="633"/>
      <c r="D440" s="633"/>
      <c r="F440" s="991"/>
      <c r="H440" s="999"/>
      <c r="I440" s="999"/>
      <c r="J440" s="999"/>
      <c r="K440" s="999"/>
      <c r="L440" s="999"/>
      <c r="M440" s="999"/>
      <c r="N440" s="999"/>
      <c r="O440" s="999"/>
      <c r="P440" s="999"/>
      <c r="Q440" s="999"/>
      <c r="R440" s="999"/>
      <c r="S440" s="999"/>
    </row>
    <row r="441" spans="2:20" x14ac:dyDescent="0.2">
      <c r="C441" s="633"/>
      <c r="D441" s="633"/>
      <c r="F441" s="324" t="s">
        <v>877</v>
      </c>
      <c r="H441" s="999"/>
      <c r="I441" s="999"/>
      <c r="J441" s="999"/>
      <c r="K441" s="999"/>
      <c r="L441" s="999"/>
      <c r="M441" s="999"/>
      <c r="N441" s="999"/>
      <c r="O441" s="999"/>
      <c r="P441" s="999"/>
      <c r="Q441" s="999"/>
      <c r="R441" s="999"/>
      <c r="S441" s="999"/>
    </row>
    <row r="442" spans="2:20" x14ac:dyDescent="0.2">
      <c r="B442" s="561" t="str">
        <f>VLOOKUP($C442,'Retail Rates'!$B$6:$Q$35,4,FALSE)</f>
        <v>Gas Special Contracts - LG&amp;E</v>
      </c>
      <c r="C442" s="633" t="s">
        <v>82</v>
      </c>
      <c r="D442" s="633" t="str">
        <f>MID(C442,6,3)</f>
        <v>996</v>
      </c>
      <c r="E442" s="561" t="str">
        <f>VLOOKUP($C442,'Retail Rates'!$B$6:$Q$35,3,FALSE)</f>
        <v>SPC-LGE</v>
      </c>
      <c r="F442" s="991" t="s">
        <v>408</v>
      </c>
      <c r="G442" s="987" t="s">
        <v>812</v>
      </c>
      <c r="H442" s="1011">
        <f>SUMIFS('Data LGE SpecContract MC-CR'!$F$5:$F$71,'Data LGE SpecContract MC-CR'!$A$5:$A$71,'Apr11-Mar12 FT-TS-Cashout-LG&amp;E'!H$394,'Data LGE SpecContract MC-CR'!$E$5:$E$71,'Apr11-Mar12 FT-TS-Cashout-LG&amp;E'!$G442,'Data LGE SpecContract MC-CR'!$B$5:$B$71,'Apr11-Mar12 FT-TS-Cashout-LG&amp;E'!$C442)/10</f>
        <v>39028.400000000001</v>
      </c>
      <c r="I442" s="1011">
        <f>SUMIFS('Data LGE SpecContract MC-CR'!$F$5:$F$71,'Data LGE SpecContract MC-CR'!$A$5:$A$71,'Apr11-Mar12 FT-TS-Cashout-LG&amp;E'!I$394,'Data LGE SpecContract MC-CR'!$E$5:$E$71,'Apr11-Mar12 FT-TS-Cashout-LG&amp;E'!$G442,'Data LGE SpecContract MC-CR'!$B$5:$B$71,'Apr11-Mar12 FT-TS-Cashout-LG&amp;E'!$C442)/10</f>
        <v>29855.8</v>
      </c>
      <c r="J442" s="1011">
        <f>SUMIFS('Data LGE SpecContract MC-CR'!$F$5:$F$71,'Data LGE SpecContract MC-CR'!$A$5:$A$71,'Apr11-Mar12 FT-TS-Cashout-LG&amp;E'!J$394,'Data LGE SpecContract MC-CR'!$E$5:$E$71,'Apr11-Mar12 FT-TS-Cashout-LG&amp;E'!$G442,'Data LGE SpecContract MC-CR'!$B$5:$B$71,'Apr11-Mar12 FT-TS-Cashout-LG&amp;E'!$C442)/10</f>
        <v>57437.2</v>
      </c>
      <c r="K442" s="1011">
        <f>SUMIFS('Data LGE SpecContract MC-CR'!$F$5:$F$71,'Data LGE SpecContract MC-CR'!$A$5:$A$71,'Apr11-Mar12 FT-TS-Cashout-LG&amp;E'!K$394,'Data LGE SpecContract MC-CR'!$E$5:$E$71,'Apr11-Mar12 FT-TS-Cashout-LG&amp;E'!$G442,'Data LGE SpecContract MC-CR'!$B$5:$B$71,'Apr11-Mar12 FT-TS-Cashout-LG&amp;E'!$C442)/10</f>
        <v>0</v>
      </c>
      <c r="L442" s="1011">
        <f>SUMIFS('Data LGE SpecContract MC-CR'!$F$5:$F$71,'Data LGE SpecContract MC-CR'!$A$5:$A$71,'Apr11-Mar12 FT-TS-Cashout-LG&amp;E'!L$394,'Data LGE SpecContract MC-CR'!$E$5:$E$71,'Apr11-Mar12 FT-TS-Cashout-LG&amp;E'!$G442,'Data LGE SpecContract MC-CR'!$B$5:$B$71,'Apr11-Mar12 FT-TS-Cashout-LG&amp;E'!$C442)/10</f>
        <v>138723.5</v>
      </c>
      <c r="M442" s="1011">
        <f>SUMIFS('Data LGE SpecContract MC-CR'!$F$5:$F$71,'Data LGE SpecContract MC-CR'!$A$5:$A$71,'Apr11-Mar12 FT-TS-Cashout-LG&amp;E'!M$394,'Data LGE SpecContract MC-CR'!$E$5:$E$71,'Apr11-Mar12 FT-TS-Cashout-LG&amp;E'!$G442,'Data LGE SpecContract MC-CR'!$B$5:$B$71,'Apr11-Mar12 FT-TS-Cashout-LG&amp;E'!$C442)/10</f>
        <v>68379</v>
      </c>
      <c r="N442" s="1011">
        <f>SUMIFS('Data LGE SpecContract MC-CR'!$F$5:$F$71,'Data LGE SpecContract MC-CR'!$A$5:$A$71,'Apr11-Mar12 FT-TS-Cashout-LG&amp;E'!N$394,'Data LGE SpecContract MC-CR'!$E$5:$E$71,'Apr11-Mar12 FT-TS-Cashout-LG&amp;E'!$G442,'Data LGE SpecContract MC-CR'!$B$5:$B$71,'Apr11-Mar12 FT-TS-Cashout-LG&amp;E'!$C442)/10</f>
        <v>61554</v>
      </c>
      <c r="O442" s="1011">
        <f>SUMIFS('Data LGE SpecContract MC-CR'!$F$5:$F$71,'Data LGE SpecContract MC-CR'!$A$5:$A$71,'Apr11-Mar12 FT-TS-Cashout-LG&amp;E'!O$394,'Data LGE SpecContract MC-CR'!$E$5:$E$71,'Apr11-Mar12 FT-TS-Cashout-LG&amp;E'!$G442,'Data LGE SpecContract MC-CR'!$B$5:$B$71,'Apr11-Mar12 FT-TS-Cashout-LG&amp;E'!$C442)/10</f>
        <v>87811.9</v>
      </c>
      <c r="P442" s="1011">
        <f>SUMIFS('Data LGE SpecContract MC-CR'!$F$5:$F$71,'Data LGE SpecContract MC-CR'!$A$5:$A$71,'Apr11-Mar12 FT-TS-Cashout-LG&amp;E'!P$394,'Data LGE SpecContract MC-CR'!$E$5:$E$71,'Apr11-Mar12 FT-TS-Cashout-LG&amp;E'!$G442,'Data LGE SpecContract MC-CR'!$B$5:$B$71,'Apr11-Mar12 FT-TS-Cashout-LG&amp;E'!$C442)/10</f>
        <v>39589.199999999997</v>
      </c>
      <c r="Q442" s="1011">
        <f>SUMIFS('Data LGE SpecContract MC-CR'!$F$5:$F$71,'Data LGE SpecContract MC-CR'!$A$5:$A$71,'Apr11-Mar12 FT-TS-Cashout-LG&amp;E'!Q$394,'Data LGE SpecContract MC-CR'!$E$5:$E$71,'Apr11-Mar12 FT-TS-Cashout-LG&amp;E'!$G442,'Data LGE SpecContract MC-CR'!$B$5:$B$71,'Apr11-Mar12 FT-TS-Cashout-LG&amp;E'!$C442)/10</f>
        <v>54881.3</v>
      </c>
      <c r="R442" s="1011">
        <f>SUMIFS('Data LGE SpecContract MC-CR'!$F$5:$F$71,'Data LGE SpecContract MC-CR'!$A$5:$A$71,'Apr11-Mar12 FT-TS-Cashout-LG&amp;E'!R$394,'Data LGE SpecContract MC-CR'!$E$5:$E$71,'Apr11-Mar12 FT-TS-Cashout-LG&amp;E'!$G442,'Data LGE SpecContract MC-CR'!$B$5:$B$71,'Apr11-Mar12 FT-TS-Cashout-LG&amp;E'!$C442)/10</f>
        <v>45584.800000000003</v>
      </c>
      <c r="S442" s="1011">
        <f>SUMIFS('Data LGE SpecContract MC-CR'!$F$5:$F$71,'Data LGE SpecContract MC-CR'!$A$5:$A$71,'Apr11-Mar12 FT-TS-Cashout-LG&amp;E'!S$394,'Data LGE SpecContract MC-CR'!$E$5:$E$71,'Apr11-Mar12 FT-TS-Cashout-LG&amp;E'!$G442,'Data LGE SpecContract MC-CR'!$B$5:$B$71,'Apr11-Mar12 FT-TS-Cashout-LG&amp;E'!$C442)/10</f>
        <v>49445.3</v>
      </c>
      <c r="T442" s="1046">
        <f>SUM(H442:S442)</f>
        <v>672290.40000000014</v>
      </c>
    </row>
    <row r="443" spans="2:20" x14ac:dyDescent="0.2">
      <c r="B443" s="561" t="str">
        <f>VLOOKUP($C443,'Retail Rates'!$B$6:$Q$35,4,FALSE)</f>
        <v>Gas Special Contracts - LG&amp;E</v>
      </c>
      <c r="C443" s="633" t="s">
        <v>82</v>
      </c>
      <c r="D443" s="633" t="str">
        <f t="shared" ref="D443:D450" si="163">MID(C443,6,3)</f>
        <v>996</v>
      </c>
      <c r="E443" s="561" t="str">
        <f>VLOOKUP($C443,'Retail Rates'!$B$6:$Q$35,3,FALSE)</f>
        <v>SPC-LGE</v>
      </c>
      <c r="F443" s="991" t="s">
        <v>262</v>
      </c>
      <c r="H443" s="624">
        <f>VLOOKUP($C443,'Retail Rates'!$B$6:$Q$35,5,FALSE)</f>
        <v>170</v>
      </c>
      <c r="I443" s="624">
        <f>VLOOKUP($C443,'Retail Rates'!$B$6:$Q$35,5,FALSE)</f>
        <v>170</v>
      </c>
      <c r="J443" s="624">
        <f>VLOOKUP($C443,'Retail Rates'!$B$6:$Q$35,5,FALSE)</f>
        <v>170</v>
      </c>
      <c r="K443" s="624">
        <f>VLOOKUP($C443,'Retail Rates'!$B$6:$Q$35,5,FALSE)</f>
        <v>170</v>
      </c>
      <c r="L443" s="624">
        <f>VLOOKUP($C443,'Retail Rates'!$B$6:$Q$35,5,FALSE)</f>
        <v>170</v>
      </c>
      <c r="M443" s="624">
        <f>VLOOKUP($C443,'Retail Rates'!$B$6:$Q$35,5,FALSE)</f>
        <v>170</v>
      </c>
      <c r="N443" s="624">
        <f>VLOOKUP($C443,'Retail Rates'!$B$6:$Q$35,5,FALSE)</f>
        <v>170</v>
      </c>
      <c r="O443" s="624">
        <f>VLOOKUP($C443,'Retail Rates'!$B$6:$Q$35,5,FALSE)</f>
        <v>170</v>
      </c>
      <c r="P443" s="624">
        <f>VLOOKUP($C443,'Retail Rates'!$B$6:$Q$35,5,FALSE)</f>
        <v>170</v>
      </c>
      <c r="Q443" s="624">
        <f>VLOOKUP($C443,'Retail Rates'!$B$6:$Q$35,5,FALSE)</f>
        <v>170</v>
      </c>
      <c r="R443" s="624">
        <f>VLOOKUP($C443,'Retail Rates'!$B$6:$Q$35,5,FALSE)</f>
        <v>170</v>
      </c>
      <c r="S443" s="624">
        <f>VLOOKUP($C443,'Retail Rates'!$B$6:$Q$35,5,FALSE)</f>
        <v>170</v>
      </c>
    </row>
    <row r="444" spans="2:20" x14ac:dyDescent="0.2">
      <c r="B444" s="561" t="str">
        <f>VLOOKUP($C444,'Retail Rates'!$B$6:$Q$35,4,FALSE)</f>
        <v>Gas Special Contracts - LG&amp;E</v>
      </c>
      <c r="C444" s="633" t="s">
        <v>82</v>
      </c>
      <c r="D444" s="633" t="str">
        <f t="shared" si="163"/>
        <v>996</v>
      </c>
      <c r="E444" s="561" t="str">
        <f>VLOOKUP($C444,'Retail Rates'!$B$6:$Q$35,3,FALSE)</f>
        <v>SPC-LGE</v>
      </c>
      <c r="F444" s="991" t="s">
        <v>450</v>
      </c>
      <c r="H444" s="1040">
        <f>VLOOKUP($C444,'Retail Rates'!$B$6:$Q$35,7,FALSE)/0.1</f>
        <v>0.28479999999999994</v>
      </c>
      <c r="I444" s="1040">
        <f>VLOOKUP($C444,'Retail Rates'!$B$6:$Q$35,7,FALSE)/0.1</f>
        <v>0.28479999999999994</v>
      </c>
      <c r="J444" s="1040">
        <f>VLOOKUP($C444,'Retail Rates'!$B$6:$Q$35,7,FALSE)/0.1</f>
        <v>0.28479999999999994</v>
      </c>
      <c r="K444" s="1040">
        <f>VLOOKUP($C444,'Retail Rates'!$B$6:$Q$35,7,FALSE)/0.1</f>
        <v>0.28479999999999994</v>
      </c>
      <c r="L444" s="1040">
        <f>VLOOKUP($C444,'Retail Rates'!$B$6:$Q$35,7,FALSE)/0.1</f>
        <v>0.28479999999999994</v>
      </c>
      <c r="M444" s="1040">
        <f>VLOOKUP($C444,'Retail Rates'!$B$6:$Q$35,7,FALSE)/0.1</f>
        <v>0.28479999999999994</v>
      </c>
      <c r="N444" s="1040">
        <f>VLOOKUP($C444,'Retail Rates'!$B$6:$Q$35,7,FALSE)/0.1</f>
        <v>0.28479999999999994</v>
      </c>
      <c r="O444" s="1040">
        <f>VLOOKUP($C444,'Retail Rates'!$B$6:$Q$35,7,FALSE)/0.1</f>
        <v>0.28479999999999994</v>
      </c>
      <c r="P444" s="1040">
        <f>VLOOKUP($C444,'Retail Rates'!$B$6:$Q$35,7,FALSE)/0.1</f>
        <v>0.28479999999999994</v>
      </c>
      <c r="Q444" s="1040">
        <f>VLOOKUP($C444,'Retail Rates'!$B$6:$Q$35,7,FALSE)/0.1</f>
        <v>0.28479999999999994</v>
      </c>
      <c r="R444" s="1040">
        <f>VLOOKUP($C444,'Retail Rates'!$B$6:$Q$35,7,FALSE)/0.1</f>
        <v>0.28479999999999994</v>
      </c>
      <c r="S444" s="1040">
        <f>VLOOKUP($C444,'Retail Rates'!$B$6:$Q$35,7,FALSE)/0.1</f>
        <v>0.28479999999999994</v>
      </c>
    </row>
    <row r="445" spans="2:20" x14ac:dyDescent="0.2">
      <c r="B445" s="561" t="str">
        <f>VLOOKUP($C445,'Retail Rates'!$B$6:$Q$35,4,FALSE)</f>
        <v>Gas Special Contracts - LG&amp;E</v>
      </c>
      <c r="C445" s="633" t="s">
        <v>82</v>
      </c>
      <c r="D445" s="633" t="str">
        <f t="shared" si="163"/>
        <v>996</v>
      </c>
      <c r="E445" s="561" t="str">
        <f>VLOOKUP($C445,'Retail Rates'!$B$6:$Q$35,3,FALSE)</f>
        <v>SPC-LGE</v>
      </c>
      <c r="F445" s="991" t="s">
        <v>880</v>
      </c>
      <c r="H445" s="1040">
        <f>VLOOKUP($C445,'Retail Rates'!$B$6:$Q$35,11,FALSE)</f>
        <v>0.96819999999999995</v>
      </c>
      <c r="I445" s="1040">
        <f>VLOOKUP($C445,'Retail Rates'!$B$6:$Q$35,11,FALSE)</f>
        <v>0.96819999999999995</v>
      </c>
      <c r="J445" s="1040">
        <f>VLOOKUP($C445,'Retail Rates'!$B$6:$Q$35,11,FALSE)</f>
        <v>0.96819999999999995</v>
      </c>
      <c r="K445" s="1040">
        <f>VLOOKUP($C445,'Retail Rates'!$B$6:$Q$35,11,FALSE)</f>
        <v>0.96819999999999995</v>
      </c>
      <c r="L445" s="1040">
        <f>VLOOKUP($C445,'Retail Rates'!$B$6:$Q$35,11,FALSE)</f>
        <v>0.96819999999999995</v>
      </c>
      <c r="M445" s="1040">
        <f>VLOOKUP($C445,'Retail Rates'!$B$6:$Q$35,11,FALSE)</f>
        <v>0.96819999999999995</v>
      </c>
      <c r="N445" s="1040">
        <f>VLOOKUP($C445,'Retail Rates'!$B$6:$Q$35,11,FALSE)</f>
        <v>0.96819999999999995</v>
      </c>
      <c r="O445" s="1040">
        <f>VLOOKUP($C445,'Retail Rates'!$B$6:$Q$35,11,FALSE)</f>
        <v>0.96819999999999995</v>
      </c>
      <c r="P445" s="1040">
        <f>VLOOKUP($C445,'Retail Rates'!$B$6:$Q$35,11,FALSE)</f>
        <v>0.96819999999999995</v>
      </c>
      <c r="Q445" s="1040">
        <f>VLOOKUP($C445,'Retail Rates'!$B$6:$Q$35,11,FALSE)</f>
        <v>0.96819999999999995</v>
      </c>
      <c r="R445" s="1040">
        <f>VLOOKUP($C445,'Retail Rates'!$B$6:$Q$35,11,FALSE)</f>
        <v>0.96819999999999995</v>
      </c>
      <c r="S445" s="1040">
        <f>VLOOKUP($C445,'Retail Rates'!$B$6:$Q$35,11,FALSE)</f>
        <v>0.96819999999999995</v>
      </c>
    </row>
    <row r="446" spans="2:20" x14ac:dyDescent="0.2">
      <c r="B446" s="561" t="str">
        <f>VLOOKUP($C446,'Retail Rates'!$B$6:$Q$35,4,FALSE)</f>
        <v>Gas Special Contracts - LG&amp;E</v>
      </c>
      <c r="C446" s="633" t="s">
        <v>82</v>
      </c>
      <c r="D446" s="633" t="str">
        <f t="shared" si="163"/>
        <v>996</v>
      </c>
      <c r="E446" s="561" t="str">
        <f>VLOOKUP($C446,'Retail Rates'!$B$6:$Q$35,3,FALSE)</f>
        <v>SPC-LGE</v>
      </c>
      <c r="F446" s="991"/>
      <c r="H446" s="999"/>
      <c r="I446" s="999"/>
      <c r="J446" s="999"/>
      <c r="K446" s="999"/>
      <c r="L446" s="999"/>
      <c r="M446" s="999"/>
      <c r="N446" s="999"/>
      <c r="O446" s="999"/>
      <c r="P446" s="999"/>
      <c r="Q446" s="999"/>
      <c r="R446" s="999"/>
      <c r="S446" s="999"/>
    </row>
    <row r="447" spans="2:20" x14ac:dyDescent="0.2">
      <c r="B447" s="561" t="str">
        <f>VLOOKUP($C447,'Retail Rates'!$B$6:$Q$35,4,FALSE)</f>
        <v>Gas Special Contracts - LG&amp;E</v>
      </c>
      <c r="C447" s="633" t="s">
        <v>82</v>
      </c>
      <c r="D447" s="633" t="str">
        <f t="shared" si="163"/>
        <v>996</v>
      </c>
      <c r="E447" s="561" t="str">
        <f>VLOOKUP($C447,'Retail Rates'!$B$6:$Q$35,3,FALSE)</f>
        <v>SPC-LGE</v>
      </c>
      <c r="F447" s="991" t="s">
        <v>448</v>
      </c>
      <c r="G447" s="987" t="s">
        <v>833</v>
      </c>
      <c r="H447" s="624">
        <f>SUMIFS('Data LGE SpecContract MC-CR'!$G$5:$G$71,'Data LGE SpecContract MC-CR'!$A$5:$A$71,'Apr11-Mar12 FT-TS-Cashout-LG&amp;E'!H$394,'Data LGE SpecContract MC-CR'!$E$5:$E$71,'Apr11-Mar12 FT-TS-Cashout-LG&amp;E'!$G447,'Data LGE SpecContract MC-CR'!$B$5:$B$71,'Apr11-Mar12 FT-TS-Cashout-LG&amp;E'!$C447)</f>
        <v>340</v>
      </c>
      <c r="I447" s="624">
        <f>SUMIFS('Data LGE SpecContract MC-CR'!$G$5:$G$71,'Data LGE SpecContract MC-CR'!$A$5:$A$71,'Apr11-Mar12 FT-TS-Cashout-LG&amp;E'!I$394,'Data LGE SpecContract MC-CR'!$E$5:$E$71,'Apr11-Mar12 FT-TS-Cashout-LG&amp;E'!$G447,'Data LGE SpecContract MC-CR'!$B$5:$B$71,'Apr11-Mar12 FT-TS-Cashout-LG&amp;E'!$C447)</f>
        <v>340</v>
      </c>
      <c r="J447" s="624">
        <f>SUMIFS('Data LGE SpecContract MC-CR'!$G$5:$G$71,'Data LGE SpecContract MC-CR'!$A$5:$A$71,'Apr11-Mar12 FT-TS-Cashout-LG&amp;E'!J$394,'Data LGE SpecContract MC-CR'!$E$5:$E$71,'Apr11-Mar12 FT-TS-Cashout-LG&amp;E'!$G447,'Data LGE SpecContract MC-CR'!$B$5:$B$71,'Apr11-Mar12 FT-TS-Cashout-LG&amp;E'!$C447)</f>
        <v>340</v>
      </c>
      <c r="K447" s="624">
        <f>SUMIFS('Data LGE SpecContract MC-CR'!$G$5:$G$71,'Data LGE SpecContract MC-CR'!$A$5:$A$71,'Apr11-Mar12 FT-TS-Cashout-LG&amp;E'!K$394,'Data LGE SpecContract MC-CR'!$E$5:$E$71,'Apr11-Mar12 FT-TS-Cashout-LG&amp;E'!$G447,'Data LGE SpecContract MC-CR'!$B$5:$B$71,'Apr11-Mar12 FT-TS-Cashout-LG&amp;E'!$C447)</f>
        <v>0</v>
      </c>
      <c r="L447" s="624">
        <f>SUMIFS('Data LGE SpecContract MC-CR'!$G$5:$G$71,'Data LGE SpecContract MC-CR'!$A$5:$A$71,'Apr11-Mar12 FT-TS-Cashout-LG&amp;E'!L$394,'Data LGE SpecContract MC-CR'!$E$5:$E$71,'Apr11-Mar12 FT-TS-Cashout-LG&amp;E'!$G447,'Data LGE SpecContract MC-CR'!$B$5:$B$71,'Apr11-Mar12 FT-TS-Cashout-LG&amp;E'!$C447)</f>
        <v>680</v>
      </c>
      <c r="M447" s="624">
        <f>SUMIFS('Data LGE SpecContract MC-CR'!$G$5:$G$71,'Data LGE SpecContract MC-CR'!$A$5:$A$71,'Apr11-Mar12 FT-TS-Cashout-LG&amp;E'!M$394,'Data LGE SpecContract MC-CR'!$E$5:$E$71,'Apr11-Mar12 FT-TS-Cashout-LG&amp;E'!$G447,'Data LGE SpecContract MC-CR'!$B$5:$B$71,'Apr11-Mar12 FT-TS-Cashout-LG&amp;E'!$C447)</f>
        <v>340</v>
      </c>
      <c r="N447" s="624">
        <f>SUMIFS('Data LGE SpecContract MC-CR'!$G$5:$G$71,'Data LGE SpecContract MC-CR'!$A$5:$A$71,'Apr11-Mar12 FT-TS-Cashout-LG&amp;E'!N$394,'Data LGE SpecContract MC-CR'!$E$5:$E$71,'Apr11-Mar12 FT-TS-Cashout-LG&amp;E'!$G447,'Data LGE SpecContract MC-CR'!$B$5:$B$71,'Apr11-Mar12 FT-TS-Cashout-LG&amp;E'!$C447)</f>
        <v>340</v>
      </c>
      <c r="O447" s="624">
        <f>SUMIFS('Data LGE SpecContract MC-CR'!$G$5:$G$71,'Data LGE SpecContract MC-CR'!$A$5:$A$71,'Apr11-Mar12 FT-TS-Cashout-LG&amp;E'!O$394,'Data LGE SpecContract MC-CR'!$E$5:$E$71,'Apr11-Mar12 FT-TS-Cashout-LG&amp;E'!$G447,'Data LGE SpecContract MC-CR'!$B$5:$B$71,'Apr11-Mar12 FT-TS-Cashout-LG&amp;E'!$C447)</f>
        <v>340</v>
      </c>
      <c r="P447" s="624">
        <f>SUMIFS('Data LGE SpecContract MC-CR'!$G$5:$G$71,'Data LGE SpecContract MC-CR'!$A$5:$A$71,'Apr11-Mar12 FT-TS-Cashout-LG&amp;E'!P$394,'Data LGE SpecContract MC-CR'!$E$5:$E$71,'Apr11-Mar12 FT-TS-Cashout-LG&amp;E'!$G447,'Data LGE SpecContract MC-CR'!$B$5:$B$71,'Apr11-Mar12 FT-TS-Cashout-LG&amp;E'!$C447)</f>
        <v>340</v>
      </c>
      <c r="Q447" s="624">
        <f>SUMIFS('Data LGE SpecContract MC-CR'!$G$5:$G$71,'Data LGE SpecContract MC-CR'!$A$5:$A$71,'Apr11-Mar12 FT-TS-Cashout-LG&amp;E'!Q$394,'Data LGE SpecContract MC-CR'!$E$5:$E$71,'Apr11-Mar12 FT-TS-Cashout-LG&amp;E'!$G447,'Data LGE SpecContract MC-CR'!$B$5:$B$71,'Apr11-Mar12 FT-TS-Cashout-LG&amp;E'!$C447)</f>
        <v>340</v>
      </c>
      <c r="R447" s="624">
        <f>SUMIFS('Data LGE SpecContract MC-CR'!$G$5:$G$71,'Data LGE SpecContract MC-CR'!$A$5:$A$71,'Apr11-Mar12 FT-TS-Cashout-LG&amp;E'!R$394,'Data LGE SpecContract MC-CR'!$E$5:$E$71,'Apr11-Mar12 FT-TS-Cashout-LG&amp;E'!$G447,'Data LGE SpecContract MC-CR'!$B$5:$B$71,'Apr11-Mar12 FT-TS-Cashout-LG&amp;E'!$C447)</f>
        <v>340</v>
      </c>
      <c r="S447" s="624">
        <f>SUMIFS('Data LGE SpecContract MC-CR'!$G$5:$G$71,'Data LGE SpecContract MC-CR'!$A$5:$A$71,'Apr11-Mar12 FT-TS-Cashout-LG&amp;E'!S$394,'Data LGE SpecContract MC-CR'!$E$5:$E$71,'Apr11-Mar12 FT-TS-Cashout-LG&amp;E'!$G447,'Data LGE SpecContract MC-CR'!$B$5:$B$71,'Apr11-Mar12 FT-TS-Cashout-LG&amp;E'!$C447)</f>
        <v>340</v>
      </c>
      <c r="T447" s="1001">
        <f t="shared" ref="T447:T453" si="164">SUM(H447:S447)</f>
        <v>4080</v>
      </c>
    </row>
    <row r="448" spans="2:20" x14ac:dyDescent="0.2">
      <c r="B448" s="561" t="str">
        <f>VLOOKUP($C448,'Retail Rates'!$B$6:$Q$35,4,FALSE)</f>
        <v>Gas Special Contracts - LG&amp;E</v>
      </c>
      <c r="C448" s="633" t="s">
        <v>82</v>
      </c>
      <c r="D448" s="633" t="str">
        <f t="shared" si="163"/>
        <v>996</v>
      </c>
      <c r="E448" s="561" t="str">
        <f>VLOOKUP($C448,'Retail Rates'!$B$6:$Q$35,3,FALSE)</f>
        <v>SPC-LGE</v>
      </c>
      <c r="F448" s="991" t="s">
        <v>450</v>
      </c>
      <c r="H448" s="624">
        <f>+H442*H444</f>
        <v>11115.288319999998</v>
      </c>
      <c r="I448" s="624">
        <f t="shared" ref="I448:S448" si="165">+I442*I444</f>
        <v>8502.9318399999975</v>
      </c>
      <c r="J448" s="624">
        <f t="shared" si="165"/>
        <v>16358.114559999996</v>
      </c>
      <c r="K448" s="624">
        <f t="shared" si="165"/>
        <v>0</v>
      </c>
      <c r="L448" s="624">
        <f t="shared" si="165"/>
        <v>39508.452799999992</v>
      </c>
      <c r="M448" s="624">
        <f t="shared" si="165"/>
        <v>19474.339199999995</v>
      </c>
      <c r="N448" s="624">
        <f t="shared" si="165"/>
        <v>17530.579199999996</v>
      </c>
      <c r="O448" s="624">
        <f t="shared" si="165"/>
        <v>25008.829119999995</v>
      </c>
      <c r="P448" s="624">
        <f t="shared" si="165"/>
        <v>11275.004159999997</v>
      </c>
      <c r="Q448" s="624">
        <f t="shared" si="165"/>
        <v>15630.194239999997</v>
      </c>
      <c r="R448" s="624">
        <f t="shared" si="165"/>
        <v>12982.551039999998</v>
      </c>
      <c r="S448" s="624">
        <f t="shared" si="165"/>
        <v>14082.021439999999</v>
      </c>
      <c r="T448" s="1001">
        <f t="shared" si="164"/>
        <v>191468.30591999993</v>
      </c>
    </row>
    <row r="449" spans="2:20" x14ac:dyDescent="0.2">
      <c r="B449" s="561" t="str">
        <f>VLOOKUP($C449,'Retail Rates'!$B$6:$Q$35,4,FALSE)</f>
        <v>Gas Special Contracts - LG&amp;E</v>
      </c>
      <c r="C449" s="633" t="s">
        <v>82</v>
      </c>
      <c r="D449" s="633" t="str">
        <f t="shared" si="163"/>
        <v>996</v>
      </c>
      <c r="E449" s="561" t="str">
        <f>VLOOKUP($C449,'Retail Rates'!$B$6:$Q$35,3,FALSE)</f>
        <v>SPC-LGE</v>
      </c>
      <c r="F449" s="991" t="s">
        <v>292</v>
      </c>
      <c r="G449" s="987" t="s">
        <v>292</v>
      </c>
      <c r="H449" s="624">
        <f>SUMIFS('Data LGE SpecContract MC-CR'!$I$5:$I$71,'Data LGE SpecContract MC-CR'!$A$5:$A$71,'Apr11-Mar12 FT-TS-Cashout-LG&amp;E'!H$394,'Data LGE SpecContract MC-CR'!$E$5:$E$71,'Apr11-Mar12 FT-TS-Cashout-LG&amp;E'!$G449,'Data LGE SpecContract MC-CR'!$B$5:$B$71,'Apr11-Mar12 FT-TS-Cashout-LG&amp;E'!$C449)</f>
        <v>201394.35</v>
      </c>
      <c r="I449" s="624">
        <f>SUMIFS('Data LGE SpecContract MC-CR'!$I$5:$I$71,'Data LGE SpecContract MC-CR'!$A$5:$A$71,'Apr11-Mar12 FT-TS-Cashout-LG&amp;E'!I$394,'Data LGE SpecContract MC-CR'!$E$5:$E$71,'Apr11-Mar12 FT-TS-Cashout-LG&amp;E'!$G449,'Data LGE SpecContract MC-CR'!$B$5:$B$71,'Apr11-Mar12 FT-TS-Cashout-LG&amp;E'!$C449)</f>
        <v>141585.16</v>
      </c>
      <c r="J449" s="624">
        <f>SUMIFS('Data LGE SpecContract MC-CR'!$I$5:$I$71,'Data LGE SpecContract MC-CR'!$A$5:$A$71,'Apr11-Mar12 FT-TS-Cashout-LG&amp;E'!J$394,'Data LGE SpecContract MC-CR'!$E$5:$E$71,'Apr11-Mar12 FT-TS-Cashout-LG&amp;E'!$G449,'Data LGE SpecContract MC-CR'!$B$5:$B$71,'Apr11-Mar12 FT-TS-Cashout-LG&amp;E'!$C449)</f>
        <v>272384.43</v>
      </c>
      <c r="K449" s="624">
        <f>SUMIFS('Data LGE SpecContract MC-CR'!$I$5:$I$71,'Data LGE SpecContract MC-CR'!$A$5:$A$71,'Apr11-Mar12 FT-TS-Cashout-LG&amp;E'!K$394,'Data LGE SpecContract MC-CR'!$E$5:$E$71,'Apr11-Mar12 FT-TS-Cashout-LG&amp;E'!$G449,'Data LGE SpecContract MC-CR'!$B$5:$B$71,'Apr11-Mar12 FT-TS-Cashout-LG&amp;E'!$C449)</f>
        <v>0</v>
      </c>
      <c r="L449" s="624">
        <f>SUMIFS('Data LGE SpecContract MC-CR'!$I$5:$I$71,'Data LGE SpecContract MC-CR'!$A$5:$A$71,'Apr11-Mar12 FT-TS-Cashout-LG&amp;E'!L$394,'Data LGE SpecContract MC-CR'!$E$5:$E$71,'Apr11-Mar12 FT-TS-Cashout-LG&amp;E'!$G449,'Data LGE SpecContract MC-CR'!$B$5:$B$71,'Apr11-Mar12 FT-TS-Cashout-LG&amp;E'!$C449)</f>
        <v>746635.36</v>
      </c>
      <c r="M449" s="624">
        <f>SUMIFS('Data LGE SpecContract MC-CR'!$I$5:$I$71,'Data LGE SpecContract MC-CR'!$A$5:$A$71,'Apr11-Mar12 FT-TS-Cashout-LG&amp;E'!M$394,'Data LGE SpecContract MC-CR'!$E$5:$E$71,'Apr11-Mar12 FT-TS-Cashout-LG&amp;E'!$G449,'Data LGE SpecContract MC-CR'!$B$5:$B$71,'Apr11-Mar12 FT-TS-Cashout-LG&amp;E'!$C449)</f>
        <v>383900.22</v>
      </c>
      <c r="N449" s="624">
        <f>SUMIFS('Data LGE SpecContract MC-CR'!$I$5:$I$71,'Data LGE SpecContract MC-CR'!$A$5:$A$71,'Apr11-Mar12 FT-TS-Cashout-LG&amp;E'!N$394,'Data LGE SpecContract MC-CR'!$E$5:$E$71,'Apr11-Mar12 FT-TS-Cashout-LG&amp;E'!$G449,'Data LGE SpecContract MC-CR'!$B$5:$B$71,'Apr11-Mar12 FT-TS-Cashout-LG&amp;E'!$C449)</f>
        <v>345582.62</v>
      </c>
      <c r="O449" s="624">
        <f>SUMIFS('Data LGE SpecContract MC-CR'!$I$5:$I$71,'Data LGE SpecContract MC-CR'!$A$5:$A$71,'Apr11-Mar12 FT-TS-Cashout-LG&amp;E'!O$394,'Data LGE SpecContract MC-CR'!$E$5:$E$71,'Apr11-Mar12 FT-TS-Cashout-LG&amp;E'!$G449,'Data LGE SpecContract MC-CR'!$B$5:$B$71,'Apr11-Mar12 FT-TS-Cashout-LG&amp;E'!$C449)</f>
        <v>492185.7</v>
      </c>
      <c r="P449" s="624">
        <f>SUMIFS('Data LGE SpecContract MC-CR'!$I$5:$I$71,'Data LGE SpecContract MC-CR'!$A$5:$A$71,'Apr11-Mar12 FT-TS-Cashout-LG&amp;E'!P$394,'Data LGE SpecContract MC-CR'!$E$5:$E$71,'Apr11-Mar12 FT-TS-Cashout-LG&amp;E'!$G449,'Data LGE SpecContract MC-CR'!$B$5:$B$71,'Apr11-Mar12 FT-TS-Cashout-LG&amp;E'!$C449)</f>
        <v>221897.46</v>
      </c>
      <c r="Q449" s="624">
        <f>SUMIFS('Data LGE SpecContract MC-CR'!$I$5:$I$71,'Data LGE SpecContract MC-CR'!$A$5:$A$71,'Apr11-Mar12 FT-TS-Cashout-LG&amp;E'!Q$394,'Data LGE SpecContract MC-CR'!$E$5:$E$71,'Apr11-Mar12 FT-TS-Cashout-LG&amp;E'!$G449,'Data LGE SpecContract MC-CR'!$B$5:$B$71,'Apr11-Mar12 FT-TS-Cashout-LG&amp;E'!$C449)</f>
        <v>307609.69</v>
      </c>
      <c r="R449" s="624">
        <f>SUMIFS('Data LGE SpecContract MC-CR'!$I$5:$I$71,'Data LGE SpecContract MC-CR'!$A$5:$A$71,'Apr11-Mar12 FT-TS-Cashout-LG&amp;E'!R$394,'Data LGE SpecContract MC-CR'!$E$5:$E$71,'Apr11-Mar12 FT-TS-Cashout-LG&amp;E'!$G449,'Data LGE SpecContract MC-CR'!$B$5:$B$71,'Apr11-Mar12 FT-TS-Cashout-LG&amp;E'!$C449)</f>
        <v>235226.69</v>
      </c>
      <c r="S449" s="624">
        <f>SUMIFS('Data LGE SpecContract MC-CR'!$I$5:$I$71,'Data LGE SpecContract MC-CR'!$A$5:$A$71,'Apr11-Mar12 FT-TS-Cashout-LG&amp;E'!S$394,'Data LGE SpecContract MC-CR'!$E$5:$E$71,'Apr11-Mar12 FT-TS-Cashout-LG&amp;E'!$G449,'Data LGE SpecContract MC-CR'!$B$5:$B$71,'Apr11-Mar12 FT-TS-Cashout-LG&amp;E'!$C449)</f>
        <v>255147.64</v>
      </c>
      <c r="T449" s="1001">
        <f t="shared" si="164"/>
        <v>3603549.32</v>
      </c>
    </row>
    <row r="450" spans="2:20" x14ac:dyDescent="0.2">
      <c r="B450" s="561" t="str">
        <f>VLOOKUP($C450,'Retail Rates'!$B$6:$Q$35,4,FALSE)</f>
        <v>Gas Special Contracts - LG&amp;E</v>
      </c>
      <c r="C450" s="633" t="s">
        <v>82</v>
      </c>
      <c r="D450" s="633" t="str">
        <f t="shared" si="163"/>
        <v>996</v>
      </c>
      <c r="E450" s="561" t="str">
        <f>VLOOKUP($C450,'Retail Rates'!$B$6:$Q$35,3,FALSE)</f>
        <v>SPC-LGE</v>
      </c>
      <c r="F450" s="991" t="s">
        <v>449</v>
      </c>
      <c r="G450" s="987" t="s">
        <v>878</v>
      </c>
      <c r="H450" s="1017">
        <f>SUMIFS('Data LGE SpecContract MC-CR'!$J$5:$J$71,'Data LGE SpecContract MC-CR'!$A$5:$A$71,'Apr11-Mar12 FT-TS-Cashout-LG&amp;E'!H$394,'Data LGE SpecContract MC-CR'!$E$5:$E$71,'Apr11-Mar12 FT-TS-Cashout-LG&amp;E'!$G450,'Data LGE SpecContract MC-CR'!$B$5:$B$71,'Apr11-Mar12 FT-TS-Cashout-LG&amp;E'!$C450)</f>
        <v>286974.48</v>
      </c>
      <c r="I450" s="1017">
        <f>SUMIFS('Data LGE SpecContract MC-CR'!$J$5:$J$71,'Data LGE SpecContract MC-CR'!$A$5:$A$71,'Apr11-Mar12 FT-TS-Cashout-LG&amp;E'!I$394,'Data LGE SpecContract MC-CR'!$E$5:$E$71,'Apr11-Mar12 FT-TS-Cashout-LG&amp;E'!$G450,'Data LGE SpecContract MC-CR'!$B$5:$B$71,'Apr11-Mar12 FT-TS-Cashout-LG&amp;E'!$C450)</f>
        <v>286974.48</v>
      </c>
      <c r="J450" s="1017">
        <f>SUMIFS('Data LGE SpecContract MC-CR'!$J$5:$J$71,'Data LGE SpecContract MC-CR'!$A$5:$A$71,'Apr11-Mar12 FT-TS-Cashout-LG&amp;E'!J$394,'Data LGE SpecContract MC-CR'!$E$5:$E$71,'Apr11-Mar12 FT-TS-Cashout-LG&amp;E'!$G450,'Data LGE SpecContract MC-CR'!$B$5:$B$71,'Apr11-Mar12 FT-TS-Cashout-LG&amp;E'!$C450)</f>
        <v>286974.48</v>
      </c>
      <c r="K450" s="1017">
        <f>SUMIFS('Data LGE SpecContract MC-CR'!$J$5:$J$71,'Data LGE SpecContract MC-CR'!$A$5:$A$71,'Apr11-Mar12 FT-TS-Cashout-LG&amp;E'!K$394,'Data LGE SpecContract MC-CR'!$E$5:$E$71,'Apr11-Mar12 FT-TS-Cashout-LG&amp;E'!$G450,'Data LGE SpecContract MC-CR'!$B$5:$B$71,'Apr11-Mar12 FT-TS-Cashout-LG&amp;E'!$C450)</f>
        <v>0</v>
      </c>
      <c r="L450" s="1017">
        <f>SUMIFS('Data LGE SpecContract MC-CR'!$J$5:$J$71,'Data LGE SpecContract MC-CR'!$A$5:$A$71,'Apr11-Mar12 FT-TS-Cashout-LG&amp;E'!L$394,'Data LGE SpecContract MC-CR'!$E$5:$E$71,'Apr11-Mar12 FT-TS-Cashout-LG&amp;E'!$G450,'Data LGE SpecContract MC-CR'!$B$5:$B$71,'Apr11-Mar12 FT-TS-Cashout-LG&amp;E'!$C450)</f>
        <v>573948.96</v>
      </c>
      <c r="M450" s="1017">
        <f>SUMIFS('Data LGE SpecContract MC-CR'!$J$5:$J$71,'Data LGE SpecContract MC-CR'!$A$5:$A$71,'Apr11-Mar12 FT-TS-Cashout-LG&amp;E'!M$394,'Data LGE SpecContract MC-CR'!$E$5:$E$71,'Apr11-Mar12 FT-TS-Cashout-LG&amp;E'!$G450,'Data LGE SpecContract MC-CR'!$B$5:$B$71,'Apr11-Mar12 FT-TS-Cashout-LG&amp;E'!$C450)</f>
        <v>286974.48</v>
      </c>
      <c r="N450" s="1017">
        <f>SUMIFS('Data LGE SpecContract MC-CR'!$J$5:$J$71,'Data LGE SpecContract MC-CR'!$A$5:$A$71,'Apr11-Mar12 FT-TS-Cashout-LG&amp;E'!N$394,'Data LGE SpecContract MC-CR'!$E$5:$E$71,'Apr11-Mar12 FT-TS-Cashout-LG&amp;E'!$G450,'Data LGE SpecContract MC-CR'!$B$5:$B$71,'Apr11-Mar12 FT-TS-Cashout-LG&amp;E'!$C450)</f>
        <v>286974.48</v>
      </c>
      <c r="O450" s="1017">
        <f>SUMIFS('Data LGE SpecContract MC-CR'!$J$5:$J$71,'Data LGE SpecContract MC-CR'!$A$5:$A$71,'Apr11-Mar12 FT-TS-Cashout-LG&amp;E'!O$394,'Data LGE SpecContract MC-CR'!$E$5:$E$71,'Apr11-Mar12 FT-TS-Cashout-LG&amp;E'!$G450,'Data LGE SpecContract MC-CR'!$B$5:$B$71,'Apr11-Mar12 FT-TS-Cashout-LG&amp;E'!$C450)</f>
        <v>286974.48</v>
      </c>
      <c r="P450" s="1017">
        <f>SUMIFS('Data LGE SpecContract MC-CR'!$J$5:$J$71,'Data LGE SpecContract MC-CR'!$A$5:$A$71,'Apr11-Mar12 FT-TS-Cashout-LG&amp;E'!P$394,'Data LGE SpecContract MC-CR'!$E$5:$E$71,'Apr11-Mar12 FT-TS-Cashout-LG&amp;E'!$G450,'Data LGE SpecContract MC-CR'!$B$5:$B$71,'Apr11-Mar12 FT-TS-Cashout-LG&amp;E'!$C450)</f>
        <v>286974.48</v>
      </c>
      <c r="Q450" s="1017">
        <f>SUMIFS('Data LGE SpecContract MC-CR'!$J$5:$J$71,'Data LGE SpecContract MC-CR'!$A$5:$A$71,'Apr11-Mar12 FT-TS-Cashout-LG&amp;E'!Q$394,'Data LGE SpecContract MC-CR'!$E$5:$E$71,'Apr11-Mar12 FT-TS-Cashout-LG&amp;E'!$G450,'Data LGE SpecContract MC-CR'!$B$5:$B$71,'Apr11-Mar12 FT-TS-Cashout-LG&amp;E'!$C450)</f>
        <v>286974.48</v>
      </c>
      <c r="R450" s="1017">
        <f>SUMIFS('Data LGE SpecContract MC-CR'!$J$5:$J$71,'Data LGE SpecContract MC-CR'!$A$5:$A$71,'Apr11-Mar12 FT-TS-Cashout-LG&amp;E'!R$394,'Data LGE SpecContract MC-CR'!$E$5:$E$71,'Apr11-Mar12 FT-TS-Cashout-LG&amp;E'!$G450,'Data LGE SpecContract MC-CR'!$B$5:$B$71,'Apr11-Mar12 FT-TS-Cashout-LG&amp;E'!$C450)</f>
        <v>286974.48</v>
      </c>
      <c r="S450" s="1017">
        <f>SUMIFS('Data LGE SpecContract MC-CR'!$J$5:$J$71,'Data LGE SpecContract MC-CR'!$A$5:$A$71,'Apr11-Mar12 FT-TS-Cashout-LG&amp;E'!S$394,'Data LGE SpecContract MC-CR'!$E$5:$E$71,'Apr11-Mar12 FT-TS-Cashout-LG&amp;E'!$G450,'Data LGE SpecContract MC-CR'!$B$5:$B$71,'Apr11-Mar12 FT-TS-Cashout-LG&amp;E'!$C450)</f>
        <v>286974.48</v>
      </c>
      <c r="T450" s="1001">
        <f t="shared" si="164"/>
        <v>3443693.76</v>
      </c>
    </row>
    <row r="451" spans="2:20" x14ac:dyDescent="0.2">
      <c r="C451" s="633"/>
      <c r="D451" s="633"/>
      <c r="F451" s="991" t="s">
        <v>433</v>
      </c>
      <c r="H451" s="999">
        <f>SUM(H447:H450)</f>
        <v>499824.11832000001</v>
      </c>
      <c r="I451" s="999">
        <f t="shared" ref="I451:S451" si="166">SUM(I447:I450)</f>
        <v>437402.57183999999</v>
      </c>
      <c r="J451" s="999">
        <f t="shared" si="166"/>
        <v>576057.02456000005</v>
      </c>
      <c r="K451" s="999">
        <f t="shared" si="166"/>
        <v>0</v>
      </c>
      <c r="L451" s="999">
        <f t="shared" si="166"/>
        <v>1360772.7727999999</v>
      </c>
      <c r="M451" s="999">
        <f t="shared" si="166"/>
        <v>690689.0392</v>
      </c>
      <c r="N451" s="999">
        <f t="shared" si="166"/>
        <v>650427.6791999999</v>
      </c>
      <c r="O451" s="999">
        <f t="shared" si="166"/>
        <v>804509.00912000006</v>
      </c>
      <c r="P451" s="999">
        <f t="shared" si="166"/>
        <v>520486.94415999996</v>
      </c>
      <c r="Q451" s="999">
        <f t="shared" si="166"/>
        <v>610554.36424000002</v>
      </c>
      <c r="R451" s="999">
        <f t="shared" si="166"/>
        <v>535523.72103999997</v>
      </c>
      <c r="S451" s="999">
        <f t="shared" si="166"/>
        <v>556544.14143999992</v>
      </c>
      <c r="T451" s="1001">
        <f t="shared" si="164"/>
        <v>7242791.3859199993</v>
      </c>
    </row>
    <row r="452" spans="2:20" x14ac:dyDescent="0.2">
      <c r="C452" s="633"/>
      <c r="D452" s="633"/>
      <c r="F452" s="991"/>
      <c r="H452" s="999"/>
      <c r="I452" s="999"/>
      <c r="J452" s="999"/>
      <c r="K452" s="999"/>
      <c r="L452" s="999"/>
      <c r="M452" s="999"/>
      <c r="N452" s="999"/>
      <c r="O452" s="999"/>
      <c r="P452" s="999"/>
      <c r="Q452" s="999"/>
      <c r="R452" s="999"/>
      <c r="S452" s="999"/>
    </row>
    <row r="453" spans="2:20" x14ac:dyDescent="0.2">
      <c r="C453" s="633"/>
      <c r="D453" s="633"/>
      <c r="F453" s="991" t="s">
        <v>879</v>
      </c>
      <c r="H453" s="999">
        <f>+'SBR Jan12'!J50</f>
        <v>499824.11</v>
      </c>
      <c r="I453" s="999">
        <f>+'SBR Feb12'!J51</f>
        <v>437402.56999999995</v>
      </c>
      <c r="J453" s="999">
        <f>+'SBR Mar12'!J63</f>
        <v>576057.02</v>
      </c>
      <c r="K453" s="999">
        <f>+'SBR Apr11'!J51</f>
        <v>810039.87000000011</v>
      </c>
      <c r="L453" s="999">
        <f>+'SBR May11'!J51</f>
        <v>550732.9</v>
      </c>
      <c r="M453" s="999">
        <f>+'SBR Jun11'!J48</f>
        <v>690689.04</v>
      </c>
      <c r="N453" s="999">
        <f>+'SBR Jul11'!J49</f>
        <v>650427.67999999993</v>
      </c>
      <c r="O453" s="999">
        <f>+'SBR Aug11'!J49</f>
        <v>804509.01</v>
      </c>
      <c r="P453" s="999">
        <f>+'SBR Sep11'!J49</f>
        <v>520486.93999999994</v>
      </c>
      <c r="Q453" s="999">
        <f>+'SBR Oct11'!J50</f>
        <v>610554.37</v>
      </c>
      <c r="R453" s="999">
        <f>+'SBR Nov11'!J53</f>
        <v>535523.72</v>
      </c>
      <c r="S453" s="999">
        <f>+'SBR Dec11'!J53</f>
        <v>556544.14</v>
      </c>
      <c r="T453" s="1001">
        <f t="shared" si="164"/>
        <v>7242791.3700000001</v>
      </c>
    </row>
    <row r="454" spans="2:20" x14ac:dyDescent="0.2">
      <c r="C454" s="633"/>
      <c r="D454" s="633"/>
      <c r="F454" s="991" t="s">
        <v>386</v>
      </c>
      <c r="H454" s="999">
        <f>+H451-H453</f>
        <v>8.320000022649765E-3</v>
      </c>
      <c r="I454" s="999">
        <f>+I451-I453</f>
        <v>1.8400000408291817E-3</v>
      </c>
      <c r="J454" s="999">
        <f>+J451-J453</f>
        <v>4.560000030323863E-3</v>
      </c>
      <c r="K454" s="1038">
        <f>+K451-K453</f>
        <v>-810039.87000000011</v>
      </c>
      <c r="L454" s="1039">
        <f t="shared" ref="L454:S454" si="167">+L451-L453</f>
        <v>810039.8727999999</v>
      </c>
      <c r="M454" s="999">
        <f t="shared" si="167"/>
        <v>-8.0000003799796104E-4</v>
      </c>
      <c r="N454" s="999">
        <f t="shared" si="167"/>
        <v>-8.0000003799796104E-4</v>
      </c>
      <c r="O454" s="999">
        <f t="shared" si="167"/>
        <v>-8.7999994866549969E-4</v>
      </c>
      <c r="P454" s="999">
        <f t="shared" si="167"/>
        <v>4.1600000113248825E-3</v>
      </c>
      <c r="Q454" s="999">
        <f t="shared" si="167"/>
        <v>-5.7599999709054828E-3</v>
      </c>
      <c r="R454" s="999">
        <f t="shared" si="167"/>
        <v>1.0400000028312206E-3</v>
      </c>
      <c r="S454" s="999">
        <f t="shared" si="167"/>
        <v>1.4399999054148793E-3</v>
      </c>
      <c r="T454" s="1001">
        <f>SUM(H454:S454)</f>
        <v>1.5919999801553786E-2</v>
      </c>
    </row>
    <row r="455" spans="2:20" x14ac:dyDescent="0.2">
      <c r="C455" s="633"/>
      <c r="D455" s="633"/>
      <c r="F455" s="991"/>
      <c r="H455" s="999"/>
      <c r="I455" s="999"/>
      <c r="J455" s="999"/>
      <c r="K455" s="999"/>
      <c r="L455" s="999"/>
      <c r="M455" s="999"/>
      <c r="N455" s="999"/>
      <c r="O455" s="999"/>
      <c r="P455" s="999"/>
      <c r="Q455" s="999"/>
      <c r="R455" s="999"/>
      <c r="S455" s="999"/>
    </row>
    <row r="456" spans="2:20" x14ac:dyDescent="0.2">
      <c r="C456" s="633"/>
      <c r="D456" s="633"/>
      <c r="F456" s="991"/>
      <c r="H456" s="999"/>
      <c r="I456" s="999"/>
      <c r="J456" s="999"/>
      <c r="K456" s="999"/>
      <c r="L456" s="999"/>
      <c r="M456" s="999"/>
      <c r="N456" s="999"/>
      <c r="O456" s="999"/>
      <c r="P456" s="999"/>
      <c r="Q456" s="999"/>
      <c r="R456" s="999"/>
      <c r="S456" s="999"/>
    </row>
    <row r="457" spans="2:20" x14ac:dyDescent="0.2">
      <c r="C457" s="633"/>
      <c r="D457" s="633"/>
      <c r="F457" s="1041" t="s">
        <v>881</v>
      </c>
      <c r="H457" s="999">
        <f>+H414+H433+H451</f>
        <v>608846.12569999998</v>
      </c>
      <c r="I457" s="999">
        <f t="shared" ref="I457:S457" si="168">+I414+I433+I451</f>
        <v>543620.19458999997</v>
      </c>
      <c r="J457" s="999">
        <f t="shared" si="168"/>
        <v>681814.02456000005</v>
      </c>
      <c r="K457" s="999">
        <f t="shared" si="168"/>
        <v>110309.976</v>
      </c>
      <c r="L457" s="999">
        <f t="shared" si="168"/>
        <v>1470592.4186999998</v>
      </c>
      <c r="M457" s="999">
        <f t="shared" si="168"/>
        <v>800808.07982999994</v>
      </c>
      <c r="N457" s="999">
        <f t="shared" si="168"/>
        <v>788424.50618999987</v>
      </c>
      <c r="O457" s="999">
        <f t="shared" si="168"/>
        <v>935262.42856000003</v>
      </c>
      <c r="P457" s="999">
        <f t="shared" si="168"/>
        <v>612455.70939999993</v>
      </c>
      <c r="Q457" s="999">
        <f t="shared" si="168"/>
        <v>716311.36424000002</v>
      </c>
      <c r="R457" s="999">
        <f t="shared" si="168"/>
        <v>641364.93606999994</v>
      </c>
      <c r="S457" s="999">
        <f t="shared" si="168"/>
        <v>669329.43985999993</v>
      </c>
      <c r="T457" s="1001">
        <f>SUM(H457:S457)</f>
        <v>8579139.2037000004</v>
      </c>
    </row>
    <row r="458" spans="2:20" x14ac:dyDescent="0.2">
      <c r="C458" s="633"/>
      <c r="D458" s="633"/>
      <c r="F458" s="1041" t="s">
        <v>882</v>
      </c>
      <c r="H458" s="999">
        <v>608846.12</v>
      </c>
      <c r="I458" s="999">
        <v>543620.18999999994</v>
      </c>
      <c r="J458" s="999">
        <v>681814.02</v>
      </c>
      <c r="K458" s="999">
        <v>921573</v>
      </c>
      <c r="L458" s="999">
        <v>659329</v>
      </c>
      <c r="M458" s="999">
        <v>800808</v>
      </c>
      <c r="N458" s="999">
        <v>788425</v>
      </c>
      <c r="O458" s="999">
        <v>935263</v>
      </c>
      <c r="P458" s="999">
        <v>612455</v>
      </c>
      <c r="Q458" s="999">
        <v>716312</v>
      </c>
      <c r="R458" s="999">
        <v>641365</v>
      </c>
      <c r="S458" s="999">
        <v>669329</v>
      </c>
      <c r="T458" s="1001">
        <f>SUM(H458:S458)</f>
        <v>8579139.3300000001</v>
      </c>
    </row>
    <row r="459" spans="2:20" x14ac:dyDescent="0.2">
      <c r="C459" s="633"/>
      <c r="D459" s="633"/>
      <c r="F459" s="991" t="s">
        <v>386</v>
      </c>
      <c r="H459" s="999">
        <f>+H457-H458</f>
        <v>5.6999999796971679E-3</v>
      </c>
      <c r="I459" s="999">
        <f t="shared" ref="I459:S459" si="169">+I457-I458</f>
        <v>4.5900000259280205E-3</v>
      </c>
      <c r="J459" s="999">
        <f t="shared" si="169"/>
        <v>4.560000030323863E-3</v>
      </c>
      <c r="K459" s="1038">
        <f t="shared" si="169"/>
        <v>-811263.02399999998</v>
      </c>
      <c r="L459" s="1039">
        <f t="shared" si="169"/>
        <v>811263.41869999981</v>
      </c>
      <c r="M459" s="999">
        <f t="shared" si="169"/>
        <v>7.9829999944195151E-2</v>
      </c>
      <c r="N459" s="999">
        <f t="shared" si="169"/>
        <v>-0.4938100001309067</v>
      </c>
      <c r="O459" s="999">
        <f t="shared" si="169"/>
        <v>-0.57143999997060746</v>
      </c>
      <c r="P459" s="999">
        <f t="shared" si="169"/>
        <v>0.70939999993424863</v>
      </c>
      <c r="Q459" s="999">
        <f t="shared" si="169"/>
        <v>-0.6357599999755621</v>
      </c>
      <c r="R459" s="999">
        <f t="shared" si="169"/>
        <v>-6.3930000062100589E-2</v>
      </c>
      <c r="S459" s="999">
        <f t="shared" si="169"/>
        <v>0.43985999992582947</v>
      </c>
      <c r="T459" s="1001">
        <f>SUM(H459:S459)</f>
        <v>-0.12630000046920031</v>
      </c>
    </row>
    <row r="460" spans="2:20" x14ac:dyDescent="0.2">
      <c r="C460" s="633"/>
      <c r="D460" s="633"/>
      <c r="F460" s="991"/>
      <c r="H460" s="999"/>
      <c r="I460" s="999"/>
      <c r="J460" s="999"/>
      <c r="K460" s="999"/>
      <c r="L460" s="999"/>
      <c r="M460" s="999"/>
      <c r="N460" s="999"/>
      <c r="O460" s="999"/>
      <c r="P460" s="999"/>
      <c r="Q460" s="999"/>
      <c r="R460" s="999"/>
      <c r="S460" s="999"/>
    </row>
    <row r="461" spans="2:20" x14ac:dyDescent="0.2">
      <c r="C461" s="633"/>
      <c r="D461" s="633"/>
    </row>
    <row r="462" spans="2:20" x14ac:dyDescent="0.2">
      <c r="I462" s="999"/>
      <c r="J462" s="999"/>
    </row>
  </sheetData>
  <pageMargins left="0.7" right="0.7" top="0.75" bottom="0.75" header="0.3" footer="0.3"/>
  <pageSetup orientation="portrait" r:id="rId1"/>
  <ignoredErrors>
    <ignoredError sqref="H21:I21 K21:S21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 tint="0.39997558519241921"/>
  </sheetPr>
  <dimension ref="A1:AC368"/>
  <sheetViews>
    <sheetView zoomScale="80" zoomScaleNormal="80" workbookViewId="0"/>
  </sheetViews>
  <sheetFormatPr defaultRowHeight="12.75" x14ac:dyDescent="0.2"/>
  <cols>
    <col min="1" max="1" width="4.28515625" style="196" customWidth="1"/>
    <col min="2" max="2" width="9.140625" style="196"/>
    <col min="3" max="3" width="11" style="196" customWidth="1"/>
    <col min="4" max="4" width="9.140625" style="196"/>
    <col min="5" max="5" width="20.28515625" style="196" bestFit="1" customWidth="1"/>
    <col min="6" max="6" width="13.7109375" style="214" customWidth="1"/>
    <col min="7" max="7" width="10.85546875" style="214" bestFit="1" customWidth="1"/>
    <col min="8" max="8" width="11.7109375" style="214" customWidth="1"/>
    <col min="9" max="9" width="13.5703125" style="282" customWidth="1"/>
    <col min="10" max="10" width="14.140625" style="282" customWidth="1"/>
    <col min="11" max="11" width="11.42578125" style="282" customWidth="1"/>
    <col min="12" max="12" width="12.5703125" style="282" customWidth="1"/>
    <col min="13" max="13" width="12.5703125" style="277" customWidth="1"/>
    <col min="14" max="14" width="3.7109375" style="277" customWidth="1"/>
    <col min="15" max="18" width="12.7109375" style="318" customWidth="1"/>
    <col min="19" max="19" width="14.140625" style="214" customWidth="1"/>
    <col min="20" max="20" width="17.5703125" style="282" customWidth="1"/>
    <col min="21" max="22" width="14.140625" style="282" customWidth="1"/>
    <col min="23" max="23" width="16" style="277" customWidth="1"/>
    <col min="24" max="24" width="13.140625" style="210" bestFit="1" customWidth="1"/>
    <col min="25" max="26" width="12" style="210" bestFit="1" customWidth="1"/>
    <col min="27" max="27" width="12.28515625" style="210" customWidth="1"/>
    <col min="28" max="28" width="10.85546875" style="210" bestFit="1" customWidth="1"/>
    <col min="29" max="29" width="12.42578125" style="210" bestFit="1" customWidth="1"/>
    <col min="30" max="16384" width="9.140625" style="210"/>
  </cols>
  <sheetData>
    <row r="1" spans="1:23" x14ac:dyDescent="0.2">
      <c r="D1" s="197"/>
    </row>
    <row r="2" spans="1:23" x14ac:dyDescent="0.2">
      <c r="D2" s="197"/>
      <c r="F2" s="334" t="s">
        <v>438</v>
      </c>
      <c r="O2" s="335" t="s">
        <v>439</v>
      </c>
    </row>
    <row r="3" spans="1:23" x14ac:dyDescent="0.2">
      <c r="D3" s="197"/>
    </row>
    <row r="4" spans="1:23" x14ac:dyDescent="0.2">
      <c r="D4" s="197"/>
      <c r="F4" s="274" t="s">
        <v>277</v>
      </c>
      <c r="G4" s="216"/>
      <c r="H4" s="216"/>
      <c r="I4" s="283"/>
      <c r="M4" s="280" t="s">
        <v>328</v>
      </c>
      <c r="O4" s="322" t="s">
        <v>277</v>
      </c>
      <c r="P4" s="325"/>
      <c r="Q4" s="322"/>
      <c r="R4" s="322"/>
      <c r="S4" s="274" t="s">
        <v>277</v>
      </c>
      <c r="T4" s="283"/>
      <c r="W4" s="280" t="s">
        <v>328</v>
      </c>
    </row>
    <row r="5" spans="1:23" ht="25.5" x14ac:dyDescent="0.2">
      <c r="A5" s="200" t="s">
        <v>259</v>
      </c>
      <c r="B5" s="201" t="s">
        <v>245</v>
      </c>
      <c r="C5" s="201" t="s">
        <v>17</v>
      </c>
      <c r="D5" s="200" t="s">
        <v>260</v>
      </c>
      <c r="E5" s="200" t="s">
        <v>261</v>
      </c>
      <c r="F5" s="213" t="s">
        <v>273</v>
      </c>
      <c r="G5" s="213" t="s">
        <v>274</v>
      </c>
      <c r="H5" s="213" t="s">
        <v>327</v>
      </c>
      <c r="I5" s="284" t="s">
        <v>387</v>
      </c>
      <c r="J5" s="284" t="s">
        <v>388</v>
      </c>
      <c r="K5" s="285" t="s">
        <v>329</v>
      </c>
      <c r="L5" s="285" t="s">
        <v>327</v>
      </c>
      <c r="M5" s="278" t="s">
        <v>19</v>
      </c>
      <c r="N5" s="278"/>
      <c r="O5" s="328" t="s">
        <v>435</v>
      </c>
      <c r="P5" s="319" t="s">
        <v>434</v>
      </c>
      <c r="Q5" s="319" t="s">
        <v>436</v>
      </c>
      <c r="R5" s="319" t="s">
        <v>437</v>
      </c>
      <c r="S5" s="213" t="s">
        <v>330</v>
      </c>
      <c r="T5" s="285" t="s">
        <v>331</v>
      </c>
      <c r="U5" s="285" t="s">
        <v>332</v>
      </c>
      <c r="V5" s="285" t="s">
        <v>333</v>
      </c>
      <c r="W5" s="278" t="s">
        <v>244</v>
      </c>
    </row>
    <row r="6" spans="1:23" x14ac:dyDescent="0.2">
      <c r="A6" s="196">
        <v>1</v>
      </c>
      <c r="B6" s="211">
        <v>40634</v>
      </c>
      <c r="C6" s="211" t="str">
        <f>+'Retail Rates'!B7</f>
        <v>LGCMG865</v>
      </c>
      <c r="D6" s="197" t="str">
        <f t="shared" ref="D6:D69" si="0">MID(C6,6,3)</f>
        <v>865</v>
      </c>
      <c r="E6" s="197" t="str">
        <f>VLOOKUP(C6,'Retail Rates'!$B$7:$D$35,3,FALSE)</f>
        <v>AAGS-C</v>
      </c>
      <c r="F6" s="222">
        <f>SUMIFS('Data-Retail'!$H$4:$H$269,'Data-Retail'!$A$4:$A$269,'GSC Support'!$B6,'Data-Retail'!$D$4:$D$269,'GSC Support'!$C6)</f>
        <v>100208</v>
      </c>
      <c r="G6" s="222">
        <f>SUMIFS('Data-Retail'!$I$4:$I$269,'Data-Retail'!$A$4:$A$269,'GSC Support'!$B6,'Data-Retail'!$D$4:$D$269,'GSC Support'!$C6)</f>
        <v>0</v>
      </c>
      <c r="H6" s="222">
        <f>+F6+G6</f>
        <v>100208</v>
      </c>
      <c r="I6" s="286">
        <v>106765</v>
      </c>
      <c r="J6" s="286">
        <v>-6557</v>
      </c>
      <c r="K6" s="286"/>
      <c r="L6" s="286">
        <f t="shared" ref="L6:L69" si="1">SUM(I6:K6)</f>
        <v>100208</v>
      </c>
      <c r="M6" s="279">
        <f t="shared" ref="M6:M69" si="2">+H6-L6</f>
        <v>0</v>
      </c>
      <c r="O6" s="323">
        <f>SUMIFS('Data-Retail'!$N$4:$N$238,'Data-Retail'!$A$4:$A$238,'GSC Support'!$B6,'Data-Retail'!$D$4:$D$238,'GSC Support'!$C6)</f>
        <v>52795.64</v>
      </c>
      <c r="P6" s="323"/>
      <c r="Q6" s="323"/>
      <c r="R6" s="323"/>
      <c r="S6" s="281">
        <f ca="1">SUMIFS('Apr11-Mar12 Billed-RETAIL'!$BA$5:$BA$138,'Apr11-Mar12 Billed-RETAIL'!$B$5:$B$138,'GSC Support'!$B6,'Apr11-Mar12 Billed-RETAIL'!$C$5:$C$138,'GSC Support'!$C6)</f>
        <v>52795.64</v>
      </c>
      <c r="T6" s="287">
        <v>56286.52</v>
      </c>
      <c r="U6" s="287">
        <v>-3490.88</v>
      </c>
      <c r="V6" s="287">
        <f>SUM(T6:U6)</f>
        <v>52795.64</v>
      </c>
      <c r="W6" s="288">
        <f ca="1">+S6-V6</f>
        <v>0</v>
      </c>
    </row>
    <row r="7" spans="1:23" x14ac:dyDescent="0.2">
      <c r="A7" s="196">
        <f>+A6+1</f>
        <v>2</v>
      </c>
      <c r="B7" s="211">
        <v>40634</v>
      </c>
      <c r="C7" s="211" t="str">
        <f>+'Retail Rates'!B8</f>
        <v>LGCMG891</v>
      </c>
      <c r="D7" s="197" t="str">
        <f t="shared" si="0"/>
        <v>891</v>
      </c>
      <c r="E7" s="197" t="str">
        <f>VLOOKUP(C7,'Retail Rates'!$B$7:$D$35,3,FALSE)</f>
        <v>AAGS-C-TS</v>
      </c>
      <c r="F7" s="222">
        <f>SUMIFS('Data-Retail'!$H$4:$H$269,'Data-Retail'!$A$4:$A$269,'GSC Support'!$B7,'Data-Retail'!$D$4:$D$269,'GSC Support'!$C7)</f>
        <v>0</v>
      </c>
      <c r="G7" s="222">
        <f>SUMIFS('Data-Retail'!$I$4:$I$269,'Data-Retail'!$A$4:$A$269,'GSC Support'!$B7,'Data-Retail'!$D$4:$D$269,'GSC Support'!$C7)</f>
        <v>0</v>
      </c>
      <c r="H7" s="222">
        <f t="shared" ref="H7:H70" si="3">+F7+G7</f>
        <v>0</v>
      </c>
      <c r="I7" s="286"/>
      <c r="J7" s="286"/>
      <c r="K7" s="286"/>
      <c r="L7" s="286">
        <f t="shared" si="1"/>
        <v>0</v>
      </c>
      <c r="M7" s="279">
        <f t="shared" si="2"/>
        <v>0</v>
      </c>
      <c r="O7" s="323">
        <f>SUMIFS('Data-Retail'!$N$4:$N$238,'Data-Retail'!$A$4:$A$238,'GSC Support'!$B7,'Data-Retail'!$D$4:$D$238,'GSC Support'!$C7)</f>
        <v>0</v>
      </c>
      <c r="P7" s="323"/>
      <c r="Q7" s="323"/>
      <c r="R7" s="323"/>
      <c r="S7" s="281">
        <f>SUMIFS('Apr11-Mar12 Billed-RETAIL'!$BA$5:$BA$138,'Apr11-Mar12 Billed-RETAIL'!$B$5:$B$138,'GSC Support'!$B7,'Apr11-Mar12 Billed-RETAIL'!$C$5:$C$138,'GSC Support'!$C7)</f>
        <v>0</v>
      </c>
      <c r="T7" s="287"/>
      <c r="U7" s="287"/>
      <c r="V7" s="287">
        <f t="shared" ref="V7:V70" si="4">SUM(T7:U7)</f>
        <v>0</v>
      </c>
      <c r="W7" s="288">
        <f t="shared" ref="W7:W70" si="5">+S7-V7</f>
        <v>0</v>
      </c>
    </row>
    <row r="8" spans="1:23" x14ac:dyDescent="0.2">
      <c r="A8" s="196">
        <f t="shared" ref="A8:A71" si="6">+A7+1</f>
        <v>3</v>
      </c>
      <c r="B8" s="211">
        <v>40634</v>
      </c>
      <c r="C8" s="211" t="str">
        <f>+'Retail Rates'!B9</f>
        <v>LGCMG891PM</v>
      </c>
      <c r="D8" s="197" t="str">
        <f t="shared" si="0"/>
        <v>891</v>
      </c>
      <c r="E8" s="197" t="str">
        <f>VLOOKUP(C8,'Retail Rates'!$B$7:$D$35,3,FALSE)</f>
        <v>AAGS-C-TS-PM</v>
      </c>
      <c r="F8" s="222">
        <f>SUMIFS('Data-Retail'!$H$4:$H$269,'Data-Retail'!$A$4:$A$269,'GSC Support'!$B8,'Data-Retail'!$D$4:$D$269,'GSC Support'!$C8)</f>
        <v>0</v>
      </c>
      <c r="G8" s="222">
        <f>SUMIFS('Data-Retail'!$I$4:$I$269,'Data-Retail'!$A$4:$A$269,'GSC Support'!$B8,'Data-Retail'!$D$4:$D$269,'GSC Support'!$C8)</f>
        <v>0</v>
      </c>
      <c r="H8" s="222">
        <f t="shared" si="3"/>
        <v>0</v>
      </c>
      <c r="I8" s="286"/>
      <c r="J8" s="286"/>
      <c r="K8" s="286"/>
      <c r="L8" s="286">
        <f t="shared" si="1"/>
        <v>0</v>
      </c>
      <c r="M8" s="279">
        <f t="shared" si="2"/>
        <v>0</v>
      </c>
      <c r="O8" s="323">
        <f>SUMIFS('Data-Retail'!$N$4:$N$238,'Data-Retail'!$A$4:$A$238,'GSC Support'!$B8,'Data-Retail'!$D$4:$D$238,'GSC Support'!$C8)</f>
        <v>0</v>
      </c>
      <c r="P8" s="323"/>
      <c r="Q8" s="323"/>
      <c r="R8" s="323"/>
      <c r="S8" s="281">
        <f>SUMIFS('Apr11-Mar12 Billed-RETAIL'!$BA$5:$BA$138,'Apr11-Mar12 Billed-RETAIL'!$B$5:$B$138,'GSC Support'!$B8,'Apr11-Mar12 Billed-RETAIL'!$C$5:$C$138,'GSC Support'!$C8)</f>
        <v>0</v>
      </c>
      <c r="T8" s="287"/>
      <c r="U8" s="287"/>
      <c r="V8" s="287">
        <f t="shared" si="4"/>
        <v>0</v>
      </c>
      <c r="W8" s="288">
        <f t="shared" si="5"/>
        <v>0</v>
      </c>
    </row>
    <row r="9" spans="1:23" x14ac:dyDescent="0.2">
      <c r="A9" s="196">
        <f t="shared" si="6"/>
        <v>4</v>
      </c>
      <c r="B9" s="211">
        <v>40634</v>
      </c>
      <c r="C9" s="211" t="str">
        <f>+'Retail Rates'!B10</f>
        <v>LGING866</v>
      </c>
      <c r="D9" s="197" t="str">
        <f t="shared" si="0"/>
        <v>866</v>
      </c>
      <c r="E9" s="197" t="str">
        <f>VLOOKUP(C9,'Retail Rates'!$B$7:$D$35,3,FALSE)</f>
        <v>AAGS-I</v>
      </c>
      <c r="F9" s="222">
        <f>SUMIFS('Data-Retail'!$H$4:$H$269,'Data-Retail'!$A$4:$A$269,'GSC Support'!$B9,'Data-Retail'!$D$4:$D$269,'GSC Support'!$C9)</f>
        <v>172570</v>
      </c>
      <c r="G9" s="222">
        <f>SUMIFS('Data-Retail'!$I$4:$I$269,'Data-Retail'!$A$4:$A$269,'GSC Support'!$B9,'Data-Retail'!$D$4:$D$269,'GSC Support'!$C9)</f>
        <v>0</v>
      </c>
      <c r="H9" s="222">
        <f t="shared" si="3"/>
        <v>172570</v>
      </c>
      <c r="I9" s="286">
        <v>172570</v>
      </c>
      <c r="J9" s="286"/>
      <c r="K9" s="286"/>
      <c r="L9" s="286">
        <f t="shared" si="1"/>
        <v>172570</v>
      </c>
      <c r="M9" s="279">
        <f t="shared" si="2"/>
        <v>0</v>
      </c>
      <c r="O9" s="323">
        <f>SUMIFS('Data-Retail'!$N$4:$N$238,'Data-Retail'!$A$4:$A$238,'GSC Support'!$B9,'Data-Retail'!$D$4:$D$238,'GSC Support'!$C9)</f>
        <v>90978.9</v>
      </c>
      <c r="P9" s="323"/>
      <c r="Q9" s="323"/>
      <c r="R9" s="323"/>
      <c r="S9" s="281">
        <f ca="1">SUMIFS('Apr11-Mar12 Billed-RETAIL'!$BA$5:$BA$138,'Apr11-Mar12 Billed-RETAIL'!$B$5:$B$138,'GSC Support'!$B9,'Apr11-Mar12 Billed-RETAIL'!$C$5:$C$138,'GSC Support'!$C9)</f>
        <v>90978.9</v>
      </c>
      <c r="T9" s="287">
        <v>90978.9</v>
      </c>
      <c r="U9" s="287"/>
      <c r="V9" s="287">
        <f t="shared" si="4"/>
        <v>90978.9</v>
      </c>
      <c r="W9" s="288">
        <f t="shared" ca="1" si="5"/>
        <v>0</v>
      </c>
    </row>
    <row r="10" spans="1:23" x14ac:dyDescent="0.2">
      <c r="A10" s="196">
        <f t="shared" si="6"/>
        <v>5</v>
      </c>
      <c r="B10" s="211">
        <v>40634</v>
      </c>
      <c r="C10" s="211" t="str">
        <f>+'Retail Rates'!B11</f>
        <v>LGING892</v>
      </c>
      <c r="D10" s="197" t="str">
        <f t="shared" si="0"/>
        <v>892</v>
      </c>
      <c r="E10" s="197" t="str">
        <f>VLOOKUP(C10,'Retail Rates'!$B$7:$D$35,3,FALSE)</f>
        <v>AAGS-I-TS</v>
      </c>
      <c r="F10" s="222">
        <f>SUMIFS('Data-Retail'!$H$4:$H$269,'Data-Retail'!$A$4:$A$269,'GSC Support'!$B10,'Data-Retail'!$D$4:$D$269,'GSC Support'!$C10)</f>
        <v>0</v>
      </c>
      <c r="G10" s="222">
        <f>SUMIFS('Data-Retail'!$I$4:$I$269,'Data-Retail'!$A$4:$A$269,'GSC Support'!$B10,'Data-Retail'!$D$4:$D$269,'GSC Support'!$C10)</f>
        <v>0</v>
      </c>
      <c r="H10" s="222">
        <f t="shared" si="3"/>
        <v>0</v>
      </c>
      <c r="I10" s="286"/>
      <c r="J10" s="286"/>
      <c r="K10" s="286"/>
      <c r="L10" s="286">
        <f t="shared" si="1"/>
        <v>0</v>
      </c>
      <c r="M10" s="279">
        <f t="shared" si="2"/>
        <v>0</v>
      </c>
      <c r="O10" s="323">
        <f>SUMIFS('Data-Retail'!$N$4:$N$238,'Data-Retail'!$A$4:$A$238,'GSC Support'!$B10,'Data-Retail'!$D$4:$D$238,'GSC Support'!$C10)</f>
        <v>0</v>
      </c>
      <c r="P10" s="323"/>
      <c r="Q10" s="323"/>
      <c r="R10" s="323"/>
      <c r="S10" s="281">
        <f>SUMIFS('Apr11-Mar12 Billed-RETAIL'!$BA$5:$BA$138,'Apr11-Mar12 Billed-RETAIL'!$B$5:$B$138,'GSC Support'!$B10,'Apr11-Mar12 Billed-RETAIL'!$C$5:$C$138,'GSC Support'!$C10)</f>
        <v>0</v>
      </c>
      <c r="T10" s="287"/>
      <c r="U10" s="287"/>
      <c r="V10" s="287">
        <f t="shared" si="4"/>
        <v>0</v>
      </c>
      <c r="W10" s="288">
        <f t="shared" si="5"/>
        <v>0</v>
      </c>
    </row>
    <row r="11" spans="1:23" x14ac:dyDescent="0.2">
      <c r="A11" s="196">
        <f t="shared" si="6"/>
        <v>6</v>
      </c>
      <c r="B11" s="211">
        <v>40634</v>
      </c>
      <c r="C11" s="211" t="str">
        <f>+'Retail Rates'!B12</f>
        <v>LGING892PM</v>
      </c>
      <c r="D11" s="197" t="str">
        <f t="shared" si="0"/>
        <v>892</v>
      </c>
      <c r="E11" s="197" t="str">
        <f>VLOOKUP(C11,'Retail Rates'!$B$7:$D$35,3,FALSE)</f>
        <v>AAGS-I-TS-PM</v>
      </c>
      <c r="F11" s="222">
        <f>SUMIFS('Data-Retail'!$H$4:$H$269,'Data-Retail'!$A$4:$A$269,'GSC Support'!$B11,'Data-Retail'!$D$4:$D$269,'GSC Support'!$C11)</f>
        <v>0</v>
      </c>
      <c r="G11" s="222">
        <f>SUMIFS('Data-Retail'!$I$4:$I$269,'Data-Retail'!$A$4:$A$269,'GSC Support'!$B11,'Data-Retail'!$D$4:$D$269,'GSC Support'!$C11)</f>
        <v>0</v>
      </c>
      <c r="H11" s="222">
        <f t="shared" si="3"/>
        <v>0</v>
      </c>
      <c r="I11" s="286"/>
      <c r="J11" s="286"/>
      <c r="K11" s="286"/>
      <c r="L11" s="286">
        <f t="shared" si="1"/>
        <v>0</v>
      </c>
      <c r="M11" s="279">
        <f t="shared" si="2"/>
        <v>0</v>
      </c>
      <c r="O11" s="323">
        <f>SUMIFS('Data-Retail'!$N$4:$N$238,'Data-Retail'!$A$4:$A$238,'GSC Support'!$B11,'Data-Retail'!$D$4:$D$238,'GSC Support'!$C11)</f>
        <v>0</v>
      </c>
      <c r="P11" s="323"/>
      <c r="Q11" s="323"/>
      <c r="R11" s="323"/>
      <c r="S11" s="281">
        <f>SUMIFS('Apr11-Mar12 Billed-RETAIL'!$BA$5:$BA$138,'Apr11-Mar12 Billed-RETAIL'!$B$5:$B$138,'GSC Support'!$B11,'Apr11-Mar12 Billed-RETAIL'!$C$5:$C$138,'GSC Support'!$C11)</f>
        <v>0</v>
      </c>
      <c r="T11" s="287"/>
      <c r="U11" s="287"/>
      <c r="V11" s="287">
        <f t="shared" si="4"/>
        <v>0</v>
      </c>
      <c r="W11" s="288">
        <f t="shared" si="5"/>
        <v>0</v>
      </c>
    </row>
    <row r="12" spans="1:23" x14ac:dyDescent="0.2">
      <c r="A12" s="196">
        <f t="shared" si="6"/>
        <v>7</v>
      </c>
      <c r="B12" s="211">
        <v>40634</v>
      </c>
      <c r="C12" s="211" t="str">
        <f>+'Retail Rates'!B13</f>
        <v>LGCMG851</v>
      </c>
      <c r="D12" s="197" t="str">
        <f t="shared" si="0"/>
        <v>851</v>
      </c>
      <c r="E12" s="197" t="str">
        <f>VLOOKUP(C12,'Retail Rates'!$B$7:$D$35,3,FALSE)</f>
        <v>CGS</v>
      </c>
      <c r="F12" s="222">
        <f>SUMIFS('Data-Retail'!$H$4:$H$269,'Data-Retail'!$A$4:$A$269,'GSC Support'!$B12,'Data-Retail'!$D$4:$D$269,'GSC Support'!$C12)</f>
        <v>5866171</v>
      </c>
      <c r="G12" s="222">
        <f>SUMIFS('Data-Retail'!$I$4:$I$269,'Data-Retail'!$A$4:$A$269,'GSC Support'!$B12,'Data-Retail'!$D$4:$D$269,'GSC Support'!$C12)</f>
        <v>2875303</v>
      </c>
      <c r="H12" s="222">
        <f t="shared" si="3"/>
        <v>8741474</v>
      </c>
      <c r="I12" s="286">
        <v>8621902</v>
      </c>
      <c r="J12" s="286">
        <v>119572</v>
      </c>
      <c r="K12" s="286"/>
      <c r="L12" s="286">
        <f t="shared" si="1"/>
        <v>8741474</v>
      </c>
      <c r="M12" s="279">
        <f t="shared" si="2"/>
        <v>0</v>
      </c>
      <c r="O12" s="323">
        <f>SUMIFS('Data-Retail'!$N$4:$N$238,'Data-Retail'!$A$4:$A$238,'GSC Support'!$B12,'Data-Retail'!$D$4:$D$238,'GSC Support'!$C12)</f>
        <v>4608381.42</v>
      </c>
      <c r="P12" s="323"/>
      <c r="Q12" s="323"/>
      <c r="R12" s="323"/>
      <c r="S12" s="281">
        <f ca="1">SUMIFS('Apr11-Mar12 Billed-RETAIL'!$BA$5:$BA$138,'Apr11-Mar12 Billed-RETAIL'!$B$5:$B$138,'GSC Support'!$B12,'Apr11-Mar12 Billed-RETAIL'!$C$5:$C$138,'GSC Support'!$C12)</f>
        <v>4608381.42</v>
      </c>
      <c r="T12" s="287">
        <v>4545905.26</v>
      </c>
      <c r="U12" s="287">
        <v>62476.160000000003</v>
      </c>
      <c r="V12" s="287">
        <f t="shared" si="4"/>
        <v>4608381.42</v>
      </c>
      <c r="W12" s="288">
        <f t="shared" ca="1" si="5"/>
        <v>0</v>
      </c>
    </row>
    <row r="13" spans="1:23" x14ac:dyDescent="0.2">
      <c r="A13" s="196">
        <f t="shared" si="6"/>
        <v>8</v>
      </c>
      <c r="B13" s="211">
        <v>40634</v>
      </c>
      <c r="C13" s="211" t="str">
        <f>+'Retail Rates'!B14</f>
        <v>LGUMG860</v>
      </c>
      <c r="D13" s="197" t="str">
        <f t="shared" si="0"/>
        <v>860</v>
      </c>
      <c r="E13" s="197" t="str">
        <f>VLOOKUP(C13,'Retail Rates'!$B$7:$D$35,3,FALSE)</f>
        <v>CGS</v>
      </c>
      <c r="F13" s="222">
        <f>SUMIFS('Data-Retail'!$H$4:$H$269,'Data-Retail'!$A$4:$A$269,'GSC Support'!$B13,'Data-Retail'!$D$4:$D$269,'GSC Support'!$C13)</f>
        <v>358</v>
      </c>
      <c r="G13" s="222">
        <f>SUMIFS('Data-Retail'!$I$4:$I$269,'Data-Retail'!$A$4:$A$269,'GSC Support'!$B13,'Data-Retail'!$D$4:$D$269,'GSC Support'!$C13)</f>
        <v>0</v>
      </c>
      <c r="H13" s="222">
        <f t="shared" si="3"/>
        <v>358</v>
      </c>
      <c r="I13" s="286">
        <v>358</v>
      </c>
      <c r="J13" s="286"/>
      <c r="K13" s="286"/>
      <c r="L13" s="286">
        <f t="shared" si="1"/>
        <v>358</v>
      </c>
      <c r="M13" s="279">
        <f t="shared" si="2"/>
        <v>0</v>
      </c>
      <c r="O13" s="323">
        <f>SUMIFS('Data-Retail'!$N$4:$N$238,'Data-Retail'!$A$4:$A$238,'GSC Support'!$B13,'Data-Retail'!$D$4:$D$238,'GSC Support'!$C13)</f>
        <v>188.74</v>
      </c>
      <c r="P13" s="323"/>
      <c r="Q13" s="323"/>
      <c r="R13" s="323"/>
      <c r="S13" s="281">
        <f ca="1">SUMIFS('Apr11-Mar12 Billed-RETAIL'!$BA$5:$BA$138,'Apr11-Mar12 Billed-RETAIL'!$B$5:$B$138,'GSC Support'!$B13,'Apr11-Mar12 Billed-RETAIL'!$C$5:$C$138,'GSC Support'!$C13)</f>
        <v>188.74</v>
      </c>
      <c r="T13" s="287">
        <v>188.74</v>
      </c>
      <c r="U13" s="287"/>
      <c r="V13" s="287">
        <f t="shared" si="4"/>
        <v>188.74</v>
      </c>
      <c r="W13" s="288">
        <f t="shared" ca="1" si="5"/>
        <v>0</v>
      </c>
    </row>
    <row r="14" spans="1:23" x14ac:dyDescent="0.2">
      <c r="A14" s="196">
        <f t="shared" si="6"/>
        <v>9</v>
      </c>
      <c r="B14" s="211">
        <v>40634</v>
      </c>
      <c r="C14" s="211" t="str">
        <f>+'Retail Rates'!B15</f>
        <v>LGUMG861</v>
      </c>
      <c r="D14" s="197" t="str">
        <f t="shared" si="0"/>
        <v>861</v>
      </c>
      <c r="E14" s="197" t="str">
        <f>VLOOKUP(C14,'Retail Rates'!$B$7:$D$35,3,FALSE)</f>
        <v>CGS</v>
      </c>
      <c r="F14" s="222">
        <f>SUMIFS('Data-Retail'!$H$4:$H$269,'Data-Retail'!$A$4:$A$269,'GSC Support'!$B14,'Data-Retail'!$D$4:$D$269,'GSC Support'!$C14)</f>
        <v>610</v>
      </c>
      <c r="G14" s="222">
        <f>SUMIFS('Data-Retail'!$I$4:$I$269,'Data-Retail'!$A$4:$A$269,'GSC Support'!$B14,'Data-Retail'!$D$4:$D$269,'GSC Support'!$C14)</f>
        <v>0</v>
      </c>
      <c r="H14" s="222">
        <f t="shared" si="3"/>
        <v>610</v>
      </c>
      <c r="I14" s="286">
        <v>610</v>
      </c>
      <c r="J14" s="286"/>
      <c r="K14" s="286"/>
      <c r="L14" s="286">
        <f t="shared" si="1"/>
        <v>610</v>
      </c>
      <c r="M14" s="279">
        <f t="shared" si="2"/>
        <v>0</v>
      </c>
      <c r="O14" s="323">
        <f>SUMIFS('Data-Retail'!$N$4:$N$238,'Data-Retail'!$A$4:$A$238,'GSC Support'!$B14,'Data-Retail'!$D$4:$D$238,'GSC Support'!$C14)</f>
        <v>323.20999999999998</v>
      </c>
      <c r="P14" s="323"/>
      <c r="Q14" s="323"/>
      <c r="R14" s="323"/>
      <c r="S14" s="281">
        <f ca="1">SUMIFS('Apr11-Mar12 Billed-RETAIL'!$BA$5:$BA$138,'Apr11-Mar12 Billed-RETAIL'!$B$5:$B$138,'GSC Support'!$B14,'Apr11-Mar12 Billed-RETAIL'!$C$5:$C$138,'GSC Support'!$C14)</f>
        <v>323.20999999999998</v>
      </c>
      <c r="T14" s="287">
        <v>323.20999999999998</v>
      </c>
      <c r="U14" s="287"/>
      <c r="V14" s="287">
        <f t="shared" si="4"/>
        <v>323.20999999999998</v>
      </c>
      <c r="W14" s="288">
        <f t="shared" ca="1" si="5"/>
        <v>0</v>
      </c>
    </row>
    <row r="15" spans="1:23" x14ac:dyDescent="0.2">
      <c r="A15" s="196">
        <f t="shared" si="6"/>
        <v>10</v>
      </c>
      <c r="B15" s="211">
        <v>40634</v>
      </c>
      <c r="C15" s="211" t="str">
        <f>+'Retail Rates'!B16</f>
        <v>LGCMG881</v>
      </c>
      <c r="D15" s="197" t="str">
        <f t="shared" si="0"/>
        <v>881</v>
      </c>
      <c r="E15" s="197" t="str">
        <f>VLOOKUP(C15,'Retail Rates'!$B$7:$D$35,3,FALSE)</f>
        <v>CGS-TS</v>
      </c>
      <c r="F15" s="329">
        <f>SUMIFS('Data-Retail'!$H$4:$H$269,'Data-Retail'!$A$4:$A$269,'GSC Support'!$B15,'Data-Retail'!$D$4:$D$269,'GSC Support'!$C15)</f>
        <v>0</v>
      </c>
      <c r="G15" s="329">
        <f>SUMIFS('Data-Retail'!$I$4:$I$269,'Data-Retail'!$A$4:$A$269,'GSC Support'!$B15,'Data-Retail'!$D$4:$D$269,'GSC Support'!$C15)</f>
        <v>0</v>
      </c>
      <c r="H15" s="329">
        <f t="shared" si="3"/>
        <v>0</v>
      </c>
      <c r="I15" s="330">
        <v>6618</v>
      </c>
      <c r="J15" s="330"/>
      <c r="K15" s="330"/>
      <c r="L15" s="330">
        <f t="shared" si="1"/>
        <v>6618</v>
      </c>
      <c r="M15" s="331">
        <f t="shared" si="2"/>
        <v>-6618</v>
      </c>
      <c r="N15" s="332"/>
      <c r="O15" s="323">
        <f>SUMIFS('Data-Retail'!$V$4:$V$238,'Data-Retail'!$A$4:$A$238,'GSC Support'!$B15,'Data-Retail'!$D$4:$D$238,'GSC Support'!$C15)</f>
        <v>0</v>
      </c>
      <c r="P15" s="327">
        <f>VLOOKUP($B15,'GSC-DSM Factors'!$A$18:$E$44,5,FALSE)</f>
        <v>8.8999999999999995E-4</v>
      </c>
      <c r="Q15" s="326">
        <f>P15*H15</f>
        <v>0</v>
      </c>
      <c r="R15" s="323">
        <f>+O15-Q15</f>
        <v>0</v>
      </c>
      <c r="S15" s="281">
        <f>SUMIFS('Apr11-Mar12 Billed-RETAIL'!$BA$5:$BA$138,'Apr11-Mar12 Billed-RETAIL'!$B$5:$B$138,'GSC Support'!$B15,'Apr11-Mar12 Billed-RETAIL'!$C$5:$C$138,'GSC Support'!$C15)</f>
        <v>0</v>
      </c>
      <c r="T15" s="287">
        <v>3489.01</v>
      </c>
      <c r="U15" s="287">
        <v>0</v>
      </c>
      <c r="V15" s="287">
        <f t="shared" si="4"/>
        <v>3489.01</v>
      </c>
      <c r="W15" s="288">
        <f t="shared" si="5"/>
        <v>-3489.01</v>
      </c>
    </row>
    <row r="16" spans="1:23" x14ac:dyDescent="0.2">
      <c r="A16" s="196">
        <f t="shared" si="6"/>
        <v>11</v>
      </c>
      <c r="B16" s="211">
        <v>40634</v>
      </c>
      <c r="C16" s="211" t="str">
        <f>+'Retail Rates'!B17</f>
        <v>LGCMG881PM</v>
      </c>
      <c r="D16" s="197" t="str">
        <f t="shared" si="0"/>
        <v>881</v>
      </c>
      <c r="E16" s="197" t="str">
        <f>VLOOKUP(C16,'Retail Rates'!$B$7:$D$35,3,FALSE)</f>
        <v>CGS-TS-PM</v>
      </c>
      <c r="F16" s="222">
        <f>SUMIFS('Data-Retail'!$H$4:$H$269,'Data-Retail'!$A$4:$A$269,'GSC Support'!$B16,'Data-Retail'!$D$4:$D$269,'GSC Support'!$C16)</f>
        <v>0</v>
      </c>
      <c r="G16" s="222">
        <f>SUMIFS('Data-Retail'!$I$4:$I$269,'Data-Retail'!$A$4:$A$269,'GSC Support'!$B16,'Data-Retail'!$D$4:$D$269,'GSC Support'!$C16)</f>
        <v>0</v>
      </c>
      <c r="H16" s="222">
        <f t="shared" si="3"/>
        <v>0</v>
      </c>
      <c r="I16" s="286"/>
      <c r="J16" s="286"/>
      <c r="K16" s="286"/>
      <c r="L16" s="286">
        <f t="shared" si="1"/>
        <v>0</v>
      </c>
      <c r="M16" s="279">
        <f t="shared" si="2"/>
        <v>0</v>
      </c>
      <c r="O16" s="323">
        <f>SUMIFS('Data-Retail'!$N$4:$N$238,'Data-Retail'!$A$4:$A$238,'GSC Support'!$B16,'Data-Retail'!$D$4:$D$238,'GSC Support'!$C16)</f>
        <v>0</v>
      </c>
      <c r="P16" s="323"/>
      <c r="Q16" s="323"/>
      <c r="R16" s="323"/>
      <c r="S16" s="281">
        <f>SUMIFS('Apr11-Mar12 Billed-RETAIL'!$BA$5:$BA$138,'Apr11-Mar12 Billed-RETAIL'!$B$5:$B$138,'GSC Support'!$B16,'Apr11-Mar12 Billed-RETAIL'!$C$5:$C$138,'GSC Support'!$C16)</f>
        <v>0</v>
      </c>
      <c r="T16" s="287"/>
      <c r="U16" s="287"/>
      <c r="V16" s="287">
        <f t="shared" si="4"/>
        <v>0</v>
      </c>
      <c r="W16" s="288">
        <f t="shared" si="5"/>
        <v>0</v>
      </c>
    </row>
    <row r="17" spans="1:23" x14ac:dyDescent="0.2">
      <c r="A17" s="196">
        <f t="shared" si="6"/>
        <v>12</v>
      </c>
      <c r="B17" s="211">
        <v>40634</v>
      </c>
      <c r="C17" s="211" t="str">
        <f>+'Retail Rates'!B18</f>
        <v>LGCMG875</v>
      </c>
      <c r="D17" s="197" t="str">
        <f t="shared" si="0"/>
        <v>875</v>
      </c>
      <c r="E17" s="197" t="str">
        <f>VLOOKUP(C17,'Retail Rates'!$B$7:$D$35,3,FALSE)</f>
        <v>DGGS-C</v>
      </c>
      <c r="F17" s="222">
        <f>SUMIFS('Data-Retail'!$H$4:$H$269,'Data-Retail'!$A$4:$A$269,'GSC Support'!$B17,'Data-Retail'!$D$4:$D$269,'GSC Support'!$C17)</f>
        <v>0</v>
      </c>
      <c r="G17" s="222">
        <f>SUMIFS('Data-Retail'!$I$4:$I$269,'Data-Retail'!$A$4:$A$269,'GSC Support'!$B17,'Data-Retail'!$D$4:$D$269,'GSC Support'!$C17)</f>
        <v>0</v>
      </c>
      <c r="H17" s="222">
        <f t="shared" si="3"/>
        <v>0</v>
      </c>
      <c r="I17" s="286"/>
      <c r="J17" s="286"/>
      <c r="K17" s="286"/>
      <c r="L17" s="286">
        <f t="shared" si="1"/>
        <v>0</v>
      </c>
      <c r="M17" s="279">
        <f t="shared" si="2"/>
        <v>0</v>
      </c>
      <c r="O17" s="323">
        <f>SUMIFS('Data-Retail'!$N$4:$N$238,'Data-Retail'!$A$4:$A$238,'GSC Support'!$B17,'Data-Retail'!$D$4:$D$238,'GSC Support'!$C17)</f>
        <v>0</v>
      </c>
      <c r="P17" s="323"/>
      <c r="Q17" s="323"/>
      <c r="R17" s="323"/>
      <c r="S17" s="281">
        <f ca="1">SUMIFS('Apr11-Mar12 Billed-RETAIL'!$BA$5:$BA$138,'Apr11-Mar12 Billed-RETAIL'!$B$5:$B$138,'GSC Support'!$B17,'Apr11-Mar12 Billed-RETAIL'!$C$5:$C$138,'GSC Support'!$C17)</f>
        <v>0</v>
      </c>
      <c r="T17" s="287"/>
      <c r="U17" s="287"/>
      <c r="V17" s="287">
        <f t="shared" si="4"/>
        <v>0</v>
      </c>
      <c r="W17" s="288">
        <f t="shared" ca="1" si="5"/>
        <v>0</v>
      </c>
    </row>
    <row r="18" spans="1:23" x14ac:dyDescent="0.2">
      <c r="A18" s="196">
        <f t="shared" si="6"/>
        <v>13</v>
      </c>
      <c r="B18" s="211">
        <v>40634</v>
      </c>
      <c r="C18" s="211" t="str">
        <f>+'Retail Rates'!B19</f>
        <v>LGCMG895</v>
      </c>
      <c r="D18" s="197" t="str">
        <f t="shared" si="0"/>
        <v>895</v>
      </c>
      <c r="E18" s="197" t="str">
        <f>VLOOKUP(C18,'Retail Rates'!$B$7:$D$35,3,FALSE)</f>
        <v>FT-C</v>
      </c>
      <c r="F18" s="222">
        <f>SUMIFS('Data-Retail'!$H$4:$H$269,'Data-Retail'!$A$4:$A$269,'GSC Support'!$B18,'Data-Retail'!$D$4:$D$269,'GSC Support'!$C18)</f>
        <v>0</v>
      </c>
      <c r="G18" s="222">
        <f>SUMIFS('Data-Retail'!$I$4:$I$269,'Data-Retail'!$A$4:$A$269,'GSC Support'!$B18,'Data-Retail'!$D$4:$D$269,'GSC Support'!$C18)</f>
        <v>0</v>
      </c>
      <c r="H18" s="222">
        <f t="shared" si="3"/>
        <v>0</v>
      </c>
      <c r="I18" s="286"/>
      <c r="J18" s="286"/>
      <c r="K18" s="286"/>
      <c r="L18" s="286">
        <f t="shared" si="1"/>
        <v>0</v>
      </c>
      <c r="M18" s="279">
        <f t="shared" si="2"/>
        <v>0</v>
      </c>
      <c r="O18" s="323">
        <f>SUMIFS('Data-Retail'!$N$4:$N$238,'Data-Retail'!$A$4:$A$238,'GSC Support'!$B18,'Data-Retail'!$D$4:$D$238,'GSC Support'!$C18)</f>
        <v>0</v>
      </c>
      <c r="P18" s="323"/>
      <c r="Q18" s="323"/>
      <c r="R18" s="323"/>
      <c r="S18" s="281">
        <f>SUMIFS('Apr11-Mar12 Billed-RETAIL'!$BA$5:$BA$138,'Apr11-Mar12 Billed-RETAIL'!$B$5:$B$138,'GSC Support'!$B18,'Apr11-Mar12 Billed-RETAIL'!$C$5:$C$138,'GSC Support'!$C18)</f>
        <v>0</v>
      </c>
      <c r="T18" s="287"/>
      <c r="U18" s="287"/>
      <c r="V18" s="287">
        <f t="shared" si="4"/>
        <v>0</v>
      </c>
      <c r="W18" s="288">
        <f t="shared" si="5"/>
        <v>0</v>
      </c>
    </row>
    <row r="19" spans="1:23" x14ac:dyDescent="0.2">
      <c r="A19" s="196">
        <f t="shared" si="6"/>
        <v>14</v>
      </c>
      <c r="B19" s="211">
        <v>40634</v>
      </c>
      <c r="C19" s="211" t="str">
        <f>+'Retail Rates'!B20</f>
        <v>LGCMG895PM</v>
      </c>
      <c r="D19" s="197" t="str">
        <f t="shared" si="0"/>
        <v>895</v>
      </c>
      <c r="E19" s="197" t="str">
        <f>VLOOKUP(C19,'Retail Rates'!$B$7:$D$35,3,FALSE)</f>
        <v>FT-C-PM</v>
      </c>
      <c r="F19" s="222">
        <f>SUMIFS('Data-Retail'!$H$4:$H$269,'Data-Retail'!$A$4:$A$269,'GSC Support'!$B19,'Data-Retail'!$D$4:$D$269,'GSC Support'!$C19)</f>
        <v>0</v>
      </c>
      <c r="G19" s="222">
        <f>SUMIFS('Data-Retail'!$I$4:$I$269,'Data-Retail'!$A$4:$A$269,'GSC Support'!$B19,'Data-Retail'!$D$4:$D$269,'GSC Support'!$C19)</f>
        <v>0</v>
      </c>
      <c r="H19" s="222">
        <f t="shared" si="3"/>
        <v>0</v>
      </c>
      <c r="I19" s="286"/>
      <c r="J19" s="286"/>
      <c r="K19" s="286"/>
      <c r="L19" s="286">
        <f t="shared" si="1"/>
        <v>0</v>
      </c>
      <c r="M19" s="279">
        <f t="shared" si="2"/>
        <v>0</v>
      </c>
      <c r="O19" s="323">
        <f>SUMIFS('Data-Retail'!$N$4:$N$238,'Data-Retail'!$A$4:$A$238,'GSC Support'!$B19,'Data-Retail'!$D$4:$D$238,'GSC Support'!$C19)</f>
        <v>0</v>
      </c>
      <c r="P19" s="323"/>
      <c r="Q19" s="323"/>
      <c r="R19" s="323"/>
      <c r="S19" s="281">
        <f>SUMIFS('Apr11-Mar12 Billed-RETAIL'!$BA$5:$BA$138,'Apr11-Mar12 Billed-RETAIL'!$B$5:$B$138,'GSC Support'!$B19,'Apr11-Mar12 Billed-RETAIL'!$C$5:$C$138,'GSC Support'!$C19)</f>
        <v>0</v>
      </c>
      <c r="T19" s="287"/>
      <c r="U19" s="287"/>
      <c r="V19" s="287">
        <f t="shared" si="4"/>
        <v>0</v>
      </c>
      <c r="W19" s="288">
        <f t="shared" si="5"/>
        <v>0</v>
      </c>
    </row>
    <row r="20" spans="1:23" x14ac:dyDescent="0.2">
      <c r="A20" s="196">
        <f t="shared" si="6"/>
        <v>15</v>
      </c>
      <c r="B20" s="211">
        <v>40634</v>
      </c>
      <c r="C20" s="211" t="str">
        <f>+'Retail Rates'!B21</f>
        <v>LGING896</v>
      </c>
      <c r="D20" s="197" t="str">
        <f t="shared" si="0"/>
        <v>896</v>
      </c>
      <c r="E20" s="197" t="str">
        <f>VLOOKUP(C20,'Retail Rates'!$B$7:$D$35,3,FALSE)</f>
        <v>FT-I</v>
      </c>
      <c r="F20" s="222">
        <f>SUMIFS('Data-Retail'!$H$4:$H$269,'Data-Retail'!$A$4:$A$269,'GSC Support'!$B20,'Data-Retail'!$D$4:$D$269,'GSC Support'!$C20)</f>
        <v>0</v>
      </c>
      <c r="G20" s="222">
        <f>SUMIFS('Data-Retail'!$I$4:$I$269,'Data-Retail'!$A$4:$A$269,'GSC Support'!$B20,'Data-Retail'!$D$4:$D$269,'GSC Support'!$C20)</f>
        <v>0</v>
      </c>
      <c r="H20" s="222">
        <f t="shared" si="3"/>
        <v>0</v>
      </c>
      <c r="I20" s="286"/>
      <c r="J20" s="286"/>
      <c r="K20" s="286"/>
      <c r="L20" s="286">
        <f t="shared" si="1"/>
        <v>0</v>
      </c>
      <c r="M20" s="279">
        <f t="shared" si="2"/>
        <v>0</v>
      </c>
      <c r="O20" s="323">
        <f>SUMIFS('Data-Retail'!$N$4:$N$238,'Data-Retail'!$A$4:$A$238,'GSC Support'!$B20,'Data-Retail'!$D$4:$D$238,'GSC Support'!$C20)</f>
        <v>0</v>
      </c>
      <c r="P20" s="323"/>
      <c r="Q20" s="323"/>
      <c r="R20" s="323"/>
      <c r="S20" s="281">
        <f>SUMIFS('Apr11-Mar12 Billed-RETAIL'!$BA$5:$BA$138,'Apr11-Mar12 Billed-RETAIL'!$B$5:$B$138,'GSC Support'!$B20,'Apr11-Mar12 Billed-RETAIL'!$C$5:$C$138,'GSC Support'!$C20)</f>
        <v>0</v>
      </c>
      <c r="T20" s="287"/>
      <c r="U20" s="287"/>
      <c r="V20" s="287">
        <f t="shared" si="4"/>
        <v>0</v>
      </c>
      <c r="W20" s="288">
        <f t="shared" si="5"/>
        <v>0</v>
      </c>
    </row>
    <row r="21" spans="1:23" x14ac:dyDescent="0.2">
      <c r="A21" s="196">
        <f t="shared" si="6"/>
        <v>16</v>
      </c>
      <c r="B21" s="211">
        <v>40634</v>
      </c>
      <c r="C21" s="211" t="str">
        <f>+'Retail Rates'!B22</f>
        <v>LGING896PM</v>
      </c>
      <c r="D21" s="197" t="str">
        <f t="shared" si="0"/>
        <v>896</v>
      </c>
      <c r="E21" s="197" t="str">
        <f>VLOOKUP(C21,'Retail Rates'!$B$7:$D$35,3,FALSE)</f>
        <v>FT-I-PM</v>
      </c>
      <c r="F21" s="222">
        <f>SUMIFS('Data-Retail'!$H$4:$H$269,'Data-Retail'!$A$4:$A$269,'GSC Support'!$B21,'Data-Retail'!$D$4:$D$269,'GSC Support'!$C21)</f>
        <v>0</v>
      </c>
      <c r="G21" s="222">
        <f>SUMIFS('Data-Retail'!$I$4:$I$269,'Data-Retail'!$A$4:$A$269,'GSC Support'!$B21,'Data-Retail'!$D$4:$D$269,'GSC Support'!$C21)</f>
        <v>0</v>
      </c>
      <c r="H21" s="222">
        <f t="shared" si="3"/>
        <v>0</v>
      </c>
      <c r="I21" s="286"/>
      <c r="J21" s="286"/>
      <c r="K21" s="286"/>
      <c r="L21" s="286">
        <f t="shared" si="1"/>
        <v>0</v>
      </c>
      <c r="M21" s="279">
        <f t="shared" si="2"/>
        <v>0</v>
      </c>
      <c r="O21" s="323">
        <f>SUMIFS('Data-Retail'!$N$4:$N$238,'Data-Retail'!$A$4:$A$238,'GSC Support'!$B21,'Data-Retail'!$D$4:$D$238,'GSC Support'!$C21)</f>
        <v>0</v>
      </c>
      <c r="P21" s="323"/>
      <c r="Q21" s="323"/>
      <c r="R21" s="323"/>
      <c r="S21" s="281">
        <f>SUMIFS('Apr11-Mar12 Billed-RETAIL'!$BA$5:$BA$138,'Apr11-Mar12 Billed-RETAIL'!$B$5:$B$138,'GSC Support'!$B21,'Apr11-Mar12 Billed-RETAIL'!$C$5:$C$138,'GSC Support'!$C21)</f>
        <v>0</v>
      </c>
      <c r="T21" s="287"/>
      <c r="U21" s="287"/>
      <c r="V21" s="287">
        <f t="shared" si="4"/>
        <v>0</v>
      </c>
      <c r="W21" s="288">
        <f t="shared" si="5"/>
        <v>0</v>
      </c>
    </row>
    <row r="22" spans="1:23" x14ac:dyDescent="0.2">
      <c r="A22" s="196">
        <f t="shared" si="6"/>
        <v>17</v>
      </c>
      <c r="B22" s="211">
        <v>40634</v>
      </c>
      <c r="C22" s="211" t="str">
        <f>+'Retail Rates'!B23</f>
        <v>LGING855</v>
      </c>
      <c r="D22" s="197" t="str">
        <f t="shared" si="0"/>
        <v>855</v>
      </c>
      <c r="E22" s="197" t="str">
        <f>VLOOKUP(C22,'Retail Rates'!$B$7:$D$35,3,FALSE)</f>
        <v>IGS</v>
      </c>
      <c r="F22" s="222">
        <f>SUMIFS('Data-Retail'!$H$4:$H$269,'Data-Retail'!$A$4:$A$269,'GSC Support'!$B22,'Data-Retail'!$D$4:$D$269,'GSC Support'!$C22)</f>
        <v>165036</v>
      </c>
      <c r="G22" s="222">
        <f>SUMIFS('Data-Retail'!$I$4:$I$269,'Data-Retail'!$A$4:$A$269,'GSC Support'!$B22,'Data-Retail'!$D$4:$D$269,'GSC Support'!$C22)</f>
        <v>535227</v>
      </c>
      <c r="H22" s="222">
        <f t="shared" si="3"/>
        <v>700263</v>
      </c>
      <c r="I22" s="286">
        <v>696896</v>
      </c>
      <c r="J22" s="286">
        <v>3367</v>
      </c>
      <c r="K22" s="286"/>
      <c r="L22" s="286">
        <f t="shared" si="1"/>
        <v>700263</v>
      </c>
      <c r="M22" s="279">
        <f t="shared" si="2"/>
        <v>0</v>
      </c>
      <c r="O22" s="323">
        <f>SUMIFS('Data-Retail'!$N$4:$N$238,'Data-Retail'!$A$4:$A$238,'GSC Support'!$B22,'Data-Retail'!$D$4:$D$238,'GSC Support'!$C22)</f>
        <v>369054.28</v>
      </c>
      <c r="P22" s="323"/>
      <c r="Q22" s="323"/>
      <c r="R22" s="323"/>
      <c r="S22" s="281">
        <f ca="1">SUMIFS('Apr11-Mar12 Billed-RETAIL'!$BA$5:$BA$138,'Apr11-Mar12 Billed-RETAIL'!$B$5:$B$138,'GSC Support'!$B22,'Apr11-Mar12 Billed-RETAIL'!$C$5:$C$138,'GSC Support'!$C22)</f>
        <v>369054.28</v>
      </c>
      <c r="T22" s="287">
        <v>367403.56</v>
      </c>
      <c r="U22" s="287">
        <v>1650.72</v>
      </c>
      <c r="V22" s="287">
        <f t="shared" si="4"/>
        <v>369054.27999999997</v>
      </c>
      <c r="W22" s="288">
        <f t="shared" ca="1" si="5"/>
        <v>0</v>
      </c>
    </row>
    <row r="23" spans="1:23" x14ac:dyDescent="0.2">
      <c r="A23" s="196">
        <f t="shared" si="6"/>
        <v>18</v>
      </c>
      <c r="B23" s="211">
        <v>40634</v>
      </c>
      <c r="C23" s="211" t="str">
        <f>+'Retail Rates'!B24</f>
        <v>LGING882</v>
      </c>
      <c r="D23" s="197" t="str">
        <f t="shared" si="0"/>
        <v>882</v>
      </c>
      <c r="E23" s="197" t="str">
        <f>VLOOKUP(C23,'Retail Rates'!$B$7:$D$35,3,FALSE)</f>
        <v>IGS-TS</v>
      </c>
      <c r="F23" s="329">
        <v>1394</v>
      </c>
      <c r="G23" s="329"/>
      <c r="H23" s="329">
        <f t="shared" si="3"/>
        <v>1394</v>
      </c>
      <c r="I23" s="330">
        <v>1394</v>
      </c>
      <c r="J23" s="330"/>
      <c r="K23" s="330"/>
      <c r="L23" s="330">
        <f t="shared" si="1"/>
        <v>1394</v>
      </c>
      <c r="M23" s="331">
        <f t="shared" si="2"/>
        <v>0</v>
      </c>
      <c r="N23" s="332"/>
      <c r="O23" s="323"/>
      <c r="P23" s="327"/>
      <c r="Q23" s="326"/>
      <c r="R23" s="323"/>
      <c r="S23" s="281">
        <f>SUMIFS('Apr11-Mar12 Billed-RETAIL'!$BA$5:$BA$138,'Apr11-Mar12 Billed-RETAIL'!$B$5:$B$138,'GSC Support'!$B23,'Apr11-Mar12 Billed-RETAIL'!$C$5:$C$138,'GSC Support'!$C23)</f>
        <v>0</v>
      </c>
      <c r="T23" s="287">
        <v>734.92</v>
      </c>
      <c r="U23" s="287"/>
      <c r="V23" s="287">
        <f t="shared" si="4"/>
        <v>734.92</v>
      </c>
      <c r="W23" s="288">
        <f t="shared" si="5"/>
        <v>-734.92</v>
      </c>
    </row>
    <row r="24" spans="1:23" x14ac:dyDescent="0.2">
      <c r="A24" s="196">
        <f t="shared" si="6"/>
        <v>19</v>
      </c>
      <c r="B24" s="211">
        <v>40634</v>
      </c>
      <c r="C24" s="211" t="str">
        <f>+'Retail Rates'!B25</f>
        <v>LGING882PM</v>
      </c>
      <c r="D24" s="197" t="str">
        <f t="shared" si="0"/>
        <v>882</v>
      </c>
      <c r="E24" s="197" t="str">
        <f>VLOOKUP(C24,'Retail Rates'!$B$7:$D$35,3,FALSE)</f>
        <v>IGS-TS-PM</v>
      </c>
      <c r="F24" s="222">
        <f>SUMIFS('Data-Retail'!$H$4:$H$269,'Data-Retail'!$A$4:$A$269,'GSC Support'!$B24,'Data-Retail'!$D$4:$D$269,'GSC Support'!$C24)</f>
        <v>0</v>
      </c>
      <c r="G24" s="222">
        <f>SUMIFS('Data-Retail'!$I$4:$I$269,'Data-Retail'!$A$4:$A$269,'GSC Support'!$B24,'Data-Retail'!$D$4:$D$269,'GSC Support'!$C24)</f>
        <v>0</v>
      </c>
      <c r="H24" s="222">
        <f t="shared" si="3"/>
        <v>0</v>
      </c>
      <c r="I24" s="286"/>
      <c r="J24" s="286"/>
      <c r="K24" s="286"/>
      <c r="L24" s="286">
        <f t="shared" si="1"/>
        <v>0</v>
      </c>
      <c r="M24" s="279">
        <f t="shared" si="2"/>
        <v>0</v>
      </c>
      <c r="O24" s="323">
        <f>SUMIFS('Data-Retail'!$N$4:$N$238,'Data-Retail'!$A$4:$A$238,'GSC Support'!$B24,'Data-Retail'!$D$4:$D$238,'GSC Support'!$C24)</f>
        <v>0</v>
      </c>
      <c r="P24" s="323"/>
      <c r="Q24" s="323"/>
      <c r="R24" s="323"/>
      <c r="S24" s="281">
        <f>SUMIFS('Apr11-Mar12 Billed-RETAIL'!$BA$5:$BA$138,'Apr11-Mar12 Billed-RETAIL'!$B$5:$B$138,'GSC Support'!$B24,'Apr11-Mar12 Billed-RETAIL'!$C$5:$C$138,'GSC Support'!$C24)</f>
        <v>0</v>
      </c>
      <c r="T24" s="287"/>
      <c r="U24" s="287"/>
      <c r="V24" s="287">
        <f t="shared" si="4"/>
        <v>0</v>
      </c>
      <c r="W24" s="288">
        <f t="shared" si="5"/>
        <v>0</v>
      </c>
    </row>
    <row r="25" spans="1:23" x14ac:dyDescent="0.2">
      <c r="A25" s="196">
        <f t="shared" si="6"/>
        <v>20</v>
      </c>
      <c r="B25" s="211">
        <v>40634</v>
      </c>
      <c r="C25" s="211" t="str">
        <f>+'Retail Rates'!B26</f>
        <v>LGRSG811</v>
      </c>
      <c r="D25" s="197" t="str">
        <f t="shared" si="0"/>
        <v>811</v>
      </c>
      <c r="E25" s="197" t="str">
        <f>VLOOKUP(C25,'Retail Rates'!$B$7:$D$35,3,FALSE)</f>
        <v>RGS</v>
      </c>
      <c r="F25" s="222">
        <f>SUMIFS('Data-Retail'!$H$4:$H$269,'Data-Retail'!$A$4:$A$269,'GSC Support'!$B25,'Data-Retail'!$D$4:$D$269,'GSC Support'!$C25)</f>
        <v>17618287</v>
      </c>
      <c r="G25" s="222">
        <f>SUMIFS('Data-Retail'!$I$4:$I$269,'Data-Retail'!$A$4:$A$269,'GSC Support'!$B25,'Data-Retail'!$D$4:$D$269,'GSC Support'!$C25)</f>
        <v>0</v>
      </c>
      <c r="H25" s="222">
        <f t="shared" si="3"/>
        <v>17618287</v>
      </c>
      <c r="I25" s="286">
        <v>17555966</v>
      </c>
      <c r="J25" s="286">
        <v>62321</v>
      </c>
      <c r="K25" s="286"/>
      <c r="L25" s="286">
        <f t="shared" si="1"/>
        <v>17618287</v>
      </c>
      <c r="M25" s="279">
        <f t="shared" si="2"/>
        <v>0</v>
      </c>
      <c r="O25" s="323">
        <f>SUMIFS('Data-Retail'!$N$4:$N$238,'Data-Retail'!$A$4:$A$238,'GSC Support'!$B25,'Data-Retail'!$D$4:$D$238,'GSC Support'!$C25)</f>
        <v>9289042.7100000009</v>
      </c>
      <c r="P25" s="323"/>
      <c r="Q25" s="323"/>
      <c r="R25" s="323"/>
      <c r="S25" s="281">
        <f ca="1">SUMIFS('Apr11-Mar12 Billed-RETAIL'!$BA$5:$BA$138,'Apr11-Mar12 Billed-RETAIL'!$B$5:$B$138,'GSC Support'!$B25,'Apr11-Mar12 Billed-RETAIL'!$C$5:$C$138,'GSC Support'!$C25)</f>
        <v>9289042.7100000009</v>
      </c>
      <c r="T25" s="287">
        <v>9255533.5899999999</v>
      </c>
      <c r="U25" s="287">
        <v>33509.120000000003</v>
      </c>
      <c r="V25" s="287">
        <f t="shared" si="4"/>
        <v>9289042.709999999</v>
      </c>
      <c r="W25" s="288">
        <f t="shared" ca="1" si="5"/>
        <v>0</v>
      </c>
    </row>
    <row r="26" spans="1:23" x14ac:dyDescent="0.2">
      <c r="A26" s="196">
        <f t="shared" si="6"/>
        <v>21</v>
      </c>
      <c r="B26" s="211">
        <v>40634</v>
      </c>
      <c r="C26" s="211" t="str">
        <f>+'Retail Rates'!B27</f>
        <v>LGRSG811S1</v>
      </c>
      <c r="D26" s="197" t="str">
        <f t="shared" si="0"/>
        <v>811</v>
      </c>
      <c r="E26" s="197" t="str">
        <f>VLOOKUP(C26,'Retail Rates'!$B$7:$D$35,3,FALSE)</f>
        <v>RGS</v>
      </c>
      <c r="F26" s="222">
        <f>SUMIFS('Data-Retail'!$H$4:$H$269,'Data-Retail'!$A$4:$A$269,'GSC Support'!$B26,'Data-Retail'!$D$4:$D$269,'GSC Support'!$C26)</f>
        <v>1479</v>
      </c>
      <c r="G26" s="222">
        <f>SUMIFS('Data-Retail'!$I$4:$I$269,'Data-Retail'!$A$4:$A$269,'GSC Support'!$B26,'Data-Retail'!$D$4:$D$269,'GSC Support'!$C26)</f>
        <v>0</v>
      </c>
      <c r="H26" s="222">
        <f t="shared" si="3"/>
        <v>1479</v>
      </c>
      <c r="I26" s="286">
        <v>1479</v>
      </c>
      <c r="J26" s="286"/>
      <c r="K26" s="286"/>
      <c r="L26" s="286">
        <f t="shared" si="1"/>
        <v>1479</v>
      </c>
      <c r="M26" s="279">
        <f t="shared" si="2"/>
        <v>0</v>
      </c>
      <c r="O26" s="323">
        <f>SUMIFS('Data-Retail'!$N$4:$N$238,'Data-Retail'!$A$4:$A$238,'GSC Support'!$B26,'Data-Retail'!$D$4:$D$238,'GSC Support'!$C26)</f>
        <v>779.73</v>
      </c>
      <c r="P26" s="323"/>
      <c r="Q26" s="323"/>
      <c r="R26" s="323"/>
      <c r="S26" s="281">
        <f ca="1">SUMIFS('Apr11-Mar12 Billed-RETAIL'!$BA$5:$BA$138,'Apr11-Mar12 Billed-RETAIL'!$B$5:$B$138,'GSC Support'!$B26,'Apr11-Mar12 Billed-RETAIL'!$C$5:$C$138,'GSC Support'!$C26)</f>
        <v>779.73</v>
      </c>
      <c r="T26" s="287">
        <v>779.73</v>
      </c>
      <c r="U26" s="287"/>
      <c r="V26" s="287">
        <f t="shared" si="4"/>
        <v>779.73</v>
      </c>
      <c r="W26" s="288">
        <f t="shared" ca="1" si="5"/>
        <v>0</v>
      </c>
    </row>
    <row r="27" spans="1:23" x14ac:dyDescent="0.2">
      <c r="A27" s="196">
        <f t="shared" si="6"/>
        <v>22</v>
      </c>
      <c r="B27" s="211">
        <v>40634</v>
      </c>
      <c r="C27" s="211" t="str">
        <f>+'Retail Rates'!B28</f>
        <v>LGRSG840</v>
      </c>
      <c r="D27" s="197" t="str">
        <f t="shared" si="0"/>
        <v>840</v>
      </c>
      <c r="E27" s="197" t="str">
        <f>VLOOKUP(C27,'Retail Rates'!$B$7:$D$35,3,FALSE)</f>
        <v>RGS</v>
      </c>
      <c r="F27" s="222">
        <f>SUMIFS('Data-Retail'!$H$4:$H$269,'Data-Retail'!$A$4:$A$269,'GSC Support'!$B27,'Data-Retail'!$D$4:$D$269,'GSC Support'!$C27)</f>
        <v>1004</v>
      </c>
      <c r="G27" s="222">
        <f>SUMIFS('Data-Retail'!$I$4:$I$269,'Data-Retail'!$A$4:$A$269,'GSC Support'!$B27,'Data-Retail'!$D$4:$D$269,'GSC Support'!$C27)</f>
        <v>0</v>
      </c>
      <c r="H27" s="222">
        <f t="shared" si="3"/>
        <v>1004</v>
      </c>
      <c r="I27" s="286">
        <v>1004</v>
      </c>
      <c r="J27" s="286"/>
      <c r="K27" s="286"/>
      <c r="L27" s="286">
        <f t="shared" si="1"/>
        <v>1004</v>
      </c>
      <c r="M27" s="279">
        <f t="shared" si="2"/>
        <v>0</v>
      </c>
      <c r="O27" s="323">
        <f>SUMIFS('Data-Retail'!$N$4:$N$238,'Data-Retail'!$A$4:$A$238,'GSC Support'!$B27,'Data-Retail'!$D$4:$D$238,'GSC Support'!$C27)</f>
        <v>529.29999999999995</v>
      </c>
      <c r="P27" s="323"/>
      <c r="Q27" s="323"/>
      <c r="R27" s="323"/>
      <c r="S27" s="281">
        <f ca="1">SUMIFS('Apr11-Mar12 Billed-RETAIL'!$BA$5:$BA$138,'Apr11-Mar12 Billed-RETAIL'!$B$5:$B$138,'GSC Support'!$B27,'Apr11-Mar12 Billed-RETAIL'!$C$5:$C$138,'GSC Support'!$C27)</f>
        <v>529.29999999999995</v>
      </c>
      <c r="T27" s="287">
        <v>529.29999999999995</v>
      </c>
      <c r="U27" s="287"/>
      <c r="V27" s="287">
        <f t="shared" si="4"/>
        <v>529.29999999999995</v>
      </c>
      <c r="W27" s="288">
        <f t="shared" ca="1" si="5"/>
        <v>0</v>
      </c>
    </row>
    <row r="28" spans="1:23" x14ac:dyDescent="0.2">
      <c r="A28" s="196">
        <f t="shared" si="6"/>
        <v>23</v>
      </c>
      <c r="B28" s="211">
        <v>40634</v>
      </c>
      <c r="C28" s="211" t="str">
        <f>+'Retail Rates'!B29</f>
        <v>LGUMG830</v>
      </c>
      <c r="D28" s="197" t="str">
        <f t="shared" si="0"/>
        <v>830</v>
      </c>
      <c r="E28" s="197" t="str">
        <f>VLOOKUP(C28,'Retail Rates'!$B$7:$D$35,3,FALSE)</f>
        <v>RGS</v>
      </c>
      <c r="F28" s="222">
        <f>SUMIFS('Data-Retail'!$H$4:$H$269,'Data-Retail'!$A$4:$A$269,'GSC Support'!$B28,'Data-Retail'!$D$4:$D$269,'GSC Support'!$C28)</f>
        <v>32</v>
      </c>
      <c r="G28" s="222">
        <f>SUMIFS('Data-Retail'!$I$4:$I$269,'Data-Retail'!$A$4:$A$269,'GSC Support'!$B28,'Data-Retail'!$D$4:$D$269,'GSC Support'!$C28)</f>
        <v>0</v>
      </c>
      <c r="H28" s="222">
        <f t="shared" si="3"/>
        <v>32</v>
      </c>
      <c r="I28" s="286">
        <v>32</v>
      </c>
      <c r="J28" s="286"/>
      <c r="K28" s="286"/>
      <c r="L28" s="286">
        <f t="shared" si="1"/>
        <v>32</v>
      </c>
      <c r="M28" s="279">
        <f t="shared" si="2"/>
        <v>0</v>
      </c>
      <c r="O28" s="323">
        <f>SUMIFS('Data-Retail'!$N$4:$N$238,'Data-Retail'!$A$4:$A$238,'GSC Support'!$B28,'Data-Retail'!$D$4:$D$238,'GSC Support'!$C28)</f>
        <v>16.87</v>
      </c>
      <c r="P28" s="323"/>
      <c r="Q28" s="323"/>
      <c r="R28" s="323"/>
      <c r="S28" s="281">
        <f ca="1">SUMIFS('Apr11-Mar12 Billed-RETAIL'!$BA$5:$BA$138,'Apr11-Mar12 Billed-RETAIL'!$B$5:$B$138,'GSC Support'!$B28,'Apr11-Mar12 Billed-RETAIL'!$C$5:$C$138,'GSC Support'!$C28)</f>
        <v>16.87</v>
      </c>
      <c r="T28" s="287">
        <v>16.87</v>
      </c>
      <c r="U28" s="287"/>
      <c r="V28" s="287">
        <f t="shared" si="4"/>
        <v>16.87</v>
      </c>
      <c r="W28" s="288">
        <f t="shared" ca="1" si="5"/>
        <v>0</v>
      </c>
    </row>
    <row r="29" spans="1:23" x14ac:dyDescent="0.2">
      <c r="A29" s="196">
        <f t="shared" si="6"/>
        <v>24</v>
      </c>
      <c r="B29" s="211">
        <v>40634</v>
      </c>
      <c r="C29" s="211" t="str">
        <f>+'Retail Rates'!B30</f>
        <v>LGING992</v>
      </c>
      <c r="D29" s="197" t="str">
        <f t="shared" si="0"/>
        <v>992</v>
      </c>
      <c r="E29" s="197" t="str">
        <f>VLOOKUP(C29,'Retail Rates'!$B$7:$D$35,3,FALSE)</f>
        <v>SPC-EIDuP</v>
      </c>
      <c r="F29" s="222">
        <f>SUMIFS('Data-Retail'!$H$4:$H$269,'Data-Retail'!$A$4:$A$269,'GSC Support'!$B29,'Data-Retail'!$D$4:$D$269,'GSC Support'!$C29)</f>
        <v>0</v>
      </c>
      <c r="G29" s="222">
        <f>SUMIFS('Data-Retail'!$I$4:$I$269,'Data-Retail'!$A$4:$A$269,'GSC Support'!$B29,'Data-Retail'!$D$4:$D$269,'GSC Support'!$C29)</f>
        <v>0</v>
      </c>
      <c r="H29" s="222">
        <f t="shared" si="3"/>
        <v>0</v>
      </c>
      <c r="I29" s="286"/>
      <c r="J29" s="286"/>
      <c r="K29" s="286"/>
      <c r="L29" s="286">
        <f t="shared" si="1"/>
        <v>0</v>
      </c>
      <c r="M29" s="279">
        <f t="shared" si="2"/>
        <v>0</v>
      </c>
      <c r="O29" s="323">
        <f>SUMIFS('Data-Retail'!$N$4:$N$238,'Data-Retail'!$A$4:$A$238,'GSC Support'!$B29,'Data-Retail'!$D$4:$D$238,'GSC Support'!$C29)</f>
        <v>0</v>
      </c>
      <c r="P29" s="323"/>
      <c r="Q29" s="323"/>
      <c r="R29" s="323"/>
      <c r="S29" s="281">
        <f>SUMIFS('Apr11-Mar12 Billed-RETAIL'!$BA$5:$BA$138,'Apr11-Mar12 Billed-RETAIL'!$B$5:$B$138,'GSC Support'!$B29,'Apr11-Mar12 Billed-RETAIL'!$C$5:$C$138,'GSC Support'!$C29)</f>
        <v>0</v>
      </c>
      <c r="T29" s="287"/>
      <c r="U29" s="287"/>
      <c r="V29" s="287">
        <f t="shared" si="4"/>
        <v>0</v>
      </c>
      <c r="W29" s="288">
        <f t="shared" si="5"/>
        <v>0</v>
      </c>
    </row>
    <row r="30" spans="1:23" x14ac:dyDescent="0.2">
      <c r="A30" s="196">
        <f t="shared" si="6"/>
        <v>25</v>
      </c>
      <c r="B30" s="211">
        <v>40634</v>
      </c>
      <c r="C30" s="211" t="str">
        <f>+'Retail Rates'!B31</f>
        <v>LGING896FD</v>
      </c>
      <c r="D30" s="197" t="str">
        <f t="shared" si="0"/>
        <v>896</v>
      </c>
      <c r="E30" s="197" t="str">
        <f>VLOOKUP(C30,'Retail Rates'!$B$7:$D$35,3,FALSE)</f>
        <v>SPC-FORD</v>
      </c>
      <c r="F30" s="222">
        <f>SUMIFS('Data-Retail'!$H$4:$H$269,'Data-Retail'!$A$4:$A$269,'GSC Support'!$B30,'Data-Retail'!$D$4:$D$269,'GSC Support'!$C30)</f>
        <v>0</v>
      </c>
      <c r="G30" s="222">
        <f>SUMIFS('Data-Retail'!$I$4:$I$269,'Data-Retail'!$A$4:$A$269,'GSC Support'!$B30,'Data-Retail'!$D$4:$D$269,'GSC Support'!$C30)</f>
        <v>0</v>
      </c>
      <c r="H30" s="222">
        <f t="shared" si="3"/>
        <v>0</v>
      </c>
      <c r="I30" s="286"/>
      <c r="J30" s="286"/>
      <c r="K30" s="286"/>
      <c r="L30" s="286">
        <f t="shared" si="1"/>
        <v>0</v>
      </c>
      <c r="M30" s="279">
        <f t="shared" si="2"/>
        <v>0</v>
      </c>
      <c r="O30" s="323">
        <f>SUMIFS('Data-Retail'!$N$4:$N$238,'Data-Retail'!$A$4:$A$238,'GSC Support'!$B30,'Data-Retail'!$D$4:$D$238,'GSC Support'!$C30)</f>
        <v>0</v>
      </c>
      <c r="P30" s="323"/>
      <c r="Q30" s="323"/>
      <c r="R30" s="323"/>
      <c r="S30" s="281">
        <f>SUMIFS('Apr11-Mar12 Billed-RETAIL'!$BA$5:$BA$138,'Apr11-Mar12 Billed-RETAIL'!$B$5:$B$138,'GSC Support'!$B30,'Apr11-Mar12 Billed-RETAIL'!$C$5:$C$138,'GSC Support'!$C30)</f>
        <v>0</v>
      </c>
      <c r="T30" s="287"/>
      <c r="U30" s="287"/>
      <c r="V30" s="287">
        <f t="shared" si="4"/>
        <v>0</v>
      </c>
      <c r="W30" s="288">
        <f t="shared" si="5"/>
        <v>0</v>
      </c>
    </row>
    <row r="31" spans="1:23" x14ac:dyDescent="0.2">
      <c r="A31" s="196">
        <f t="shared" si="6"/>
        <v>26</v>
      </c>
      <c r="B31" s="211">
        <v>40634</v>
      </c>
      <c r="C31" s="211" t="str">
        <f>+'Retail Rates'!B32</f>
        <v>LGING896FM</v>
      </c>
      <c r="D31" s="197" t="str">
        <f t="shared" si="0"/>
        <v>896</v>
      </c>
      <c r="E31" s="197" t="str">
        <f>VLOOKUP(C31,'Retail Rates'!$B$7:$D$35,3,FALSE)</f>
        <v>SPC-FORD-PM</v>
      </c>
      <c r="F31" s="222">
        <f>SUMIFS('Data-Retail'!$H$4:$H$269,'Data-Retail'!$A$4:$A$269,'GSC Support'!$B31,'Data-Retail'!$D$4:$D$269,'GSC Support'!$C31)</f>
        <v>0</v>
      </c>
      <c r="G31" s="222">
        <f>SUMIFS('Data-Retail'!$I$4:$I$269,'Data-Retail'!$A$4:$A$269,'GSC Support'!$B31,'Data-Retail'!$D$4:$D$269,'GSC Support'!$C31)</f>
        <v>0</v>
      </c>
      <c r="H31" s="222">
        <f t="shared" si="3"/>
        <v>0</v>
      </c>
      <c r="I31" s="286"/>
      <c r="J31" s="286"/>
      <c r="K31" s="286"/>
      <c r="L31" s="286">
        <f t="shared" si="1"/>
        <v>0</v>
      </c>
      <c r="M31" s="279">
        <f t="shared" si="2"/>
        <v>0</v>
      </c>
      <c r="O31" s="323">
        <f>SUMIFS('Data-Retail'!$N$4:$N$238,'Data-Retail'!$A$4:$A$238,'GSC Support'!$B31,'Data-Retail'!$D$4:$D$238,'GSC Support'!$C31)</f>
        <v>0</v>
      </c>
      <c r="P31" s="323"/>
      <c r="Q31" s="323"/>
      <c r="R31" s="323"/>
      <c r="S31" s="281">
        <f>SUMIFS('Apr11-Mar12 Billed-RETAIL'!$BA$5:$BA$138,'Apr11-Mar12 Billed-RETAIL'!$B$5:$B$138,'GSC Support'!$B31,'Apr11-Mar12 Billed-RETAIL'!$C$5:$C$138,'GSC Support'!$C31)</f>
        <v>0</v>
      </c>
      <c r="T31" s="287"/>
      <c r="U31" s="287"/>
      <c r="V31" s="287">
        <f t="shared" si="4"/>
        <v>0</v>
      </c>
      <c r="W31" s="288">
        <f t="shared" si="5"/>
        <v>0</v>
      </c>
    </row>
    <row r="32" spans="1:23" x14ac:dyDescent="0.2">
      <c r="A32" s="196">
        <f t="shared" si="6"/>
        <v>27</v>
      </c>
      <c r="B32" s="211">
        <v>40634</v>
      </c>
      <c r="C32" s="211" t="str">
        <f>+'Retail Rates'!B33</f>
        <v>LGCMG991</v>
      </c>
      <c r="D32" s="197" t="str">
        <f t="shared" si="0"/>
        <v>991</v>
      </c>
      <c r="E32" s="197" t="str">
        <f>VLOOKUP(C32,'Retail Rates'!$B$7:$D$35,3,FALSE)</f>
        <v>SPC-FTKX</v>
      </c>
      <c r="F32" s="222">
        <f>SUMIFS('Data-Retail'!$H$4:$H$269,'Data-Retail'!$A$4:$A$269,'GSC Support'!$B32,'Data-Retail'!$D$4:$D$269,'GSC Support'!$C32)</f>
        <v>0</v>
      </c>
      <c r="G32" s="222">
        <f>SUMIFS('Data-Retail'!$I$4:$I$269,'Data-Retail'!$A$4:$A$269,'GSC Support'!$B32,'Data-Retail'!$D$4:$D$269,'GSC Support'!$C32)</f>
        <v>0</v>
      </c>
      <c r="H32" s="222">
        <f t="shared" si="3"/>
        <v>0</v>
      </c>
      <c r="I32" s="286"/>
      <c r="J32" s="286"/>
      <c r="K32" s="286"/>
      <c r="L32" s="286">
        <f t="shared" si="1"/>
        <v>0</v>
      </c>
      <c r="M32" s="279">
        <f t="shared" si="2"/>
        <v>0</v>
      </c>
      <c r="O32" s="323">
        <f>SUMIFS('Data-Retail'!$N$4:$N$238,'Data-Retail'!$A$4:$A$238,'GSC Support'!$B32,'Data-Retail'!$D$4:$D$238,'GSC Support'!$C32)</f>
        <v>0</v>
      </c>
      <c r="P32" s="323"/>
      <c r="Q32" s="323"/>
      <c r="R32" s="323"/>
      <c r="S32" s="281">
        <f>SUMIFS('Apr11-Mar12 Billed-RETAIL'!$BA$5:$BA$138,'Apr11-Mar12 Billed-RETAIL'!$B$5:$B$138,'GSC Support'!$B32,'Apr11-Mar12 Billed-RETAIL'!$C$5:$C$138,'GSC Support'!$C32)</f>
        <v>0</v>
      </c>
      <c r="T32" s="287"/>
      <c r="U32" s="287"/>
      <c r="V32" s="287">
        <f t="shared" si="4"/>
        <v>0</v>
      </c>
      <c r="W32" s="288">
        <f t="shared" si="5"/>
        <v>0</v>
      </c>
    </row>
    <row r="33" spans="1:25" x14ac:dyDescent="0.2">
      <c r="A33" s="196">
        <f t="shared" si="6"/>
        <v>28</v>
      </c>
      <c r="B33" s="211">
        <v>40634</v>
      </c>
      <c r="C33" s="211" t="str">
        <f>+'Retail Rates'!B34</f>
        <v>LGING996</v>
      </c>
      <c r="D33" s="197" t="str">
        <f t="shared" si="0"/>
        <v>996</v>
      </c>
      <c r="E33" s="197" t="str">
        <f>VLOOKUP(C33,'Retail Rates'!$B$7:$D$35,3,FALSE)</f>
        <v>SPC-LGE</v>
      </c>
      <c r="F33" s="222">
        <f>SUMIFS('Data-Retail'!$H$4:$H$269,'Data-Retail'!$A$4:$A$269,'GSC Support'!$B33,'Data-Retail'!$D$4:$D$269,'GSC Support'!$C33)</f>
        <v>0</v>
      </c>
      <c r="G33" s="222">
        <f>SUMIFS('Data-Retail'!$I$4:$I$269,'Data-Retail'!$A$4:$A$269,'GSC Support'!$B33,'Data-Retail'!$D$4:$D$269,'GSC Support'!$C33)</f>
        <v>0</v>
      </c>
      <c r="H33" s="222">
        <f t="shared" si="3"/>
        <v>0</v>
      </c>
      <c r="I33" s="286">
        <v>940695</v>
      </c>
      <c r="J33" s="286"/>
      <c r="K33" s="286"/>
      <c r="L33" s="286">
        <f t="shared" si="1"/>
        <v>940695</v>
      </c>
      <c r="M33" s="279">
        <f t="shared" si="2"/>
        <v>-940695</v>
      </c>
      <c r="O33" s="323">
        <f>SUMIFS('Data-Retail'!$N$4:$N$238,'Data-Retail'!$A$4:$A$238,'GSC Support'!$B33,'Data-Retail'!$D$4:$D$238,'GSC Support'!$C33)</f>
        <v>0</v>
      </c>
      <c r="P33" s="323"/>
      <c r="Q33" s="323"/>
      <c r="R33" s="323"/>
      <c r="S33" s="281">
        <f>SUMIFS('Apr11-Mar12 Billed-RETAIL'!$BA$5:$BA$138,'Apr11-Mar12 Billed-RETAIL'!$B$5:$B$138,'GSC Support'!$B33,'Apr11-Mar12 Billed-RETAIL'!$C$5:$C$138,'GSC Support'!$C33)</f>
        <v>0</v>
      </c>
      <c r="T33" s="287">
        <v>495934.4</v>
      </c>
      <c r="U33" s="287"/>
      <c r="V33" s="287">
        <f t="shared" si="4"/>
        <v>495934.4</v>
      </c>
      <c r="W33" s="288">
        <f t="shared" si="5"/>
        <v>-495934.4</v>
      </c>
      <c r="X33" s="312"/>
      <c r="Y33" s="311"/>
    </row>
    <row r="34" spans="1:25" x14ac:dyDescent="0.2">
      <c r="A34" s="196">
        <f t="shared" si="6"/>
        <v>29</v>
      </c>
      <c r="B34" s="211">
        <v>40634</v>
      </c>
      <c r="C34" s="211" t="str">
        <f>+'Retail Rates'!B35</f>
        <v>LGING997</v>
      </c>
      <c r="D34" s="197" t="str">
        <f t="shared" si="0"/>
        <v>997</v>
      </c>
      <c r="E34" s="197" t="str">
        <f>VLOOKUP(C34,'Retail Rates'!$B$7:$D$35,3,FALSE)</f>
        <v>SPC-PADDY</v>
      </c>
      <c r="F34" s="222">
        <f>SUMIFS('Data-Retail'!$H$4:$H$269,'Data-Retail'!$A$4:$A$269,'GSC Support'!$B34,'Data-Retail'!$D$4:$D$269,'GSC Support'!$C34)</f>
        <v>0</v>
      </c>
      <c r="G34" s="222">
        <f>SUMIFS('Data-Retail'!$I$4:$I$269,'Data-Retail'!$A$4:$A$269,'GSC Support'!$B34,'Data-Retail'!$D$4:$D$269,'GSC Support'!$C34)</f>
        <v>0</v>
      </c>
      <c r="H34" s="222">
        <f t="shared" si="3"/>
        <v>0</v>
      </c>
      <c r="I34" s="286"/>
      <c r="J34" s="286"/>
      <c r="K34" s="286"/>
      <c r="L34" s="286">
        <f t="shared" si="1"/>
        <v>0</v>
      </c>
      <c r="M34" s="279">
        <f t="shared" si="2"/>
        <v>0</v>
      </c>
      <c r="O34" s="323">
        <f>SUMIFS('Data-Retail'!$N$4:$N$238,'Data-Retail'!$A$4:$A$238,'GSC Support'!$B34,'Data-Retail'!$D$4:$D$238,'GSC Support'!$C34)</f>
        <v>0</v>
      </c>
      <c r="P34" s="323"/>
      <c r="Q34" s="323"/>
      <c r="R34" s="323"/>
      <c r="S34" s="281">
        <f>SUMIFS('Apr11-Mar12 Billed-RETAIL'!$BA$5:$BA$138,'Apr11-Mar12 Billed-RETAIL'!$B$5:$B$138,'GSC Support'!$B34,'Apr11-Mar12 Billed-RETAIL'!$C$5:$C$138,'GSC Support'!$C34)</f>
        <v>0</v>
      </c>
      <c r="T34" s="287"/>
      <c r="U34" s="287"/>
      <c r="V34" s="287">
        <f t="shared" si="4"/>
        <v>0</v>
      </c>
      <c r="W34" s="288">
        <f t="shared" si="5"/>
        <v>0</v>
      </c>
      <c r="X34" s="312"/>
      <c r="Y34" s="242"/>
    </row>
    <row r="35" spans="1:25" x14ac:dyDescent="0.2">
      <c r="A35" s="196">
        <f t="shared" si="6"/>
        <v>30</v>
      </c>
      <c r="B35" s="211">
        <v>40664</v>
      </c>
      <c r="C35" s="211" t="str">
        <f>+'Retail Rates'!B7</f>
        <v>LGCMG865</v>
      </c>
      <c r="D35" s="197" t="str">
        <f t="shared" si="0"/>
        <v>865</v>
      </c>
      <c r="E35" s="197" t="str">
        <f>VLOOKUP(C35,'Retail Rates'!$B$7:$D$35,3,FALSE)</f>
        <v>AAGS-C</v>
      </c>
      <c r="F35" s="222">
        <f>SUMIFS('Data-Retail'!$H$4:$H$269,'Data-Retail'!$A$4:$A$269,'GSC Support'!$B35,'Data-Retail'!$D$4:$D$269,'GSC Support'!$C35)</f>
        <v>29527</v>
      </c>
      <c r="G35" s="222">
        <f>SUMIFS('Data-Retail'!$I$4:$I$269,'Data-Retail'!$A$4:$A$269,'GSC Support'!$B35,'Data-Retail'!$D$4:$D$269,'GSC Support'!$C35)</f>
        <v>0</v>
      </c>
      <c r="H35" s="222">
        <f t="shared" si="3"/>
        <v>29527</v>
      </c>
      <c r="I35" s="286">
        <v>9541</v>
      </c>
      <c r="J35" s="286">
        <v>19986</v>
      </c>
      <c r="K35" s="286"/>
      <c r="L35" s="286">
        <f t="shared" si="1"/>
        <v>29527</v>
      </c>
      <c r="M35" s="279">
        <f t="shared" si="2"/>
        <v>0</v>
      </c>
      <c r="O35" s="323">
        <f>SUMIFS('Data-Retail'!$N$4:$N$238,'Data-Retail'!$A$4:$A$238,'GSC Support'!$B35,'Data-Retail'!$D$4:$D$238,'GSC Support'!$C35)</f>
        <v>15893.22</v>
      </c>
      <c r="P35" s="323"/>
      <c r="Q35" s="323"/>
      <c r="R35" s="323"/>
      <c r="S35" s="281">
        <f ca="1">SUMIFS('Apr11-Mar12 Billed-RETAIL'!$BA$5:$BA$138,'Apr11-Mar12 Billed-RETAIL'!$B$5:$B$138,'GSC Support'!$B35,'Apr11-Mar12 Billed-RETAIL'!$C$5:$C$138,'GSC Support'!$C35)</f>
        <v>15893.22</v>
      </c>
      <c r="T35" s="287">
        <v>5356.61</v>
      </c>
      <c r="U35" s="287">
        <v>10536.61</v>
      </c>
      <c r="V35" s="287">
        <f t="shared" si="4"/>
        <v>15893.220000000001</v>
      </c>
      <c r="W35" s="288">
        <f t="shared" ca="1" si="5"/>
        <v>0</v>
      </c>
      <c r="X35" s="312"/>
      <c r="Y35" s="242"/>
    </row>
    <row r="36" spans="1:25" x14ac:dyDescent="0.2">
      <c r="A36" s="196">
        <f t="shared" si="6"/>
        <v>31</v>
      </c>
      <c r="B36" s="211">
        <v>40664</v>
      </c>
      <c r="C36" s="211" t="str">
        <f>+'Retail Rates'!B8</f>
        <v>LGCMG891</v>
      </c>
      <c r="D36" s="197" t="str">
        <f t="shared" si="0"/>
        <v>891</v>
      </c>
      <c r="E36" s="197" t="str">
        <f>VLOOKUP(C36,'Retail Rates'!$B$7:$D$35,3,FALSE)</f>
        <v>AAGS-C-TS</v>
      </c>
      <c r="F36" s="222">
        <f>SUMIFS('Data-Retail'!$H$4:$H$269,'Data-Retail'!$A$4:$A$269,'GSC Support'!$B36,'Data-Retail'!$D$4:$D$269,'GSC Support'!$C36)</f>
        <v>0</v>
      </c>
      <c r="G36" s="222">
        <f>SUMIFS('Data-Retail'!$I$4:$I$269,'Data-Retail'!$A$4:$A$269,'GSC Support'!$B36,'Data-Retail'!$D$4:$D$269,'GSC Support'!$C36)</f>
        <v>0</v>
      </c>
      <c r="H36" s="222">
        <f t="shared" si="3"/>
        <v>0</v>
      </c>
      <c r="I36" s="286"/>
      <c r="J36" s="286"/>
      <c r="K36" s="286"/>
      <c r="L36" s="286">
        <f t="shared" si="1"/>
        <v>0</v>
      </c>
      <c r="M36" s="279">
        <f t="shared" si="2"/>
        <v>0</v>
      </c>
      <c r="O36" s="323">
        <f>SUMIFS('Data-Retail'!$N$4:$N$238,'Data-Retail'!$A$4:$A$238,'GSC Support'!$B36,'Data-Retail'!$D$4:$D$238,'GSC Support'!$C36)</f>
        <v>0</v>
      </c>
      <c r="P36" s="323"/>
      <c r="Q36" s="323"/>
      <c r="R36" s="323"/>
      <c r="S36" s="281">
        <f>SUMIFS('Apr11-Mar12 Billed-RETAIL'!$BA$5:$BA$138,'Apr11-Mar12 Billed-RETAIL'!$B$5:$B$138,'GSC Support'!$B36,'Apr11-Mar12 Billed-RETAIL'!$C$5:$C$138,'GSC Support'!$C36)</f>
        <v>0</v>
      </c>
      <c r="T36" s="287"/>
      <c r="U36" s="287"/>
      <c r="V36" s="287">
        <f t="shared" si="4"/>
        <v>0</v>
      </c>
      <c r="W36" s="288">
        <f t="shared" si="5"/>
        <v>0</v>
      </c>
      <c r="X36" s="312"/>
      <c r="Y36" s="242"/>
    </row>
    <row r="37" spans="1:25" x14ac:dyDescent="0.2">
      <c r="A37" s="196">
        <f t="shared" si="6"/>
        <v>32</v>
      </c>
      <c r="B37" s="211">
        <v>40664</v>
      </c>
      <c r="C37" s="211" t="str">
        <f>+'Retail Rates'!B9</f>
        <v>LGCMG891PM</v>
      </c>
      <c r="D37" s="197" t="str">
        <f t="shared" si="0"/>
        <v>891</v>
      </c>
      <c r="E37" s="197" t="str">
        <f>VLOOKUP(C37,'Retail Rates'!$B$7:$D$35,3,FALSE)</f>
        <v>AAGS-C-TS-PM</v>
      </c>
      <c r="F37" s="222">
        <f>SUMIFS('Data-Retail'!$H$4:$H$269,'Data-Retail'!$A$4:$A$269,'GSC Support'!$B37,'Data-Retail'!$D$4:$D$269,'GSC Support'!$C37)</f>
        <v>0</v>
      </c>
      <c r="G37" s="222">
        <f>SUMIFS('Data-Retail'!$I$4:$I$269,'Data-Retail'!$A$4:$A$269,'GSC Support'!$B37,'Data-Retail'!$D$4:$D$269,'GSC Support'!$C37)</f>
        <v>0</v>
      </c>
      <c r="H37" s="222">
        <f t="shared" si="3"/>
        <v>0</v>
      </c>
      <c r="I37" s="286"/>
      <c r="J37" s="286"/>
      <c r="K37" s="286"/>
      <c r="L37" s="286">
        <f t="shared" si="1"/>
        <v>0</v>
      </c>
      <c r="M37" s="279">
        <f t="shared" si="2"/>
        <v>0</v>
      </c>
      <c r="O37" s="323">
        <f>SUMIFS('Data-Retail'!$N$4:$N$238,'Data-Retail'!$A$4:$A$238,'GSC Support'!$B37,'Data-Retail'!$D$4:$D$238,'GSC Support'!$C37)</f>
        <v>0</v>
      </c>
      <c r="P37" s="323"/>
      <c r="Q37" s="323"/>
      <c r="R37" s="323"/>
      <c r="S37" s="281">
        <f>SUMIFS('Apr11-Mar12 Billed-RETAIL'!$BA$5:$BA$138,'Apr11-Mar12 Billed-RETAIL'!$B$5:$B$138,'GSC Support'!$B37,'Apr11-Mar12 Billed-RETAIL'!$C$5:$C$138,'GSC Support'!$C37)</f>
        <v>0</v>
      </c>
      <c r="T37" s="287"/>
      <c r="U37" s="287"/>
      <c r="V37" s="287">
        <f t="shared" si="4"/>
        <v>0</v>
      </c>
      <c r="W37" s="288">
        <f t="shared" si="5"/>
        <v>0</v>
      </c>
      <c r="X37" s="312"/>
      <c r="Y37" s="242"/>
    </row>
    <row r="38" spans="1:25" x14ac:dyDescent="0.2">
      <c r="A38" s="196">
        <f t="shared" si="6"/>
        <v>33</v>
      </c>
      <c r="B38" s="211">
        <v>40664</v>
      </c>
      <c r="C38" s="211" t="str">
        <f>+'Retail Rates'!B10</f>
        <v>LGING866</v>
      </c>
      <c r="D38" s="197" t="str">
        <f t="shared" si="0"/>
        <v>866</v>
      </c>
      <c r="E38" s="197" t="str">
        <f>VLOOKUP(C38,'Retail Rates'!$B$7:$D$35,3,FALSE)</f>
        <v>AAGS-I</v>
      </c>
      <c r="F38" s="222">
        <f>SUMIFS('Data-Retail'!$H$4:$H$269,'Data-Retail'!$A$4:$A$269,'GSC Support'!$B38,'Data-Retail'!$D$4:$D$269,'GSC Support'!$C38)</f>
        <v>217562</v>
      </c>
      <c r="G38" s="222">
        <f>SUMIFS('Data-Retail'!$I$4:$I$269,'Data-Retail'!$A$4:$A$269,'GSC Support'!$B38,'Data-Retail'!$D$4:$D$269,'GSC Support'!$C38)</f>
        <v>0</v>
      </c>
      <c r="H38" s="222">
        <f t="shared" si="3"/>
        <v>217562</v>
      </c>
      <c r="I38" s="286">
        <v>151232</v>
      </c>
      <c r="J38" s="286">
        <v>66330</v>
      </c>
      <c r="K38" s="286"/>
      <c r="L38" s="286">
        <f t="shared" si="1"/>
        <v>217562</v>
      </c>
      <c r="M38" s="279">
        <f t="shared" si="2"/>
        <v>0</v>
      </c>
      <c r="O38" s="323">
        <f>SUMIFS('Data-Retail'!$N$4:$N$238,'Data-Retail'!$A$4:$A$238,'GSC Support'!$B38,'Data-Retail'!$D$4:$D$238,'GSC Support'!$C38)</f>
        <v>119875.36</v>
      </c>
      <c r="P38" s="323"/>
      <c r="Q38" s="323"/>
      <c r="R38" s="323"/>
      <c r="S38" s="281">
        <f ca="1">SUMIFS('Apr11-Mar12 Billed-RETAIL'!$BA$5:$BA$138,'Apr11-Mar12 Billed-RETAIL'!$B$5:$B$138,'GSC Support'!$B38,'Apr11-Mar12 Billed-RETAIL'!$C$5:$C$138,'GSC Support'!$C38)</f>
        <v>119875.36</v>
      </c>
      <c r="T38" s="287">
        <v>84906.18</v>
      </c>
      <c r="U38" s="287">
        <v>34970.18</v>
      </c>
      <c r="V38" s="287">
        <f t="shared" si="4"/>
        <v>119876.35999999999</v>
      </c>
      <c r="W38" s="288">
        <f t="shared" ca="1" si="5"/>
        <v>-0.99999999998544808</v>
      </c>
      <c r="X38" s="312"/>
      <c r="Y38" s="242"/>
    </row>
    <row r="39" spans="1:25" x14ac:dyDescent="0.2">
      <c r="A39" s="196">
        <f t="shared" si="6"/>
        <v>34</v>
      </c>
      <c r="B39" s="211">
        <v>40664</v>
      </c>
      <c r="C39" s="211" t="str">
        <f>+'Retail Rates'!B11</f>
        <v>LGING892</v>
      </c>
      <c r="D39" s="197" t="str">
        <f t="shared" si="0"/>
        <v>892</v>
      </c>
      <c r="E39" s="197" t="str">
        <f>VLOOKUP(C39,'Retail Rates'!$B$7:$D$35,3,FALSE)</f>
        <v>AAGS-I-TS</v>
      </c>
      <c r="F39" s="222">
        <f>SUMIFS('Data-Retail'!$H$4:$H$269,'Data-Retail'!$A$4:$A$269,'GSC Support'!$B39,'Data-Retail'!$D$4:$D$269,'GSC Support'!$C39)</f>
        <v>0</v>
      </c>
      <c r="G39" s="222">
        <f>SUMIFS('Data-Retail'!$I$4:$I$269,'Data-Retail'!$A$4:$A$269,'GSC Support'!$B39,'Data-Retail'!$D$4:$D$269,'GSC Support'!$C39)</f>
        <v>0</v>
      </c>
      <c r="H39" s="222">
        <f t="shared" si="3"/>
        <v>0</v>
      </c>
      <c r="I39" s="286"/>
      <c r="J39" s="286"/>
      <c r="K39" s="286"/>
      <c r="L39" s="286">
        <f t="shared" si="1"/>
        <v>0</v>
      </c>
      <c r="M39" s="279">
        <f t="shared" si="2"/>
        <v>0</v>
      </c>
      <c r="O39" s="323">
        <f>SUMIFS('Data-Retail'!$N$4:$N$238,'Data-Retail'!$A$4:$A$238,'GSC Support'!$B39,'Data-Retail'!$D$4:$D$238,'GSC Support'!$C39)</f>
        <v>0</v>
      </c>
      <c r="P39" s="323"/>
      <c r="Q39" s="323"/>
      <c r="R39" s="323"/>
      <c r="S39" s="281">
        <f>SUMIFS('Apr11-Mar12 Billed-RETAIL'!$BA$5:$BA$138,'Apr11-Mar12 Billed-RETAIL'!$B$5:$B$138,'GSC Support'!$B39,'Apr11-Mar12 Billed-RETAIL'!$C$5:$C$138,'GSC Support'!$C39)</f>
        <v>0</v>
      </c>
      <c r="T39" s="287"/>
      <c r="U39" s="287"/>
      <c r="V39" s="287">
        <f t="shared" si="4"/>
        <v>0</v>
      </c>
      <c r="W39" s="288">
        <f t="shared" si="5"/>
        <v>0</v>
      </c>
      <c r="X39" s="312"/>
      <c r="Y39" s="242"/>
    </row>
    <row r="40" spans="1:25" x14ac:dyDescent="0.2">
      <c r="A40" s="196">
        <f t="shared" si="6"/>
        <v>35</v>
      </c>
      <c r="B40" s="211">
        <v>40664</v>
      </c>
      <c r="C40" s="211" t="str">
        <f>+'Retail Rates'!B12</f>
        <v>LGING892PM</v>
      </c>
      <c r="D40" s="197" t="str">
        <f t="shared" si="0"/>
        <v>892</v>
      </c>
      <c r="E40" s="197" t="str">
        <f>VLOOKUP(C40,'Retail Rates'!$B$7:$D$35,3,FALSE)</f>
        <v>AAGS-I-TS-PM</v>
      </c>
      <c r="F40" s="222">
        <f>SUMIFS('Data-Retail'!$H$4:$H$269,'Data-Retail'!$A$4:$A$269,'GSC Support'!$B40,'Data-Retail'!$D$4:$D$269,'GSC Support'!$C40)</f>
        <v>0</v>
      </c>
      <c r="G40" s="222">
        <f>SUMIFS('Data-Retail'!$I$4:$I$269,'Data-Retail'!$A$4:$A$269,'GSC Support'!$B40,'Data-Retail'!$D$4:$D$269,'GSC Support'!$C40)</f>
        <v>0</v>
      </c>
      <c r="H40" s="222">
        <f t="shared" si="3"/>
        <v>0</v>
      </c>
      <c r="I40" s="286"/>
      <c r="J40" s="286"/>
      <c r="K40" s="286"/>
      <c r="L40" s="286">
        <f t="shared" si="1"/>
        <v>0</v>
      </c>
      <c r="M40" s="279">
        <f t="shared" si="2"/>
        <v>0</v>
      </c>
      <c r="O40" s="323">
        <f>SUMIFS('Data-Retail'!$N$4:$N$238,'Data-Retail'!$A$4:$A$238,'GSC Support'!$B40,'Data-Retail'!$D$4:$D$238,'GSC Support'!$C40)</f>
        <v>0</v>
      </c>
      <c r="P40" s="323"/>
      <c r="Q40" s="323"/>
      <c r="R40" s="323"/>
      <c r="S40" s="281">
        <f>SUMIFS('Apr11-Mar12 Billed-RETAIL'!$BA$5:$BA$138,'Apr11-Mar12 Billed-RETAIL'!$B$5:$B$138,'GSC Support'!$B40,'Apr11-Mar12 Billed-RETAIL'!$C$5:$C$138,'GSC Support'!$C40)</f>
        <v>0</v>
      </c>
      <c r="T40" s="287"/>
      <c r="U40" s="287"/>
      <c r="V40" s="287">
        <f t="shared" si="4"/>
        <v>0</v>
      </c>
      <c r="W40" s="288">
        <f t="shared" si="5"/>
        <v>0</v>
      </c>
      <c r="X40" s="312"/>
      <c r="Y40" s="242"/>
    </row>
    <row r="41" spans="1:25" x14ac:dyDescent="0.2">
      <c r="A41" s="196">
        <f t="shared" si="6"/>
        <v>36</v>
      </c>
      <c r="B41" s="211">
        <v>40664</v>
      </c>
      <c r="C41" s="211" t="str">
        <f>+'Retail Rates'!B13</f>
        <v>LGCMG851</v>
      </c>
      <c r="D41" s="197" t="str">
        <f t="shared" si="0"/>
        <v>851</v>
      </c>
      <c r="E41" s="197" t="str">
        <f>VLOOKUP(C41,'Retail Rates'!$B$7:$D$35,3,FALSE)</f>
        <v>CGS</v>
      </c>
      <c r="F41" s="222">
        <f>SUMIFS('Data-Retail'!$H$4:$H$269,'Data-Retail'!$A$4:$A$269,'GSC Support'!$B41,'Data-Retail'!$D$4:$D$269,'GSC Support'!$C41)</f>
        <v>3093584</v>
      </c>
      <c r="G41" s="222">
        <f>SUMIFS('Data-Retail'!$I$4:$I$269,'Data-Retail'!$A$4:$A$269,'GSC Support'!$B41,'Data-Retail'!$D$4:$D$269,'GSC Support'!$C41)</f>
        <v>1693862</v>
      </c>
      <c r="H41" s="222">
        <f t="shared" si="3"/>
        <v>4787446</v>
      </c>
      <c r="I41" s="286">
        <v>2120109</v>
      </c>
      <c r="J41" s="286">
        <v>2667337</v>
      </c>
      <c r="K41" s="286"/>
      <c r="L41" s="286">
        <f t="shared" si="1"/>
        <v>4787446</v>
      </c>
      <c r="M41" s="279">
        <f t="shared" si="2"/>
        <v>0</v>
      </c>
      <c r="O41" s="323">
        <f>SUMIFS('Data-Retail'!$N$4:$N$238,'Data-Retail'!$A$4:$A$238,'GSC Support'!$B41,'Data-Retail'!$D$4:$D$238,'GSC Support'!$C41)</f>
        <v>2596592.6599999997</v>
      </c>
      <c r="P41" s="323"/>
      <c r="Q41" s="323"/>
      <c r="R41" s="323"/>
      <c r="S41" s="281">
        <f ca="1">SUMIFS('Apr11-Mar12 Billed-RETAIL'!$BA$5:$BA$138,'Apr11-Mar12 Billed-RETAIL'!$B$5:$B$138,'GSC Support'!$B41,'Apr11-Mar12 Billed-RETAIL'!$C$5:$C$138,'GSC Support'!$C41)</f>
        <v>2596592.6599999997</v>
      </c>
      <c r="T41" s="287">
        <v>1190273.05</v>
      </c>
      <c r="U41" s="287">
        <v>1406319.61</v>
      </c>
      <c r="V41" s="287">
        <f t="shared" si="4"/>
        <v>2596592.66</v>
      </c>
      <c r="W41" s="288">
        <f t="shared" ca="1" si="5"/>
        <v>0</v>
      </c>
      <c r="X41" s="312"/>
      <c r="Y41" s="242"/>
    </row>
    <row r="42" spans="1:25" x14ac:dyDescent="0.2">
      <c r="A42" s="196">
        <f t="shared" si="6"/>
        <v>37</v>
      </c>
      <c r="B42" s="211">
        <v>40664</v>
      </c>
      <c r="C42" s="211" t="str">
        <f>+'Retail Rates'!B14</f>
        <v>LGUMG860</v>
      </c>
      <c r="D42" s="197" t="str">
        <f t="shared" si="0"/>
        <v>860</v>
      </c>
      <c r="E42" s="197" t="str">
        <f>VLOOKUP(C42,'Retail Rates'!$B$7:$D$35,3,FALSE)</f>
        <v>CGS</v>
      </c>
      <c r="F42" s="222">
        <f>SUMIFS('Data-Retail'!$H$4:$H$269,'Data-Retail'!$A$4:$A$269,'GSC Support'!$B42,'Data-Retail'!$D$4:$D$269,'GSC Support'!$C42)</f>
        <v>358</v>
      </c>
      <c r="G42" s="222">
        <f>SUMIFS('Data-Retail'!$I$4:$I$269,'Data-Retail'!$A$4:$A$269,'GSC Support'!$B42,'Data-Retail'!$D$4:$D$269,'GSC Support'!$C42)</f>
        <v>0</v>
      </c>
      <c r="H42" s="222">
        <f t="shared" si="3"/>
        <v>358</v>
      </c>
      <c r="I42" s="286">
        <v>260</v>
      </c>
      <c r="J42" s="286">
        <v>98</v>
      </c>
      <c r="K42" s="286"/>
      <c r="L42" s="286">
        <f t="shared" si="1"/>
        <v>358</v>
      </c>
      <c r="M42" s="279">
        <f t="shared" si="2"/>
        <v>0</v>
      </c>
      <c r="O42" s="323">
        <f>SUMIFS('Data-Retail'!$N$4:$N$238,'Data-Retail'!$A$4:$A$238,'GSC Support'!$B42,'Data-Retail'!$D$4:$D$238,'GSC Support'!$C42)</f>
        <v>197.63</v>
      </c>
      <c r="P42" s="323"/>
      <c r="Q42" s="323"/>
      <c r="R42" s="323"/>
      <c r="S42" s="281">
        <f ca="1">SUMIFS('Apr11-Mar12 Billed-RETAIL'!$BA$5:$BA$138,'Apr11-Mar12 Billed-RETAIL'!$B$5:$B$138,'GSC Support'!$B42,'Apr11-Mar12 Billed-RETAIL'!$C$5:$C$138,'GSC Support'!$C42)</f>
        <v>197.63</v>
      </c>
      <c r="T42" s="287">
        <v>145.97</v>
      </c>
      <c r="U42" s="287">
        <v>51.66</v>
      </c>
      <c r="V42" s="287">
        <f t="shared" si="4"/>
        <v>197.63</v>
      </c>
      <c r="W42" s="288">
        <f t="shared" ca="1" si="5"/>
        <v>0</v>
      </c>
      <c r="X42" s="312"/>
      <c r="Y42" s="242"/>
    </row>
    <row r="43" spans="1:25" x14ac:dyDescent="0.2">
      <c r="A43" s="196">
        <f t="shared" si="6"/>
        <v>38</v>
      </c>
      <c r="B43" s="211">
        <v>40664</v>
      </c>
      <c r="C43" s="211" t="str">
        <f>+'Retail Rates'!B15</f>
        <v>LGUMG861</v>
      </c>
      <c r="D43" s="197" t="str">
        <f t="shared" si="0"/>
        <v>861</v>
      </c>
      <c r="E43" s="197" t="str">
        <f>VLOOKUP(C43,'Retail Rates'!$B$7:$D$35,3,FALSE)</f>
        <v>CGS</v>
      </c>
      <c r="F43" s="222">
        <f>SUMIFS('Data-Retail'!$H$4:$H$269,'Data-Retail'!$A$4:$A$269,'GSC Support'!$B43,'Data-Retail'!$D$4:$D$269,'GSC Support'!$C43)</f>
        <v>610</v>
      </c>
      <c r="G43" s="222">
        <f>SUMIFS('Data-Retail'!$I$4:$I$269,'Data-Retail'!$A$4:$A$269,'GSC Support'!$B43,'Data-Retail'!$D$4:$D$269,'GSC Support'!$C43)</f>
        <v>0</v>
      </c>
      <c r="H43" s="222">
        <f t="shared" si="3"/>
        <v>610</v>
      </c>
      <c r="I43" s="286">
        <v>273</v>
      </c>
      <c r="J43" s="286">
        <v>337</v>
      </c>
      <c r="K43" s="286"/>
      <c r="L43" s="286">
        <f t="shared" si="1"/>
        <v>610</v>
      </c>
      <c r="M43" s="279">
        <f t="shared" si="2"/>
        <v>0</v>
      </c>
      <c r="O43" s="323">
        <f>SUMIFS('Data-Retail'!$N$4:$N$238,'Data-Retail'!$A$4:$A$238,'GSC Support'!$B43,'Data-Retail'!$D$4:$D$238,'GSC Support'!$C43)</f>
        <v>331.47</v>
      </c>
      <c r="P43" s="323"/>
      <c r="Q43" s="323"/>
      <c r="R43" s="323"/>
      <c r="S43" s="281">
        <f ca="1">SUMIFS('Apr11-Mar12 Billed-RETAIL'!$BA$5:$BA$138,'Apr11-Mar12 Billed-RETAIL'!$B$5:$B$138,'GSC Support'!$B43,'Apr11-Mar12 Billed-RETAIL'!$C$5:$C$138,'GSC Support'!$C43)</f>
        <v>331.47</v>
      </c>
      <c r="T43" s="287">
        <v>152.88</v>
      </c>
      <c r="U43" s="287">
        <v>178.59</v>
      </c>
      <c r="V43" s="287">
        <f t="shared" si="4"/>
        <v>331.47</v>
      </c>
      <c r="W43" s="288">
        <f t="shared" ca="1" si="5"/>
        <v>0</v>
      </c>
      <c r="X43" s="312"/>
      <c r="Y43" s="242"/>
    </row>
    <row r="44" spans="1:25" x14ac:dyDescent="0.2">
      <c r="A44" s="196">
        <f t="shared" si="6"/>
        <v>39</v>
      </c>
      <c r="B44" s="211">
        <v>40664</v>
      </c>
      <c r="C44" s="211" t="str">
        <f>+'Retail Rates'!B16</f>
        <v>LGCMG881</v>
      </c>
      <c r="D44" s="197" t="str">
        <f t="shared" si="0"/>
        <v>881</v>
      </c>
      <c r="E44" s="197" t="str">
        <f>VLOOKUP(C44,'Retail Rates'!$B$7:$D$35,3,FALSE)</f>
        <v>CGS-TS</v>
      </c>
      <c r="F44" s="329">
        <f>SUMIFS('Data-Retail'!$H$4:$H$269,'Data-Retail'!$A$4:$A$269,'GSC Support'!$B44,'Data-Retail'!$D$4:$D$269,'GSC Support'!$C44)</f>
        <v>0</v>
      </c>
      <c r="G44" s="329">
        <f>SUMIFS('Data-Retail'!$I$4:$I$269,'Data-Retail'!$A$4:$A$269,'GSC Support'!$B44,'Data-Retail'!$D$4:$D$269,'GSC Support'!$C44)</f>
        <v>0</v>
      </c>
      <c r="H44" s="329">
        <f t="shared" si="3"/>
        <v>0</v>
      </c>
      <c r="I44" s="330">
        <v>968</v>
      </c>
      <c r="J44" s="330">
        <v>1371</v>
      </c>
      <c r="K44" s="330"/>
      <c r="L44" s="330">
        <f t="shared" si="1"/>
        <v>2339</v>
      </c>
      <c r="M44" s="331">
        <f t="shared" si="2"/>
        <v>-2339</v>
      </c>
      <c r="N44" s="332"/>
      <c r="O44" s="323">
        <f>SUMIFS('Data-Retail'!$V$4:$V$238,'Data-Retail'!$A$4:$A$238,'GSC Support'!$B44,'Data-Retail'!$D$4:$D$238,'GSC Support'!$C44)</f>
        <v>0</v>
      </c>
      <c r="P44" s="327">
        <f>VLOOKUP($B44,'GSC-DSM Factors'!$A$18:$E$44,5,FALSE)</f>
        <v>8.8999999999999995E-4</v>
      </c>
      <c r="Q44" s="326">
        <f>P44*H44</f>
        <v>0</v>
      </c>
      <c r="R44" s="323">
        <f>+O44-Q44</f>
        <v>0</v>
      </c>
      <c r="S44" s="281">
        <f>SUMIFS('Apr11-Mar12 Billed-RETAIL'!$BA$5:$BA$138,'Apr11-Mar12 Billed-RETAIL'!$B$5:$B$138,'GSC Support'!$B44,'Apr11-Mar12 Billed-RETAIL'!$C$5:$C$138,'GSC Support'!$C44)</f>
        <v>0</v>
      </c>
      <c r="T44" s="287">
        <v>543.46</v>
      </c>
      <c r="U44" s="287">
        <v>722.79</v>
      </c>
      <c r="V44" s="287">
        <f t="shared" si="4"/>
        <v>1266.25</v>
      </c>
      <c r="W44" s="288">
        <f t="shared" si="5"/>
        <v>-1266.25</v>
      </c>
      <c r="X44" s="312"/>
      <c r="Y44" s="242"/>
    </row>
    <row r="45" spans="1:25" x14ac:dyDescent="0.2">
      <c r="A45" s="196">
        <f t="shared" si="6"/>
        <v>40</v>
      </c>
      <c r="B45" s="211">
        <v>40664</v>
      </c>
      <c r="C45" s="211" t="str">
        <f>+'Retail Rates'!B17</f>
        <v>LGCMG881PM</v>
      </c>
      <c r="D45" s="197" t="str">
        <f t="shared" si="0"/>
        <v>881</v>
      </c>
      <c r="E45" s="197" t="str">
        <f>VLOOKUP(C45,'Retail Rates'!$B$7:$D$35,3,FALSE)</f>
        <v>CGS-TS-PM</v>
      </c>
      <c r="F45" s="222">
        <f>SUMIFS('Data-Retail'!$H$4:$H$269,'Data-Retail'!$A$4:$A$269,'GSC Support'!$B45,'Data-Retail'!$D$4:$D$269,'GSC Support'!$C45)</f>
        <v>0</v>
      </c>
      <c r="G45" s="222">
        <f>SUMIFS('Data-Retail'!$I$4:$I$269,'Data-Retail'!$A$4:$A$269,'GSC Support'!$B45,'Data-Retail'!$D$4:$D$269,'GSC Support'!$C45)</f>
        <v>0</v>
      </c>
      <c r="H45" s="222">
        <f t="shared" si="3"/>
        <v>0</v>
      </c>
      <c r="I45" s="286"/>
      <c r="J45" s="286"/>
      <c r="K45" s="286"/>
      <c r="L45" s="286">
        <f t="shared" si="1"/>
        <v>0</v>
      </c>
      <c r="M45" s="279">
        <f t="shared" si="2"/>
        <v>0</v>
      </c>
      <c r="O45" s="323">
        <f>SUMIFS('Data-Retail'!$N$4:$N$238,'Data-Retail'!$A$4:$A$238,'GSC Support'!$B45,'Data-Retail'!$D$4:$D$238,'GSC Support'!$C45)</f>
        <v>0</v>
      </c>
      <c r="P45" s="323"/>
      <c r="Q45" s="323"/>
      <c r="R45" s="323"/>
      <c r="S45" s="281">
        <f>SUMIFS('Apr11-Mar12 Billed-RETAIL'!$BA$5:$BA$138,'Apr11-Mar12 Billed-RETAIL'!$B$5:$B$138,'GSC Support'!$B45,'Apr11-Mar12 Billed-RETAIL'!$C$5:$C$138,'GSC Support'!$C45)</f>
        <v>0</v>
      </c>
      <c r="T45" s="287"/>
      <c r="U45" s="287"/>
      <c r="V45" s="287">
        <f t="shared" si="4"/>
        <v>0</v>
      </c>
      <c r="W45" s="288">
        <f t="shared" si="5"/>
        <v>0</v>
      </c>
    </row>
    <row r="46" spans="1:25" x14ac:dyDescent="0.2">
      <c r="A46" s="196">
        <f t="shared" si="6"/>
        <v>41</v>
      </c>
      <c r="B46" s="211">
        <v>40664</v>
      </c>
      <c r="C46" s="211" t="str">
        <f>+'Retail Rates'!B18</f>
        <v>LGCMG875</v>
      </c>
      <c r="D46" s="197" t="str">
        <f t="shared" si="0"/>
        <v>875</v>
      </c>
      <c r="E46" s="197" t="str">
        <f>VLOOKUP(C46,'Retail Rates'!$B$7:$D$35,3,FALSE)</f>
        <v>DGGS-C</v>
      </c>
      <c r="F46" s="222">
        <f>SUMIFS('Data-Retail'!$H$4:$H$269,'Data-Retail'!$A$4:$A$269,'GSC Support'!$B46,'Data-Retail'!$D$4:$D$269,'GSC Support'!$C46)</f>
        <v>0</v>
      </c>
      <c r="G46" s="222">
        <f>SUMIFS('Data-Retail'!$I$4:$I$269,'Data-Retail'!$A$4:$A$269,'GSC Support'!$B46,'Data-Retail'!$D$4:$D$269,'GSC Support'!$C46)</f>
        <v>0</v>
      </c>
      <c r="H46" s="222">
        <f t="shared" si="3"/>
        <v>0</v>
      </c>
      <c r="I46" s="286"/>
      <c r="J46" s="286"/>
      <c r="K46" s="286"/>
      <c r="L46" s="286">
        <f t="shared" si="1"/>
        <v>0</v>
      </c>
      <c r="M46" s="279">
        <f t="shared" si="2"/>
        <v>0</v>
      </c>
      <c r="O46" s="323">
        <f>SUMIFS('Data-Retail'!$N$4:$N$238,'Data-Retail'!$A$4:$A$238,'GSC Support'!$B46,'Data-Retail'!$D$4:$D$238,'GSC Support'!$C46)</f>
        <v>0</v>
      </c>
      <c r="P46" s="323"/>
      <c r="Q46" s="323"/>
      <c r="R46" s="323"/>
      <c r="S46" s="281">
        <f ca="1">SUMIFS('Apr11-Mar12 Billed-RETAIL'!$BA$5:$BA$138,'Apr11-Mar12 Billed-RETAIL'!$B$5:$B$138,'GSC Support'!$B46,'Apr11-Mar12 Billed-RETAIL'!$C$5:$C$138,'GSC Support'!$C46)</f>
        <v>0</v>
      </c>
      <c r="T46" s="287"/>
      <c r="U46" s="287"/>
      <c r="V46" s="287">
        <f t="shared" si="4"/>
        <v>0</v>
      </c>
      <c r="W46" s="288">
        <f t="shared" ca="1" si="5"/>
        <v>0</v>
      </c>
    </row>
    <row r="47" spans="1:25" x14ac:dyDescent="0.2">
      <c r="A47" s="196">
        <f t="shared" si="6"/>
        <v>42</v>
      </c>
      <c r="B47" s="211">
        <v>40664</v>
      </c>
      <c r="C47" s="211" t="str">
        <f>+'Retail Rates'!B19</f>
        <v>LGCMG895</v>
      </c>
      <c r="D47" s="197" t="str">
        <f t="shared" si="0"/>
        <v>895</v>
      </c>
      <c r="E47" s="197" t="str">
        <f>VLOOKUP(C47,'Retail Rates'!$B$7:$D$35,3,FALSE)</f>
        <v>FT-C</v>
      </c>
      <c r="F47" s="222">
        <f>SUMIFS('Data-Retail'!$H$4:$H$269,'Data-Retail'!$A$4:$A$269,'GSC Support'!$B47,'Data-Retail'!$D$4:$D$269,'GSC Support'!$C47)</f>
        <v>0</v>
      </c>
      <c r="G47" s="222">
        <f>SUMIFS('Data-Retail'!$I$4:$I$269,'Data-Retail'!$A$4:$A$269,'GSC Support'!$B47,'Data-Retail'!$D$4:$D$269,'GSC Support'!$C47)</f>
        <v>0</v>
      </c>
      <c r="H47" s="222">
        <f t="shared" si="3"/>
        <v>0</v>
      </c>
      <c r="I47" s="286"/>
      <c r="J47" s="286"/>
      <c r="K47" s="286"/>
      <c r="L47" s="286">
        <f t="shared" si="1"/>
        <v>0</v>
      </c>
      <c r="M47" s="279">
        <f t="shared" si="2"/>
        <v>0</v>
      </c>
      <c r="O47" s="323">
        <f>SUMIFS('Data-Retail'!$N$4:$N$238,'Data-Retail'!$A$4:$A$238,'GSC Support'!$B47,'Data-Retail'!$D$4:$D$238,'GSC Support'!$C47)</f>
        <v>0</v>
      </c>
      <c r="P47" s="323"/>
      <c r="Q47" s="323"/>
      <c r="R47" s="323"/>
      <c r="S47" s="281">
        <f>SUMIFS('Apr11-Mar12 Billed-RETAIL'!$BA$5:$BA$138,'Apr11-Mar12 Billed-RETAIL'!$B$5:$B$138,'GSC Support'!$B47,'Apr11-Mar12 Billed-RETAIL'!$C$5:$C$138,'GSC Support'!$C47)</f>
        <v>0</v>
      </c>
      <c r="T47" s="287"/>
      <c r="U47" s="287"/>
      <c r="V47" s="287">
        <f t="shared" si="4"/>
        <v>0</v>
      </c>
      <c r="W47" s="288">
        <f t="shared" si="5"/>
        <v>0</v>
      </c>
    </row>
    <row r="48" spans="1:25" x14ac:dyDescent="0.2">
      <c r="A48" s="196">
        <f t="shared" si="6"/>
        <v>43</v>
      </c>
      <c r="B48" s="211">
        <v>40664</v>
      </c>
      <c r="C48" s="211" t="str">
        <f>+'Retail Rates'!B20</f>
        <v>LGCMG895PM</v>
      </c>
      <c r="D48" s="197" t="str">
        <f t="shared" si="0"/>
        <v>895</v>
      </c>
      <c r="E48" s="197" t="str">
        <f>VLOOKUP(C48,'Retail Rates'!$B$7:$D$35,3,FALSE)</f>
        <v>FT-C-PM</v>
      </c>
      <c r="F48" s="222">
        <f>SUMIFS('Data-Retail'!$H$4:$H$269,'Data-Retail'!$A$4:$A$269,'GSC Support'!$B48,'Data-Retail'!$D$4:$D$269,'GSC Support'!$C48)</f>
        <v>0</v>
      </c>
      <c r="G48" s="222">
        <f>SUMIFS('Data-Retail'!$I$4:$I$269,'Data-Retail'!$A$4:$A$269,'GSC Support'!$B48,'Data-Retail'!$D$4:$D$269,'GSC Support'!$C48)</f>
        <v>0</v>
      </c>
      <c r="H48" s="222">
        <f t="shared" si="3"/>
        <v>0</v>
      </c>
      <c r="I48" s="286"/>
      <c r="J48" s="286"/>
      <c r="K48" s="286"/>
      <c r="L48" s="286">
        <f t="shared" si="1"/>
        <v>0</v>
      </c>
      <c r="M48" s="279">
        <f t="shared" si="2"/>
        <v>0</v>
      </c>
      <c r="O48" s="323">
        <f>SUMIFS('Data-Retail'!$N$4:$N$238,'Data-Retail'!$A$4:$A$238,'GSC Support'!$B48,'Data-Retail'!$D$4:$D$238,'GSC Support'!$C48)</f>
        <v>0</v>
      </c>
      <c r="P48" s="323"/>
      <c r="Q48" s="323"/>
      <c r="R48" s="323"/>
      <c r="S48" s="281">
        <f>SUMIFS('Apr11-Mar12 Billed-RETAIL'!$BA$5:$BA$138,'Apr11-Mar12 Billed-RETAIL'!$B$5:$B$138,'GSC Support'!$B48,'Apr11-Mar12 Billed-RETAIL'!$C$5:$C$138,'GSC Support'!$C48)</f>
        <v>0</v>
      </c>
      <c r="T48" s="287"/>
      <c r="U48" s="287"/>
      <c r="V48" s="287">
        <f t="shared" si="4"/>
        <v>0</v>
      </c>
      <c r="W48" s="288">
        <f t="shared" si="5"/>
        <v>0</v>
      </c>
    </row>
    <row r="49" spans="1:23" x14ac:dyDescent="0.2">
      <c r="A49" s="196">
        <f t="shared" si="6"/>
        <v>44</v>
      </c>
      <c r="B49" s="211">
        <v>40664</v>
      </c>
      <c r="C49" s="211" t="str">
        <f>+'Retail Rates'!B21</f>
        <v>LGING896</v>
      </c>
      <c r="D49" s="197" t="str">
        <f t="shared" si="0"/>
        <v>896</v>
      </c>
      <c r="E49" s="197" t="str">
        <f>VLOOKUP(C49,'Retail Rates'!$B$7:$D$35,3,FALSE)</f>
        <v>FT-I</v>
      </c>
      <c r="F49" s="222">
        <f>SUMIFS('Data-Retail'!$H$4:$H$269,'Data-Retail'!$A$4:$A$269,'GSC Support'!$B49,'Data-Retail'!$D$4:$D$269,'GSC Support'!$C49)</f>
        <v>0</v>
      </c>
      <c r="G49" s="222">
        <f>SUMIFS('Data-Retail'!$I$4:$I$269,'Data-Retail'!$A$4:$A$269,'GSC Support'!$B49,'Data-Retail'!$D$4:$D$269,'GSC Support'!$C49)</f>
        <v>0</v>
      </c>
      <c r="H49" s="222">
        <f t="shared" si="3"/>
        <v>0</v>
      </c>
      <c r="I49" s="286"/>
      <c r="J49" s="286"/>
      <c r="K49" s="286"/>
      <c r="L49" s="286">
        <f t="shared" si="1"/>
        <v>0</v>
      </c>
      <c r="M49" s="279">
        <f t="shared" si="2"/>
        <v>0</v>
      </c>
      <c r="O49" s="323">
        <f>SUMIFS('Data-Retail'!$N$4:$N$238,'Data-Retail'!$A$4:$A$238,'GSC Support'!$B49,'Data-Retail'!$D$4:$D$238,'GSC Support'!$C49)</f>
        <v>0</v>
      </c>
      <c r="P49" s="323"/>
      <c r="Q49" s="323"/>
      <c r="R49" s="323"/>
      <c r="S49" s="281">
        <f>SUMIFS('Apr11-Mar12 Billed-RETAIL'!$BA$5:$BA$138,'Apr11-Mar12 Billed-RETAIL'!$B$5:$B$138,'GSC Support'!$B49,'Apr11-Mar12 Billed-RETAIL'!$C$5:$C$138,'GSC Support'!$C49)</f>
        <v>0</v>
      </c>
      <c r="T49" s="287"/>
      <c r="U49" s="287"/>
      <c r="V49" s="287">
        <f t="shared" si="4"/>
        <v>0</v>
      </c>
      <c r="W49" s="288">
        <f t="shared" si="5"/>
        <v>0</v>
      </c>
    </row>
    <row r="50" spans="1:23" x14ac:dyDescent="0.2">
      <c r="A50" s="196">
        <f t="shared" si="6"/>
        <v>45</v>
      </c>
      <c r="B50" s="211">
        <v>40664</v>
      </c>
      <c r="C50" s="211" t="str">
        <f>+'Retail Rates'!B22</f>
        <v>LGING896PM</v>
      </c>
      <c r="D50" s="197" t="str">
        <f t="shared" si="0"/>
        <v>896</v>
      </c>
      <c r="E50" s="197" t="str">
        <f>VLOOKUP(C50,'Retail Rates'!$B$7:$D$35,3,FALSE)</f>
        <v>FT-I-PM</v>
      </c>
      <c r="F50" s="222">
        <f>SUMIFS('Data-Retail'!$H$4:$H$269,'Data-Retail'!$A$4:$A$269,'GSC Support'!$B50,'Data-Retail'!$D$4:$D$269,'GSC Support'!$C50)</f>
        <v>0</v>
      </c>
      <c r="G50" s="222">
        <f>SUMIFS('Data-Retail'!$I$4:$I$269,'Data-Retail'!$A$4:$A$269,'GSC Support'!$B50,'Data-Retail'!$D$4:$D$269,'GSC Support'!$C50)</f>
        <v>0</v>
      </c>
      <c r="H50" s="222">
        <f t="shared" si="3"/>
        <v>0</v>
      </c>
      <c r="I50" s="286"/>
      <c r="J50" s="286"/>
      <c r="K50" s="286"/>
      <c r="L50" s="286">
        <f t="shared" si="1"/>
        <v>0</v>
      </c>
      <c r="M50" s="279">
        <f t="shared" si="2"/>
        <v>0</v>
      </c>
      <c r="O50" s="323">
        <f>SUMIFS('Data-Retail'!$N$4:$N$238,'Data-Retail'!$A$4:$A$238,'GSC Support'!$B50,'Data-Retail'!$D$4:$D$238,'GSC Support'!$C50)</f>
        <v>0</v>
      </c>
      <c r="P50" s="323"/>
      <c r="Q50" s="323"/>
      <c r="R50" s="323"/>
      <c r="S50" s="281">
        <f>SUMIFS('Apr11-Mar12 Billed-RETAIL'!$BA$5:$BA$138,'Apr11-Mar12 Billed-RETAIL'!$B$5:$B$138,'GSC Support'!$B50,'Apr11-Mar12 Billed-RETAIL'!$C$5:$C$138,'GSC Support'!$C50)</f>
        <v>0</v>
      </c>
      <c r="T50" s="287"/>
      <c r="U50" s="287"/>
      <c r="V50" s="287">
        <f t="shared" si="4"/>
        <v>0</v>
      </c>
      <c r="W50" s="288">
        <f t="shared" si="5"/>
        <v>0</v>
      </c>
    </row>
    <row r="51" spans="1:23" x14ac:dyDescent="0.2">
      <c r="A51" s="196">
        <f t="shared" si="6"/>
        <v>46</v>
      </c>
      <c r="B51" s="211">
        <v>40664</v>
      </c>
      <c r="C51" s="211" t="str">
        <f>+'Retail Rates'!B23</f>
        <v>LGING855</v>
      </c>
      <c r="D51" s="197" t="str">
        <f t="shared" si="0"/>
        <v>855</v>
      </c>
      <c r="E51" s="197" t="str">
        <f>VLOOKUP(C51,'Retail Rates'!$B$7:$D$35,3,FALSE)</f>
        <v>IGS</v>
      </c>
      <c r="F51" s="222">
        <f>SUMIFS('Data-Retail'!$H$4:$H$269,'Data-Retail'!$A$4:$A$269,'GSC Support'!$B51,'Data-Retail'!$D$4:$D$269,'GSC Support'!$C51)</f>
        <v>89806</v>
      </c>
      <c r="G51" s="222">
        <f>SUMIFS('Data-Retail'!$I$4:$I$269,'Data-Retail'!$A$4:$A$269,'GSC Support'!$B51,'Data-Retail'!$D$4:$D$269,'GSC Support'!$C51)</f>
        <v>390650</v>
      </c>
      <c r="H51" s="222">
        <f t="shared" si="3"/>
        <v>480456</v>
      </c>
      <c r="I51" s="286">
        <v>272166</v>
      </c>
      <c r="J51" s="286">
        <v>208290</v>
      </c>
      <c r="K51" s="286"/>
      <c r="L51" s="286">
        <f t="shared" si="1"/>
        <v>480456</v>
      </c>
      <c r="M51" s="279">
        <f t="shared" si="2"/>
        <v>0</v>
      </c>
      <c r="O51" s="323">
        <f>SUMIFS('Data-Retail'!$N$4:$N$238,'Data-Retail'!$A$4:$A$238,'GSC Support'!$B51,'Data-Retail'!$D$4:$D$238,'GSC Support'!$C51)</f>
        <v>262612.50999999995</v>
      </c>
      <c r="P51" s="323"/>
      <c r="Q51" s="323"/>
      <c r="R51" s="323"/>
      <c r="S51" s="281">
        <f ca="1">SUMIFS('Apr11-Mar12 Billed-RETAIL'!$BA$5:$BA$138,'Apr11-Mar12 Billed-RETAIL'!$B$5:$B$138,'GSC Support'!$B51,'Apr11-Mar12 Billed-RETAIL'!$C$5:$C$138,'GSC Support'!$C51)</f>
        <v>262612.50999999995</v>
      </c>
      <c r="T51" s="287">
        <v>152801.95000000001</v>
      </c>
      <c r="U51" s="287">
        <v>109810.56</v>
      </c>
      <c r="V51" s="287">
        <f t="shared" si="4"/>
        <v>262612.51</v>
      </c>
      <c r="W51" s="288">
        <f t="shared" ca="1" si="5"/>
        <v>0</v>
      </c>
    </row>
    <row r="52" spans="1:23" x14ac:dyDescent="0.2">
      <c r="A52" s="196">
        <f t="shared" si="6"/>
        <v>47</v>
      </c>
      <c r="B52" s="211">
        <v>40664</v>
      </c>
      <c r="C52" s="211" t="str">
        <f>+'Retail Rates'!B24</f>
        <v>LGING882</v>
      </c>
      <c r="D52" s="197" t="str">
        <f t="shared" si="0"/>
        <v>882</v>
      </c>
      <c r="E52" s="197" t="str">
        <f>VLOOKUP(C52,'Retail Rates'!$B$7:$D$35,3,FALSE)</f>
        <v>IGS-TS</v>
      </c>
      <c r="F52" s="329">
        <v>2633</v>
      </c>
      <c r="G52" s="329"/>
      <c r="H52" s="329">
        <f t="shared" si="3"/>
        <v>2633</v>
      </c>
      <c r="I52" s="330">
        <v>2376</v>
      </c>
      <c r="J52" s="330">
        <v>257</v>
      </c>
      <c r="K52" s="330"/>
      <c r="L52" s="330">
        <f t="shared" si="1"/>
        <v>2633</v>
      </c>
      <c r="M52" s="331">
        <f t="shared" si="2"/>
        <v>0</v>
      </c>
      <c r="N52" s="332"/>
      <c r="O52" s="323"/>
      <c r="P52" s="327"/>
      <c r="Q52" s="326"/>
      <c r="R52" s="323"/>
      <c r="S52" s="281">
        <f>SUMIFS('Apr11-Mar12 Billed-RETAIL'!$BA$5:$BA$138,'Apr11-Mar12 Billed-RETAIL'!$B$5:$B$138,'GSC Support'!$B52,'Apr11-Mar12 Billed-RETAIL'!$C$5:$C$138,'GSC Support'!$C52)</f>
        <v>0</v>
      </c>
      <c r="T52" s="287">
        <v>1333.96</v>
      </c>
      <c r="U52" s="287">
        <v>135.49</v>
      </c>
      <c r="V52" s="287">
        <f t="shared" si="4"/>
        <v>1469.45</v>
      </c>
      <c r="W52" s="288">
        <f t="shared" si="5"/>
        <v>-1469.45</v>
      </c>
    </row>
    <row r="53" spans="1:23" x14ac:dyDescent="0.2">
      <c r="A53" s="196">
        <f t="shared" si="6"/>
        <v>48</v>
      </c>
      <c r="B53" s="211">
        <v>40664</v>
      </c>
      <c r="C53" s="211" t="str">
        <f>+'Retail Rates'!B25</f>
        <v>LGING882PM</v>
      </c>
      <c r="D53" s="197" t="str">
        <f t="shared" si="0"/>
        <v>882</v>
      </c>
      <c r="E53" s="197" t="str">
        <f>VLOOKUP(C53,'Retail Rates'!$B$7:$D$35,3,FALSE)</f>
        <v>IGS-TS-PM</v>
      </c>
      <c r="F53" s="222">
        <f>SUMIFS('Data-Retail'!$H$4:$H$269,'Data-Retail'!$A$4:$A$269,'GSC Support'!$B53,'Data-Retail'!$D$4:$D$269,'GSC Support'!$C53)</f>
        <v>0</v>
      </c>
      <c r="G53" s="222">
        <f>SUMIFS('Data-Retail'!$I$4:$I$269,'Data-Retail'!$A$4:$A$269,'GSC Support'!$B53,'Data-Retail'!$D$4:$D$269,'GSC Support'!$C53)</f>
        <v>0</v>
      </c>
      <c r="H53" s="222">
        <f t="shared" si="3"/>
        <v>0</v>
      </c>
      <c r="I53" s="286"/>
      <c r="J53" s="286"/>
      <c r="K53" s="286"/>
      <c r="L53" s="286">
        <f t="shared" si="1"/>
        <v>0</v>
      </c>
      <c r="M53" s="279">
        <f t="shared" si="2"/>
        <v>0</v>
      </c>
      <c r="O53" s="323">
        <f>SUMIFS('Data-Retail'!$N$4:$N$238,'Data-Retail'!$A$4:$A$238,'GSC Support'!$B53,'Data-Retail'!$D$4:$D$238,'GSC Support'!$C53)</f>
        <v>0</v>
      </c>
      <c r="P53" s="323"/>
      <c r="Q53" s="323"/>
      <c r="R53" s="323"/>
      <c r="S53" s="281">
        <f>SUMIFS('Apr11-Mar12 Billed-RETAIL'!$BA$5:$BA$138,'Apr11-Mar12 Billed-RETAIL'!$B$5:$B$138,'GSC Support'!$B53,'Apr11-Mar12 Billed-RETAIL'!$C$5:$C$138,'GSC Support'!$C53)</f>
        <v>0</v>
      </c>
      <c r="T53" s="287"/>
      <c r="U53" s="287"/>
      <c r="V53" s="287">
        <f t="shared" si="4"/>
        <v>0</v>
      </c>
      <c r="W53" s="288">
        <f t="shared" si="5"/>
        <v>0</v>
      </c>
    </row>
    <row r="54" spans="1:23" x14ac:dyDescent="0.2">
      <c r="A54" s="196">
        <f t="shared" si="6"/>
        <v>49</v>
      </c>
      <c r="B54" s="211">
        <v>40664</v>
      </c>
      <c r="C54" s="211" t="str">
        <f>+'Retail Rates'!B26</f>
        <v>LGRSG811</v>
      </c>
      <c r="D54" s="197" t="str">
        <f t="shared" si="0"/>
        <v>811</v>
      </c>
      <c r="E54" s="197" t="str">
        <f>VLOOKUP(C54,'Retail Rates'!$B$7:$D$35,3,FALSE)</f>
        <v>RGS</v>
      </c>
      <c r="F54" s="222">
        <f>SUMIFS('Data-Retail'!$H$4:$H$269,'Data-Retail'!$A$4:$A$269,'GSC Support'!$B54,'Data-Retail'!$D$4:$D$269,'GSC Support'!$C54)</f>
        <v>8622002</v>
      </c>
      <c r="G54" s="222">
        <f>SUMIFS('Data-Retail'!$I$4:$I$269,'Data-Retail'!$A$4:$A$269,'GSC Support'!$B54,'Data-Retail'!$D$4:$D$269,'GSC Support'!$C54)</f>
        <v>0</v>
      </c>
      <c r="H54" s="222">
        <f t="shared" si="3"/>
        <v>8622002</v>
      </c>
      <c r="I54" s="286">
        <v>3999746</v>
      </c>
      <c r="J54" s="286">
        <v>4622256</v>
      </c>
      <c r="K54" s="286"/>
      <c r="L54" s="286">
        <f t="shared" si="1"/>
        <v>8622002</v>
      </c>
      <c r="M54" s="279">
        <f t="shared" si="2"/>
        <v>0</v>
      </c>
      <c r="O54" s="323">
        <f>SUMIFS('Data-Retail'!$N$4:$N$238,'Data-Retail'!$A$4:$A$238,'GSC Support'!$B54,'Data-Retail'!$D$4:$D$238,'GSC Support'!$C54)</f>
        <v>4683351</v>
      </c>
      <c r="P54" s="323"/>
      <c r="Q54" s="323"/>
      <c r="R54" s="323"/>
      <c r="S54" s="281">
        <f ca="1">SUMIFS('Apr11-Mar12 Billed-RETAIL'!$BA$5:$BA$138,'Apr11-Mar12 Billed-RETAIL'!$B$5:$B$138,'GSC Support'!$B54,'Apr11-Mar12 Billed-RETAIL'!$C$5:$C$138,'GSC Support'!$C54)</f>
        <v>4683350.9999999991</v>
      </c>
      <c r="T54" s="287">
        <v>2245346.92</v>
      </c>
      <c r="U54" s="287">
        <v>2438004.08</v>
      </c>
      <c r="V54" s="287">
        <f t="shared" si="4"/>
        <v>4683351</v>
      </c>
      <c r="W54" s="288">
        <f t="shared" ca="1" si="5"/>
        <v>0</v>
      </c>
    </row>
    <row r="55" spans="1:23" x14ac:dyDescent="0.2">
      <c r="A55" s="196">
        <f t="shared" si="6"/>
        <v>50</v>
      </c>
      <c r="B55" s="211">
        <v>40664</v>
      </c>
      <c r="C55" s="211" t="str">
        <f>+'Retail Rates'!B27</f>
        <v>LGRSG811S1</v>
      </c>
      <c r="D55" s="197" t="str">
        <f t="shared" si="0"/>
        <v>811</v>
      </c>
      <c r="E55" s="197" t="str">
        <f>VLOOKUP(C55,'Retail Rates'!$B$7:$D$35,3,FALSE)</f>
        <v>RGS</v>
      </c>
      <c r="F55" s="222">
        <f>SUMIFS('Data-Retail'!$H$4:$H$269,'Data-Retail'!$A$4:$A$269,'GSC Support'!$B55,'Data-Retail'!$D$4:$D$269,'GSC Support'!$C55)</f>
        <v>528</v>
      </c>
      <c r="G55" s="222">
        <f>SUMIFS('Data-Retail'!$I$4:$I$269,'Data-Retail'!$A$4:$A$269,'GSC Support'!$B55,'Data-Retail'!$D$4:$D$269,'GSC Support'!$C55)</f>
        <v>0</v>
      </c>
      <c r="H55" s="222">
        <f t="shared" si="3"/>
        <v>528</v>
      </c>
      <c r="I55" s="286">
        <v>447</v>
      </c>
      <c r="J55" s="286">
        <v>81</v>
      </c>
      <c r="K55" s="286"/>
      <c r="L55" s="286">
        <f t="shared" si="1"/>
        <v>528</v>
      </c>
      <c r="M55" s="279">
        <f t="shared" si="2"/>
        <v>0</v>
      </c>
      <c r="O55" s="323">
        <f>SUMIFS('Data-Retail'!$N$4:$N$238,'Data-Retail'!$A$4:$A$238,'GSC Support'!$B55,'Data-Retail'!$D$4:$D$238,'GSC Support'!$C55)</f>
        <v>293.66000000000003</v>
      </c>
      <c r="P55" s="323"/>
      <c r="Q55" s="323"/>
      <c r="R55" s="323"/>
      <c r="S55" s="281">
        <f ca="1">SUMIFS('Apr11-Mar12 Billed-RETAIL'!$BA$5:$BA$138,'Apr11-Mar12 Billed-RETAIL'!$B$5:$B$138,'GSC Support'!$B55,'Apr11-Mar12 Billed-RETAIL'!$C$5:$C$138,'GSC Support'!$C55)</f>
        <v>293.66000000000003</v>
      </c>
      <c r="T55" s="287">
        <v>250.96</v>
      </c>
      <c r="U55" s="287">
        <v>42.7</v>
      </c>
      <c r="V55" s="287">
        <f t="shared" si="4"/>
        <v>293.66000000000003</v>
      </c>
      <c r="W55" s="288">
        <f t="shared" ca="1" si="5"/>
        <v>0</v>
      </c>
    </row>
    <row r="56" spans="1:23" x14ac:dyDescent="0.2">
      <c r="A56" s="196">
        <f t="shared" si="6"/>
        <v>51</v>
      </c>
      <c r="B56" s="211">
        <v>40664</v>
      </c>
      <c r="C56" s="211" t="str">
        <f>+'Retail Rates'!B28</f>
        <v>LGRSG840</v>
      </c>
      <c r="D56" s="197" t="str">
        <f t="shared" si="0"/>
        <v>840</v>
      </c>
      <c r="E56" s="197" t="str">
        <f>VLOOKUP(C56,'Retail Rates'!$B$7:$D$35,3,FALSE)</f>
        <v>RGS</v>
      </c>
      <c r="F56" s="222">
        <f>SUMIFS('Data-Retail'!$H$4:$H$269,'Data-Retail'!$A$4:$A$269,'GSC Support'!$B56,'Data-Retail'!$D$4:$D$269,'GSC Support'!$C56)</f>
        <v>427</v>
      </c>
      <c r="G56" s="222">
        <f>SUMIFS('Data-Retail'!$I$4:$I$269,'Data-Retail'!$A$4:$A$269,'GSC Support'!$B56,'Data-Retail'!$D$4:$D$269,'GSC Support'!$C56)</f>
        <v>0</v>
      </c>
      <c r="H56" s="222">
        <f t="shared" si="3"/>
        <v>427</v>
      </c>
      <c r="I56" s="286">
        <v>238</v>
      </c>
      <c r="J56" s="286">
        <v>189</v>
      </c>
      <c r="K56" s="286"/>
      <c r="L56" s="286">
        <f t="shared" si="1"/>
        <v>427</v>
      </c>
      <c r="M56" s="279">
        <f t="shared" si="2"/>
        <v>0</v>
      </c>
      <c r="O56" s="323">
        <f>SUMIFS('Data-Retail'!$N$4:$N$238,'Data-Retail'!$A$4:$A$238,'GSC Support'!$B56,'Data-Retail'!$D$4:$D$238,'GSC Support'!$C56)</f>
        <v>233.26</v>
      </c>
      <c r="P56" s="323"/>
      <c r="Q56" s="323"/>
      <c r="R56" s="323"/>
      <c r="S56" s="281">
        <f ca="1">SUMIFS('Apr11-Mar12 Billed-RETAIL'!$BA$5:$BA$138,'Apr11-Mar12 Billed-RETAIL'!$B$5:$B$138,'GSC Support'!$B56,'Apr11-Mar12 Billed-RETAIL'!$C$5:$C$138,'GSC Support'!$C56)</f>
        <v>233.26</v>
      </c>
      <c r="T56" s="287">
        <v>133.61000000000001</v>
      </c>
      <c r="U56" s="287">
        <v>99.65</v>
      </c>
      <c r="V56" s="287">
        <f t="shared" si="4"/>
        <v>233.26000000000002</v>
      </c>
      <c r="W56" s="288">
        <f t="shared" ca="1" si="5"/>
        <v>0</v>
      </c>
    </row>
    <row r="57" spans="1:23" x14ac:dyDescent="0.2">
      <c r="A57" s="196">
        <f t="shared" si="6"/>
        <v>52</v>
      </c>
      <c r="B57" s="211">
        <v>40664</v>
      </c>
      <c r="C57" s="211" t="str">
        <f>+'Retail Rates'!B29</f>
        <v>LGUMG830</v>
      </c>
      <c r="D57" s="197" t="str">
        <f t="shared" si="0"/>
        <v>830</v>
      </c>
      <c r="E57" s="197" t="str">
        <f>VLOOKUP(C57,'Retail Rates'!$B$7:$D$35,3,FALSE)</f>
        <v>RGS</v>
      </c>
      <c r="F57" s="222">
        <f>SUMIFS('Data-Retail'!$H$4:$H$269,'Data-Retail'!$A$4:$A$269,'GSC Support'!$B57,'Data-Retail'!$D$4:$D$269,'GSC Support'!$C57)</f>
        <v>32</v>
      </c>
      <c r="G57" s="222">
        <f>SUMIFS('Data-Retail'!$I$4:$I$269,'Data-Retail'!$A$4:$A$269,'GSC Support'!$B57,'Data-Retail'!$D$4:$D$269,'GSC Support'!$C57)</f>
        <v>0</v>
      </c>
      <c r="H57" s="222">
        <f t="shared" si="3"/>
        <v>32</v>
      </c>
      <c r="I57" s="286">
        <v>22</v>
      </c>
      <c r="J57" s="286">
        <v>10</v>
      </c>
      <c r="K57" s="286"/>
      <c r="L57" s="286">
        <f t="shared" si="1"/>
        <v>32</v>
      </c>
      <c r="M57" s="279">
        <f t="shared" si="2"/>
        <v>0</v>
      </c>
      <c r="O57" s="323">
        <f>SUMIFS('Data-Retail'!$N$4:$N$238,'Data-Retail'!$A$4:$A$238,'GSC Support'!$B57,'Data-Retail'!$D$4:$D$238,'GSC Support'!$C57)</f>
        <v>17.62</v>
      </c>
      <c r="P57" s="323"/>
      <c r="Q57" s="323"/>
      <c r="R57" s="323"/>
      <c r="S57" s="281">
        <f ca="1">SUMIFS('Apr11-Mar12 Billed-RETAIL'!$BA$5:$BA$138,'Apr11-Mar12 Billed-RETAIL'!$B$5:$B$138,'GSC Support'!$B57,'Apr11-Mar12 Billed-RETAIL'!$C$5:$C$138,'GSC Support'!$C57)</f>
        <v>17.62</v>
      </c>
      <c r="T57" s="287">
        <v>12.35</v>
      </c>
      <c r="U57" s="287">
        <v>5.27</v>
      </c>
      <c r="V57" s="287">
        <f t="shared" si="4"/>
        <v>17.619999999999997</v>
      </c>
      <c r="W57" s="288">
        <f t="shared" ca="1" si="5"/>
        <v>0</v>
      </c>
    </row>
    <row r="58" spans="1:23" x14ac:dyDescent="0.2">
      <c r="A58" s="196">
        <f t="shared" si="6"/>
        <v>53</v>
      </c>
      <c r="B58" s="211">
        <v>40664</v>
      </c>
      <c r="C58" s="211" t="str">
        <f>+'Retail Rates'!B30</f>
        <v>LGING992</v>
      </c>
      <c r="D58" s="197" t="str">
        <f t="shared" si="0"/>
        <v>992</v>
      </c>
      <c r="E58" s="197" t="str">
        <f>VLOOKUP(C58,'Retail Rates'!$B$7:$D$35,3,FALSE)</f>
        <v>SPC-EIDuP</v>
      </c>
      <c r="F58" s="222">
        <f>SUMIFS('Data-Retail'!$H$4:$H$269,'Data-Retail'!$A$4:$A$269,'GSC Support'!$B58,'Data-Retail'!$D$4:$D$269,'GSC Support'!$C58)</f>
        <v>0</v>
      </c>
      <c r="G58" s="222">
        <f>SUMIFS('Data-Retail'!$I$4:$I$269,'Data-Retail'!$A$4:$A$269,'GSC Support'!$B58,'Data-Retail'!$D$4:$D$269,'GSC Support'!$C58)</f>
        <v>0</v>
      </c>
      <c r="H58" s="222">
        <f t="shared" si="3"/>
        <v>0</v>
      </c>
      <c r="I58" s="286"/>
      <c r="J58" s="286"/>
      <c r="K58" s="286"/>
      <c r="L58" s="286">
        <f t="shared" si="1"/>
        <v>0</v>
      </c>
      <c r="M58" s="279">
        <f t="shared" si="2"/>
        <v>0</v>
      </c>
      <c r="O58" s="323">
        <f>SUMIFS('Data-Retail'!$N$4:$N$238,'Data-Retail'!$A$4:$A$238,'GSC Support'!$B58,'Data-Retail'!$D$4:$D$238,'GSC Support'!$C58)</f>
        <v>0</v>
      </c>
      <c r="P58" s="323"/>
      <c r="Q58" s="323"/>
      <c r="R58" s="323"/>
      <c r="S58" s="281">
        <f>SUMIFS('Apr11-Mar12 Billed-RETAIL'!$BA$5:$BA$138,'Apr11-Mar12 Billed-RETAIL'!$B$5:$B$138,'GSC Support'!$B58,'Apr11-Mar12 Billed-RETAIL'!$C$5:$C$138,'GSC Support'!$C58)</f>
        <v>0</v>
      </c>
      <c r="T58" s="287"/>
      <c r="U58" s="287"/>
      <c r="V58" s="287">
        <f t="shared" si="4"/>
        <v>0</v>
      </c>
      <c r="W58" s="288">
        <f t="shared" si="5"/>
        <v>0</v>
      </c>
    </row>
    <row r="59" spans="1:23" x14ac:dyDescent="0.2">
      <c r="A59" s="196">
        <f t="shared" si="6"/>
        <v>54</v>
      </c>
      <c r="B59" s="211">
        <v>40664</v>
      </c>
      <c r="C59" s="211" t="str">
        <f>+'Retail Rates'!B31</f>
        <v>LGING896FD</v>
      </c>
      <c r="D59" s="197" t="str">
        <f t="shared" si="0"/>
        <v>896</v>
      </c>
      <c r="E59" s="197" t="str">
        <f>VLOOKUP(C59,'Retail Rates'!$B$7:$D$35,3,FALSE)</f>
        <v>SPC-FORD</v>
      </c>
      <c r="F59" s="222">
        <f>SUMIFS('Data-Retail'!$H$4:$H$269,'Data-Retail'!$A$4:$A$269,'GSC Support'!$B59,'Data-Retail'!$D$4:$D$269,'GSC Support'!$C59)</f>
        <v>0</v>
      </c>
      <c r="G59" s="222">
        <f>SUMIFS('Data-Retail'!$I$4:$I$269,'Data-Retail'!$A$4:$A$269,'GSC Support'!$B59,'Data-Retail'!$D$4:$D$269,'GSC Support'!$C59)</f>
        <v>0</v>
      </c>
      <c r="H59" s="222">
        <f t="shared" si="3"/>
        <v>0</v>
      </c>
      <c r="I59" s="286"/>
      <c r="J59" s="286"/>
      <c r="K59" s="286"/>
      <c r="L59" s="286">
        <f t="shared" si="1"/>
        <v>0</v>
      </c>
      <c r="M59" s="279">
        <f t="shared" si="2"/>
        <v>0</v>
      </c>
      <c r="O59" s="323">
        <f>SUMIFS('Data-Retail'!$N$4:$N$238,'Data-Retail'!$A$4:$A$238,'GSC Support'!$B59,'Data-Retail'!$D$4:$D$238,'GSC Support'!$C59)</f>
        <v>0</v>
      </c>
      <c r="P59" s="323"/>
      <c r="Q59" s="323"/>
      <c r="R59" s="323"/>
      <c r="S59" s="281">
        <f>SUMIFS('Apr11-Mar12 Billed-RETAIL'!$BA$5:$BA$138,'Apr11-Mar12 Billed-RETAIL'!$B$5:$B$138,'GSC Support'!$B59,'Apr11-Mar12 Billed-RETAIL'!$C$5:$C$138,'GSC Support'!$C59)</f>
        <v>0</v>
      </c>
      <c r="T59" s="287"/>
      <c r="U59" s="287"/>
      <c r="V59" s="287">
        <f t="shared" si="4"/>
        <v>0</v>
      </c>
      <c r="W59" s="288">
        <f t="shared" si="5"/>
        <v>0</v>
      </c>
    </row>
    <row r="60" spans="1:23" x14ac:dyDescent="0.2">
      <c r="A60" s="196">
        <f t="shared" si="6"/>
        <v>55</v>
      </c>
      <c r="B60" s="211">
        <v>40664</v>
      </c>
      <c r="C60" s="211" t="str">
        <f>+'Retail Rates'!B32</f>
        <v>LGING896FM</v>
      </c>
      <c r="D60" s="197" t="str">
        <f t="shared" si="0"/>
        <v>896</v>
      </c>
      <c r="E60" s="197" t="str">
        <f>VLOOKUP(C60,'Retail Rates'!$B$7:$D$35,3,FALSE)</f>
        <v>SPC-FORD-PM</v>
      </c>
      <c r="F60" s="222">
        <f>SUMIFS('Data-Retail'!$H$4:$H$269,'Data-Retail'!$A$4:$A$269,'GSC Support'!$B60,'Data-Retail'!$D$4:$D$269,'GSC Support'!$C60)</f>
        <v>0</v>
      </c>
      <c r="G60" s="222">
        <f>SUMIFS('Data-Retail'!$I$4:$I$269,'Data-Retail'!$A$4:$A$269,'GSC Support'!$B60,'Data-Retail'!$D$4:$D$269,'GSC Support'!$C60)</f>
        <v>0</v>
      </c>
      <c r="H60" s="222">
        <f t="shared" si="3"/>
        <v>0</v>
      </c>
      <c r="I60" s="286"/>
      <c r="J60" s="286"/>
      <c r="K60" s="286"/>
      <c r="L60" s="286">
        <f t="shared" si="1"/>
        <v>0</v>
      </c>
      <c r="M60" s="279">
        <f t="shared" si="2"/>
        <v>0</v>
      </c>
      <c r="O60" s="323">
        <f>SUMIFS('Data-Retail'!$N$4:$N$238,'Data-Retail'!$A$4:$A$238,'GSC Support'!$B60,'Data-Retail'!$D$4:$D$238,'GSC Support'!$C60)</f>
        <v>0</v>
      </c>
      <c r="P60" s="323"/>
      <c r="Q60" s="323"/>
      <c r="R60" s="323"/>
      <c r="S60" s="281">
        <f>SUMIFS('Apr11-Mar12 Billed-RETAIL'!$BA$5:$BA$138,'Apr11-Mar12 Billed-RETAIL'!$B$5:$B$138,'GSC Support'!$B60,'Apr11-Mar12 Billed-RETAIL'!$C$5:$C$138,'GSC Support'!$C60)</f>
        <v>0</v>
      </c>
      <c r="T60" s="287"/>
      <c r="U60" s="287"/>
      <c r="V60" s="287">
        <f t="shared" si="4"/>
        <v>0</v>
      </c>
      <c r="W60" s="288">
        <f t="shared" si="5"/>
        <v>0</v>
      </c>
    </row>
    <row r="61" spans="1:23" x14ac:dyDescent="0.2">
      <c r="A61" s="196">
        <f t="shared" si="6"/>
        <v>56</v>
      </c>
      <c r="B61" s="211">
        <v>40664</v>
      </c>
      <c r="C61" s="211" t="str">
        <f>+'Retail Rates'!B33</f>
        <v>LGCMG991</v>
      </c>
      <c r="D61" s="197" t="str">
        <f t="shared" si="0"/>
        <v>991</v>
      </c>
      <c r="E61" s="197" t="str">
        <f>VLOOKUP(C61,'Retail Rates'!$B$7:$D$35,3,FALSE)</f>
        <v>SPC-FTKX</v>
      </c>
      <c r="F61" s="222">
        <f>SUMIFS('Data-Retail'!$H$4:$H$269,'Data-Retail'!$A$4:$A$269,'GSC Support'!$B61,'Data-Retail'!$D$4:$D$269,'GSC Support'!$C61)</f>
        <v>0</v>
      </c>
      <c r="G61" s="222">
        <f>SUMIFS('Data-Retail'!$I$4:$I$269,'Data-Retail'!$A$4:$A$269,'GSC Support'!$B61,'Data-Retail'!$D$4:$D$269,'GSC Support'!$C61)</f>
        <v>0</v>
      </c>
      <c r="H61" s="222">
        <f t="shared" si="3"/>
        <v>0</v>
      </c>
      <c r="I61" s="286"/>
      <c r="J61" s="286"/>
      <c r="K61" s="286"/>
      <c r="L61" s="286">
        <f t="shared" si="1"/>
        <v>0</v>
      </c>
      <c r="M61" s="279">
        <f t="shared" si="2"/>
        <v>0</v>
      </c>
      <c r="O61" s="323">
        <f>SUMIFS('Data-Retail'!$N$4:$N$238,'Data-Retail'!$A$4:$A$238,'GSC Support'!$B61,'Data-Retail'!$D$4:$D$238,'GSC Support'!$C61)</f>
        <v>0</v>
      </c>
      <c r="P61" s="323"/>
      <c r="Q61" s="323"/>
      <c r="R61" s="323"/>
      <c r="S61" s="281">
        <f>SUMIFS('Apr11-Mar12 Billed-RETAIL'!$BA$5:$BA$138,'Apr11-Mar12 Billed-RETAIL'!$B$5:$B$138,'GSC Support'!$B61,'Apr11-Mar12 Billed-RETAIL'!$C$5:$C$138,'GSC Support'!$C61)</f>
        <v>0</v>
      </c>
      <c r="T61" s="287"/>
      <c r="U61" s="287"/>
      <c r="V61" s="287">
        <f t="shared" si="4"/>
        <v>0</v>
      </c>
      <c r="W61" s="288">
        <f t="shared" si="5"/>
        <v>0</v>
      </c>
    </row>
    <row r="62" spans="1:23" x14ac:dyDescent="0.2">
      <c r="A62" s="196">
        <f t="shared" si="6"/>
        <v>57</v>
      </c>
      <c r="B62" s="211">
        <v>40664</v>
      </c>
      <c r="C62" s="211" t="str">
        <f>+'Retail Rates'!B34</f>
        <v>LGING996</v>
      </c>
      <c r="D62" s="197" t="str">
        <f t="shared" si="0"/>
        <v>996</v>
      </c>
      <c r="E62" s="197" t="str">
        <f>VLOOKUP(C62,'Retail Rates'!$B$7:$D$35,3,FALSE)</f>
        <v>SPC-LGE</v>
      </c>
      <c r="F62" s="222">
        <f>SUMIFS('Data-Retail'!$H$4:$H$269,'Data-Retail'!$A$4:$A$269,'GSC Support'!$B62,'Data-Retail'!$D$4:$D$269,'GSC Support'!$C62)</f>
        <v>0</v>
      </c>
      <c r="G62" s="222">
        <f>SUMIFS('Data-Retail'!$I$4:$I$269,'Data-Retail'!$A$4:$A$269,'GSC Support'!$B62,'Data-Retail'!$D$4:$D$269,'GSC Support'!$C62)</f>
        <v>0</v>
      </c>
      <c r="H62" s="222">
        <f t="shared" si="3"/>
        <v>0</v>
      </c>
      <c r="I62" s="286">
        <v>446540</v>
      </c>
      <c r="J62" s="286">
        <v>940695</v>
      </c>
      <c r="K62" s="286"/>
      <c r="L62" s="286">
        <f t="shared" si="1"/>
        <v>1387235</v>
      </c>
      <c r="M62" s="279">
        <f t="shared" si="2"/>
        <v>-1387235</v>
      </c>
      <c r="O62" s="323">
        <f>SUMIFS('Data-Retail'!$N$4:$N$238,'Data-Retail'!$A$4:$A$238,'GSC Support'!$B62,'Data-Retail'!$D$4:$D$238,'GSC Support'!$C62)</f>
        <v>0</v>
      </c>
      <c r="P62" s="323"/>
      <c r="Q62" s="323"/>
      <c r="R62" s="323"/>
      <c r="S62" s="281">
        <f>SUMIFS('Apr11-Mar12 Billed-RETAIL'!$BA$5:$BA$138,'Apr11-Mar12 Billed-RETAIL'!$B$5:$B$138,'GSC Support'!$B62,'Apr11-Mar12 Billed-RETAIL'!$C$5:$C$138,'GSC Support'!$C62)</f>
        <v>0</v>
      </c>
      <c r="T62" s="287">
        <v>250700.96</v>
      </c>
      <c r="U62" s="287">
        <v>495934.4</v>
      </c>
      <c r="V62" s="287">
        <f t="shared" si="4"/>
        <v>746635.36</v>
      </c>
      <c r="W62" s="288">
        <f t="shared" si="5"/>
        <v>-746635.36</v>
      </c>
    </row>
    <row r="63" spans="1:23" x14ac:dyDescent="0.2">
      <c r="A63" s="196">
        <f t="shared" si="6"/>
        <v>58</v>
      </c>
      <c r="B63" s="211">
        <v>40664</v>
      </c>
      <c r="C63" s="211" t="str">
        <f>+'Retail Rates'!B35</f>
        <v>LGING997</v>
      </c>
      <c r="D63" s="197" t="str">
        <f t="shared" si="0"/>
        <v>997</v>
      </c>
      <c r="E63" s="197" t="str">
        <f>VLOOKUP(C63,'Retail Rates'!$B$7:$D$35,3,FALSE)</f>
        <v>SPC-PADDY</v>
      </c>
      <c r="F63" s="222">
        <f>SUMIFS('Data-Retail'!$H$4:$H$269,'Data-Retail'!$A$4:$A$269,'GSC Support'!$B63,'Data-Retail'!$D$4:$D$269,'GSC Support'!$C63)</f>
        <v>0</v>
      </c>
      <c r="G63" s="222">
        <f>SUMIFS('Data-Retail'!$I$4:$I$269,'Data-Retail'!$A$4:$A$269,'GSC Support'!$B63,'Data-Retail'!$D$4:$D$269,'GSC Support'!$C63)</f>
        <v>0</v>
      </c>
      <c r="H63" s="222">
        <f t="shared" si="3"/>
        <v>0</v>
      </c>
      <c r="I63" s="286"/>
      <c r="J63" s="286"/>
      <c r="K63" s="286"/>
      <c r="L63" s="286">
        <f t="shared" si="1"/>
        <v>0</v>
      </c>
      <c r="M63" s="279">
        <f t="shared" si="2"/>
        <v>0</v>
      </c>
      <c r="O63" s="323">
        <f>SUMIFS('Data-Retail'!$N$4:$N$238,'Data-Retail'!$A$4:$A$238,'GSC Support'!$B63,'Data-Retail'!$D$4:$D$238,'GSC Support'!$C63)</f>
        <v>0</v>
      </c>
      <c r="P63" s="323"/>
      <c r="Q63" s="323"/>
      <c r="R63" s="323"/>
      <c r="S63" s="281">
        <f>SUMIFS('Apr11-Mar12 Billed-RETAIL'!$BA$5:$BA$138,'Apr11-Mar12 Billed-RETAIL'!$B$5:$B$138,'GSC Support'!$B63,'Apr11-Mar12 Billed-RETAIL'!$C$5:$C$138,'GSC Support'!$C63)</f>
        <v>0</v>
      </c>
      <c r="T63" s="287"/>
      <c r="U63" s="287"/>
      <c r="V63" s="287">
        <f t="shared" si="4"/>
        <v>0</v>
      </c>
      <c r="W63" s="288">
        <f t="shared" si="5"/>
        <v>0</v>
      </c>
    </row>
    <row r="64" spans="1:23" x14ac:dyDescent="0.2">
      <c r="A64" s="196">
        <f t="shared" si="6"/>
        <v>59</v>
      </c>
      <c r="B64" s="211">
        <v>40695</v>
      </c>
      <c r="C64" s="211" t="str">
        <f>+'Retail Rates'!B7</f>
        <v>LGCMG865</v>
      </c>
      <c r="D64" s="197" t="str">
        <f t="shared" si="0"/>
        <v>865</v>
      </c>
      <c r="E64" s="197" t="str">
        <f>VLOOKUP(C64,'Retail Rates'!$B$7:$D$35,3,FALSE)</f>
        <v>AAGS-C</v>
      </c>
      <c r="F64" s="222">
        <f>SUMIFS('Data-Retail'!$H$4:$H$269,'Data-Retail'!$A$4:$A$269,'GSC Support'!$B64,'Data-Retail'!$D$4:$D$269,'GSC Support'!$C64)</f>
        <v>144507</v>
      </c>
      <c r="G64" s="222">
        <f>SUMIFS('Data-Retail'!$I$4:$I$269,'Data-Retail'!$A$4:$A$269,'GSC Support'!$B64,'Data-Retail'!$D$4:$D$269,'GSC Support'!$C64)</f>
        <v>0</v>
      </c>
      <c r="H64" s="222">
        <f t="shared" si="3"/>
        <v>144507</v>
      </c>
      <c r="I64" s="286">
        <v>86034</v>
      </c>
      <c r="J64" s="286"/>
      <c r="K64" s="286"/>
      <c r="L64" s="286">
        <f t="shared" si="1"/>
        <v>86034</v>
      </c>
      <c r="M64" s="279">
        <f t="shared" si="2"/>
        <v>58473</v>
      </c>
      <c r="O64" s="323">
        <f>SUMIFS('Data-Retail'!$N$4:$N$238,'Data-Retail'!$A$4:$A$238,'GSC Support'!$B64,'Data-Retail'!$D$4:$D$238,'GSC Support'!$C64)</f>
        <v>80804.87</v>
      </c>
      <c r="P64" s="323"/>
      <c r="Q64" s="323"/>
      <c r="R64" s="323"/>
      <c r="S64" s="281">
        <f ca="1">SUMIFS('Apr11-Mar12 Billed-RETAIL'!$BA$5:$BA$138,'Apr11-Mar12 Billed-RETAIL'!$B$5:$B$138,'GSC Support'!$B64,'Apr11-Mar12 Billed-RETAIL'!$C$5:$C$138,'GSC Support'!$C64)</f>
        <v>80804.87</v>
      </c>
      <c r="T64" s="287">
        <v>48302.07</v>
      </c>
      <c r="U64" s="287">
        <v>32502.799999999999</v>
      </c>
      <c r="V64" s="287">
        <f t="shared" si="4"/>
        <v>80804.87</v>
      </c>
      <c r="W64" s="288">
        <f t="shared" ca="1" si="5"/>
        <v>0</v>
      </c>
    </row>
    <row r="65" spans="1:23" x14ac:dyDescent="0.2">
      <c r="A65" s="196">
        <f t="shared" si="6"/>
        <v>60</v>
      </c>
      <c r="B65" s="211">
        <v>40695</v>
      </c>
      <c r="C65" s="211" t="str">
        <f>+'Retail Rates'!B8</f>
        <v>LGCMG891</v>
      </c>
      <c r="D65" s="197" t="str">
        <f t="shared" si="0"/>
        <v>891</v>
      </c>
      <c r="E65" s="197" t="str">
        <f>VLOOKUP(C65,'Retail Rates'!$B$7:$D$35,3,FALSE)</f>
        <v>AAGS-C-TS</v>
      </c>
      <c r="F65" s="222">
        <f>SUMIFS('Data-Retail'!$H$4:$H$269,'Data-Retail'!$A$4:$A$269,'GSC Support'!$B65,'Data-Retail'!$D$4:$D$269,'GSC Support'!$C65)</f>
        <v>0</v>
      </c>
      <c r="G65" s="222">
        <f>SUMIFS('Data-Retail'!$I$4:$I$269,'Data-Retail'!$A$4:$A$269,'GSC Support'!$B65,'Data-Retail'!$D$4:$D$269,'GSC Support'!$C65)</f>
        <v>0</v>
      </c>
      <c r="H65" s="222">
        <f t="shared" si="3"/>
        <v>0</v>
      </c>
      <c r="I65" s="286"/>
      <c r="J65" s="286"/>
      <c r="K65" s="286"/>
      <c r="L65" s="286">
        <f t="shared" si="1"/>
        <v>0</v>
      </c>
      <c r="M65" s="279">
        <f t="shared" si="2"/>
        <v>0</v>
      </c>
      <c r="O65" s="323">
        <f>SUMIFS('Data-Retail'!$N$4:$N$238,'Data-Retail'!$A$4:$A$238,'GSC Support'!$B65,'Data-Retail'!$D$4:$D$238,'GSC Support'!$C65)</f>
        <v>0</v>
      </c>
      <c r="P65" s="323"/>
      <c r="Q65" s="323"/>
      <c r="R65" s="323"/>
      <c r="S65" s="281">
        <f>SUMIFS('Apr11-Mar12 Billed-RETAIL'!$BA$5:$BA$138,'Apr11-Mar12 Billed-RETAIL'!$B$5:$B$138,'GSC Support'!$B65,'Apr11-Mar12 Billed-RETAIL'!$C$5:$C$138,'GSC Support'!$C65)</f>
        <v>0</v>
      </c>
      <c r="T65" s="287"/>
      <c r="U65" s="287"/>
      <c r="V65" s="287">
        <f t="shared" si="4"/>
        <v>0</v>
      </c>
      <c r="W65" s="288">
        <f t="shared" si="5"/>
        <v>0</v>
      </c>
    </row>
    <row r="66" spans="1:23" x14ac:dyDescent="0.2">
      <c r="A66" s="196">
        <f t="shared" si="6"/>
        <v>61</v>
      </c>
      <c r="B66" s="211">
        <v>40695</v>
      </c>
      <c r="C66" s="211" t="str">
        <f>+'Retail Rates'!B9</f>
        <v>LGCMG891PM</v>
      </c>
      <c r="D66" s="197" t="str">
        <f t="shared" si="0"/>
        <v>891</v>
      </c>
      <c r="E66" s="197" t="str">
        <f>VLOOKUP(C66,'Retail Rates'!$B$7:$D$35,3,FALSE)</f>
        <v>AAGS-C-TS-PM</v>
      </c>
      <c r="F66" s="222">
        <f>SUMIFS('Data-Retail'!$H$4:$H$269,'Data-Retail'!$A$4:$A$269,'GSC Support'!$B66,'Data-Retail'!$D$4:$D$269,'GSC Support'!$C66)</f>
        <v>0</v>
      </c>
      <c r="G66" s="222">
        <f>SUMIFS('Data-Retail'!$I$4:$I$269,'Data-Retail'!$A$4:$A$269,'GSC Support'!$B66,'Data-Retail'!$D$4:$D$269,'GSC Support'!$C66)</f>
        <v>0</v>
      </c>
      <c r="H66" s="222">
        <f t="shared" si="3"/>
        <v>0</v>
      </c>
      <c r="I66" s="286"/>
      <c r="J66" s="286"/>
      <c r="K66" s="286"/>
      <c r="L66" s="286">
        <f t="shared" si="1"/>
        <v>0</v>
      </c>
      <c r="M66" s="279">
        <f t="shared" si="2"/>
        <v>0</v>
      </c>
      <c r="O66" s="323">
        <f>SUMIFS('Data-Retail'!$N$4:$N$238,'Data-Retail'!$A$4:$A$238,'GSC Support'!$B66,'Data-Retail'!$D$4:$D$238,'GSC Support'!$C66)</f>
        <v>0</v>
      </c>
      <c r="P66" s="323"/>
      <c r="Q66" s="323"/>
      <c r="R66" s="323"/>
      <c r="S66" s="281">
        <f>SUMIFS('Apr11-Mar12 Billed-RETAIL'!$BA$5:$BA$138,'Apr11-Mar12 Billed-RETAIL'!$B$5:$B$138,'GSC Support'!$B66,'Apr11-Mar12 Billed-RETAIL'!$C$5:$C$138,'GSC Support'!$C66)</f>
        <v>0</v>
      </c>
      <c r="T66" s="287"/>
      <c r="U66" s="287"/>
      <c r="V66" s="287">
        <f t="shared" si="4"/>
        <v>0</v>
      </c>
      <c r="W66" s="288">
        <f t="shared" si="5"/>
        <v>0</v>
      </c>
    </row>
    <row r="67" spans="1:23" x14ac:dyDescent="0.2">
      <c r="A67" s="196">
        <f t="shared" si="6"/>
        <v>62</v>
      </c>
      <c r="B67" s="211">
        <v>40695</v>
      </c>
      <c r="C67" s="211" t="str">
        <f>+'Retail Rates'!B10</f>
        <v>LGING866</v>
      </c>
      <c r="D67" s="197" t="str">
        <f t="shared" si="0"/>
        <v>866</v>
      </c>
      <c r="E67" s="197" t="str">
        <f>VLOOKUP(C67,'Retail Rates'!$B$7:$D$35,3,FALSE)</f>
        <v>AAGS-I</v>
      </c>
      <c r="F67" s="222">
        <f>SUMIFS('Data-Retail'!$H$4:$H$269,'Data-Retail'!$A$4:$A$269,'GSC Support'!$B67,'Data-Retail'!$D$4:$D$269,'GSC Support'!$C67)</f>
        <v>170961</v>
      </c>
      <c r="G67" s="222">
        <f>SUMIFS('Data-Retail'!$I$4:$I$269,'Data-Retail'!$A$4:$A$269,'GSC Support'!$B67,'Data-Retail'!$D$4:$D$269,'GSC Support'!$C67)</f>
        <v>0</v>
      </c>
      <c r="H67" s="222">
        <f t="shared" si="3"/>
        <v>170961</v>
      </c>
      <c r="I67" s="286">
        <v>94596</v>
      </c>
      <c r="J67" s="286">
        <v>76365</v>
      </c>
      <c r="K67" s="286"/>
      <c r="L67" s="286">
        <f t="shared" si="1"/>
        <v>170961</v>
      </c>
      <c r="M67" s="279">
        <f t="shared" si="2"/>
        <v>0</v>
      </c>
      <c r="O67" s="323">
        <f>SUMIFS('Data-Retail'!$N$4:$N$238,'Data-Retail'!$A$4:$A$238,'GSC Support'!$B67,'Data-Retail'!$D$4:$D$238,'GSC Support'!$C67)</f>
        <v>95658.47</v>
      </c>
      <c r="P67" s="323"/>
      <c r="Q67" s="323"/>
      <c r="R67" s="323"/>
      <c r="S67" s="281">
        <f ca="1">SUMIFS('Apr11-Mar12 Billed-RETAIL'!$BA$5:$BA$138,'Apr11-Mar12 Billed-RETAIL'!$B$5:$B$138,'GSC Support'!$B67,'Apr11-Mar12 Billed-RETAIL'!$C$5:$C$138,'GSC Support'!$C67)</f>
        <v>95658.47</v>
      </c>
      <c r="T67" s="287">
        <v>53109.03</v>
      </c>
      <c r="U67" s="287">
        <v>42549.440000000002</v>
      </c>
      <c r="V67" s="287">
        <f t="shared" si="4"/>
        <v>95658.47</v>
      </c>
      <c r="W67" s="288">
        <f t="shared" ca="1" si="5"/>
        <v>0</v>
      </c>
    </row>
    <row r="68" spans="1:23" x14ac:dyDescent="0.2">
      <c r="A68" s="196">
        <f t="shared" si="6"/>
        <v>63</v>
      </c>
      <c r="B68" s="211">
        <v>40695</v>
      </c>
      <c r="C68" s="211" t="str">
        <f>+'Retail Rates'!B11</f>
        <v>LGING892</v>
      </c>
      <c r="D68" s="197" t="str">
        <f t="shared" si="0"/>
        <v>892</v>
      </c>
      <c r="E68" s="197" t="str">
        <f>VLOOKUP(C68,'Retail Rates'!$B$7:$D$35,3,FALSE)</f>
        <v>AAGS-I-TS</v>
      </c>
      <c r="F68" s="222">
        <f>SUMIFS('Data-Retail'!$H$4:$H$269,'Data-Retail'!$A$4:$A$269,'GSC Support'!$B68,'Data-Retail'!$D$4:$D$269,'GSC Support'!$C68)</f>
        <v>0</v>
      </c>
      <c r="G68" s="222">
        <f>SUMIFS('Data-Retail'!$I$4:$I$269,'Data-Retail'!$A$4:$A$269,'GSC Support'!$B68,'Data-Retail'!$D$4:$D$269,'GSC Support'!$C68)</f>
        <v>0</v>
      </c>
      <c r="H68" s="222">
        <f t="shared" si="3"/>
        <v>0</v>
      </c>
      <c r="I68" s="286"/>
      <c r="J68" s="286"/>
      <c r="K68" s="286"/>
      <c r="L68" s="286">
        <f t="shared" si="1"/>
        <v>0</v>
      </c>
      <c r="M68" s="279">
        <f t="shared" si="2"/>
        <v>0</v>
      </c>
      <c r="O68" s="323">
        <f>SUMIFS('Data-Retail'!$N$4:$N$238,'Data-Retail'!$A$4:$A$238,'GSC Support'!$B68,'Data-Retail'!$D$4:$D$238,'GSC Support'!$C68)</f>
        <v>0</v>
      </c>
      <c r="P68" s="323"/>
      <c r="Q68" s="323"/>
      <c r="R68" s="323"/>
      <c r="S68" s="281">
        <f>SUMIFS('Apr11-Mar12 Billed-RETAIL'!$BA$5:$BA$138,'Apr11-Mar12 Billed-RETAIL'!$B$5:$B$138,'GSC Support'!$B68,'Apr11-Mar12 Billed-RETAIL'!$C$5:$C$138,'GSC Support'!$C68)</f>
        <v>0</v>
      </c>
      <c r="T68" s="287"/>
      <c r="U68" s="287"/>
      <c r="V68" s="287">
        <f t="shared" si="4"/>
        <v>0</v>
      </c>
      <c r="W68" s="288">
        <f t="shared" si="5"/>
        <v>0</v>
      </c>
    </row>
    <row r="69" spans="1:23" x14ac:dyDescent="0.2">
      <c r="A69" s="196">
        <f t="shared" si="6"/>
        <v>64</v>
      </c>
      <c r="B69" s="211">
        <v>40695</v>
      </c>
      <c r="C69" s="211" t="str">
        <f>+'Retail Rates'!B12</f>
        <v>LGING892PM</v>
      </c>
      <c r="D69" s="197" t="str">
        <f t="shared" si="0"/>
        <v>892</v>
      </c>
      <c r="E69" s="197" t="str">
        <f>VLOOKUP(C69,'Retail Rates'!$B$7:$D$35,3,FALSE)</f>
        <v>AAGS-I-TS-PM</v>
      </c>
      <c r="F69" s="222">
        <f>SUMIFS('Data-Retail'!$H$4:$H$269,'Data-Retail'!$A$4:$A$269,'GSC Support'!$B69,'Data-Retail'!$D$4:$D$269,'GSC Support'!$C69)</f>
        <v>0</v>
      </c>
      <c r="G69" s="222">
        <f>SUMIFS('Data-Retail'!$I$4:$I$269,'Data-Retail'!$A$4:$A$269,'GSC Support'!$B69,'Data-Retail'!$D$4:$D$269,'GSC Support'!$C69)</f>
        <v>0</v>
      </c>
      <c r="H69" s="222">
        <f t="shared" si="3"/>
        <v>0</v>
      </c>
      <c r="I69" s="286"/>
      <c r="J69" s="286"/>
      <c r="K69" s="286"/>
      <c r="L69" s="286">
        <f t="shared" si="1"/>
        <v>0</v>
      </c>
      <c r="M69" s="279">
        <f t="shared" si="2"/>
        <v>0</v>
      </c>
      <c r="O69" s="323">
        <f>SUMIFS('Data-Retail'!$N$4:$N$238,'Data-Retail'!$A$4:$A$238,'GSC Support'!$B69,'Data-Retail'!$D$4:$D$238,'GSC Support'!$C69)</f>
        <v>0</v>
      </c>
      <c r="P69" s="323"/>
      <c r="Q69" s="323"/>
      <c r="R69" s="323"/>
      <c r="S69" s="281">
        <f>SUMIFS('Apr11-Mar12 Billed-RETAIL'!$BA$5:$BA$138,'Apr11-Mar12 Billed-RETAIL'!$B$5:$B$138,'GSC Support'!$B69,'Apr11-Mar12 Billed-RETAIL'!$C$5:$C$138,'GSC Support'!$C69)</f>
        <v>0</v>
      </c>
      <c r="T69" s="287"/>
      <c r="U69" s="287"/>
      <c r="V69" s="287">
        <f t="shared" si="4"/>
        <v>0</v>
      </c>
      <c r="W69" s="288">
        <f t="shared" si="5"/>
        <v>0</v>
      </c>
    </row>
    <row r="70" spans="1:23" x14ac:dyDescent="0.2">
      <c r="A70" s="196">
        <f t="shared" si="6"/>
        <v>65</v>
      </c>
      <c r="B70" s="211">
        <v>40695</v>
      </c>
      <c r="C70" s="211" t="str">
        <f>+'Retail Rates'!B13</f>
        <v>LGCMG851</v>
      </c>
      <c r="D70" s="197" t="str">
        <f t="shared" ref="D70:D133" si="7">MID(C70,6,3)</f>
        <v>851</v>
      </c>
      <c r="E70" s="197" t="str">
        <f>VLOOKUP(C70,'Retail Rates'!$B$7:$D$35,3,FALSE)</f>
        <v>CGS</v>
      </c>
      <c r="F70" s="222">
        <f>SUMIFS('Data-Retail'!$H$4:$H$269,'Data-Retail'!$A$4:$A$269,'GSC Support'!$B70,'Data-Retail'!$D$4:$D$269,'GSC Support'!$C70)</f>
        <v>2263995</v>
      </c>
      <c r="G70" s="222">
        <f>SUMIFS('Data-Retail'!$I$4:$I$269,'Data-Retail'!$A$4:$A$269,'GSC Support'!$B70,'Data-Retail'!$D$4:$D$269,'GSC Support'!$C70)</f>
        <v>1134462</v>
      </c>
      <c r="H70" s="222">
        <f t="shared" si="3"/>
        <v>3398457</v>
      </c>
      <c r="I70" s="286">
        <v>3309414</v>
      </c>
      <c r="J70" s="286">
        <v>89043</v>
      </c>
      <c r="K70" s="286"/>
      <c r="L70" s="286">
        <f t="shared" ref="L70:L133" si="8">SUM(I70:K70)</f>
        <v>3398457</v>
      </c>
      <c r="M70" s="279">
        <f t="shared" ref="M70:M133" si="9">+H70-L70</f>
        <v>0</v>
      </c>
      <c r="O70" s="323">
        <f>SUMIFS('Data-Retail'!$N$4:$N$238,'Data-Retail'!$A$4:$A$238,'GSC Support'!$B70,'Data-Retail'!$D$4:$D$238,'GSC Support'!$C70)</f>
        <v>1907612.5399999998</v>
      </c>
      <c r="P70" s="323"/>
      <c r="Q70" s="323"/>
      <c r="R70" s="323"/>
      <c r="S70" s="281">
        <f ca="1">SUMIFS('Apr11-Mar12 Billed-RETAIL'!$BA$5:$BA$138,'Apr11-Mar12 Billed-RETAIL'!$B$5:$B$138,'GSC Support'!$B70,'Apr11-Mar12 Billed-RETAIL'!$C$5:$C$138,'GSC Support'!$C70)</f>
        <v>1907612.5399999998</v>
      </c>
      <c r="T70" s="287">
        <v>1857828.32</v>
      </c>
      <c r="U70" s="287">
        <v>49784.22</v>
      </c>
      <c r="V70" s="287">
        <f t="shared" si="4"/>
        <v>1907612.54</v>
      </c>
      <c r="W70" s="288">
        <f t="shared" ca="1" si="5"/>
        <v>0</v>
      </c>
    </row>
    <row r="71" spans="1:23" x14ac:dyDescent="0.2">
      <c r="A71" s="196">
        <f t="shared" si="6"/>
        <v>66</v>
      </c>
      <c r="B71" s="211">
        <v>40695</v>
      </c>
      <c r="C71" s="211" t="str">
        <f>+'Retail Rates'!B14</f>
        <v>LGUMG860</v>
      </c>
      <c r="D71" s="197" t="str">
        <f t="shared" si="7"/>
        <v>860</v>
      </c>
      <c r="E71" s="197" t="str">
        <f>VLOOKUP(C71,'Retail Rates'!$B$7:$D$35,3,FALSE)</f>
        <v>CGS</v>
      </c>
      <c r="F71" s="222">
        <f>SUMIFS('Data-Retail'!$H$4:$H$269,'Data-Retail'!$A$4:$A$269,'GSC Support'!$B71,'Data-Retail'!$D$4:$D$269,'GSC Support'!$C71)</f>
        <v>358</v>
      </c>
      <c r="G71" s="222">
        <f>SUMIFS('Data-Retail'!$I$4:$I$269,'Data-Retail'!$A$4:$A$269,'GSC Support'!$B71,'Data-Retail'!$D$4:$D$269,'GSC Support'!$C71)</f>
        <v>0</v>
      </c>
      <c r="H71" s="222">
        <f t="shared" ref="H71:H134" si="10">+F71+G71</f>
        <v>358</v>
      </c>
      <c r="I71" s="286">
        <v>358</v>
      </c>
      <c r="J71" s="286"/>
      <c r="K71" s="286"/>
      <c r="L71" s="286">
        <f t="shared" si="8"/>
        <v>358</v>
      </c>
      <c r="M71" s="279">
        <f t="shared" si="9"/>
        <v>0</v>
      </c>
      <c r="O71" s="323">
        <f>SUMIFS('Data-Retail'!$N$4:$N$238,'Data-Retail'!$A$4:$A$238,'GSC Support'!$B71,'Data-Retail'!$D$4:$D$238,'GSC Support'!$C71)</f>
        <v>200.98999999999998</v>
      </c>
      <c r="P71" s="323"/>
      <c r="Q71" s="323"/>
      <c r="R71" s="323"/>
      <c r="S71" s="281">
        <f ca="1">SUMIFS('Apr11-Mar12 Billed-RETAIL'!$BA$5:$BA$138,'Apr11-Mar12 Billed-RETAIL'!$B$5:$B$138,'GSC Support'!$B71,'Apr11-Mar12 Billed-RETAIL'!$C$5:$C$138,'GSC Support'!$C71)</f>
        <v>200.98999999999998</v>
      </c>
      <c r="T71" s="287">
        <v>200.99</v>
      </c>
      <c r="U71" s="287"/>
      <c r="V71" s="287">
        <f t="shared" ref="V71:V134" si="11">SUM(T71:U71)</f>
        <v>200.99</v>
      </c>
      <c r="W71" s="288">
        <f t="shared" ref="W71:W134" ca="1" si="12">+S71-V71</f>
        <v>0</v>
      </c>
    </row>
    <row r="72" spans="1:23" x14ac:dyDescent="0.2">
      <c r="A72" s="196">
        <f t="shared" ref="A72:A135" si="13">+A71+1</f>
        <v>67</v>
      </c>
      <c r="B72" s="211">
        <v>40695</v>
      </c>
      <c r="C72" s="211" t="str">
        <f>+'Retail Rates'!B15</f>
        <v>LGUMG861</v>
      </c>
      <c r="D72" s="197" t="str">
        <f t="shared" si="7"/>
        <v>861</v>
      </c>
      <c r="E72" s="197" t="str">
        <f>VLOOKUP(C72,'Retail Rates'!$B$7:$D$35,3,FALSE)</f>
        <v>CGS</v>
      </c>
      <c r="F72" s="222">
        <f>SUMIFS('Data-Retail'!$H$4:$H$269,'Data-Retail'!$A$4:$A$269,'GSC Support'!$B72,'Data-Retail'!$D$4:$D$269,'GSC Support'!$C72)</f>
        <v>612</v>
      </c>
      <c r="G72" s="222">
        <f>SUMIFS('Data-Retail'!$I$4:$I$269,'Data-Retail'!$A$4:$A$269,'GSC Support'!$B72,'Data-Retail'!$D$4:$D$269,'GSC Support'!$C72)</f>
        <v>0</v>
      </c>
      <c r="H72" s="222">
        <f t="shared" si="10"/>
        <v>612</v>
      </c>
      <c r="I72" s="286">
        <v>612</v>
      </c>
      <c r="J72" s="286"/>
      <c r="K72" s="286"/>
      <c r="L72" s="286">
        <f t="shared" si="8"/>
        <v>612</v>
      </c>
      <c r="M72" s="279">
        <f t="shared" si="9"/>
        <v>0</v>
      </c>
      <c r="O72" s="323">
        <f>SUMIFS('Data-Retail'!$N$4:$N$238,'Data-Retail'!$A$4:$A$238,'GSC Support'!$B72,'Data-Retail'!$D$4:$D$238,'GSC Support'!$C72)</f>
        <v>342.66</v>
      </c>
      <c r="P72" s="323"/>
      <c r="Q72" s="323"/>
      <c r="R72" s="323"/>
      <c r="S72" s="281">
        <f ca="1">SUMIFS('Apr11-Mar12 Billed-RETAIL'!$BA$5:$BA$138,'Apr11-Mar12 Billed-RETAIL'!$B$5:$B$138,'GSC Support'!$B72,'Apr11-Mar12 Billed-RETAIL'!$C$5:$C$138,'GSC Support'!$C72)</f>
        <v>342.66</v>
      </c>
      <c r="T72" s="287">
        <v>342.66</v>
      </c>
      <c r="U72" s="287"/>
      <c r="V72" s="287">
        <f t="shared" si="11"/>
        <v>342.66</v>
      </c>
      <c r="W72" s="288">
        <f t="shared" ca="1" si="12"/>
        <v>0</v>
      </c>
    </row>
    <row r="73" spans="1:23" x14ac:dyDescent="0.2">
      <c r="A73" s="196">
        <f t="shared" si="13"/>
        <v>68</v>
      </c>
      <c r="B73" s="211">
        <v>40695</v>
      </c>
      <c r="C73" s="211" t="str">
        <f>+'Retail Rates'!B16</f>
        <v>LGCMG881</v>
      </c>
      <c r="D73" s="197" t="str">
        <f t="shared" si="7"/>
        <v>881</v>
      </c>
      <c r="E73" s="197" t="str">
        <f>VLOOKUP(C73,'Retail Rates'!$B$7:$D$35,3,FALSE)</f>
        <v>CGS-TS</v>
      </c>
      <c r="F73" s="329">
        <f>SUMIFS('Data-Retail'!$H$4:$H$269,'Data-Retail'!$A$4:$A$269,'GSC Support'!$B73,'Data-Retail'!$D$4:$D$269,'GSC Support'!$C73)</f>
        <v>0</v>
      </c>
      <c r="G73" s="329">
        <f>SUMIFS('Data-Retail'!$I$4:$I$269,'Data-Retail'!$A$4:$A$269,'GSC Support'!$B73,'Data-Retail'!$D$4:$D$269,'GSC Support'!$C73)</f>
        <v>0</v>
      </c>
      <c r="H73" s="329">
        <f t="shared" si="10"/>
        <v>0</v>
      </c>
      <c r="I73" s="330">
        <v>1168</v>
      </c>
      <c r="J73" s="330"/>
      <c r="K73" s="330"/>
      <c r="L73" s="330">
        <f t="shared" si="8"/>
        <v>1168</v>
      </c>
      <c r="M73" s="331">
        <f t="shared" si="9"/>
        <v>-1168</v>
      </c>
      <c r="N73" s="332"/>
      <c r="O73" s="323">
        <f>SUMIFS('Data-Retail'!$V$4:$V$238,'Data-Retail'!$A$4:$A$238,'GSC Support'!$B73,'Data-Retail'!$D$4:$D$238,'GSC Support'!$C73)</f>
        <v>0</v>
      </c>
      <c r="P73" s="327">
        <f>VLOOKUP($B73,'GSC-DSM Factors'!$A$18:$E$44,5,FALSE)</f>
        <v>9.6000000000000002E-4</v>
      </c>
      <c r="Q73" s="326">
        <f>P73*H73</f>
        <v>0</v>
      </c>
      <c r="R73" s="323">
        <f>+O73-Q73</f>
        <v>0</v>
      </c>
      <c r="S73" s="281">
        <f>SUMIFS('Apr11-Mar12 Billed-RETAIL'!$BA$5:$BA$138,'Apr11-Mar12 Billed-RETAIL'!$B$5:$B$138,'GSC Support'!$B73,'Apr11-Mar12 Billed-RETAIL'!$C$5:$C$138,'GSC Support'!$C73)</f>
        <v>0</v>
      </c>
      <c r="T73" s="287">
        <v>655.75</v>
      </c>
      <c r="U73" s="287"/>
      <c r="V73" s="287">
        <f t="shared" si="11"/>
        <v>655.75</v>
      </c>
      <c r="W73" s="288">
        <f t="shared" si="12"/>
        <v>-655.75</v>
      </c>
    </row>
    <row r="74" spans="1:23" x14ac:dyDescent="0.2">
      <c r="A74" s="196">
        <f t="shared" si="13"/>
        <v>69</v>
      </c>
      <c r="B74" s="211">
        <v>40695</v>
      </c>
      <c r="C74" s="211" t="str">
        <f>+'Retail Rates'!B17</f>
        <v>LGCMG881PM</v>
      </c>
      <c r="D74" s="197" t="str">
        <f t="shared" si="7"/>
        <v>881</v>
      </c>
      <c r="E74" s="197" t="str">
        <f>VLOOKUP(C74,'Retail Rates'!$B$7:$D$35,3,FALSE)</f>
        <v>CGS-TS-PM</v>
      </c>
      <c r="F74" s="222">
        <f>SUMIFS('Data-Retail'!$H$4:$H$269,'Data-Retail'!$A$4:$A$269,'GSC Support'!$B74,'Data-Retail'!$D$4:$D$269,'GSC Support'!$C74)</f>
        <v>0</v>
      </c>
      <c r="G74" s="222">
        <f>SUMIFS('Data-Retail'!$I$4:$I$269,'Data-Retail'!$A$4:$A$269,'GSC Support'!$B74,'Data-Retail'!$D$4:$D$269,'GSC Support'!$C74)</f>
        <v>0</v>
      </c>
      <c r="H74" s="222">
        <f t="shared" si="10"/>
        <v>0</v>
      </c>
      <c r="I74" s="286"/>
      <c r="J74" s="286"/>
      <c r="K74" s="286"/>
      <c r="L74" s="286">
        <f t="shared" si="8"/>
        <v>0</v>
      </c>
      <c r="M74" s="279">
        <f t="shared" si="9"/>
        <v>0</v>
      </c>
      <c r="O74" s="323">
        <f>SUMIFS('Data-Retail'!$N$4:$N$238,'Data-Retail'!$A$4:$A$238,'GSC Support'!$B74,'Data-Retail'!$D$4:$D$238,'GSC Support'!$C74)</f>
        <v>0</v>
      </c>
      <c r="P74" s="323"/>
      <c r="Q74" s="323"/>
      <c r="R74" s="323"/>
      <c r="S74" s="281">
        <f>SUMIFS('Apr11-Mar12 Billed-RETAIL'!$BA$5:$BA$138,'Apr11-Mar12 Billed-RETAIL'!$B$5:$B$138,'GSC Support'!$B74,'Apr11-Mar12 Billed-RETAIL'!$C$5:$C$138,'GSC Support'!$C74)</f>
        <v>0</v>
      </c>
      <c r="T74" s="287"/>
      <c r="U74" s="287"/>
      <c r="V74" s="287">
        <f t="shared" si="11"/>
        <v>0</v>
      </c>
      <c r="W74" s="288">
        <f t="shared" si="12"/>
        <v>0</v>
      </c>
    </row>
    <row r="75" spans="1:23" x14ac:dyDescent="0.2">
      <c r="A75" s="196">
        <f t="shared" si="13"/>
        <v>70</v>
      </c>
      <c r="B75" s="211">
        <v>40695</v>
      </c>
      <c r="C75" s="211" t="str">
        <f>+'Retail Rates'!B18</f>
        <v>LGCMG875</v>
      </c>
      <c r="D75" s="197" t="str">
        <f t="shared" si="7"/>
        <v>875</v>
      </c>
      <c r="E75" s="197" t="str">
        <f>VLOOKUP(C75,'Retail Rates'!$B$7:$D$35,3,FALSE)</f>
        <v>DGGS-C</v>
      </c>
      <c r="F75" s="222">
        <f>SUMIFS('Data-Retail'!$H$4:$H$269,'Data-Retail'!$A$4:$A$269,'GSC Support'!$B75,'Data-Retail'!$D$4:$D$269,'GSC Support'!$C75)</f>
        <v>0</v>
      </c>
      <c r="G75" s="222">
        <f>SUMIFS('Data-Retail'!$I$4:$I$269,'Data-Retail'!$A$4:$A$269,'GSC Support'!$B75,'Data-Retail'!$D$4:$D$269,'GSC Support'!$C75)</f>
        <v>0</v>
      </c>
      <c r="H75" s="222">
        <f t="shared" si="10"/>
        <v>0</v>
      </c>
      <c r="I75" s="286"/>
      <c r="J75" s="286"/>
      <c r="K75" s="286"/>
      <c r="L75" s="286">
        <f t="shared" si="8"/>
        <v>0</v>
      </c>
      <c r="M75" s="279">
        <f t="shared" si="9"/>
        <v>0</v>
      </c>
      <c r="O75" s="323">
        <f>SUMIFS('Data-Retail'!$N$4:$N$238,'Data-Retail'!$A$4:$A$238,'GSC Support'!$B75,'Data-Retail'!$D$4:$D$238,'GSC Support'!$C75)</f>
        <v>0</v>
      </c>
      <c r="P75" s="323"/>
      <c r="Q75" s="323"/>
      <c r="R75" s="323"/>
      <c r="S75" s="281">
        <f ca="1">SUMIFS('Apr11-Mar12 Billed-RETAIL'!$BA$5:$BA$138,'Apr11-Mar12 Billed-RETAIL'!$B$5:$B$138,'GSC Support'!$B75,'Apr11-Mar12 Billed-RETAIL'!$C$5:$C$138,'GSC Support'!$C75)</f>
        <v>0</v>
      </c>
      <c r="T75" s="287"/>
      <c r="U75" s="287"/>
      <c r="V75" s="287">
        <f t="shared" si="11"/>
        <v>0</v>
      </c>
      <c r="W75" s="288">
        <f t="shared" ca="1" si="12"/>
        <v>0</v>
      </c>
    </row>
    <row r="76" spans="1:23" x14ac:dyDescent="0.2">
      <c r="A76" s="196">
        <f t="shared" si="13"/>
        <v>71</v>
      </c>
      <c r="B76" s="211">
        <v>40695</v>
      </c>
      <c r="C76" s="211" t="str">
        <f>+'Retail Rates'!B19</f>
        <v>LGCMG895</v>
      </c>
      <c r="D76" s="197" t="str">
        <f t="shared" si="7"/>
        <v>895</v>
      </c>
      <c r="E76" s="197" t="str">
        <f>VLOOKUP(C76,'Retail Rates'!$B$7:$D$35,3,FALSE)</f>
        <v>FT-C</v>
      </c>
      <c r="F76" s="222">
        <f>SUMIFS('Data-Retail'!$H$4:$H$269,'Data-Retail'!$A$4:$A$269,'GSC Support'!$B76,'Data-Retail'!$D$4:$D$269,'GSC Support'!$C76)</f>
        <v>0</v>
      </c>
      <c r="G76" s="222">
        <f>SUMIFS('Data-Retail'!$I$4:$I$269,'Data-Retail'!$A$4:$A$269,'GSC Support'!$B76,'Data-Retail'!$D$4:$D$269,'GSC Support'!$C76)</f>
        <v>0</v>
      </c>
      <c r="H76" s="222">
        <f t="shared" si="10"/>
        <v>0</v>
      </c>
      <c r="I76" s="286"/>
      <c r="J76" s="286"/>
      <c r="K76" s="286"/>
      <c r="L76" s="286">
        <f t="shared" si="8"/>
        <v>0</v>
      </c>
      <c r="M76" s="279">
        <f t="shared" si="9"/>
        <v>0</v>
      </c>
      <c r="O76" s="323">
        <f>SUMIFS('Data-Retail'!$N$4:$N$238,'Data-Retail'!$A$4:$A$238,'GSC Support'!$B76,'Data-Retail'!$D$4:$D$238,'GSC Support'!$C76)</f>
        <v>0</v>
      </c>
      <c r="P76" s="323"/>
      <c r="Q76" s="323"/>
      <c r="R76" s="323"/>
      <c r="S76" s="281">
        <f>SUMIFS('Apr11-Mar12 Billed-RETAIL'!$BA$5:$BA$138,'Apr11-Mar12 Billed-RETAIL'!$B$5:$B$138,'GSC Support'!$B76,'Apr11-Mar12 Billed-RETAIL'!$C$5:$C$138,'GSC Support'!$C76)</f>
        <v>0</v>
      </c>
      <c r="T76" s="287"/>
      <c r="U76" s="287"/>
      <c r="V76" s="287">
        <f t="shared" si="11"/>
        <v>0</v>
      </c>
      <c r="W76" s="288">
        <f t="shared" si="12"/>
        <v>0</v>
      </c>
    </row>
    <row r="77" spans="1:23" x14ac:dyDescent="0.2">
      <c r="A77" s="196">
        <f t="shared" si="13"/>
        <v>72</v>
      </c>
      <c r="B77" s="211">
        <v>40695</v>
      </c>
      <c r="C77" s="211" t="str">
        <f>+'Retail Rates'!B20</f>
        <v>LGCMG895PM</v>
      </c>
      <c r="D77" s="197" t="str">
        <f t="shared" si="7"/>
        <v>895</v>
      </c>
      <c r="E77" s="197" t="str">
        <f>VLOOKUP(C77,'Retail Rates'!$B$7:$D$35,3,FALSE)</f>
        <v>FT-C-PM</v>
      </c>
      <c r="F77" s="222">
        <f>SUMIFS('Data-Retail'!$H$4:$H$269,'Data-Retail'!$A$4:$A$269,'GSC Support'!$B77,'Data-Retail'!$D$4:$D$269,'GSC Support'!$C77)</f>
        <v>0</v>
      </c>
      <c r="G77" s="222">
        <f>SUMIFS('Data-Retail'!$I$4:$I$269,'Data-Retail'!$A$4:$A$269,'GSC Support'!$B77,'Data-Retail'!$D$4:$D$269,'GSC Support'!$C77)</f>
        <v>0</v>
      </c>
      <c r="H77" s="222">
        <f t="shared" si="10"/>
        <v>0</v>
      </c>
      <c r="I77" s="286"/>
      <c r="J77" s="286"/>
      <c r="K77" s="286"/>
      <c r="L77" s="286">
        <f t="shared" si="8"/>
        <v>0</v>
      </c>
      <c r="M77" s="279">
        <f t="shared" si="9"/>
        <v>0</v>
      </c>
      <c r="O77" s="323">
        <f>SUMIFS('Data-Retail'!$N$4:$N$238,'Data-Retail'!$A$4:$A$238,'GSC Support'!$B77,'Data-Retail'!$D$4:$D$238,'GSC Support'!$C77)</f>
        <v>0</v>
      </c>
      <c r="P77" s="323"/>
      <c r="Q77" s="323"/>
      <c r="R77" s="323"/>
      <c r="S77" s="281">
        <f>SUMIFS('Apr11-Mar12 Billed-RETAIL'!$BA$5:$BA$138,'Apr11-Mar12 Billed-RETAIL'!$B$5:$B$138,'GSC Support'!$B77,'Apr11-Mar12 Billed-RETAIL'!$C$5:$C$138,'GSC Support'!$C77)</f>
        <v>0</v>
      </c>
      <c r="T77" s="287"/>
      <c r="U77" s="287"/>
      <c r="V77" s="287">
        <f t="shared" si="11"/>
        <v>0</v>
      </c>
      <c r="W77" s="288">
        <f t="shared" si="12"/>
        <v>0</v>
      </c>
    </row>
    <row r="78" spans="1:23" x14ac:dyDescent="0.2">
      <c r="A78" s="196">
        <f t="shared" si="13"/>
        <v>73</v>
      </c>
      <c r="B78" s="211">
        <v>40695</v>
      </c>
      <c r="C78" s="211" t="str">
        <f>+'Retail Rates'!B21</f>
        <v>LGING896</v>
      </c>
      <c r="D78" s="197" t="str">
        <f t="shared" si="7"/>
        <v>896</v>
      </c>
      <c r="E78" s="197" t="str">
        <f>VLOOKUP(C78,'Retail Rates'!$B$7:$D$35,3,FALSE)</f>
        <v>FT-I</v>
      </c>
      <c r="F78" s="222">
        <f>SUMIFS('Data-Retail'!$H$4:$H$269,'Data-Retail'!$A$4:$A$269,'GSC Support'!$B78,'Data-Retail'!$D$4:$D$269,'GSC Support'!$C78)</f>
        <v>0</v>
      </c>
      <c r="G78" s="222">
        <f>SUMIFS('Data-Retail'!$I$4:$I$269,'Data-Retail'!$A$4:$A$269,'GSC Support'!$B78,'Data-Retail'!$D$4:$D$269,'GSC Support'!$C78)</f>
        <v>0</v>
      </c>
      <c r="H78" s="222">
        <f t="shared" si="10"/>
        <v>0</v>
      </c>
      <c r="I78" s="286"/>
      <c r="J78" s="286"/>
      <c r="K78" s="286"/>
      <c r="L78" s="286">
        <f t="shared" si="8"/>
        <v>0</v>
      </c>
      <c r="M78" s="279">
        <f t="shared" si="9"/>
        <v>0</v>
      </c>
      <c r="O78" s="323">
        <f>SUMIFS('Data-Retail'!$N$4:$N$238,'Data-Retail'!$A$4:$A$238,'GSC Support'!$B78,'Data-Retail'!$D$4:$D$238,'GSC Support'!$C78)</f>
        <v>0</v>
      </c>
      <c r="P78" s="323"/>
      <c r="Q78" s="323"/>
      <c r="R78" s="323"/>
      <c r="S78" s="281">
        <f>SUMIFS('Apr11-Mar12 Billed-RETAIL'!$BA$5:$BA$138,'Apr11-Mar12 Billed-RETAIL'!$B$5:$B$138,'GSC Support'!$B78,'Apr11-Mar12 Billed-RETAIL'!$C$5:$C$138,'GSC Support'!$C78)</f>
        <v>0</v>
      </c>
      <c r="T78" s="287"/>
      <c r="U78" s="287"/>
      <c r="V78" s="287">
        <f t="shared" si="11"/>
        <v>0</v>
      </c>
      <c r="W78" s="288">
        <f t="shared" si="12"/>
        <v>0</v>
      </c>
    </row>
    <row r="79" spans="1:23" x14ac:dyDescent="0.2">
      <c r="A79" s="196">
        <f t="shared" si="13"/>
        <v>74</v>
      </c>
      <c r="B79" s="211">
        <v>40695</v>
      </c>
      <c r="C79" s="211" t="str">
        <f>+'Retail Rates'!B22</f>
        <v>LGING896PM</v>
      </c>
      <c r="D79" s="197" t="str">
        <f t="shared" si="7"/>
        <v>896</v>
      </c>
      <c r="E79" s="197" t="str">
        <f>VLOOKUP(C79,'Retail Rates'!$B$7:$D$35,3,FALSE)</f>
        <v>FT-I-PM</v>
      </c>
      <c r="F79" s="222">
        <f>SUMIFS('Data-Retail'!$H$4:$H$269,'Data-Retail'!$A$4:$A$269,'GSC Support'!$B79,'Data-Retail'!$D$4:$D$269,'GSC Support'!$C79)</f>
        <v>0</v>
      </c>
      <c r="G79" s="222">
        <f>SUMIFS('Data-Retail'!$I$4:$I$269,'Data-Retail'!$A$4:$A$269,'GSC Support'!$B79,'Data-Retail'!$D$4:$D$269,'GSC Support'!$C79)</f>
        <v>0</v>
      </c>
      <c r="H79" s="222">
        <f t="shared" si="10"/>
        <v>0</v>
      </c>
      <c r="I79" s="286"/>
      <c r="J79" s="286"/>
      <c r="K79" s="286"/>
      <c r="L79" s="286">
        <f t="shared" si="8"/>
        <v>0</v>
      </c>
      <c r="M79" s="279">
        <f t="shared" si="9"/>
        <v>0</v>
      </c>
      <c r="O79" s="323">
        <f>SUMIFS('Data-Retail'!$N$4:$N$238,'Data-Retail'!$A$4:$A$238,'GSC Support'!$B79,'Data-Retail'!$D$4:$D$238,'GSC Support'!$C79)</f>
        <v>0</v>
      </c>
      <c r="P79" s="323"/>
      <c r="Q79" s="323"/>
      <c r="R79" s="323"/>
      <c r="S79" s="281">
        <f>SUMIFS('Apr11-Mar12 Billed-RETAIL'!$BA$5:$BA$138,'Apr11-Mar12 Billed-RETAIL'!$B$5:$B$138,'GSC Support'!$B79,'Apr11-Mar12 Billed-RETAIL'!$C$5:$C$138,'GSC Support'!$C79)</f>
        <v>0</v>
      </c>
      <c r="T79" s="287"/>
      <c r="U79" s="287"/>
      <c r="V79" s="287">
        <f t="shared" si="11"/>
        <v>0</v>
      </c>
      <c r="W79" s="288">
        <f t="shared" si="12"/>
        <v>0</v>
      </c>
    </row>
    <row r="80" spans="1:23" x14ac:dyDescent="0.2">
      <c r="A80" s="196">
        <f t="shared" si="13"/>
        <v>75</v>
      </c>
      <c r="B80" s="211">
        <v>40695</v>
      </c>
      <c r="C80" s="211" t="str">
        <f>+'Retail Rates'!B23</f>
        <v>LGING855</v>
      </c>
      <c r="D80" s="197" t="str">
        <f t="shared" si="7"/>
        <v>855</v>
      </c>
      <c r="E80" s="197" t="str">
        <f>VLOOKUP(C80,'Retail Rates'!$B$7:$D$35,3,FALSE)</f>
        <v>IGS</v>
      </c>
      <c r="F80" s="222">
        <f>SUMIFS('Data-Retail'!$H$4:$H$269,'Data-Retail'!$A$4:$A$269,'GSC Support'!$B80,'Data-Retail'!$D$4:$D$269,'GSC Support'!$C80)</f>
        <v>73608</v>
      </c>
      <c r="G80" s="222">
        <f>SUMIFS('Data-Retail'!$I$4:$I$269,'Data-Retail'!$A$4:$A$269,'GSC Support'!$B80,'Data-Retail'!$D$4:$D$269,'GSC Support'!$C80)</f>
        <v>453940</v>
      </c>
      <c r="H80" s="222">
        <f t="shared" si="10"/>
        <v>527548</v>
      </c>
      <c r="I80" s="286">
        <v>447926</v>
      </c>
      <c r="J80" s="286">
        <v>79622</v>
      </c>
      <c r="K80" s="286"/>
      <c r="L80" s="286">
        <f t="shared" si="8"/>
        <v>527548</v>
      </c>
      <c r="M80" s="279">
        <f t="shared" si="9"/>
        <v>0</v>
      </c>
      <c r="O80" s="323">
        <f>SUMIFS('Data-Retail'!$N$4:$N$238,'Data-Retail'!$A$4:$A$238,'GSC Support'!$B80,'Data-Retail'!$D$4:$D$238,'GSC Support'!$C80)</f>
        <v>295874.08</v>
      </c>
      <c r="P80" s="323"/>
      <c r="Q80" s="323"/>
      <c r="R80" s="323"/>
      <c r="S80" s="281">
        <f ca="1">SUMIFS('Apr11-Mar12 Billed-RETAIL'!$BA$5:$BA$138,'Apr11-Mar12 Billed-RETAIL'!$B$5:$B$138,'GSC Support'!$B80,'Apr11-Mar12 Billed-RETAIL'!$C$5:$C$138,'GSC Support'!$C80)</f>
        <v>295874.08</v>
      </c>
      <c r="T80" s="287">
        <v>251478</v>
      </c>
      <c r="U80" s="287">
        <v>44396.08</v>
      </c>
      <c r="V80" s="287">
        <f t="shared" si="11"/>
        <v>295874.08</v>
      </c>
      <c r="W80" s="288">
        <f t="shared" ca="1" si="12"/>
        <v>0</v>
      </c>
    </row>
    <row r="81" spans="1:23" x14ac:dyDescent="0.2">
      <c r="A81" s="196">
        <f t="shared" si="13"/>
        <v>76</v>
      </c>
      <c r="B81" s="211">
        <v>40695</v>
      </c>
      <c r="C81" s="211" t="str">
        <f>+'Retail Rates'!B24</f>
        <v>LGING882</v>
      </c>
      <c r="D81" s="197" t="str">
        <f t="shared" si="7"/>
        <v>882</v>
      </c>
      <c r="E81" s="197" t="str">
        <f>VLOOKUP(C81,'Retail Rates'!$B$7:$D$35,3,FALSE)</f>
        <v>IGS-TS</v>
      </c>
      <c r="F81" s="329">
        <v>10307</v>
      </c>
      <c r="G81" s="329"/>
      <c r="H81" s="329">
        <f t="shared" si="10"/>
        <v>10307</v>
      </c>
      <c r="I81" s="330">
        <v>15150</v>
      </c>
      <c r="J81" s="330">
        <v>-4843</v>
      </c>
      <c r="K81" s="330"/>
      <c r="L81" s="330">
        <f t="shared" si="8"/>
        <v>10307</v>
      </c>
      <c r="M81" s="331">
        <f t="shared" si="9"/>
        <v>0</v>
      </c>
      <c r="N81" s="332"/>
      <c r="O81" s="323"/>
      <c r="P81" s="327"/>
      <c r="Q81" s="326"/>
      <c r="R81" s="323"/>
      <c r="S81" s="281">
        <f>SUMIFS('Apr11-Mar12 Billed-RETAIL'!$BA$5:$BA$138,'Apr11-Mar12 Billed-RETAIL'!$B$5:$B$138,'GSC Support'!$B81,'Apr11-Mar12 Billed-RETAIL'!$C$5:$C$138,'GSC Support'!$C81)</f>
        <v>0</v>
      </c>
      <c r="T81" s="287">
        <v>8505.66</v>
      </c>
      <c r="U81" s="287">
        <v>-2563.52</v>
      </c>
      <c r="V81" s="287">
        <f t="shared" si="11"/>
        <v>5942.1399999999994</v>
      </c>
      <c r="W81" s="288">
        <f t="shared" si="12"/>
        <v>-5942.1399999999994</v>
      </c>
    </row>
    <row r="82" spans="1:23" x14ac:dyDescent="0.2">
      <c r="A82" s="196">
        <f t="shared" si="13"/>
        <v>77</v>
      </c>
      <c r="B82" s="211">
        <v>40695</v>
      </c>
      <c r="C82" s="211" t="str">
        <f>+'Retail Rates'!B25</f>
        <v>LGING882PM</v>
      </c>
      <c r="D82" s="197" t="str">
        <f t="shared" si="7"/>
        <v>882</v>
      </c>
      <c r="E82" s="197" t="str">
        <f>VLOOKUP(C82,'Retail Rates'!$B$7:$D$35,3,FALSE)</f>
        <v>IGS-TS-PM</v>
      </c>
      <c r="F82" s="222">
        <f>SUMIFS('Data-Retail'!$H$4:$H$269,'Data-Retail'!$A$4:$A$269,'GSC Support'!$B82,'Data-Retail'!$D$4:$D$269,'GSC Support'!$C82)</f>
        <v>0</v>
      </c>
      <c r="G82" s="222">
        <f>SUMIFS('Data-Retail'!$I$4:$I$269,'Data-Retail'!$A$4:$A$269,'GSC Support'!$B82,'Data-Retail'!$D$4:$D$269,'GSC Support'!$C82)</f>
        <v>0</v>
      </c>
      <c r="H82" s="222">
        <f t="shared" si="10"/>
        <v>0</v>
      </c>
      <c r="I82" s="286"/>
      <c r="J82" s="286"/>
      <c r="K82" s="286"/>
      <c r="L82" s="286">
        <f t="shared" si="8"/>
        <v>0</v>
      </c>
      <c r="M82" s="279">
        <f t="shared" si="9"/>
        <v>0</v>
      </c>
      <c r="O82" s="323">
        <f>SUMIFS('Data-Retail'!$N$4:$N$238,'Data-Retail'!$A$4:$A$238,'GSC Support'!$B82,'Data-Retail'!$D$4:$D$238,'GSC Support'!$C82)</f>
        <v>0</v>
      </c>
      <c r="P82" s="323"/>
      <c r="Q82" s="323"/>
      <c r="R82" s="323"/>
      <c r="S82" s="281">
        <f>SUMIFS('Apr11-Mar12 Billed-RETAIL'!$BA$5:$BA$138,'Apr11-Mar12 Billed-RETAIL'!$B$5:$B$138,'GSC Support'!$B82,'Apr11-Mar12 Billed-RETAIL'!$C$5:$C$138,'GSC Support'!$C82)</f>
        <v>0</v>
      </c>
      <c r="T82" s="287"/>
      <c r="U82" s="287"/>
      <c r="V82" s="287">
        <f t="shared" si="11"/>
        <v>0</v>
      </c>
      <c r="W82" s="288">
        <f t="shared" si="12"/>
        <v>0</v>
      </c>
    </row>
    <row r="83" spans="1:23" x14ac:dyDescent="0.2">
      <c r="A83" s="196">
        <f t="shared" si="13"/>
        <v>78</v>
      </c>
      <c r="B83" s="211">
        <v>40695</v>
      </c>
      <c r="C83" s="211" t="str">
        <f>+'Retail Rates'!B26</f>
        <v>LGRSG811</v>
      </c>
      <c r="D83" s="197" t="str">
        <f t="shared" si="7"/>
        <v>811</v>
      </c>
      <c r="E83" s="197" t="str">
        <f>VLOOKUP(C83,'Retail Rates'!$B$7:$D$35,3,FALSE)</f>
        <v>RGS</v>
      </c>
      <c r="F83" s="222">
        <f>SUMIFS('Data-Retail'!$H$4:$H$269,'Data-Retail'!$A$4:$A$269,'GSC Support'!$B83,'Data-Retail'!$D$4:$D$269,'GSC Support'!$C83)</f>
        <v>5432621</v>
      </c>
      <c r="G83" s="222">
        <f>SUMIFS('Data-Retail'!$I$4:$I$269,'Data-Retail'!$A$4:$A$269,'GSC Support'!$B83,'Data-Retail'!$D$4:$D$269,'GSC Support'!$C83)</f>
        <v>0</v>
      </c>
      <c r="H83" s="222">
        <f t="shared" si="10"/>
        <v>5432621</v>
      </c>
      <c r="I83" s="286">
        <v>5452572</v>
      </c>
      <c r="J83" s="286">
        <v>-19951</v>
      </c>
      <c r="K83" s="286"/>
      <c r="L83" s="286">
        <f t="shared" si="8"/>
        <v>5432621</v>
      </c>
      <c r="M83" s="279">
        <f t="shared" si="9"/>
        <v>0</v>
      </c>
      <c r="O83" s="323">
        <f>SUMIFS('Data-Retail'!$N$4:$N$238,'Data-Retail'!$A$4:$A$238,'GSC Support'!$B83,'Data-Retail'!$D$4:$D$238,'GSC Support'!$C83)</f>
        <v>3050652</v>
      </c>
      <c r="P83" s="323"/>
      <c r="Q83" s="323"/>
      <c r="R83" s="323"/>
      <c r="S83" s="281">
        <f ca="1">SUMIFS('Apr11-Mar12 Billed-RETAIL'!$BA$5:$BA$138,'Apr11-Mar12 Billed-RETAIL'!$B$5:$B$138,'GSC Support'!$B83,'Apr11-Mar12 Billed-RETAIL'!$C$5:$C$138,'GSC Support'!$C83)</f>
        <v>3050652</v>
      </c>
      <c r="T83" s="287">
        <v>3061044.69</v>
      </c>
      <c r="U83" s="287">
        <v>-10392.69</v>
      </c>
      <c r="V83" s="287">
        <f t="shared" si="11"/>
        <v>3050652</v>
      </c>
      <c r="W83" s="288">
        <f t="shared" ca="1" si="12"/>
        <v>0</v>
      </c>
    </row>
    <row r="84" spans="1:23" x14ac:dyDescent="0.2">
      <c r="A84" s="196">
        <f t="shared" si="13"/>
        <v>79</v>
      </c>
      <c r="B84" s="211">
        <v>40695</v>
      </c>
      <c r="C84" s="211" t="str">
        <f>+'Retail Rates'!B27</f>
        <v>LGRSG811S1</v>
      </c>
      <c r="D84" s="197" t="str">
        <f t="shared" si="7"/>
        <v>811</v>
      </c>
      <c r="E84" s="197" t="str">
        <f>VLOOKUP(C84,'Retail Rates'!$B$7:$D$35,3,FALSE)</f>
        <v>RGS</v>
      </c>
      <c r="F84" s="222">
        <f>SUMIFS('Data-Retail'!$H$4:$H$269,'Data-Retail'!$A$4:$A$269,'GSC Support'!$B84,'Data-Retail'!$D$4:$D$269,'GSC Support'!$C84)</f>
        <v>178</v>
      </c>
      <c r="G84" s="222">
        <f>SUMIFS('Data-Retail'!$I$4:$I$269,'Data-Retail'!$A$4:$A$269,'GSC Support'!$B84,'Data-Retail'!$D$4:$D$269,'GSC Support'!$C84)</f>
        <v>0</v>
      </c>
      <c r="H84" s="222">
        <f t="shared" si="10"/>
        <v>178</v>
      </c>
      <c r="I84" s="286">
        <v>178</v>
      </c>
      <c r="J84" s="286"/>
      <c r="K84" s="286"/>
      <c r="L84" s="286">
        <f t="shared" si="8"/>
        <v>178</v>
      </c>
      <c r="M84" s="279">
        <f t="shared" si="9"/>
        <v>0</v>
      </c>
      <c r="O84" s="323">
        <f>SUMIFS('Data-Retail'!$N$4:$N$238,'Data-Retail'!$A$4:$A$238,'GSC Support'!$B84,'Data-Retail'!$D$4:$D$238,'GSC Support'!$C84)</f>
        <v>99.93</v>
      </c>
      <c r="P84" s="323"/>
      <c r="Q84" s="323"/>
      <c r="R84" s="323"/>
      <c r="S84" s="281">
        <f ca="1">SUMIFS('Apr11-Mar12 Billed-RETAIL'!$BA$5:$BA$138,'Apr11-Mar12 Billed-RETAIL'!$B$5:$B$138,'GSC Support'!$B84,'Apr11-Mar12 Billed-RETAIL'!$C$5:$C$138,'GSC Support'!$C84)</f>
        <v>99.93</v>
      </c>
      <c r="T84" s="287">
        <v>99.93</v>
      </c>
      <c r="U84" s="287"/>
      <c r="V84" s="287">
        <f t="shared" si="11"/>
        <v>99.93</v>
      </c>
      <c r="W84" s="288">
        <f t="shared" ca="1" si="12"/>
        <v>0</v>
      </c>
    </row>
    <row r="85" spans="1:23" x14ac:dyDescent="0.2">
      <c r="A85" s="196">
        <f t="shared" si="13"/>
        <v>80</v>
      </c>
      <c r="B85" s="211">
        <v>40695</v>
      </c>
      <c r="C85" s="211" t="str">
        <f>+'Retail Rates'!B28</f>
        <v>LGRSG840</v>
      </c>
      <c r="D85" s="197" t="str">
        <f t="shared" si="7"/>
        <v>840</v>
      </c>
      <c r="E85" s="197" t="str">
        <f>VLOOKUP(C85,'Retail Rates'!$B$7:$D$35,3,FALSE)</f>
        <v>RGS</v>
      </c>
      <c r="F85" s="222">
        <f>SUMIFS('Data-Retail'!$H$4:$H$269,'Data-Retail'!$A$4:$A$269,'GSC Support'!$B85,'Data-Retail'!$D$4:$D$269,'GSC Support'!$C85)</f>
        <v>335</v>
      </c>
      <c r="G85" s="222">
        <f>SUMIFS('Data-Retail'!$I$4:$I$269,'Data-Retail'!$A$4:$A$269,'GSC Support'!$B85,'Data-Retail'!$D$4:$D$269,'GSC Support'!$C85)</f>
        <v>0</v>
      </c>
      <c r="H85" s="222">
        <f t="shared" si="10"/>
        <v>335</v>
      </c>
      <c r="I85" s="286">
        <v>335</v>
      </c>
      <c r="J85" s="286"/>
      <c r="K85" s="286"/>
      <c r="L85" s="286">
        <f t="shared" si="8"/>
        <v>335</v>
      </c>
      <c r="M85" s="279">
        <f t="shared" si="9"/>
        <v>0</v>
      </c>
      <c r="O85" s="323">
        <f>SUMIFS('Data-Retail'!$N$4:$N$238,'Data-Retail'!$A$4:$A$238,'GSC Support'!$B85,'Data-Retail'!$D$4:$D$238,'GSC Support'!$C85)</f>
        <v>188.07999999999998</v>
      </c>
      <c r="P85" s="323"/>
      <c r="Q85" s="323"/>
      <c r="R85" s="323"/>
      <c r="S85" s="281">
        <f ca="1">SUMIFS('Apr11-Mar12 Billed-RETAIL'!$BA$5:$BA$138,'Apr11-Mar12 Billed-RETAIL'!$B$5:$B$138,'GSC Support'!$B85,'Apr11-Mar12 Billed-RETAIL'!$C$5:$C$138,'GSC Support'!$C85)</f>
        <v>188.07999999999998</v>
      </c>
      <c r="T85" s="287">
        <v>188.08</v>
      </c>
      <c r="U85" s="287"/>
      <c r="V85" s="287">
        <f t="shared" si="11"/>
        <v>188.08</v>
      </c>
      <c r="W85" s="288">
        <f t="shared" ca="1" si="12"/>
        <v>0</v>
      </c>
    </row>
    <row r="86" spans="1:23" x14ac:dyDescent="0.2">
      <c r="A86" s="196">
        <f t="shared" si="13"/>
        <v>81</v>
      </c>
      <c r="B86" s="211">
        <v>40695</v>
      </c>
      <c r="C86" s="211" t="str">
        <f>+'Retail Rates'!B29</f>
        <v>LGUMG830</v>
      </c>
      <c r="D86" s="197" t="str">
        <f t="shared" si="7"/>
        <v>830</v>
      </c>
      <c r="E86" s="197" t="str">
        <f>VLOOKUP(C86,'Retail Rates'!$B$7:$D$35,3,FALSE)</f>
        <v>RGS</v>
      </c>
      <c r="F86" s="222">
        <f>SUMIFS('Data-Retail'!$H$4:$H$269,'Data-Retail'!$A$4:$A$269,'GSC Support'!$B86,'Data-Retail'!$D$4:$D$269,'GSC Support'!$C86)</f>
        <v>32</v>
      </c>
      <c r="G86" s="222">
        <f>SUMIFS('Data-Retail'!$I$4:$I$269,'Data-Retail'!$A$4:$A$269,'GSC Support'!$B86,'Data-Retail'!$D$4:$D$269,'GSC Support'!$C86)</f>
        <v>0</v>
      </c>
      <c r="H86" s="222">
        <f t="shared" si="10"/>
        <v>32</v>
      </c>
      <c r="I86" s="286">
        <v>32</v>
      </c>
      <c r="J86" s="286"/>
      <c r="K86" s="286"/>
      <c r="L86" s="286">
        <f t="shared" si="8"/>
        <v>32</v>
      </c>
      <c r="M86" s="279">
        <f t="shared" si="9"/>
        <v>0</v>
      </c>
      <c r="O86" s="323">
        <f>SUMIFS('Data-Retail'!$N$4:$N$238,'Data-Retail'!$A$4:$A$238,'GSC Support'!$B86,'Data-Retail'!$D$4:$D$238,'GSC Support'!$C86)</f>
        <v>17.97</v>
      </c>
      <c r="P86" s="323"/>
      <c r="Q86" s="323"/>
      <c r="R86" s="323"/>
      <c r="S86" s="281">
        <f ca="1">SUMIFS('Apr11-Mar12 Billed-RETAIL'!$BA$5:$BA$138,'Apr11-Mar12 Billed-RETAIL'!$B$5:$B$138,'GSC Support'!$B86,'Apr11-Mar12 Billed-RETAIL'!$C$5:$C$138,'GSC Support'!$C86)</f>
        <v>17.97</v>
      </c>
      <c r="T86" s="287">
        <v>17.97</v>
      </c>
      <c r="U86" s="287"/>
      <c r="V86" s="287">
        <f t="shared" si="11"/>
        <v>17.97</v>
      </c>
      <c r="W86" s="288">
        <f t="shared" ca="1" si="12"/>
        <v>0</v>
      </c>
    </row>
    <row r="87" spans="1:23" x14ac:dyDescent="0.2">
      <c r="A87" s="196">
        <f t="shared" si="13"/>
        <v>82</v>
      </c>
      <c r="B87" s="211">
        <v>40695</v>
      </c>
      <c r="C87" s="211" t="str">
        <f>+'Retail Rates'!B30</f>
        <v>LGING992</v>
      </c>
      <c r="D87" s="197" t="str">
        <f t="shared" si="7"/>
        <v>992</v>
      </c>
      <c r="E87" s="197" t="str">
        <f>VLOOKUP(C87,'Retail Rates'!$B$7:$D$35,3,FALSE)</f>
        <v>SPC-EIDuP</v>
      </c>
      <c r="F87" s="222">
        <f>SUMIFS('Data-Retail'!$H$4:$H$269,'Data-Retail'!$A$4:$A$269,'GSC Support'!$B87,'Data-Retail'!$D$4:$D$269,'GSC Support'!$C87)</f>
        <v>0</v>
      </c>
      <c r="G87" s="222">
        <f>SUMIFS('Data-Retail'!$I$4:$I$269,'Data-Retail'!$A$4:$A$269,'GSC Support'!$B87,'Data-Retail'!$D$4:$D$269,'GSC Support'!$C87)</f>
        <v>0</v>
      </c>
      <c r="H87" s="222">
        <f t="shared" si="10"/>
        <v>0</v>
      </c>
      <c r="I87" s="286"/>
      <c r="J87" s="286"/>
      <c r="K87" s="286"/>
      <c r="L87" s="286">
        <f t="shared" si="8"/>
        <v>0</v>
      </c>
      <c r="M87" s="279">
        <f t="shared" si="9"/>
        <v>0</v>
      </c>
      <c r="O87" s="323">
        <f>SUMIFS('Data-Retail'!$N$4:$N$238,'Data-Retail'!$A$4:$A$238,'GSC Support'!$B87,'Data-Retail'!$D$4:$D$238,'GSC Support'!$C87)</f>
        <v>0</v>
      </c>
      <c r="P87" s="323"/>
      <c r="Q87" s="323"/>
      <c r="R87" s="323"/>
      <c r="S87" s="281">
        <f>SUMIFS('Apr11-Mar12 Billed-RETAIL'!$BA$5:$BA$138,'Apr11-Mar12 Billed-RETAIL'!$B$5:$B$138,'GSC Support'!$B87,'Apr11-Mar12 Billed-RETAIL'!$C$5:$C$138,'GSC Support'!$C87)</f>
        <v>0</v>
      </c>
      <c r="T87" s="287"/>
      <c r="U87" s="287"/>
      <c r="V87" s="287">
        <f t="shared" si="11"/>
        <v>0</v>
      </c>
      <c r="W87" s="288">
        <f t="shared" si="12"/>
        <v>0</v>
      </c>
    </row>
    <row r="88" spans="1:23" x14ac:dyDescent="0.2">
      <c r="A88" s="196">
        <f t="shared" si="13"/>
        <v>83</v>
      </c>
      <c r="B88" s="211">
        <v>40695</v>
      </c>
      <c r="C88" s="211" t="str">
        <f>+'Retail Rates'!B31</f>
        <v>LGING896FD</v>
      </c>
      <c r="D88" s="197" t="str">
        <f t="shared" si="7"/>
        <v>896</v>
      </c>
      <c r="E88" s="197" t="str">
        <f>VLOOKUP(C88,'Retail Rates'!$B$7:$D$35,3,FALSE)</f>
        <v>SPC-FORD</v>
      </c>
      <c r="F88" s="222">
        <f>SUMIFS('Data-Retail'!$H$4:$H$269,'Data-Retail'!$A$4:$A$269,'GSC Support'!$B88,'Data-Retail'!$D$4:$D$269,'GSC Support'!$C88)</f>
        <v>0</v>
      </c>
      <c r="G88" s="222">
        <f>SUMIFS('Data-Retail'!$I$4:$I$269,'Data-Retail'!$A$4:$A$269,'GSC Support'!$B88,'Data-Retail'!$D$4:$D$269,'GSC Support'!$C88)</f>
        <v>0</v>
      </c>
      <c r="H88" s="222">
        <f t="shared" si="10"/>
        <v>0</v>
      </c>
      <c r="I88" s="286"/>
      <c r="J88" s="286"/>
      <c r="K88" s="286"/>
      <c r="L88" s="286">
        <f t="shared" si="8"/>
        <v>0</v>
      </c>
      <c r="M88" s="279">
        <f t="shared" si="9"/>
        <v>0</v>
      </c>
      <c r="O88" s="323">
        <f>SUMIFS('Data-Retail'!$N$4:$N$238,'Data-Retail'!$A$4:$A$238,'GSC Support'!$B88,'Data-Retail'!$D$4:$D$238,'GSC Support'!$C88)</f>
        <v>0</v>
      </c>
      <c r="P88" s="323"/>
      <c r="Q88" s="323"/>
      <c r="R88" s="323"/>
      <c r="S88" s="281">
        <f>SUMIFS('Apr11-Mar12 Billed-RETAIL'!$BA$5:$BA$138,'Apr11-Mar12 Billed-RETAIL'!$B$5:$B$138,'GSC Support'!$B88,'Apr11-Mar12 Billed-RETAIL'!$C$5:$C$138,'GSC Support'!$C88)</f>
        <v>0</v>
      </c>
      <c r="T88" s="287"/>
      <c r="U88" s="287"/>
      <c r="V88" s="287">
        <f t="shared" si="11"/>
        <v>0</v>
      </c>
      <c r="W88" s="288">
        <f t="shared" si="12"/>
        <v>0</v>
      </c>
    </row>
    <row r="89" spans="1:23" x14ac:dyDescent="0.2">
      <c r="A89" s="196">
        <f t="shared" si="13"/>
        <v>84</v>
      </c>
      <c r="B89" s="211">
        <v>40695</v>
      </c>
      <c r="C89" s="211" t="str">
        <f>+'Retail Rates'!B32</f>
        <v>LGING896FM</v>
      </c>
      <c r="D89" s="197" t="str">
        <f t="shared" si="7"/>
        <v>896</v>
      </c>
      <c r="E89" s="197" t="str">
        <f>VLOOKUP(C89,'Retail Rates'!$B$7:$D$35,3,FALSE)</f>
        <v>SPC-FORD-PM</v>
      </c>
      <c r="F89" s="222">
        <f>SUMIFS('Data-Retail'!$H$4:$H$269,'Data-Retail'!$A$4:$A$269,'GSC Support'!$B89,'Data-Retail'!$D$4:$D$269,'GSC Support'!$C89)</f>
        <v>0</v>
      </c>
      <c r="G89" s="222">
        <f>SUMIFS('Data-Retail'!$I$4:$I$269,'Data-Retail'!$A$4:$A$269,'GSC Support'!$B89,'Data-Retail'!$D$4:$D$269,'GSC Support'!$C89)</f>
        <v>0</v>
      </c>
      <c r="H89" s="222">
        <f t="shared" si="10"/>
        <v>0</v>
      </c>
      <c r="I89" s="286"/>
      <c r="J89" s="286"/>
      <c r="K89" s="286"/>
      <c r="L89" s="286">
        <f t="shared" si="8"/>
        <v>0</v>
      </c>
      <c r="M89" s="279">
        <f t="shared" si="9"/>
        <v>0</v>
      </c>
      <c r="O89" s="323">
        <f>SUMIFS('Data-Retail'!$N$4:$N$238,'Data-Retail'!$A$4:$A$238,'GSC Support'!$B89,'Data-Retail'!$D$4:$D$238,'GSC Support'!$C89)</f>
        <v>0</v>
      </c>
      <c r="P89" s="323"/>
      <c r="Q89" s="323"/>
      <c r="R89" s="323"/>
      <c r="S89" s="281">
        <f>SUMIFS('Apr11-Mar12 Billed-RETAIL'!$BA$5:$BA$138,'Apr11-Mar12 Billed-RETAIL'!$B$5:$B$138,'GSC Support'!$B89,'Apr11-Mar12 Billed-RETAIL'!$C$5:$C$138,'GSC Support'!$C89)</f>
        <v>0</v>
      </c>
      <c r="T89" s="287"/>
      <c r="U89" s="287"/>
      <c r="V89" s="287">
        <f t="shared" si="11"/>
        <v>0</v>
      </c>
      <c r="W89" s="288">
        <f t="shared" si="12"/>
        <v>0</v>
      </c>
    </row>
    <row r="90" spans="1:23" x14ac:dyDescent="0.2">
      <c r="A90" s="196">
        <f t="shared" si="13"/>
        <v>85</v>
      </c>
      <c r="B90" s="211">
        <v>40695</v>
      </c>
      <c r="C90" s="211" t="str">
        <f>+'Retail Rates'!B33</f>
        <v>LGCMG991</v>
      </c>
      <c r="D90" s="197" t="str">
        <f t="shared" si="7"/>
        <v>991</v>
      </c>
      <c r="E90" s="197" t="str">
        <f>VLOOKUP(C90,'Retail Rates'!$B$7:$D$35,3,FALSE)</f>
        <v>SPC-FTKX</v>
      </c>
      <c r="F90" s="222">
        <f>SUMIFS('Data-Retail'!$H$4:$H$269,'Data-Retail'!$A$4:$A$269,'GSC Support'!$B90,'Data-Retail'!$D$4:$D$269,'GSC Support'!$C90)</f>
        <v>0</v>
      </c>
      <c r="G90" s="222">
        <f>SUMIFS('Data-Retail'!$I$4:$I$269,'Data-Retail'!$A$4:$A$269,'GSC Support'!$B90,'Data-Retail'!$D$4:$D$269,'GSC Support'!$C90)</f>
        <v>0</v>
      </c>
      <c r="H90" s="222">
        <f t="shared" si="10"/>
        <v>0</v>
      </c>
      <c r="I90" s="286"/>
      <c r="J90" s="286"/>
      <c r="K90" s="286"/>
      <c r="L90" s="286">
        <f t="shared" si="8"/>
        <v>0</v>
      </c>
      <c r="M90" s="279">
        <f t="shared" si="9"/>
        <v>0</v>
      </c>
      <c r="O90" s="323">
        <f>SUMIFS('Data-Retail'!$N$4:$N$238,'Data-Retail'!$A$4:$A$238,'GSC Support'!$B90,'Data-Retail'!$D$4:$D$238,'GSC Support'!$C90)</f>
        <v>0</v>
      </c>
      <c r="P90" s="323"/>
      <c r="Q90" s="323"/>
      <c r="R90" s="323"/>
      <c r="S90" s="281">
        <f>SUMIFS('Apr11-Mar12 Billed-RETAIL'!$BA$5:$BA$138,'Apr11-Mar12 Billed-RETAIL'!$B$5:$B$138,'GSC Support'!$B90,'Apr11-Mar12 Billed-RETAIL'!$C$5:$C$138,'GSC Support'!$C90)</f>
        <v>0</v>
      </c>
      <c r="T90" s="287"/>
      <c r="U90" s="287"/>
      <c r="V90" s="287">
        <f t="shared" si="11"/>
        <v>0</v>
      </c>
      <c r="W90" s="288">
        <f t="shared" si="12"/>
        <v>0</v>
      </c>
    </row>
    <row r="91" spans="1:23" x14ac:dyDescent="0.2">
      <c r="A91" s="196">
        <f t="shared" si="13"/>
        <v>86</v>
      </c>
      <c r="B91" s="211">
        <v>40695</v>
      </c>
      <c r="C91" s="211" t="str">
        <f>+'Retail Rates'!B34</f>
        <v>LGING996</v>
      </c>
      <c r="D91" s="197" t="str">
        <f t="shared" si="7"/>
        <v>996</v>
      </c>
      <c r="E91" s="197" t="str">
        <f>VLOOKUP(C91,'Retail Rates'!$B$7:$D$35,3,FALSE)</f>
        <v>SPC-LGE</v>
      </c>
      <c r="F91" s="222">
        <f>SUMIFS('Data-Retail'!$H$4:$H$269,'Data-Retail'!$A$4:$A$269,'GSC Support'!$B91,'Data-Retail'!$D$4:$D$269,'GSC Support'!$C91)</f>
        <v>0</v>
      </c>
      <c r="G91" s="222">
        <f>SUMIFS('Data-Retail'!$I$4:$I$269,'Data-Retail'!$A$4:$A$269,'GSC Support'!$B91,'Data-Retail'!$D$4:$D$269,'GSC Support'!$C91)</f>
        <v>0</v>
      </c>
      <c r="H91" s="222">
        <f t="shared" si="10"/>
        <v>0</v>
      </c>
      <c r="I91" s="286">
        <v>683790</v>
      </c>
      <c r="J91" s="286"/>
      <c r="K91" s="286"/>
      <c r="L91" s="286">
        <f t="shared" si="8"/>
        <v>683790</v>
      </c>
      <c r="M91" s="279">
        <f t="shared" si="9"/>
        <v>-683790</v>
      </c>
      <c r="O91" s="323">
        <f>SUMIFS('Data-Retail'!$N$4:$N$238,'Data-Retail'!$A$4:$A$238,'GSC Support'!$B91,'Data-Retail'!$D$4:$D$238,'GSC Support'!$C91)</f>
        <v>0</v>
      </c>
      <c r="P91" s="323"/>
      <c r="Q91" s="323"/>
      <c r="R91" s="323"/>
      <c r="S91" s="281">
        <f>SUMIFS('Apr11-Mar12 Billed-RETAIL'!$BA$5:$BA$138,'Apr11-Mar12 Billed-RETAIL'!$B$5:$B$138,'GSC Support'!$B91,'Apr11-Mar12 Billed-RETAIL'!$C$5:$C$138,'GSC Support'!$C91)</f>
        <v>0</v>
      </c>
      <c r="T91" s="287">
        <v>383900.22</v>
      </c>
      <c r="U91" s="287"/>
      <c r="V91" s="287">
        <f t="shared" si="11"/>
        <v>383900.22</v>
      </c>
      <c r="W91" s="288">
        <f t="shared" si="12"/>
        <v>-383900.22</v>
      </c>
    </row>
    <row r="92" spans="1:23" x14ac:dyDescent="0.2">
      <c r="A92" s="196">
        <f t="shared" si="13"/>
        <v>87</v>
      </c>
      <c r="B92" s="211">
        <v>40695</v>
      </c>
      <c r="C92" s="211" t="str">
        <f>+'Retail Rates'!B35</f>
        <v>LGING997</v>
      </c>
      <c r="D92" s="197" t="str">
        <f t="shared" si="7"/>
        <v>997</v>
      </c>
      <c r="E92" s="197" t="str">
        <f>VLOOKUP(C92,'Retail Rates'!$B$7:$D$35,3,FALSE)</f>
        <v>SPC-PADDY</v>
      </c>
      <c r="F92" s="222">
        <f>SUMIFS('Data-Retail'!$H$4:$H$269,'Data-Retail'!$A$4:$A$269,'GSC Support'!$B92,'Data-Retail'!$D$4:$D$269,'GSC Support'!$C92)</f>
        <v>0</v>
      </c>
      <c r="G92" s="222">
        <f>SUMIFS('Data-Retail'!$I$4:$I$269,'Data-Retail'!$A$4:$A$269,'GSC Support'!$B92,'Data-Retail'!$D$4:$D$269,'GSC Support'!$C92)</f>
        <v>0</v>
      </c>
      <c r="H92" s="222">
        <f t="shared" si="10"/>
        <v>0</v>
      </c>
      <c r="I92" s="286"/>
      <c r="J92" s="286"/>
      <c r="K92" s="286"/>
      <c r="L92" s="286">
        <f t="shared" si="8"/>
        <v>0</v>
      </c>
      <c r="M92" s="279">
        <f t="shared" si="9"/>
        <v>0</v>
      </c>
      <c r="O92" s="323">
        <f>SUMIFS('Data-Retail'!$N$4:$N$238,'Data-Retail'!$A$4:$A$238,'GSC Support'!$B92,'Data-Retail'!$D$4:$D$238,'GSC Support'!$C92)</f>
        <v>0</v>
      </c>
      <c r="P92" s="323"/>
      <c r="Q92" s="323"/>
      <c r="R92" s="323"/>
      <c r="S92" s="281">
        <f>SUMIFS('Apr11-Mar12 Billed-RETAIL'!$BA$5:$BA$138,'Apr11-Mar12 Billed-RETAIL'!$B$5:$B$138,'GSC Support'!$B92,'Apr11-Mar12 Billed-RETAIL'!$C$5:$C$138,'GSC Support'!$C92)</f>
        <v>0</v>
      </c>
      <c r="T92" s="287"/>
      <c r="U92" s="287"/>
      <c r="V92" s="287">
        <f t="shared" si="11"/>
        <v>0</v>
      </c>
      <c r="W92" s="288">
        <f t="shared" si="12"/>
        <v>0</v>
      </c>
    </row>
    <row r="93" spans="1:23" x14ac:dyDescent="0.2">
      <c r="A93" s="196">
        <f t="shared" si="13"/>
        <v>88</v>
      </c>
      <c r="B93" s="211">
        <v>40725</v>
      </c>
      <c r="C93" s="211" t="str">
        <f>+'Retail Rates'!B7</f>
        <v>LGCMG865</v>
      </c>
      <c r="D93" s="197" t="str">
        <f t="shared" si="7"/>
        <v>865</v>
      </c>
      <c r="E93" s="197" t="str">
        <f>VLOOKUP(C93,'Retail Rates'!$B$7:$D$35,3,FALSE)</f>
        <v>AAGS-C</v>
      </c>
      <c r="F93" s="222">
        <f>SUMIFS('Data-Retail'!$H$4:$H$269,'Data-Retail'!$A$4:$A$269,'GSC Support'!$B93,'Data-Retail'!$D$4:$D$269,'GSC Support'!$C93)</f>
        <v>60214</v>
      </c>
      <c r="G93" s="222">
        <f>SUMIFS('Data-Retail'!$I$4:$I$269,'Data-Retail'!$A$4:$A$269,'GSC Support'!$B93,'Data-Retail'!$D$4:$D$269,'GSC Support'!$C93)</f>
        <v>0</v>
      </c>
      <c r="H93" s="222">
        <f t="shared" si="10"/>
        <v>60214</v>
      </c>
      <c r="I93" s="286">
        <v>60214</v>
      </c>
      <c r="J93" s="286"/>
      <c r="K93" s="286"/>
      <c r="L93" s="286">
        <f t="shared" si="8"/>
        <v>60214</v>
      </c>
      <c r="M93" s="279">
        <f t="shared" si="9"/>
        <v>0</v>
      </c>
      <c r="O93" s="323">
        <f>SUMIFS('Data-Retail'!$N$4:$N$238,'Data-Retail'!$A$4:$A$238,'GSC Support'!$B93,'Data-Retail'!$D$4:$D$238,'GSC Support'!$C93)</f>
        <v>33805.94</v>
      </c>
      <c r="P93" s="323"/>
      <c r="Q93" s="323"/>
      <c r="R93" s="323"/>
      <c r="S93" s="281">
        <f ca="1">SUMIFS('Apr11-Mar12 Billed-RETAIL'!$BA$5:$BA$138,'Apr11-Mar12 Billed-RETAIL'!$B$5:$B$138,'GSC Support'!$B93,'Apr11-Mar12 Billed-RETAIL'!$C$5:$C$138,'GSC Support'!$C93)</f>
        <v>33805.94</v>
      </c>
      <c r="T93" s="287">
        <v>33805.94</v>
      </c>
      <c r="U93" s="287"/>
      <c r="V93" s="287">
        <f t="shared" si="11"/>
        <v>33805.94</v>
      </c>
      <c r="W93" s="288">
        <f t="shared" ca="1" si="12"/>
        <v>0</v>
      </c>
    </row>
    <row r="94" spans="1:23" x14ac:dyDescent="0.2">
      <c r="A94" s="196">
        <f t="shared" si="13"/>
        <v>89</v>
      </c>
      <c r="B94" s="211">
        <v>40725</v>
      </c>
      <c r="C94" s="211" t="str">
        <f>+'Retail Rates'!B8</f>
        <v>LGCMG891</v>
      </c>
      <c r="D94" s="197" t="str">
        <f t="shared" si="7"/>
        <v>891</v>
      </c>
      <c r="E94" s="197" t="str">
        <f>VLOOKUP(C94,'Retail Rates'!$B$7:$D$35,3,FALSE)</f>
        <v>AAGS-C-TS</v>
      </c>
      <c r="F94" s="222">
        <f>SUMIFS('Data-Retail'!$H$4:$H$269,'Data-Retail'!$A$4:$A$269,'GSC Support'!$B94,'Data-Retail'!$D$4:$D$269,'GSC Support'!$C94)</f>
        <v>0</v>
      </c>
      <c r="G94" s="222">
        <f>SUMIFS('Data-Retail'!$I$4:$I$269,'Data-Retail'!$A$4:$A$269,'GSC Support'!$B94,'Data-Retail'!$D$4:$D$269,'GSC Support'!$C94)</f>
        <v>0</v>
      </c>
      <c r="H94" s="222">
        <f t="shared" si="10"/>
        <v>0</v>
      </c>
      <c r="I94" s="286"/>
      <c r="J94" s="286"/>
      <c r="K94" s="286"/>
      <c r="L94" s="286">
        <f t="shared" si="8"/>
        <v>0</v>
      </c>
      <c r="M94" s="279">
        <f t="shared" si="9"/>
        <v>0</v>
      </c>
      <c r="O94" s="323">
        <f>SUMIFS('Data-Retail'!$N$4:$N$238,'Data-Retail'!$A$4:$A$238,'GSC Support'!$B94,'Data-Retail'!$D$4:$D$238,'GSC Support'!$C94)</f>
        <v>0</v>
      </c>
      <c r="P94" s="323"/>
      <c r="Q94" s="323"/>
      <c r="R94" s="323"/>
      <c r="S94" s="281">
        <f>SUMIFS('Apr11-Mar12 Billed-RETAIL'!$BA$5:$BA$138,'Apr11-Mar12 Billed-RETAIL'!$B$5:$B$138,'GSC Support'!$B94,'Apr11-Mar12 Billed-RETAIL'!$C$5:$C$138,'GSC Support'!$C94)</f>
        <v>0</v>
      </c>
      <c r="T94" s="287"/>
      <c r="U94" s="287"/>
      <c r="V94" s="287">
        <f t="shared" si="11"/>
        <v>0</v>
      </c>
      <c r="W94" s="288">
        <f t="shared" si="12"/>
        <v>0</v>
      </c>
    </row>
    <row r="95" spans="1:23" x14ac:dyDescent="0.2">
      <c r="A95" s="196">
        <f t="shared" si="13"/>
        <v>90</v>
      </c>
      <c r="B95" s="211">
        <v>40725</v>
      </c>
      <c r="C95" s="211" t="str">
        <f>+'Retail Rates'!B9</f>
        <v>LGCMG891PM</v>
      </c>
      <c r="D95" s="197" t="str">
        <f t="shared" si="7"/>
        <v>891</v>
      </c>
      <c r="E95" s="197" t="str">
        <f>VLOOKUP(C95,'Retail Rates'!$B$7:$D$35,3,FALSE)</f>
        <v>AAGS-C-TS-PM</v>
      </c>
      <c r="F95" s="222">
        <f>SUMIFS('Data-Retail'!$H$4:$H$269,'Data-Retail'!$A$4:$A$269,'GSC Support'!$B95,'Data-Retail'!$D$4:$D$269,'GSC Support'!$C95)</f>
        <v>0</v>
      </c>
      <c r="G95" s="222">
        <f>SUMIFS('Data-Retail'!$I$4:$I$269,'Data-Retail'!$A$4:$A$269,'GSC Support'!$B95,'Data-Retail'!$D$4:$D$269,'GSC Support'!$C95)</f>
        <v>0</v>
      </c>
      <c r="H95" s="222">
        <f t="shared" si="10"/>
        <v>0</v>
      </c>
      <c r="I95" s="286"/>
      <c r="J95" s="286"/>
      <c r="K95" s="286"/>
      <c r="L95" s="286">
        <f t="shared" si="8"/>
        <v>0</v>
      </c>
      <c r="M95" s="279">
        <f t="shared" si="9"/>
        <v>0</v>
      </c>
      <c r="O95" s="323">
        <f>SUMIFS('Data-Retail'!$N$4:$N$238,'Data-Retail'!$A$4:$A$238,'GSC Support'!$B95,'Data-Retail'!$D$4:$D$238,'GSC Support'!$C95)</f>
        <v>0</v>
      </c>
      <c r="P95" s="323"/>
      <c r="Q95" s="323"/>
      <c r="R95" s="323"/>
      <c r="S95" s="281">
        <f>SUMIFS('Apr11-Mar12 Billed-RETAIL'!$BA$5:$BA$138,'Apr11-Mar12 Billed-RETAIL'!$B$5:$B$138,'GSC Support'!$B95,'Apr11-Mar12 Billed-RETAIL'!$C$5:$C$138,'GSC Support'!$C95)</f>
        <v>0</v>
      </c>
      <c r="T95" s="287"/>
      <c r="U95" s="287"/>
      <c r="V95" s="287">
        <f t="shared" si="11"/>
        <v>0</v>
      </c>
      <c r="W95" s="288">
        <f t="shared" si="12"/>
        <v>0</v>
      </c>
    </row>
    <row r="96" spans="1:23" x14ac:dyDescent="0.2">
      <c r="A96" s="196">
        <f t="shared" si="13"/>
        <v>91</v>
      </c>
      <c r="B96" s="211">
        <v>40725</v>
      </c>
      <c r="C96" s="211" t="str">
        <f>+'Retail Rates'!B10</f>
        <v>LGING866</v>
      </c>
      <c r="D96" s="197" t="str">
        <f t="shared" si="7"/>
        <v>866</v>
      </c>
      <c r="E96" s="197" t="str">
        <f>VLOOKUP(C96,'Retail Rates'!$B$7:$D$35,3,FALSE)</f>
        <v>AAGS-I</v>
      </c>
      <c r="F96" s="222">
        <f>SUMIFS('Data-Retail'!$H$4:$H$269,'Data-Retail'!$A$4:$A$269,'GSC Support'!$B96,'Data-Retail'!$D$4:$D$269,'GSC Support'!$C96)</f>
        <v>115128</v>
      </c>
      <c r="G96" s="222">
        <f>SUMIFS('Data-Retail'!$I$4:$I$269,'Data-Retail'!$A$4:$A$269,'GSC Support'!$B96,'Data-Retail'!$D$4:$D$269,'GSC Support'!$C96)</f>
        <v>0</v>
      </c>
      <c r="H96" s="222">
        <f t="shared" si="10"/>
        <v>115128</v>
      </c>
      <c r="I96" s="286">
        <v>89544</v>
      </c>
      <c r="J96" s="286">
        <v>25584</v>
      </c>
      <c r="K96" s="286"/>
      <c r="L96" s="286">
        <f t="shared" si="8"/>
        <v>115128</v>
      </c>
      <c r="M96" s="279">
        <f t="shared" si="9"/>
        <v>0</v>
      </c>
      <c r="O96" s="323">
        <f>SUMIFS('Data-Retail'!$N$4:$N$238,'Data-Retail'!$A$4:$A$238,'GSC Support'!$B96,'Data-Retail'!$D$4:$D$238,'GSC Support'!$C96)</f>
        <v>64636.32</v>
      </c>
      <c r="P96" s="323"/>
      <c r="Q96" s="323"/>
      <c r="R96" s="323"/>
      <c r="S96" s="281">
        <f ca="1">SUMIFS('Apr11-Mar12 Billed-RETAIL'!$BA$5:$BA$138,'Apr11-Mar12 Billed-RETAIL'!$B$5:$B$138,'GSC Support'!$B96,'Apr11-Mar12 Billed-RETAIL'!$C$5:$C$138,'GSC Support'!$C96)</f>
        <v>64636.32</v>
      </c>
      <c r="T96" s="287">
        <v>50272.69</v>
      </c>
      <c r="U96" s="287">
        <v>14363.63</v>
      </c>
      <c r="V96" s="287">
        <f t="shared" si="11"/>
        <v>64636.32</v>
      </c>
      <c r="W96" s="288">
        <f t="shared" ca="1" si="12"/>
        <v>0</v>
      </c>
    </row>
    <row r="97" spans="1:23" x14ac:dyDescent="0.2">
      <c r="A97" s="196">
        <f t="shared" si="13"/>
        <v>92</v>
      </c>
      <c r="B97" s="211">
        <v>40725</v>
      </c>
      <c r="C97" s="211" t="str">
        <f>+'Retail Rates'!B11</f>
        <v>LGING892</v>
      </c>
      <c r="D97" s="197" t="str">
        <f t="shared" si="7"/>
        <v>892</v>
      </c>
      <c r="E97" s="197" t="str">
        <f>VLOOKUP(C97,'Retail Rates'!$B$7:$D$35,3,FALSE)</f>
        <v>AAGS-I-TS</v>
      </c>
      <c r="F97" s="222">
        <f>SUMIFS('Data-Retail'!$H$4:$H$269,'Data-Retail'!$A$4:$A$269,'GSC Support'!$B97,'Data-Retail'!$D$4:$D$269,'GSC Support'!$C97)</f>
        <v>0</v>
      </c>
      <c r="G97" s="222">
        <f>SUMIFS('Data-Retail'!$I$4:$I$269,'Data-Retail'!$A$4:$A$269,'GSC Support'!$B97,'Data-Retail'!$D$4:$D$269,'GSC Support'!$C97)</f>
        <v>0</v>
      </c>
      <c r="H97" s="222">
        <f t="shared" si="10"/>
        <v>0</v>
      </c>
      <c r="I97" s="286"/>
      <c r="J97" s="286"/>
      <c r="K97" s="286"/>
      <c r="L97" s="286">
        <f t="shared" si="8"/>
        <v>0</v>
      </c>
      <c r="M97" s="279">
        <f t="shared" si="9"/>
        <v>0</v>
      </c>
      <c r="O97" s="323">
        <f>SUMIFS('Data-Retail'!$N$4:$N$238,'Data-Retail'!$A$4:$A$238,'GSC Support'!$B97,'Data-Retail'!$D$4:$D$238,'GSC Support'!$C97)</f>
        <v>0</v>
      </c>
      <c r="P97" s="323"/>
      <c r="Q97" s="323"/>
      <c r="R97" s="323"/>
      <c r="S97" s="281">
        <f>SUMIFS('Apr11-Mar12 Billed-RETAIL'!$BA$5:$BA$138,'Apr11-Mar12 Billed-RETAIL'!$B$5:$B$138,'GSC Support'!$B97,'Apr11-Mar12 Billed-RETAIL'!$C$5:$C$138,'GSC Support'!$C97)</f>
        <v>0</v>
      </c>
      <c r="T97" s="287"/>
      <c r="U97" s="287"/>
      <c r="V97" s="287">
        <f t="shared" si="11"/>
        <v>0</v>
      </c>
      <c r="W97" s="288">
        <f t="shared" si="12"/>
        <v>0</v>
      </c>
    </row>
    <row r="98" spans="1:23" x14ac:dyDescent="0.2">
      <c r="A98" s="196">
        <f t="shared" si="13"/>
        <v>93</v>
      </c>
      <c r="B98" s="211">
        <v>40725</v>
      </c>
      <c r="C98" s="211" t="str">
        <f>+'Retail Rates'!B12</f>
        <v>LGING892PM</v>
      </c>
      <c r="D98" s="197" t="str">
        <f t="shared" si="7"/>
        <v>892</v>
      </c>
      <c r="E98" s="197" t="str">
        <f>VLOOKUP(C98,'Retail Rates'!$B$7:$D$35,3,FALSE)</f>
        <v>AAGS-I-TS-PM</v>
      </c>
      <c r="F98" s="222">
        <f>SUMIFS('Data-Retail'!$H$4:$H$269,'Data-Retail'!$A$4:$A$269,'GSC Support'!$B98,'Data-Retail'!$D$4:$D$269,'GSC Support'!$C98)</f>
        <v>0</v>
      </c>
      <c r="G98" s="222">
        <f>SUMIFS('Data-Retail'!$I$4:$I$269,'Data-Retail'!$A$4:$A$269,'GSC Support'!$B98,'Data-Retail'!$D$4:$D$269,'GSC Support'!$C98)</f>
        <v>0</v>
      </c>
      <c r="H98" s="222">
        <f t="shared" si="10"/>
        <v>0</v>
      </c>
      <c r="I98" s="286"/>
      <c r="J98" s="286"/>
      <c r="K98" s="286"/>
      <c r="L98" s="286">
        <f t="shared" si="8"/>
        <v>0</v>
      </c>
      <c r="M98" s="279">
        <f t="shared" si="9"/>
        <v>0</v>
      </c>
      <c r="O98" s="323">
        <f>SUMIFS('Data-Retail'!$N$4:$N$238,'Data-Retail'!$A$4:$A$238,'GSC Support'!$B98,'Data-Retail'!$D$4:$D$238,'GSC Support'!$C98)</f>
        <v>0</v>
      </c>
      <c r="P98" s="323"/>
      <c r="Q98" s="323"/>
      <c r="R98" s="323"/>
      <c r="S98" s="281">
        <f>SUMIFS('Apr11-Mar12 Billed-RETAIL'!$BA$5:$BA$138,'Apr11-Mar12 Billed-RETAIL'!$B$5:$B$138,'GSC Support'!$B98,'Apr11-Mar12 Billed-RETAIL'!$C$5:$C$138,'GSC Support'!$C98)</f>
        <v>0</v>
      </c>
      <c r="T98" s="287"/>
      <c r="U98" s="287"/>
      <c r="V98" s="287">
        <f t="shared" si="11"/>
        <v>0</v>
      </c>
      <c r="W98" s="288">
        <f t="shared" si="12"/>
        <v>0</v>
      </c>
    </row>
    <row r="99" spans="1:23" x14ac:dyDescent="0.2">
      <c r="A99" s="196">
        <f t="shared" si="13"/>
        <v>94</v>
      </c>
      <c r="B99" s="211">
        <v>40725</v>
      </c>
      <c r="C99" s="211" t="str">
        <f>+'Retail Rates'!B13</f>
        <v>LGCMG851</v>
      </c>
      <c r="D99" s="197" t="str">
        <f t="shared" si="7"/>
        <v>851</v>
      </c>
      <c r="E99" s="197" t="str">
        <f>VLOOKUP(C99,'Retail Rates'!$B$7:$D$35,3,FALSE)</f>
        <v>CGS</v>
      </c>
      <c r="F99" s="222">
        <f>SUMIFS('Data-Retail'!$H$4:$H$269,'Data-Retail'!$A$4:$A$269,'GSC Support'!$B99,'Data-Retail'!$D$4:$D$269,'GSC Support'!$C99)</f>
        <v>1885496</v>
      </c>
      <c r="G99" s="222">
        <f>SUMIFS('Data-Retail'!$I$4:$I$269,'Data-Retail'!$A$4:$A$269,'GSC Support'!$B99,'Data-Retail'!$D$4:$D$269,'GSC Support'!$C99)</f>
        <v>854412</v>
      </c>
      <c r="H99" s="222">
        <f t="shared" si="10"/>
        <v>2739908</v>
      </c>
      <c r="I99" s="286">
        <v>2665921</v>
      </c>
      <c r="J99" s="286">
        <v>73987</v>
      </c>
      <c r="K99" s="286"/>
      <c r="L99" s="286">
        <f t="shared" si="8"/>
        <v>2739908</v>
      </c>
      <c r="M99" s="279">
        <f t="shared" si="9"/>
        <v>0</v>
      </c>
      <c r="O99" s="323">
        <f>SUMIFS('Data-Retail'!$N$4:$N$238,'Data-Retail'!$A$4:$A$238,'GSC Support'!$B99,'Data-Retail'!$D$4:$D$238,'GSC Support'!$C99)</f>
        <v>1537799.0399999998</v>
      </c>
      <c r="P99" s="323"/>
      <c r="Q99" s="323"/>
      <c r="R99" s="323"/>
      <c r="S99" s="281">
        <f ca="1">SUMIFS('Apr11-Mar12 Billed-RETAIL'!$BA$5:$BA$138,'Apr11-Mar12 Billed-RETAIL'!$B$5:$B$138,'GSC Support'!$B99,'Apr11-Mar12 Billed-RETAIL'!$C$5:$C$138,'GSC Support'!$C99)</f>
        <v>1537799.0399999998</v>
      </c>
      <c r="T99" s="287">
        <v>1496722.01</v>
      </c>
      <c r="U99" s="287">
        <v>41077.03</v>
      </c>
      <c r="V99" s="287">
        <f t="shared" si="11"/>
        <v>1537799.04</v>
      </c>
      <c r="W99" s="288">
        <f t="shared" ca="1" si="12"/>
        <v>0</v>
      </c>
    </row>
    <row r="100" spans="1:23" x14ac:dyDescent="0.2">
      <c r="A100" s="196">
        <f t="shared" si="13"/>
        <v>95</v>
      </c>
      <c r="B100" s="211">
        <v>40725</v>
      </c>
      <c r="C100" s="211" t="str">
        <f>+'Retail Rates'!B14</f>
        <v>LGUMG860</v>
      </c>
      <c r="D100" s="197" t="str">
        <f t="shared" si="7"/>
        <v>860</v>
      </c>
      <c r="E100" s="197" t="str">
        <f>VLOOKUP(C100,'Retail Rates'!$B$7:$D$35,3,FALSE)</f>
        <v>CGS</v>
      </c>
      <c r="F100" s="222">
        <f>SUMIFS('Data-Retail'!$H$4:$H$269,'Data-Retail'!$A$4:$A$269,'GSC Support'!$B100,'Data-Retail'!$D$4:$D$269,'GSC Support'!$C100)</f>
        <v>358</v>
      </c>
      <c r="G100" s="222">
        <f>SUMIFS('Data-Retail'!$I$4:$I$269,'Data-Retail'!$A$4:$A$269,'GSC Support'!$B100,'Data-Retail'!$D$4:$D$269,'GSC Support'!$C100)</f>
        <v>0</v>
      </c>
      <c r="H100" s="222">
        <f t="shared" si="10"/>
        <v>358</v>
      </c>
      <c r="I100" s="286">
        <v>358</v>
      </c>
      <c r="J100" s="286"/>
      <c r="K100" s="286"/>
      <c r="L100" s="286">
        <f t="shared" si="8"/>
        <v>358</v>
      </c>
      <c r="M100" s="279">
        <f t="shared" si="9"/>
        <v>0</v>
      </c>
      <c r="O100" s="323">
        <f>SUMIFS('Data-Retail'!$N$4:$N$238,'Data-Retail'!$A$4:$A$238,'GSC Support'!$B100,'Data-Retail'!$D$4:$D$238,'GSC Support'!$C100)</f>
        <v>200.98999999999998</v>
      </c>
      <c r="P100" s="323"/>
      <c r="Q100" s="323"/>
      <c r="R100" s="323"/>
      <c r="S100" s="281">
        <f ca="1">SUMIFS('Apr11-Mar12 Billed-RETAIL'!$BA$5:$BA$138,'Apr11-Mar12 Billed-RETAIL'!$B$5:$B$138,'GSC Support'!$B100,'Apr11-Mar12 Billed-RETAIL'!$C$5:$C$138,'GSC Support'!$C100)</f>
        <v>200.98999999999998</v>
      </c>
      <c r="T100" s="287">
        <v>200.99</v>
      </c>
      <c r="U100" s="287"/>
      <c r="V100" s="287">
        <f t="shared" si="11"/>
        <v>200.99</v>
      </c>
      <c r="W100" s="288">
        <f t="shared" ca="1" si="12"/>
        <v>0</v>
      </c>
    </row>
    <row r="101" spans="1:23" x14ac:dyDescent="0.2">
      <c r="A101" s="196">
        <f t="shared" si="13"/>
        <v>96</v>
      </c>
      <c r="B101" s="211">
        <v>40725</v>
      </c>
      <c r="C101" s="211" t="str">
        <f>+'Retail Rates'!B15</f>
        <v>LGUMG861</v>
      </c>
      <c r="D101" s="197" t="str">
        <f t="shared" si="7"/>
        <v>861</v>
      </c>
      <c r="E101" s="197" t="str">
        <f>VLOOKUP(C101,'Retail Rates'!$B$7:$D$35,3,FALSE)</f>
        <v>CGS</v>
      </c>
      <c r="F101" s="222">
        <f>SUMIFS('Data-Retail'!$H$4:$H$269,'Data-Retail'!$A$4:$A$269,'GSC Support'!$B101,'Data-Retail'!$D$4:$D$269,'GSC Support'!$C101)</f>
        <v>635</v>
      </c>
      <c r="G101" s="222">
        <f>SUMIFS('Data-Retail'!$I$4:$I$269,'Data-Retail'!$A$4:$A$269,'GSC Support'!$B101,'Data-Retail'!$D$4:$D$269,'GSC Support'!$C101)</f>
        <v>0</v>
      </c>
      <c r="H101" s="222">
        <f t="shared" si="10"/>
        <v>635</v>
      </c>
      <c r="I101" s="286">
        <v>612</v>
      </c>
      <c r="J101" s="286">
        <v>23</v>
      </c>
      <c r="K101" s="286"/>
      <c r="L101" s="286">
        <f t="shared" si="8"/>
        <v>635</v>
      </c>
      <c r="M101" s="279">
        <f t="shared" si="9"/>
        <v>0</v>
      </c>
      <c r="O101" s="323">
        <f>SUMIFS('Data-Retail'!$N$4:$N$238,'Data-Retail'!$A$4:$A$238,'GSC Support'!$B101,'Data-Retail'!$D$4:$D$238,'GSC Support'!$C101)</f>
        <v>354.95</v>
      </c>
      <c r="P101" s="323"/>
      <c r="Q101" s="323"/>
      <c r="R101" s="323"/>
      <c r="S101" s="281">
        <f ca="1">SUMIFS('Apr11-Mar12 Billed-RETAIL'!$BA$5:$BA$138,'Apr11-Mar12 Billed-RETAIL'!$B$5:$B$138,'GSC Support'!$B101,'Apr11-Mar12 Billed-RETAIL'!$C$5:$C$138,'GSC Support'!$C101)</f>
        <v>354.95</v>
      </c>
      <c r="T101" s="287">
        <v>342.72</v>
      </c>
      <c r="U101" s="287">
        <v>12.23</v>
      </c>
      <c r="V101" s="287">
        <f t="shared" si="11"/>
        <v>354.95000000000005</v>
      </c>
      <c r="W101" s="288">
        <f t="shared" ca="1" si="12"/>
        <v>0</v>
      </c>
    </row>
    <row r="102" spans="1:23" x14ac:dyDescent="0.2">
      <c r="A102" s="196">
        <f t="shared" si="13"/>
        <v>97</v>
      </c>
      <c r="B102" s="211">
        <v>40725</v>
      </c>
      <c r="C102" s="211" t="str">
        <f>+'Retail Rates'!B16</f>
        <v>LGCMG881</v>
      </c>
      <c r="D102" s="197" t="str">
        <f t="shared" si="7"/>
        <v>881</v>
      </c>
      <c r="E102" s="197" t="str">
        <f>VLOOKUP(C102,'Retail Rates'!$B$7:$D$35,3,FALSE)</f>
        <v>CGS-TS</v>
      </c>
      <c r="F102" s="329">
        <f>SUMIFS('Data-Retail'!$H$4:$H$269,'Data-Retail'!$A$4:$A$269,'GSC Support'!$B102,'Data-Retail'!$D$4:$D$269,'GSC Support'!$C102)</f>
        <v>0</v>
      </c>
      <c r="G102" s="329">
        <f>SUMIFS('Data-Retail'!$I$4:$I$269,'Data-Retail'!$A$4:$A$269,'GSC Support'!$B102,'Data-Retail'!$D$4:$D$269,'GSC Support'!$C102)</f>
        <v>0</v>
      </c>
      <c r="H102" s="329">
        <f t="shared" si="10"/>
        <v>0</v>
      </c>
      <c r="I102" s="330">
        <v>1454</v>
      </c>
      <c r="J102" s="330"/>
      <c r="K102" s="330"/>
      <c r="L102" s="330">
        <f t="shared" si="8"/>
        <v>1454</v>
      </c>
      <c r="M102" s="331">
        <f t="shared" si="9"/>
        <v>-1454</v>
      </c>
      <c r="N102" s="332"/>
      <c r="O102" s="323">
        <f>SUMIFS('Data-Retail'!$V$4:$V$238,'Data-Retail'!$A$4:$A$238,'GSC Support'!$B102,'Data-Retail'!$D$4:$D$238,'GSC Support'!$C102)</f>
        <v>0</v>
      </c>
      <c r="P102" s="327">
        <f>VLOOKUP($B102,'GSC-DSM Factors'!$A$18:$E$44,5,FALSE)</f>
        <v>9.6000000000000002E-4</v>
      </c>
      <c r="Q102" s="326">
        <f>P102*H102</f>
        <v>0</v>
      </c>
      <c r="R102" s="323">
        <f>+O102-Q102</f>
        <v>0</v>
      </c>
      <c r="S102" s="281">
        <f>SUMIFS('Apr11-Mar12 Billed-RETAIL'!$BA$5:$BA$138,'Apr11-Mar12 Billed-RETAIL'!$B$5:$B$138,'GSC Support'!$B102,'Apr11-Mar12 Billed-RETAIL'!$C$5:$C$138,'GSC Support'!$C102)</f>
        <v>0</v>
      </c>
      <c r="T102" s="287">
        <v>816.32</v>
      </c>
      <c r="U102" s="287"/>
      <c r="V102" s="287">
        <f t="shared" si="11"/>
        <v>816.32</v>
      </c>
      <c r="W102" s="288">
        <f t="shared" si="12"/>
        <v>-816.32</v>
      </c>
    </row>
    <row r="103" spans="1:23" x14ac:dyDescent="0.2">
      <c r="A103" s="196">
        <f t="shared" si="13"/>
        <v>98</v>
      </c>
      <c r="B103" s="211">
        <v>40725</v>
      </c>
      <c r="C103" s="211" t="str">
        <f>+'Retail Rates'!B17</f>
        <v>LGCMG881PM</v>
      </c>
      <c r="D103" s="197" t="str">
        <f t="shared" si="7"/>
        <v>881</v>
      </c>
      <c r="E103" s="197" t="str">
        <f>VLOOKUP(C103,'Retail Rates'!$B$7:$D$35,3,FALSE)</f>
        <v>CGS-TS-PM</v>
      </c>
      <c r="F103" s="222">
        <f>SUMIFS('Data-Retail'!$H$4:$H$269,'Data-Retail'!$A$4:$A$269,'GSC Support'!$B103,'Data-Retail'!$D$4:$D$269,'GSC Support'!$C103)</f>
        <v>0</v>
      </c>
      <c r="G103" s="222">
        <f>SUMIFS('Data-Retail'!$I$4:$I$269,'Data-Retail'!$A$4:$A$269,'GSC Support'!$B103,'Data-Retail'!$D$4:$D$269,'GSC Support'!$C103)</f>
        <v>0</v>
      </c>
      <c r="H103" s="222">
        <f t="shared" si="10"/>
        <v>0</v>
      </c>
      <c r="I103" s="286"/>
      <c r="J103" s="286"/>
      <c r="K103" s="286"/>
      <c r="L103" s="286">
        <f t="shared" si="8"/>
        <v>0</v>
      </c>
      <c r="M103" s="279">
        <f t="shared" si="9"/>
        <v>0</v>
      </c>
      <c r="O103" s="323">
        <f>SUMIFS('Data-Retail'!$N$4:$N$238,'Data-Retail'!$A$4:$A$238,'GSC Support'!$B103,'Data-Retail'!$D$4:$D$238,'GSC Support'!$C103)</f>
        <v>0</v>
      </c>
      <c r="P103" s="323"/>
      <c r="Q103" s="323"/>
      <c r="R103" s="323"/>
      <c r="S103" s="281">
        <f>SUMIFS('Apr11-Mar12 Billed-RETAIL'!$BA$5:$BA$138,'Apr11-Mar12 Billed-RETAIL'!$B$5:$B$138,'GSC Support'!$B103,'Apr11-Mar12 Billed-RETAIL'!$C$5:$C$138,'GSC Support'!$C103)</f>
        <v>0</v>
      </c>
      <c r="T103" s="287"/>
      <c r="U103" s="287"/>
      <c r="V103" s="287">
        <f t="shared" si="11"/>
        <v>0</v>
      </c>
      <c r="W103" s="288">
        <f t="shared" si="12"/>
        <v>0</v>
      </c>
    </row>
    <row r="104" spans="1:23" x14ac:dyDescent="0.2">
      <c r="A104" s="196">
        <f t="shared" si="13"/>
        <v>99</v>
      </c>
      <c r="B104" s="211">
        <v>40725</v>
      </c>
      <c r="C104" s="211" t="str">
        <f>+'Retail Rates'!B18</f>
        <v>LGCMG875</v>
      </c>
      <c r="D104" s="197" t="str">
        <f t="shared" si="7"/>
        <v>875</v>
      </c>
      <c r="E104" s="197" t="str">
        <f>VLOOKUP(C104,'Retail Rates'!$B$7:$D$35,3,FALSE)</f>
        <v>DGGS-C</v>
      </c>
      <c r="F104" s="222">
        <f>SUMIFS('Data-Retail'!$H$4:$H$269,'Data-Retail'!$A$4:$A$269,'GSC Support'!$B104,'Data-Retail'!$D$4:$D$269,'GSC Support'!$C104)</f>
        <v>0</v>
      </c>
      <c r="G104" s="222">
        <f>SUMIFS('Data-Retail'!$I$4:$I$269,'Data-Retail'!$A$4:$A$269,'GSC Support'!$B104,'Data-Retail'!$D$4:$D$269,'GSC Support'!$C104)</f>
        <v>0</v>
      </c>
      <c r="H104" s="222">
        <f t="shared" si="10"/>
        <v>0</v>
      </c>
      <c r="I104" s="286"/>
      <c r="J104" s="286"/>
      <c r="K104" s="286"/>
      <c r="L104" s="286">
        <f t="shared" si="8"/>
        <v>0</v>
      </c>
      <c r="M104" s="279">
        <f t="shared" si="9"/>
        <v>0</v>
      </c>
      <c r="O104" s="323">
        <f>SUMIFS('Data-Retail'!$N$4:$N$238,'Data-Retail'!$A$4:$A$238,'GSC Support'!$B104,'Data-Retail'!$D$4:$D$238,'GSC Support'!$C104)</f>
        <v>0</v>
      </c>
      <c r="P104" s="323"/>
      <c r="Q104" s="323"/>
      <c r="R104" s="323"/>
      <c r="S104" s="281">
        <f ca="1">SUMIFS('Apr11-Mar12 Billed-RETAIL'!$BA$5:$BA$138,'Apr11-Mar12 Billed-RETAIL'!$B$5:$B$138,'GSC Support'!$B104,'Apr11-Mar12 Billed-RETAIL'!$C$5:$C$138,'GSC Support'!$C104)</f>
        <v>0</v>
      </c>
      <c r="T104" s="287"/>
      <c r="U104" s="287"/>
      <c r="V104" s="287">
        <f t="shared" si="11"/>
        <v>0</v>
      </c>
      <c r="W104" s="288">
        <f t="shared" ca="1" si="12"/>
        <v>0</v>
      </c>
    </row>
    <row r="105" spans="1:23" x14ac:dyDescent="0.2">
      <c r="A105" s="196">
        <f t="shared" si="13"/>
        <v>100</v>
      </c>
      <c r="B105" s="211">
        <v>40725</v>
      </c>
      <c r="C105" s="211" t="str">
        <f>+'Retail Rates'!B19</f>
        <v>LGCMG895</v>
      </c>
      <c r="D105" s="197" t="str">
        <f t="shared" si="7"/>
        <v>895</v>
      </c>
      <c r="E105" s="197" t="str">
        <f>VLOOKUP(C105,'Retail Rates'!$B$7:$D$35,3,FALSE)</f>
        <v>FT-C</v>
      </c>
      <c r="F105" s="222">
        <f>SUMIFS('Data-Retail'!$H$4:$H$269,'Data-Retail'!$A$4:$A$269,'GSC Support'!$B105,'Data-Retail'!$D$4:$D$269,'GSC Support'!$C105)</f>
        <v>0</v>
      </c>
      <c r="G105" s="222">
        <f>SUMIFS('Data-Retail'!$I$4:$I$269,'Data-Retail'!$A$4:$A$269,'GSC Support'!$B105,'Data-Retail'!$D$4:$D$269,'GSC Support'!$C105)</f>
        <v>0</v>
      </c>
      <c r="H105" s="222">
        <f t="shared" si="10"/>
        <v>0</v>
      </c>
      <c r="I105" s="286"/>
      <c r="J105" s="286"/>
      <c r="K105" s="286"/>
      <c r="L105" s="286">
        <f t="shared" si="8"/>
        <v>0</v>
      </c>
      <c r="M105" s="279">
        <f t="shared" si="9"/>
        <v>0</v>
      </c>
      <c r="O105" s="323">
        <f>SUMIFS('Data-Retail'!$N$4:$N$238,'Data-Retail'!$A$4:$A$238,'GSC Support'!$B105,'Data-Retail'!$D$4:$D$238,'GSC Support'!$C105)</f>
        <v>0</v>
      </c>
      <c r="P105" s="323"/>
      <c r="Q105" s="323"/>
      <c r="R105" s="323"/>
      <c r="S105" s="281">
        <f>SUMIFS('Apr11-Mar12 Billed-RETAIL'!$BA$5:$BA$138,'Apr11-Mar12 Billed-RETAIL'!$B$5:$B$138,'GSC Support'!$B105,'Apr11-Mar12 Billed-RETAIL'!$C$5:$C$138,'GSC Support'!$C105)</f>
        <v>0</v>
      </c>
      <c r="T105" s="287"/>
      <c r="U105" s="287"/>
      <c r="V105" s="287">
        <f t="shared" si="11"/>
        <v>0</v>
      </c>
      <c r="W105" s="288">
        <f t="shared" si="12"/>
        <v>0</v>
      </c>
    </row>
    <row r="106" spans="1:23" x14ac:dyDescent="0.2">
      <c r="A106" s="196">
        <f t="shared" si="13"/>
        <v>101</v>
      </c>
      <c r="B106" s="211">
        <v>40725</v>
      </c>
      <c r="C106" s="211" t="str">
        <f>+'Retail Rates'!B20</f>
        <v>LGCMG895PM</v>
      </c>
      <c r="D106" s="197" t="str">
        <f t="shared" si="7"/>
        <v>895</v>
      </c>
      <c r="E106" s="197" t="str">
        <f>VLOOKUP(C106,'Retail Rates'!$B$7:$D$35,3,FALSE)</f>
        <v>FT-C-PM</v>
      </c>
      <c r="F106" s="222">
        <f>SUMIFS('Data-Retail'!$H$4:$H$269,'Data-Retail'!$A$4:$A$269,'GSC Support'!$B106,'Data-Retail'!$D$4:$D$269,'GSC Support'!$C106)</f>
        <v>0</v>
      </c>
      <c r="G106" s="222">
        <f>SUMIFS('Data-Retail'!$I$4:$I$269,'Data-Retail'!$A$4:$A$269,'GSC Support'!$B106,'Data-Retail'!$D$4:$D$269,'GSC Support'!$C106)</f>
        <v>0</v>
      </c>
      <c r="H106" s="222">
        <f t="shared" si="10"/>
        <v>0</v>
      </c>
      <c r="I106" s="286"/>
      <c r="J106" s="286"/>
      <c r="K106" s="286"/>
      <c r="L106" s="286">
        <f t="shared" si="8"/>
        <v>0</v>
      </c>
      <c r="M106" s="279">
        <f t="shared" si="9"/>
        <v>0</v>
      </c>
      <c r="O106" s="323">
        <f>SUMIFS('Data-Retail'!$N$4:$N$238,'Data-Retail'!$A$4:$A$238,'GSC Support'!$B106,'Data-Retail'!$D$4:$D$238,'GSC Support'!$C106)</f>
        <v>0</v>
      </c>
      <c r="P106" s="323"/>
      <c r="Q106" s="323"/>
      <c r="R106" s="323"/>
      <c r="S106" s="281">
        <f>SUMIFS('Apr11-Mar12 Billed-RETAIL'!$BA$5:$BA$138,'Apr11-Mar12 Billed-RETAIL'!$B$5:$B$138,'GSC Support'!$B106,'Apr11-Mar12 Billed-RETAIL'!$C$5:$C$138,'GSC Support'!$C106)</f>
        <v>0</v>
      </c>
      <c r="T106" s="287"/>
      <c r="U106" s="287"/>
      <c r="V106" s="287">
        <f t="shared" si="11"/>
        <v>0</v>
      </c>
      <c r="W106" s="288">
        <f t="shared" si="12"/>
        <v>0</v>
      </c>
    </row>
    <row r="107" spans="1:23" x14ac:dyDescent="0.2">
      <c r="A107" s="196">
        <f t="shared" si="13"/>
        <v>102</v>
      </c>
      <c r="B107" s="211">
        <v>40725</v>
      </c>
      <c r="C107" s="211" t="str">
        <f>+'Retail Rates'!B21</f>
        <v>LGING896</v>
      </c>
      <c r="D107" s="197" t="str">
        <f t="shared" si="7"/>
        <v>896</v>
      </c>
      <c r="E107" s="197" t="str">
        <f>VLOOKUP(C107,'Retail Rates'!$B$7:$D$35,3,FALSE)</f>
        <v>FT-I</v>
      </c>
      <c r="F107" s="222">
        <f>SUMIFS('Data-Retail'!$H$4:$H$269,'Data-Retail'!$A$4:$A$269,'GSC Support'!$B107,'Data-Retail'!$D$4:$D$269,'GSC Support'!$C107)</f>
        <v>0</v>
      </c>
      <c r="G107" s="222">
        <f>SUMIFS('Data-Retail'!$I$4:$I$269,'Data-Retail'!$A$4:$A$269,'GSC Support'!$B107,'Data-Retail'!$D$4:$D$269,'GSC Support'!$C107)</f>
        <v>0</v>
      </c>
      <c r="H107" s="222">
        <f t="shared" si="10"/>
        <v>0</v>
      </c>
      <c r="I107" s="286"/>
      <c r="J107" s="286"/>
      <c r="K107" s="286"/>
      <c r="L107" s="286">
        <f t="shared" si="8"/>
        <v>0</v>
      </c>
      <c r="M107" s="279">
        <f t="shared" si="9"/>
        <v>0</v>
      </c>
      <c r="O107" s="323">
        <f>SUMIFS('Data-Retail'!$N$4:$N$238,'Data-Retail'!$A$4:$A$238,'GSC Support'!$B107,'Data-Retail'!$D$4:$D$238,'GSC Support'!$C107)</f>
        <v>0</v>
      </c>
      <c r="P107" s="323"/>
      <c r="Q107" s="323"/>
      <c r="R107" s="323"/>
      <c r="S107" s="281">
        <f>SUMIFS('Apr11-Mar12 Billed-RETAIL'!$BA$5:$BA$138,'Apr11-Mar12 Billed-RETAIL'!$B$5:$B$138,'GSC Support'!$B107,'Apr11-Mar12 Billed-RETAIL'!$C$5:$C$138,'GSC Support'!$C107)</f>
        <v>0</v>
      </c>
      <c r="T107" s="287"/>
      <c r="U107" s="287"/>
      <c r="V107" s="287">
        <f t="shared" si="11"/>
        <v>0</v>
      </c>
      <c r="W107" s="288">
        <f t="shared" si="12"/>
        <v>0</v>
      </c>
    </row>
    <row r="108" spans="1:23" x14ac:dyDescent="0.2">
      <c r="A108" s="196">
        <f t="shared" si="13"/>
        <v>103</v>
      </c>
      <c r="B108" s="211">
        <v>40725</v>
      </c>
      <c r="C108" s="211" t="str">
        <f>+'Retail Rates'!B22</f>
        <v>LGING896PM</v>
      </c>
      <c r="D108" s="197" t="str">
        <f t="shared" si="7"/>
        <v>896</v>
      </c>
      <c r="E108" s="197" t="str">
        <f>VLOOKUP(C108,'Retail Rates'!$B$7:$D$35,3,FALSE)</f>
        <v>FT-I-PM</v>
      </c>
      <c r="F108" s="222">
        <f>SUMIFS('Data-Retail'!$H$4:$H$269,'Data-Retail'!$A$4:$A$269,'GSC Support'!$B108,'Data-Retail'!$D$4:$D$269,'GSC Support'!$C108)</f>
        <v>0</v>
      </c>
      <c r="G108" s="222">
        <f>SUMIFS('Data-Retail'!$I$4:$I$269,'Data-Retail'!$A$4:$A$269,'GSC Support'!$B108,'Data-Retail'!$D$4:$D$269,'GSC Support'!$C108)</f>
        <v>0</v>
      </c>
      <c r="H108" s="222">
        <f t="shared" si="10"/>
        <v>0</v>
      </c>
      <c r="I108" s="286"/>
      <c r="J108" s="286"/>
      <c r="K108" s="286"/>
      <c r="L108" s="286">
        <f t="shared" si="8"/>
        <v>0</v>
      </c>
      <c r="M108" s="279">
        <f t="shared" si="9"/>
        <v>0</v>
      </c>
      <c r="O108" s="323">
        <f>SUMIFS('Data-Retail'!$N$4:$N$238,'Data-Retail'!$A$4:$A$238,'GSC Support'!$B108,'Data-Retail'!$D$4:$D$238,'GSC Support'!$C108)</f>
        <v>0</v>
      </c>
      <c r="P108" s="323"/>
      <c r="Q108" s="323"/>
      <c r="R108" s="323"/>
      <c r="S108" s="281">
        <f>SUMIFS('Apr11-Mar12 Billed-RETAIL'!$BA$5:$BA$138,'Apr11-Mar12 Billed-RETAIL'!$B$5:$B$138,'GSC Support'!$B108,'Apr11-Mar12 Billed-RETAIL'!$C$5:$C$138,'GSC Support'!$C108)</f>
        <v>0</v>
      </c>
      <c r="T108" s="287"/>
      <c r="U108" s="287"/>
      <c r="V108" s="287">
        <f t="shared" si="11"/>
        <v>0</v>
      </c>
      <c r="W108" s="288">
        <f t="shared" si="12"/>
        <v>0</v>
      </c>
    </row>
    <row r="109" spans="1:23" x14ac:dyDescent="0.2">
      <c r="A109" s="196">
        <f t="shared" si="13"/>
        <v>104</v>
      </c>
      <c r="B109" s="211">
        <v>40725</v>
      </c>
      <c r="C109" s="211" t="str">
        <f>+'Retail Rates'!B23</f>
        <v>LGING855</v>
      </c>
      <c r="D109" s="197" t="str">
        <f t="shared" si="7"/>
        <v>855</v>
      </c>
      <c r="E109" s="197" t="str">
        <f>VLOOKUP(C109,'Retail Rates'!$B$7:$D$35,3,FALSE)</f>
        <v>IGS</v>
      </c>
      <c r="F109" s="222">
        <f>SUMIFS('Data-Retail'!$H$4:$H$269,'Data-Retail'!$A$4:$A$269,'GSC Support'!$B109,'Data-Retail'!$D$4:$D$269,'GSC Support'!$C109)</f>
        <v>53866</v>
      </c>
      <c r="G109" s="222">
        <f>SUMIFS('Data-Retail'!$I$4:$I$269,'Data-Retail'!$A$4:$A$269,'GSC Support'!$B109,'Data-Retail'!$D$4:$D$269,'GSC Support'!$C109)</f>
        <v>288675</v>
      </c>
      <c r="H109" s="222">
        <f t="shared" si="10"/>
        <v>342541</v>
      </c>
      <c r="I109" s="286">
        <v>337851</v>
      </c>
      <c r="J109" s="286">
        <v>4690</v>
      </c>
      <c r="K109" s="286"/>
      <c r="L109" s="286">
        <f t="shared" si="8"/>
        <v>342541</v>
      </c>
      <c r="M109" s="279">
        <f t="shared" si="9"/>
        <v>0</v>
      </c>
      <c r="O109" s="323">
        <f>SUMIFS('Data-Retail'!$N$4:$N$238,'Data-Retail'!$A$4:$A$238,'GSC Support'!$B109,'Data-Retail'!$D$4:$D$238,'GSC Support'!$C109)</f>
        <v>192312.75999999998</v>
      </c>
      <c r="P109" s="323"/>
      <c r="Q109" s="323"/>
      <c r="R109" s="323"/>
      <c r="S109" s="281">
        <f ca="1">SUMIFS('Apr11-Mar12 Billed-RETAIL'!$BA$5:$BA$138,'Apr11-Mar12 Billed-RETAIL'!$B$5:$B$138,'GSC Support'!$B109,'Apr11-Mar12 Billed-RETAIL'!$C$5:$C$138,'GSC Support'!$C109)</f>
        <v>192312.75999999998</v>
      </c>
      <c r="T109" s="287">
        <v>189679.68</v>
      </c>
      <c r="U109" s="287">
        <v>2633.08</v>
      </c>
      <c r="V109" s="287">
        <f t="shared" si="11"/>
        <v>192312.75999999998</v>
      </c>
      <c r="W109" s="288">
        <f t="shared" ca="1" si="12"/>
        <v>0</v>
      </c>
    </row>
    <row r="110" spans="1:23" x14ac:dyDescent="0.2">
      <c r="A110" s="196">
        <f t="shared" si="13"/>
        <v>105</v>
      </c>
      <c r="B110" s="211">
        <v>40725</v>
      </c>
      <c r="C110" s="211" t="str">
        <f>+'Retail Rates'!B24</f>
        <v>LGING882</v>
      </c>
      <c r="D110" s="197" t="str">
        <f t="shared" si="7"/>
        <v>882</v>
      </c>
      <c r="E110" s="197" t="str">
        <f>VLOOKUP(C110,'Retail Rates'!$B$7:$D$35,3,FALSE)</f>
        <v>IGS-TS</v>
      </c>
      <c r="F110" s="329">
        <v>407</v>
      </c>
      <c r="G110" s="329"/>
      <c r="H110" s="329">
        <f t="shared" si="10"/>
        <v>407</v>
      </c>
      <c r="I110" s="330">
        <v>407</v>
      </c>
      <c r="J110" s="330"/>
      <c r="K110" s="330"/>
      <c r="L110" s="330">
        <f t="shared" si="8"/>
        <v>407</v>
      </c>
      <c r="M110" s="331">
        <f t="shared" si="9"/>
        <v>0</v>
      </c>
      <c r="N110" s="332"/>
      <c r="O110" s="323"/>
      <c r="P110" s="327"/>
      <c r="Q110" s="326"/>
      <c r="R110" s="323"/>
      <c r="S110" s="281">
        <f>SUMIFS('Apr11-Mar12 Billed-RETAIL'!$BA$5:$BA$138,'Apr11-Mar12 Billed-RETAIL'!$B$5:$B$138,'GSC Support'!$B110,'Apr11-Mar12 Billed-RETAIL'!$C$5:$C$138,'GSC Support'!$C110)</f>
        <v>0</v>
      </c>
      <c r="T110" s="287">
        <v>228.5</v>
      </c>
      <c r="U110" s="287"/>
      <c r="V110" s="287">
        <f t="shared" si="11"/>
        <v>228.5</v>
      </c>
      <c r="W110" s="288">
        <f t="shared" si="12"/>
        <v>-228.5</v>
      </c>
    </row>
    <row r="111" spans="1:23" x14ac:dyDescent="0.2">
      <c r="A111" s="196">
        <f t="shared" si="13"/>
        <v>106</v>
      </c>
      <c r="B111" s="211">
        <v>40725</v>
      </c>
      <c r="C111" s="211" t="str">
        <f>+'Retail Rates'!B25</f>
        <v>LGING882PM</v>
      </c>
      <c r="D111" s="197" t="str">
        <f t="shared" si="7"/>
        <v>882</v>
      </c>
      <c r="E111" s="197" t="str">
        <f>VLOOKUP(C111,'Retail Rates'!$B$7:$D$35,3,FALSE)</f>
        <v>IGS-TS-PM</v>
      </c>
      <c r="F111" s="222">
        <f>SUMIFS('Data-Retail'!$H$4:$H$269,'Data-Retail'!$A$4:$A$269,'GSC Support'!$B111,'Data-Retail'!$D$4:$D$269,'GSC Support'!$C111)</f>
        <v>0</v>
      </c>
      <c r="G111" s="222">
        <f>SUMIFS('Data-Retail'!$I$4:$I$269,'Data-Retail'!$A$4:$A$269,'GSC Support'!$B111,'Data-Retail'!$D$4:$D$269,'GSC Support'!$C111)</f>
        <v>0</v>
      </c>
      <c r="H111" s="222">
        <f t="shared" si="10"/>
        <v>0</v>
      </c>
      <c r="I111" s="286"/>
      <c r="J111" s="286"/>
      <c r="K111" s="286"/>
      <c r="L111" s="286">
        <f t="shared" si="8"/>
        <v>0</v>
      </c>
      <c r="M111" s="279">
        <f t="shared" si="9"/>
        <v>0</v>
      </c>
      <c r="O111" s="323">
        <f>SUMIFS('Data-Retail'!$N$4:$N$238,'Data-Retail'!$A$4:$A$238,'GSC Support'!$B111,'Data-Retail'!$D$4:$D$238,'GSC Support'!$C111)</f>
        <v>0</v>
      </c>
      <c r="P111" s="323"/>
      <c r="Q111" s="323"/>
      <c r="R111" s="323"/>
      <c r="S111" s="281">
        <f>SUMIFS('Apr11-Mar12 Billed-RETAIL'!$BA$5:$BA$138,'Apr11-Mar12 Billed-RETAIL'!$B$5:$B$138,'GSC Support'!$B111,'Apr11-Mar12 Billed-RETAIL'!$C$5:$C$138,'GSC Support'!$C111)</f>
        <v>0</v>
      </c>
      <c r="T111" s="287"/>
      <c r="U111" s="287"/>
      <c r="V111" s="287">
        <f t="shared" si="11"/>
        <v>0</v>
      </c>
      <c r="W111" s="288">
        <f t="shared" si="12"/>
        <v>0</v>
      </c>
    </row>
    <row r="112" spans="1:23" x14ac:dyDescent="0.2">
      <c r="A112" s="196">
        <f t="shared" si="13"/>
        <v>107</v>
      </c>
      <c r="B112" s="211">
        <v>40725</v>
      </c>
      <c r="C112" s="211" t="str">
        <f>+'Retail Rates'!B26</f>
        <v>LGRSG811</v>
      </c>
      <c r="D112" s="197" t="str">
        <f t="shared" si="7"/>
        <v>811</v>
      </c>
      <c r="E112" s="197" t="str">
        <f>VLOOKUP(C112,'Retail Rates'!$B$7:$D$35,3,FALSE)</f>
        <v>RGS</v>
      </c>
      <c r="F112" s="222">
        <f>SUMIFS('Data-Retail'!$H$4:$H$269,'Data-Retail'!$A$4:$A$269,'GSC Support'!$B112,'Data-Retail'!$D$4:$D$269,'GSC Support'!$C112)</f>
        <v>3837828</v>
      </c>
      <c r="G112" s="222">
        <f>SUMIFS('Data-Retail'!$I$4:$I$269,'Data-Retail'!$A$4:$A$269,'GSC Support'!$B112,'Data-Retail'!$D$4:$D$269,'GSC Support'!$C112)</f>
        <v>0</v>
      </c>
      <c r="H112" s="222">
        <f t="shared" si="10"/>
        <v>3837828</v>
      </c>
      <c r="I112" s="286">
        <v>3860218</v>
      </c>
      <c r="J112" s="286">
        <v>-22390</v>
      </c>
      <c r="K112" s="286"/>
      <c r="L112" s="286">
        <f t="shared" si="8"/>
        <v>3837828</v>
      </c>
      <c r="M112" s="279">
        <f t="shared" si="9"/>
        <v>0</v>
      </c>
      <c r="O112" s="323">
        <f>SUMIFS('Data-Retail'!$N$4:$N$238,'Data-Retail'!$A$4:$A$238,'GSC Support'!$B112,'Data-Retail'!$D$4:$D$238,'GSC Support'!$C112)</f>
        <v>2155030.2000000002</v>
      </c>
      <c r="P112" s="323"/>
      <c r="Q112" s="323"/>
      <c r="R112" s="323"/>
      <c r="S112" s="281">
        <f ca="1">SUMIFS('Apr11-Mar12 Billed-RETAIL'!$BA$5:$BA$138,'Apr11-Mar12 Billed-RETAIL'!$B$5:$B$138,'GSC Support'!$B112,'Apr11-Mar12 Billed-RETAIL'!$C$5:$C$138,'GSC Support'!$C112)</f>
        <v>2155030.2000000002</v>
      </c>
      <c r="T112" s="287">
        <v>2167198.08</v>
      </c>
      <c r="U112" s="287">
        <v>-12167.88</v>
      </c>
      <c r="V112" s="287">
        <f t="shared" si="11"/>
        <v>2155030.2000000002</v>
      </c>
      <c r="W112" s="288">
        <f t="shared" ca="1" si="12"/>
        <v>0</v>
      </c>
    </row>
    <row r="113" spans="1:23" x14ac:dyDescent="0.2">
      <c r="A113" s="196">
        <f t="shared" si="13"/>
        <v>108</v>
      </c>
      <c r="B113" s="211">
        <v>40725</v>
      </c>
      <c r="C113" s="211" t="str">
        <f>+'Retail Rates'!B27</f>
        <v>LGRSG811S1</v>
      </c>
      <c r="D113" s="197" t="str">
        <f t="shared" si="7"/>
        <v>811</v>
      </c>
      <c r="E113" s="197" t="str">
        <f>VLOOKUP(C113,'Retail Rates'!$B$7:$D$35,3,FALSE)</f>
        <v>RGS</v>
      </c>
      <c r="F113" s="222">
        <f>SUMIFS('Data-Retail'!$H$4:$H$269,'Data-Retail'!$A$4:$A$269,'GSC Support'!$B113,'Data-Retail'!$D$4:$D$269,'GSC Support'!$C113)</f>
        <v>49</v>
      </c>
      <c r="G113" s="222">
        <f>SUMIFS('Data-Retail'!$I$4:$I$269,'Data-Retail'!$A$4:$A$269,'GSC Support'!$B113,'Data-Retail'!$D$4:$D$269,'GSC Support'!$C113)</f>
        <v>0</v>
      </c>
      <c r="H113" s="222">
        <f t="shared" si="10"/>
        <v>49</v>
      </c>
      <c r="I113" s="286">
        <v>49</v>
      </c>
      <c r="J113" s="286"/>
      <c r="K113" s="286"/>
      <c r="L113" s="286">
        <f t="shared" si="8"/>
        <v>49</v>
      </c>
      <c r="M113" s="279">
        <f t="shared" si="9"/>
        <v>0</v>
      </c>
      <c r="O113" s="323">
        <f>SUMIFS('Data-Retail'!$N$4:$N$238,'Data-Retail'!$A$4:$A$238,'GSC Support'!$B113,'Data-Retail'!$D$4:$D$238,'GSC Support'!$C113)</f>
        <v>27.51</v>
      </c>
      <c r="P113" s="323"/>
      <c r="Q113" s="323"/>
      <c r="R113" s="323"/>
      <c r="S113" s="281">
        <f ca="1">SUMIFS('Apr11-Mar12 Billed-RETAIL'!$BA$5:$BA$138,'Apr11-Mar12 Billed-RETAIL'!$B$5:$B$138,'GSC Support'!$B113,'Apr11-Mar12 Billed-RETAIL'!$C$5:$C$138,'GSC Support'!$C113)</f>
        <v>27.51</v>
      </c>
      <c r="T113" s="287">
        <v>27.51</v>
      </c>
      <c r="U113" s="287"/>
      <c r="V113" s="287">
        <f t="shared" si="11"/>
        <v>27.51</v>
      </c>
      <c r="W113" s="288">
        <f t="shared" ca="1" si="12"/>
        <v>0</v>
      </c>
    </row>
    <row r="114" spans="1:23" x14ac:dyDescent="0.2">
      <c r="A114" s="196">
        <f t="shared" si="13"/>
        <v>109</v>
      </c>
      <c r="B114" s="211">
        <v>40725</v>
      </c>
      <c r="C114" s="211" t="str">
        <f>+'Retail Rates'!B28</f>
        <v>LGRSG840</v>
      </c>
      <c r="D114" s="197" t="str">
        <f t="shared" si="7"/>
        <v>840</v>
      </c>
      <c r="E114" s="197" t="str">
        <f>VLOOKUP(C114,'Retail Rates'!$B$7:$D$35,3,FALSE)</f>
        <v>RGS</v>
      </c>
      <c r="F114" s="222">
        <f>SUMIFS('Data-Retail'!$H$4:$H$269,'Data-Retail'!$A$4:$A$269,'GSC Support'!$B114,'Data-Retail'!$D$4:$D$269,'GSC Support'!$C114)</f>
        <v>345</v>
      </c>
      <c r="G114" s="222">
        <f>SUMIFS('Data-Retail'!$I$4:$I$269,'Data-Retail'!$A$4:$A$269,'GSC Support'!$B114,'Data-Retail'!$D$4:$D$269,'GSC Support'!$C114)</f>
        <v>0</v>
      </c>
      <c r="H114" s="222">
        <f t="shared" si="10"/>
        <v>345</v>
      </c>
      <c r="I114" s="286">
        <v>345</v>
      </c>
      <c r="J114" s="286"/>
      <c r="K114" s="286"/>
      <c r="L114" s="286">
        <f t="shared" si="8"/>
        <v>345</v>
      </c>
      <c r="M114" s="279">
        <f t="shared" si="9"/>
        <v>0</v>
      </c>
      <c r="O114" s="323">
        <f>SUMIFS('Data-Retail'!$N$4:$N$238,'Data-Retail'!$A$4:$A$238,'GSC Support'!$B114,'Data-Retail'!$D$4:$D$238,'GSC Support'!$C114)</f>
        <v>193.69</v>
      </c>
      <c r="P114" s="323"/>
      <c r="Q114" s="323"/>
      <c r="R114" s="323"/>
      <c r="S114" s="281">
        <f ca="1">SUMIFS('Apr11-Mar12 Billed-RETAIL'!$BA$5:$BA$138,'Apr11-Mar12 Billed-RETAIL'!$B$5:$B$138,'GSC Support'!$B114,'Apr11-Mar12 Billed-RETAIL'!$C$5:$C$138,'GSC Support'!$C114)</f>
        <v>193.69</v>
      </c>
      <c r="T114" s="287">
        <v>193.69</v>
      </c>
      <c r="U114" s="287"/>
      <c r="V114" s="287">
        <f t="shared" si="11"/>
        <v>193.69</v>
      </c>
      <c r="W114" s="288">
        <f t="shared" ca="1" si="12"/>
        <v>0</v>
      </c>
    </row>
    <row r="115" spans="1:23" x14ac:dyDescent="0.2">
      <c r="A115" s="196">
        <f t="shared" si="13"/>
        <v>110</v>
      </c>
      <c r="B115" s="211">
        <v>40725</v>
      </c>
      <c r="C115" s="211" t="str">
        <f>+'Retail Rates'!B29</f>
        <v>LGUMG830</v>
      </c>
      <c r="D115" s="197" t="str">
        <f t="shared" si="7"/>
        <v>830</v>
      </c>
      <c r="E115" s="197" t="str">
        <f>VLOOKUP(C115,'Retail Rates'!$B$7:$D$35,3,FALSE)</f>
        <v>RGS</v>
      </c>
      <c r="F115" s="222">
        <f>SUMIFS('Data-Retail'!$H$4:$H$269,'Data-Retail'!$A$4:$A$269,'GSC Support'!$B115,'Data-Retail'!$D$4:$D$269,'GSC Support'!$C115)</f>
        <v>32</v>
      </c>
      <c r="G115" s="222">
        <f>SUMIFS('Data-Retail'!$I$4:$I$269,'Data-Retail'!$A$4:$A$269,'GSC Support'!$B115,'Data-Retail'!$D$4:$D$269,'GSC Support'!$C115)</f>
        <v>0</v>
      </c>
      <c r="H115" s="222">
        <f t="shared" si="10"/>
        <v>32</v>
      </c>
      <c r="I115" s="286">
        <v>32</v>
      </c>
      <c r="J115" s="286"/>
      <c r="K115" s="286"/>
      <c r="L115" s="286">
        <f t="shared" si="8"/>
        <v>32</v>
      </c>
      <c r="M115" s="279">
        <f t="shared" si="9"/>
        <v>0</v>
      </c>
      <c r="O115" s="323">
        <f>SUMIFS('Data-Retail'!$N$4:$N$238,'Data-Retail'!$A$4:$A$238,'GSC Support'!$B115,'Data-Retail'!$D$4:$D$238,'GSC Support'!$C115)</f>
        <v>17.97</v>
      </c>
      <c r="P115" s="323"/>
      <c r="Q115" s="323"/>
      <c r="R115" s="323"/>
      <c r="S115" s="281">
        <f ca="1">SUMIFS('Apr11-Mar12 Billed-RETAIL'!$BA$5:$BA$138,'Apr11-Mar12 Billed-RETAIL'!$B$5:$B$138,'GSC Support'!$B115,'Apr11-Mar12 Billed-RETAIL'!$C$5:$C$138,'GSC Support'!$C115)</f>
        <v>17.97</v>
      </c>
      <c r="T115" s="287">
        <v>17.97</v>
      </c>
      <c r="U115" s="287"/>
      <c r="V115" s="287">
        <f t="shared" si="11"/>
        <v>17.97</v>
      </c>
      <c r="W115" s="288">
        <f t="shared" ca="1" si="12"/>
        <v>0</v>
      </c>
    </row>
    <row r="116" spans="1:23" x14ac:dyDescent="0.2">
      <c r="A116" s="196">
        <f t="shared" si="13"/>
        <v>111</v>
      </c>
      <c r="B116" s="211">
        <v>40725</v>
      </c>
      <c r="C116" s="211" t="str">
        <f>+'Retail Rates'!B30</f>
        <v>LGING992</v>
      </c>
      <c r="D116" s="197" t="str">
        <f t="shared" si="7"/>
        <v>992</v>
      </c>
      <c r="E116" s="197" t="str">
        <f>VLOOKUP(C116,'Retail Rates'!$B$7:$D$35,3,FALSE)</f>
        <v>SPC-EIDuP</v>
      </c>
      <c r="F116" s="222">
        <f>SUMIFS('Data-Retail'!$H$4:$H$269,'Data-Retail'!$A$4:$A$269,'GSC Support'!$B116,'Data-Retail'!$D$4:$D$269,'GSC Support'!$C116)</f>
        <v>0</v>
      </c>
      <c r="G116" s="222">
        <f>SUMIFS('Data-Retail'!$I$4:$I$269,'Data-Retail'!$A$4:$A$269,'GSC Support'!$B116,'Data-Retail'!$D$4:$D$269,'GSC Support'!$C116)</f>
        <v>0</v>
      </c>
      <c r="H116" s="222">
        <f t="shared" si="10"/>
        <v>0</v>
      </c>
      <c r="I116" s="286"/>
      <c r="J116" s="286"/>
      <c r="K116" s="286"/>
      <c r="L116" s="286">
        <f t="shared" si="8"/>
        <v>0</v>
      </c>
      <c r="M116" s="279">
        <f t="shared" si="9"/>
        <v>0</v>
      </c>
      <c r="O116" s="323">
        <f>SUMIFS('Data-Retail'!$N$4:$N$238,'Data-Retail'!$A$4:$A$238,'GSC Support'!$B116,'Data-Retail'!$D$4:$D$238,'GSC Support'!$C116)</f>
        <v>0</v>
      </c>
      <c r="P116" s="323"/>
      <c r="Q116" s="323"/>
      <c r="R116" s="323"/>
      <c r="S116" s="281">
        <f>SUMIFS('Apr11-Mar12 Billed-RETAIL'!$BA$5:$BA$138,'Apr11-Mar12 Billed-RETAIL'!$B$5:$B$138,'GSC Support'!$B116,'Apr11-Mar12 Billed-RETAIL'!$C$5:$C$138,'GSC Support'!$C116)</f>
        <v>0</v>
      </c>
      <c r="T116" s="287"/>
      <c r="U116" s="287"/>
      <c r="V116" s="287">
        <f t="shared" si="11"/>
        <v>0</v>
      </c>
      <c r="W116" s="288">
        <f t="shared" si="12"/>
        <v>0</v>
      </c>
    </row>
    <row r="117" spans="1:23" x14ac:dyDescent="0.2">
      <c r="A117" s="196">
        <f t="shared" si="13"/>
        <v>112</v>
      </c>
      <c r="B117" s="211">
        <v>40725</v>
      </c>
      <c r="C117" s="211" t="str">
        <f>+'Retail Rates'!B31</f>
        <v>LGING896FD</v>
      </c>
      <c r="D117" s="197" t="str">
        <f t="shared" si="7"/>
        <v>896</v>
      </c>
      <c r="E117" s="197" t="str">
        <f>VLOOKUP(C117,'Retail Rates'!$B$7:$D$35,3,FALSE)</f>
        <v>SPC-FORD</v>
      </c>
      <c r="F117" s="222">
        <f>SUMIFS('Data-Retail'!$H$4:$H$269,'Data-Retail'!$A$4:$A$269,'GSC Support'!$B117,'Data-Retail'!$D$4:$D$269,'GSC Support'!$C117)</f>
        <v>0</v>
      </c>
      <c r="G117" s="222">
        <f>SUMIFS('Data-Retail'!$I$4:$I$269,'Data-Retail'!$A$4:$A$269,'GSC Support'!$B117,'Data-Retail'!$D$4:$D$269,'GSC Support'!$C117)</f>
        <v>0</v>
      </c>
      <c r="H117" s="222">
        <f t="shared" si="10"/>
        <v>0</v>
      </c>
      <c r="I117" s="286"/>
      <c r="J117" s="286"/>
      <c r="K117" s="286"/>
      <c r="L117" s="286">
        <f t="shared" si="8"/>
        <v>0</v>
      </c>
      <c r="M117" s="279">
        <f t="shared" si="9"/>
        <v>0</v>
      </c>
      <c r="O117" s="323">
        <f>SUMIFS('Data-Retail'!$N$4:$N$238,'Data-Retail'!$A$4:$A$238,'GSC Support'!$B117,'Data-Retail'!$D$4:$D$238,'GSC Support'!$C117)</f>
        <v>0</v>
      </c>
      <c r="P117" s="323"/>
      <c r="Q117" s="323"/>
      <c r="R117" s="323"/>
      <c r="S117" s="281">
        <f>SUMIFS('Apr11-Mar12 Billed-RETAIL'!$BA$5:$BA$138,'Apr11-Mar12 Billed-RETAIL'!$B$5:$B$138,'GSC Support'!$B117,'Apr11-Mar12 Billed-RETAIL'!$C$5:$C$138,'GSC Support'!$C117)</f>
        <v>0</v>
      </c>
      <c r="T117" s="287"/>
      <c r="U117" s="287"/>
      <c r="V117" s="287">
        <f t="shared" si="11"/>
        <v>0</v>
      </c>
      <c r="W117" s="288">
        <f t="shared" si="12"/>
        <v>0</v>
      </c>
    </row>
    <row r="118" spans="1:23" x14ac:dyDescent="0.2">
      <c r="A118" s="196">
        <f t="shared" si="13"/>
        <v>113</v>
      </c>
      <c r="B118" s="211">
        <v>40725</v>
      </c>
      <c r="C118" s="211" t="str">
        <f>+'Retail Rates'!B32</f>
        <v>LGING896FM</v>
      </c>
      <c r="D118" s="197" t="str">
        <f t="shared" si="7"/>
        <v>896</v>
      </c>
      <c r="E118" s="197" t="str">
        <f>VLOOKUP(C118,'Retail Rates'!$B$7:$D$35,3,FALSE)</f>
        <v>SPC-FORD-PM</v>
      </c>
      <c r="F118" s="222">
        <f>SUMIFS('Data-Retail'!$H$4:$H$269,'Data-Retail'!$A$4:$A$269,'GSC Support'!$B118,'Data-Retail'!$D$4:$D$269,'GSC Support'!$C118)</f>
        <v>0</v>
      </c>
      <c r="G118" s="222">
        <f>SUMIFS('Data-Retail'!$I$4:$I$269,'Data-Retail'!$A$4:$A$269,'GSC Support'!$B118,'Data-Retail'!$D$4:$D$269,'GSC Support'!$C118)</f>
        <v>0</v>
      </c>
      <c r="H118" s="222">
        <f t="shared" si="10"/>
        <v>0</v>
      </c>
      <c r="I118" s="286"/>
      <c r="J118" s="286"/>
      <c r="K118" s="286"/>
      <c r="L118" s="286">
        <f t="shared" si="8"/>
        <v>0</v>
      </c>
      <c r="M118" s="279">
        <f t="shared" si="9"/>
        <v>0</v>
      </c>
      <c r="O118" s="323">
        <f>SUMIFS('Data-Retail'!$N$4:$N$238,'Data-Retail'!$A$4:$A$238,'GSC Support'!$B118,'Data-Retail'!$D$4:$D$238,'GSC Support'!$C118)</f>
        <v>0</v>
      </c>
      <c r="P118" s="323"/>
      <c r="Q118" s="323"/>
      <c r="R118" s="323"/>
      <c r="S118" s="281">
        <f>SUMIFS('Apr11-Mar12 Billed-RETAIL'!$BA$5:$BA$138,'Apr11-Mar12 Billed-RETAIL'!$B$5:$B$138,'GSC Support'!$B118,'Apr11-Mar12 Billed-RETAIL'!$C$5:$C$138,'GSC Support'!$C118)</f>
        <v>0</v>
      </c>
      <c r="T118" s="287"/>
      <c r="U118" s="287"/>
      <c r="V118" s="287">
        <f t="shared" si="11"/>
        <v>0</v>
      </c>
      <c r="W118" s="288">
        <f t="shared" si="12"/>
        <v>0</v>
      </c>
    </row>
    <row r="119" spans="1:23" x14ac:dyDescent="0.2">
      <c r="A119" s="196">
        <f t="shared" si="13"/>
        <v>114</v>
      </c>
      <c r="B119" s="211">
        <v>40725</v>
      </c>
      <c r="C119" s="211" t="str">
        <f>+'Retail Rates'!B33</f>
        <v>LGCMG991</v>
      </c>
      <c r="D119" s="197" t="str">
        <f t="shared" si="7"/>
        <v>991</v>
      </c>
      <c r="E119" s="197" t="str">
        <f>VLOOKUP(C119,'Retail Rates'!$B$7:$D$35,3,FALSE)</f>
        <v>SPC-FTKX</v>
      </c>
      <c r="F119" s="222">
        <f>SUMIFS('Data-Retail'!$H$4:$H$269,'Data-Retail'!$A$4:$A$269,'GSC Support'!$B119,'Data-Retail'!$D$4:$D$269,'GSC Support'!$C119)</f>
        <v>0</v>
      </c>
      <c r="G119" s="222">
        <f>SUMIFS('Data-Retail'!$I$4:$I$269,'Data-Retail'!$A$4:$A$269,'GSC Support'!$B119,'Data-Retail'!$D$4:$D$269,'GSC Support'!$C119)</f>
        <v>0</v>
      </c>
      <c r="H119" s="222">
        <f t="shared" si="10"/>
        <v>0</v>
      </c>
      <c r="I119" s="286"/>
      <c r="J119" s="286"/>
      <c r="K119" s="286"/>
      <c r="L119" s="286">
        <f t="shared" si="8"/>
        <v>0</v>
      </c>
      <c r="M119" s="279">
        <f t="shared" si="9"/>
        <v>0</v>
      </c>
      <c r="O119" s="323">
        <f>SUMIFS('Data-Retail'!$N$4:$N$238,'Data-Retail'!$A$4:$A$238,'GSC Support'!$B119,'Data-Retail'!$D$4:$D$238,'GSC Support'!$C119)</f>
        <v>0</v>
      </c>
      <c r="P119" s="323"/>
      <c r="Q119" s="323"/>
      <c r="R119" s="323"/>
      <c r="S119" s="281">
        <f>SUMIFS('Apr11-Mar12 Billed-RETAIL'!$BA$5:$BA$138,'Apr11-Mar12 Billed-RETAIL'!$B$5:$B$138,'GSC Support'!$B119,'Apr11-Mar12 Billed-RETAIL'!$C$5:$C$138,'GSC Support'!$C119)</f>
        <v>0</v>
      </c>
      <c r="T119" s="287"/>
      <c r="U119" s="287"/>
      <c r="V119" s="287">
        <f t="shared" si="11"/>
        <v>0</v>
      </c>
      <c r="W119" s="288">
        <f t="shared" si="12"/>
        <v>0</v>
      </c>
    </row>
    <row r="120" spans="1:23" x14ac:dyDescent="0.2">
      <c r="A120" s="196">
        <f t="shared" si="13"/>
        <v>115</v>
      </c>
      <c r="B120" s="211">
        <v>40725</v>
      </c>
      <c r="C120" s="211" t="str">
        <f>+'Retail Rates'!B34</f>
        <v>LGING996</v>
      </c>
      <c r="D120" s="197" t="str">
        <f t="shared" si="7"/>
        <v>996</v>
      </c>
      <c r="E120" s="197" t="str">
        <f>VLOOKUP(C120,'Retail Rates'!$B$7:$D$35,3,FALSE)</f>
        <v>SPC-LGE</v>
      </c>
      <c r="F120" s="222">
        <f>SUMIFS('Data-Retail'!$H$4:$H$269,'Data-Retail'!$A$4:$A$269,'GSC Support'!$B120,'Data-Retail'!$D$4:$D$269,'GSC Support'!$C120)</f>
        <v>0</v>
      </c>
      <c r="G120" s="222">
        <f>SUMIFS('Data-Retail'!$I$4:$I$269,'Data-Retail'!$A$4:$A$269,'GSC Support'!$B120,'Data-Retail'!$D$4:$D$269,'GSC Support'!$C120)</f>
        <v>0</v>
      </c>
      <c r="H120" s="222">
        <f t="shared" si="10"/>
        <v>0</v>
      </c>
      <c r="I120" s="286">
        <v>615540</v>
      </c>
      <c r="J120" s="286"/>
      <c r="K120" s="286"/>
      <c r="L120" s="286">
        <f t="shared" si="8"/>
        <v>615540</v>
      </c>
      <c r="M120" s="279">
        <f t="shared" si="9"/>
        <v>-615540</v>
      </c>
      <c r="O120" s="323">
        <f>SUMIFS('Data-Retail'!$N$4:$N$238,'Data-Retail'!$A$4:$A$238,'GSC Support'!$B120,'Data-Retail'!$D$4:$D$238,'GSC Support'!$C120)</f>
        <v>0</v>
      </c>
      <c r="P120" s="323"/>
      <c r="Q120" s="323"/>
      <c r="R120" s="323"/>
      <c r="S120" s="281">
        <f>SUMIFS('Apr11-Mar12 Billed-RETAIL'!$BA$5:$BA$138,'Apr11-Mar12 Billed-RETAIL'!$B$5:$B$138,'GSC Support'!$B120,'Apr11-Mar12 Billed-RETAIL'!$C$5:$C$138,'GSC Support'!$C120)</f>
        <v>0</v>
      </c>
      <c r="T120" s="287">
        <v>345582.62</v>
      </c>
      <c r="U120" s="287"/>
      <c r="V120" s="287">
        <f t="shared" si="11"/>
        <v>345582.62</v>
      </c>
      <c r="W120" s="288">
        <f t="shared" si="12"/>
        <v>-345582.62</v>
      </c>
    </row>
    <row r="121" spans="1:23" x14ac:dyDescent="0.2">
      <c r="A121" s="196">
        <f t="shared" si="13"/>
        <v>116</v>
      </c>
      <c r="B121" s="211">
        <v>40725</v>
      </c>
      <c r="C121" s="211" t="str">
        <f>+'Retail Rates'!B35</f>
        <v>LGING997</v>
      </c>
      <c r="D121" s="197" t="str">
        <f t="shared" si="7"/>
        <v>997</v>
      </c>
      <c r="E121" s="197" t="str">
        <f>VLOOKUP(C121,'Retail Rates'!$B$7:$D$35,3,FALSE)</f>
        <v>SPC-PADDY</v>
      </c>
      <c r="F121" s="222">
        <f>SUMIFS('Data-Retail'!$H$4:$H$269,'Data-Retail'!$A$4:$A$269,'GSC Support'!$B121,'Data-Retail'!$D$4:$D$269,'GSC Support'!$C121)</f>
        <v>0</v>
      </c>
      <c r="G121" s="222">
        <f>SUMIFS('Data-Retail'!$I$4:$I$269,'Data-Retail'!$A$4:$A$269,'GSC Support'!$B121,'Data-Retail'!$D$4:$D$269,'GSC Support'!$C121)</f>
        <v>0</v>
      </c>
      <c r="H121" s="222">
        <f t="shared" si="10"/>
        <v>0</v>
      </c>
      <c r="I121" s="286"/>
      <c r="J121" s="286"/>
      <c r="K121" s="286"/>
      <c r="L121" s="286">
        <f t="shared" si="8"/>
        <v>0</v>
      </c>
      <c r="M121" s="279">
        <f t="shared" si="9"/>
        <v>0</v>
      </c>
      <c r="O121" s="323">
        <f>SUMIFS('Data-Retail'!$N$4:$N$238,'Data-Retail'!$A$4:$A$238,'GSC Support'!$B121,'Data-Retail'!$D$4:$D$238,'GSC Support'!$C121)</f>
        <v>0</v>
      </c>
      <c r="P121" s="323"/>
      <c r="Q121" s="323"/>
      <c r="R121" s="323"/>
      <c r="S121" s="281">
        <f>SUMIFS('Apr11-Mar12 Billed-RETAIL'!$BA$5:$BA$138,'Apr11-Mar12 Billed-RETAIL'!$B$5:$B$138,'GSC Support'!$B121,'Apr11-Mar12 Billed-RETAIL'!$C$5:$C$138,'GSC Support'!$C121)</f>
        <v>0</v>
      </c>
      <c r="T121" s="287"/>
      <c r="U121" s="287"/>
      <c r="V121" s="287">
        <f t="shared" si="11"/>
        <v>0</v>
      </c>
      <c r="W121" s="288">
        <f t="shared" si="12"/>
        <v>0</v>
      </c>
    </row>
    <row r="122" spans="1:23" x14ac:dyDescent="0.2">
      <c r="A122" s="196">
        <f t="shared" si="13"/>
        <v>117</v>
      </c>
      <c r="B122" s="211">
        <v>40756</v>
      </c>
      <c r="C122" s="211" t="str">
        <f>+'Retail Rates'!B7</f>
        <v>LGCMG865</v>
      </c>
      <c r="D122" s="197" t="str">
        <f t="shared" si="7"/>
        <v>865</v>
      </c>
      <c r="E122" s="197" t="str">
        <f>VLOOKUP(C122,'Retail Rates'!$B$7:$D$35,3,FALSE)</f>
        <v>AAGS-C</v>
      </c>
      <c r="F122" s="222">
        <f>SUMIFS('Data-Retail'!$H$4:$H$269,'Data-Retail'!$A$4:$A$269,'GSC Support'!$B122,'Data-Retail'!$D$4:$D$269,'GSC Support'!$C122)</f>
        <v>74440</v>
      </c>
      <c r="G122" s="222">
        <f>SUMIFS('Data-Retail'!$I$4:$I$269,'Data-Retail'!$A$4:$A$269,'GSC Support'!$B122,'Data-Retail'!$D$4:$D$269,'GSC Support'!$C122)</f>
        <v>0</v>
      </c>
      <c r="H122" s="222">
        <f t="shared" si="10"/>
        <v>74440</v>
      </c>
      <c r="I122" s="286">
        <v>47656</v>
      </c>
      <c r="J122" s="286">
        <v>26784</v>
      </c>
      <c r="K122" s="286"/>
      <c r="L122" s="286">
        <f t="shared" si="8"/>
        <v>74440</v>
      </c>
      <c r="M122" s="279">
        <f t="shared" si="9"/>
        <v>0</v>
      </c>
      <c r="O122" s="323">
        <f>SUMIFS('Data-Retail'!$N$4:$N$238,'Data-Retail'!$A$4:$A$238,'GSC Support'!$B122,'Data-Retail'!$D$4:$D$238,'GSC Support'!$C122)</f>
        <v>41748.53</v>
      </c>
      <c r="P122" s="323"/>
      <c r="Q122" s="323"/>
      <c r="R122" s="323"/>
      <c r="S122" s="281">
        <f ca="1">SUMIFS('Apr11-Mar12 Billed-RETAIL'!$BA$5:$BA$138,'Apr11-Mar12 Billed-RETAIL'!$B$5:$B$138,'GSC Support'!$B122,'Apr11-Mar12 Billed-RETAIL'!$C$5:$C$138,'GSC Support'!$C122)</f>
        <v>41748.53</v>
      </c>
      <c r="T122" s="287">
        <v>26711.19</v>
      </c>
      <c r="U122" s="287">
        <v>15037.34</v>
      </c>
      <c r="V122" s="287">
        <f t="shared" si="11"/>
        <v>41748.53</v>
      </c>
      <c r="W122" s="288">
        <f t="shared" ca="1" si="12"/>
        <v>0</v>
      </c>
    </row>
    <row r="123" spans="1:23" x14ac:dyDescent="0.2">
      <c r="A123" s="196">
        <f t="shared" si="13"/>
        <v>118</v>
      </c>
      <c r="B123" s="211">
        <v>40756</v>
      </c>
      <c r="C123" s="211" t="str">
        <f>+'Retail Rates'!B8</f>
        <v>LGCMG891</v>
      </c>
      <c r="D123" s="197" t="str">
        <f t="shared" si="7"/>
        <v>891</v>
      </c>
      <c r="E123" s="197" t="str">
        <f>VLOOKUP(C123,'Retail Rates'!$B$7:$D$35,3,FALSE)</f>
        <v>AAGS-C-TS</v>
      </c>
      <c r="F123" s="222">
        <f>SUMIFS('Data-Retail'!$H$4:$H$269,'Data-Retail'!$A$4:$A$269,'GSC Support'!$B123,'Data-Retail'!$D$4:$D$269,'GSC Support'!$C123)</f>
        <v>0</v>
      </c>
      <c r="G123" s="222">
        <f>SUMIFS('Data-Retail'!$I$4:$I$269,'Data-Retail'!$A$4:$A$269,'GSC Support'!$B123,'Data-Retail'!$D$4:$D$269,'GSC Support'!$C123)</f>
        <v>0</v>
      </c>
      <c r="H123" s="222">
        <f t="shared" si="10"/>
        <v>0</v>
      </c>
      <c r="I123" s="286"/>
      <c r="J123" s="286"/>
      <c r="K123" s="286"/>
      <c r="L123" s="286">
        <f t="shared" si="8"/>
        <v>0</v>
      </c>
      <c r="M123" s="279">
        <f t="shared" si="9"/>
        <v>0</v>
      </c>
      <c r="O123" s="323">
        <f>SUMIFS('Data-Retail'!$N$4:$N$238,'Data-Retail'!$A$4:$A$238,'GSC Support'!$B123,'Data-Retail'!$D$4:$D$238,'GSC Support'!$C123)</f>
        <v>0</v>
      </c>
      <c r="P123" s="323"/>
      <c r="Q123" s="323"/>
      <c r="R123" s="323"/>
      <c r="S123" s="281">
        <f>SUMIFS('Apr11-Mar12 Billed-RETAIL'!$BA$5:$BA$138,'Apr11-Mar12 Billed-RETAIL'!$B$5:$B$138,'GSC Support'!$B123,'Apr11-Mar12 Billed-RETAIL'!$C$5:$C$138,'GSC Support'!$C123)</f>
        <v>0</v>
      </c>
      <c r="T123" s="287"/>
      <c r="U123" s="287"/>
      <c r="V123" s="287">
        <f t="shared" si="11"/>
        <v>0</v>
      </c>
      <c r="W123" s="288">
        <f t="shared" si="12"/>
        <v>0</v>
      </c>
    </row>
    <row r="124" spans="1:23" x14ac:dyDescent="0.2">
      <c r="A124" s="196">
        <f t="shared" si="13"/>
        <v>119</v>
      </c>
      <c r="B124" s="211">
        <v>40756</v>
      </c>
      <c r="C124" s="211" t="str">
        <f>+'Retail Rates'!B9</f>
        <v>LGCMG891PM</v>
      </c>
      <c r="D124" s="197" t="str">
        <f t="shared" si="7"/>
        <v>891</v>
      </c>
      <c r="E124" s="197" t="str">
        <f>VLOOKUP(C124,'Retail Rates'!$B$7:$D$35,3,FALSE)</f>
        <v>AAGS-C-TS-PM</v>
      </c>
      <c r="F124" s="222">
        <f>SUMIFS('Data-Retail'!$H$4:$H$269,'Data-Retail'!$A$4:$A$269,'GSC Support'!$B124,'Data-Retail'!$D$4:$D$269,'GSC Support'!$C124)</f>
        <v>0</v>
      </c>
      <c r="G124" s="222">
        <f>SUMIFS('Data-Retail'!$I$4:$I$269,'Data-Retail'!$A$4:$A$269,'GSC Support'!$B124,'Data-Retail'!$D$4:$D$269,'GSC Support'!$C124)</f>
        <v>0</v>
      </c>
      <c r="H124" s="222">
        <f t="shared" si="10"/>
        <v>0</v>
      </c>
      <c r="I124" s="286"/>
      <c r="J124" s="286"/>
      <c r="K124" s="286"/>
      <c r="L124" s="286">
        <f t="shared" si="8"/>
        <v>0</v>
      </c>
      <c r="M124" s="279">
        <f t="shared" si="9"/>
        <v>0</v>
      </c>
      <c r="O124" s="323">
        <f>SUMIFS('Data-Retail'!$N$4:$N$238,'Data-Retail'!$A$4:$A$238,'GSC Support'!$B124,'Data-Retail'!$D$4:$D$238,'GSC Support'!$C124)</f>
        <v>0</v>
      </c>
      <c r="P124" s="323"/>
      <c r="Q124" s="323"/>
      <c r="R124" s="323"/>
      <c r="S124" s="281">
        <f>SUMIFS('Apr11-Mar12 Billed-RETAIL'!$BA$5:$BA$138,'Apr11-Mar12 Billed-RETAIL'!$B$5:$B$138,'GSC Support'!$B124,'Apr11-Mar12 Billed-RETAIL'!$C$5:$C$138,'GSC Support'!$C124)</f>
        <v>0</v>
      </c>
      <c r="T124" s="287"/>
      <c r="U124" s="287"/>
      <c r="V124" s="287">
        <f t="shared" si="11"/>
        <v>0</v>
      </c>
      <c r="W124" s="288">
        <f t="shared" si="12"/>
        <v>0</v>
      </c>
    </row>
    <row r="125" spans="1:23" x14ac:dyDescent="0.2">
      <c r="A125" s="196">
        <f t="shared" si="13"/>
        <v>120</v>
      </c>
      <c r="B125" s="211">
        <v>40756</v>
      </c>
      <c r="C125" s="211" t="str">
        <f>+'Retail Rates'!B10</f>
        <v>LGING866</v>
      </c>
      <c r="D125" s="197" t="str">
        <f t="shared" si="7"/>
        <v>866</v>
      </c>
      <c r="E125" s="197" t="str">
        <f>VLOOKUP(C125,'Retail Rates'!$B$7:$D$35,3,FALSE)</f>
        <v>AAGS-I</v>
      </c>
      <c r="F125" s="222">
        <f>SUMIFS('Data-Retail'!$H$4:$H$269,'Data-Retail'!$A$4:$A$269,'GSC Support'!$B125,'Data-Retail'!$D$4:$D$269,'GSC Support'!$C125)</f>
        <v>101147</v>
      </c>
      <c r="G125" s="222">
        <f>SUMIFS('Data-Retail'!$I$4:$I$269,'Data-Retail'!$A$4:$A$269,'GSC Support'!$B125,'Data-Retail'!$D$4:$D$269,'GSC Support'!$C125)</f>
        <v>0</v>
      </c>
      <c r="H125" s="222">
        <f t="shared" si="10"/>
        <v>101147</v>
      </c>
      <c r="I125" s="286">
        <v>62336</v>
      </c>
      <c r="J125" s="286">
        <v>38811</v>
      </c>
      <c r="K125" s="286"/>
      <c r="L125" s="286">
        <f t="shared" si="8"/>
        <v>101147</v>
      </c>
      <c r="M125" s="279">
        <f t="shared" si="9"/>
        <v>0</v>
      </c>
      <c r="O125" s="323">
        <f>SUMIFS('Data-Retail'!$N$4:$N$238,'Data-Retail'!$A$4:$A$238,'GSC Support'!$B125,'Data-Retail'!$D$4:$D$238,'GSC Support'!$C125)</f>
        <v>56728.99</v>
      </c>
      <c r="P125" s="323"/>
      <c r="Q125" s="323"/>
      <c r="R125" s="323"/>
      <c r="S125" s="281">
        <f ca="1">SUMIFS('Apr11-Mar12 Billed-RETAIL'!$BA$5:$BA$138,'Apr11-Mar12 Billed-RETAIL'!$B$5:$B$138,'GSC Support'!$B125,'Apr11-Mar12 Billed-RETAIL'!$C$5:$C$138,'GSC Support'!$C125)</f>
        <v>56728.99</v>
      </c>
      <c r="T125" s="287">
        <v>34939.33</v>
      </c>
      <c r="U125" s="287">
        <v>21789.66</v>
      </c>
      <c r="V125" s="287">
        <f t="shared" si="11"/>
        <v>56728.990000000005</v>
      </c>
      <c r="W125" s="288">
        <f t="shared" ca="1" si="12"/>
        <v>0</v>
      </c>
    </row>
    <row r="126" spans="1:23" x14ac:dyDescent="0.2">
      <c r="A126" s="196">
        <f t="shared" si="13"/>
        <v>121</v>
      </c>
      <c r="B126" s="211">
        <v>40756</v>
      </c>
      <c r="C126" s="211" t="str">
        <f>+'Retail Rates'!B11</f>
        <v>LGING892</v>
      </c>
      <c r="D126" s="197" t="str">
        <f t="shared" si="7"/>
        <v>892</v>
      </c>
      <c r="E126" s="197" t="str">
        <f>VLOOKUP(C126,'Retail Rates'!$B$7:$D$35,3,FALSE)</f>
        <v>AAGS-I-TS</v>
      </c>
      <c r="F126" s="222">
        <f>SUMIFS('Data-Retail'!$H$4:$H$269,'Data-Retail'!$A$4:$A$269,'GSC Support'!$B126,'Data-Retail'!$D$4:$D$269,'GSC Support'!$C126)</f>
        <v>0</v>
      </c>
      <c r="G126" s="222">
        <f>SUMIFS('Data-Retail'!$I$4:$I$269,'Data-Retail'!$A$4:$A$269,'GSC Support'!$B126,'Data-Retail'!$D$4:$D$269,'GSC Support'!$C126)</f>
        <v>0</v>
      </c>
      <c r="H126" s="222">
        <f t="shared" si="10"/>
        <v>0</v>
      </c>
      <c r="I126" s="286"/>
      <c r="J126" s="286"/>
      <c r="K126" s="286"/>
      <c r="L126" s="286">
        <f t="shared" si="8"/>
        <v>0</v>
      </c>
      <c r="M126" s="279">
        <f t="shared" si="9"/>
        <v>0</v>
      </c>
      <c r="O126" s="323">
        <f>SUMIFS('Data-Retail'!$N$4:$N$238,'Data-Retail'!$A$4:$A$238,'GSC Support'!$B126,'Data-Retail'!$D$4:$D$238,'GSC Support'!$C126)</f>
        <v>0</v>
      </c>
      <c r="P126" s="323"/>
      <c r="Q126" s="323"/>
      <c r="R126" s="323"/>
      <c r="S126" s="281">
        <f>SUMIFS('Apr11-Mar12 Billed-RETAIL'!$BA$5:$BA$138,'Apr11-Mar12 Billed-RETAIL'!$B$5:$B$138,'GSC Support'!$B126,'Apr11-Mar12 Billed-RETAIL'!$C$5:$C$138,'GSC Support'!$C126)</f>
        <v>0</v>
      </c>
      <c r="T126" s="287"/>
      <c r="U126" s="287"/>
      <c r="V126" s="287">
        <f t="shared" si="11"/>
        <v>0</v>
      </c>
      <c r="W126" s="288">
        <f t="shared" si="12"/>
        <v>0</v>
      </c>
    </row>
    <row r="127" spans="1:23" x14ac:dyDescent="0.2">
      <c r="A127" s="196">
        <f t="shared" si="13"/>
        <v>122</v>
      </c>
      <c r="B127" s="211">
        <v>40756</v>
      </c>
      <c r="C127" s="211" t="str">
        <f>+'Retail Rates'!B12</f>
        <v>LGING892PM</v>
      </c>
      <c r="D127" s="197" t="str">
        <f t="shared" si="7"/>
        <v>892</v>
      </c>
      <c r="E127" s="197" t="str">
        <f>VLOOKUP(C127,'Retail Rates'!$B$7:$D$35,3,FALSE)</f>
        <v>AAGS-I-TS-PM</v>
      </c>
      <c r="F127" s="222">
        <f>SUMIFS('Data-Retail'!$H$4:$H$269,'Data-Retail'!$A$4:$A$269,'GSC Support'!$B127,'Data-Retail'!$D$4:$D$269,'GSC Support'!$C127)</f>
        <v>0</v>
      </c>
      <c r="G127" s="222">
        <f>SUMIFS('Data-Retail'!$I$4:$I$269,'Data-Retail'!$A$4:$A$269,'GSC Support'!$B127,'Data-Retail'!$D$4:$D$269,'GSC Support'!$C127)</f>
        <v>0</v>
      </c>
      <c r="H127" s="222">
        <f t="shared" si="10"/>
        <v>0</v>
      </c>
      <c r="I127" s="286"/>
      <c r="J127" s="286"/>
      <c r="K127" s="286"/>
      <c r="L127" s="286">
        <f t="shared" si="8"/>
        <v>0</v>
      </c>
      <c r="M127" s="279">
        <f t="shared" si="9"/>
        <v>0</v>
      </c>
      <c r="O127" s="323">
        <f>SUMIFS('Data-Retail'!$N$4:$N$238,'Data-Retail'!$A$4:$A$238,'GSC Support'!$B127,'Data-Retail'!$D$4:$D$238,'GSC Support'!$C127)</f>
        <v>0</v>
      </c>
      <c r="P127" s="323"/>
      <c r="Q127" s="323"/>
      <c r="R127" s="323"/>
      <c r="S127" s="281">
        <f>SUMIFS('Apr11-Mar12 Billed-RETAIL'!$BA$5:$BA$138,'Apr11-Mar12 Billed-RETAIL'!$B$5:$B$138,'GSC Support'!$B127,'Apr11-Mar12 Billed-RETAIL'!$C$5:$C$138,'GSC Support'!$C127)</f>
        <v>0</v>
      </c>
      <c r="T127" s="287"/>
      <c r="U127" s="287"/>
      <c r="V127" s="287">
        <f t="shared" si="11"/>
        <v>0</v>
      </c>
      <c r="W127" s="288">
        <f t="shared" si="12"/>
        <v>0</v>
      </c>
    </row>
    <row r="128" spans="1:23" x14ac:dyDescent="0.2">
      <c r="A128" s="196">
        <f t="shared" si="13"/>
        <v>123</v>
      </c>
      <c r="B128" s="211">
        <v>40756</v>
      </c>
      <c r="C128" s="211" t="str">
        <f>+'Retail Rates'!B13</f>
        <v>LGCMG851</v>
      </c>
      <c r="D128" s="197" t="str">
        <f t="shared" si="7"/>
        <v>851</v>
      </c>
      <c r="E128" s="197" t="str">
        <f>VLOOKUP(C128,'Retail Rates'!$B$7:$D$35,3,FALSE)</f>
        <v>CGS</v>
      </c>
      <c r="F128" s="222">
        <f>SUMIFS('Data-Retail'!$H$4:$H$269,'Data-Retail'!$A$4:$A$269,'GSC Support'!$B128,'Data-Retail'!$D$4:$D$269,'GSC Support'!$C128)</f>
        <v>1795022</v>
      </c>
      <c r="G128" s="222">
        <f>SUMIFS('Data-Retail'!$I$4:$I$269,'Data-Retail'!$A$4:$A$269,'GSC Support'!$B128,'Data-Retail'!$D$4:$D$269,'GSC Support'!$C128)</f>
        <v>822937</v>
      </c>
      <c r="H128" s="222">
        <f t="shared" si="10"/>
        <v>2617959</v>
      </c>
      <c r="I128" s="286">
        <v>1228850</v>
      </c>
      <c r="J128" s="286">
        <v>1389109</v>
      </c>
      <c r="K128" s="286"/>
      <c r="L128" s="286">
        <f t="shared" si="8"/>
        <v>2617959</v>
      </c>
      <c r="M128" s="279">
        <f t="shared" si="9"/>
        <v>0</v>
      </c>
      <c r="O128" s="323">
        <f>SUMIFS('Data-Retail'!$N$4:$N$238,'Data-Retail'!$A$4:$A$238,'GSC Support'!$B128,'Data-Retail'!$D$4:$D$238,'GSC Support'!$C128)</f>
        <v>1468775.71</v>
      </c>
      <c r="P128" s="323"/>
      <c r="Q128" s="323"/>
      <c r="R128" s="323"/>
      <c r="S128" s="281">
        <f ca="1">SUMIFS('Apr11-Mar12 Billed-RETAIL'!$BA$5:$BA$138,'Apr11-Mar12 Billed-RETAIL'!$B$5:$B$138,'GSC Support'!$B128,'Apr11-Mar12 Billed-RETAIL'!$C$5:$C$138,'GSC Support'!$C128)</f>
        <v>1468775.71</v>
      </c>
      <c r="T128" s="287">
        <v>688765.46</v>
      </c>
      <c r="U128" s="287">
        <v>780010.25</v>
      </c>
      <c r="V128" s="287">
        <f t="shared" si="11"/>
        <v>1468775.71</v>
      </c>
      <c r="W128" s="288">
        <f t="shared" ca="1" si="12"/>
        <v>0</v>
      </c>
    </row>
    <row r="129" spans="1:23" x14ac:dyDescent="0.2">
      <c r="A129" s="196">
        <f t="shared" si="13"/>
        <v>124</v>
      </c>
      <c r="B129" s="211">
        <v>40756</v>
      </c>
      <c r="C129" s="211" t="str">
        <f>+'Retail Rates'!B14</f>
        <v>LGUMG860</v>
      </c>
      <c r="D129" s="197" t="str">
        <f t="shared" si="7"/>
        <v>860</v>
      </c>
      <c r="E129" s="197" t="str">
        <f>VLOOKUP(C129,'Retail Rates'!$B$7:$D$35,3,FALSE)</f>
        <v>CGS</v>
      </c>
      <c r="F129" s="222">
        <f>SUMIFS('Data-Retail'!$H$4:$H$269,'Data-Retail'!$A$4:$A$269,'GSC Support'!$B129,'Data-Retail'!$D$4:$D$269,'GSC Support'!$C129)</f>
        <v>358</v>
      </c>
      <c r="G129" s="222">
        <f>SUMIFS('Data-Retail'!$I$4:$I$269,'Data-Retail'!$A$4:$A$269,'GSC Support'!$B129,'Data-Retail'!$D$4:$D$269,'GSC Support'!$C129)</f>
        <v>0</v>
      </c>
      <c r="H129" s="222">
        <f t="shared" si="10"/>
        <v>358</v>
      </c>
      <c r="I129" s="286">
        <v>244</v>
      </c>
      <c r="J129" s="286">
        <v>114</v>
      </c>
      <c r="K129" s="286"/>
      <c r="L129" s="286">
        <f t="shared" si="8"/>
        <v>358</v>
      </c>
      <c r="M129" s="279">
        <f t="shared" si="9"/>
        <v>0</v>
      </c>
      <c r="O129" s="323">
        <f>SUMIFS('Data-Retail'!$N$4:$N$238,'Data-Retail'!$A$4:$A$238,'GSC Support'!$B129,'Data-Retail'!$D$4:$D$238,'GSC Support'!$C129)</f>
        <v>200.76999999999998</v>
      </c>
      <c r="P129" s="323"/>
      <c r="Q129" s="323"/>
      <c r="R129" s="323"/>
      <c r="S129" s="281">
        <f ca="1">SUMIFS('Apr11-Mar12 Billed-RETAIL'!$BA$5:$BA$138,'Apr11-Mar12 Billed-RETAIL'!$B$5:$B$138,'GSC Support'!$B129,'Apr11-Mar12 Billed-RETAIL'!$C$5:$C$138,'GSC Support'!$C129)</f>
        <v>200.76999999999998</v>
      </c>
      <c r="T129" s="287">
        <v>136.77000000000001</v>
      </c>
      <c r="U129" s="287">
        <v>64</v>
      </c>
      <c r="V129" s="287">
        <f t="shared" si="11"/>
        <v>200.77</v>
      </c>
      <c r="W129" s="288">
        <f t="shared" ca="1" si="12"/>
        <v>0</v>
      </c>
    </row>
    <row r="130" spans="1:23" x14ac:dyDescent="0.2">
      <c r="A130" s="196">
        <f t="shared" si="13"/>
        <v>125</v>
      </c>
      <c r="B130" s="211">
        <v>40756</v>
      </c>
      <c r="C130" s="211" t="str">
        <f>+'Retail Rates'!B15</f>
        <v>LGUMG861</v>
      </c>
      <c r="D130" s="197" t="str">
        <f t="shared" si="7"/>
        <v>861</v>
      </c>
      <c r="E130" s="197" t="str">
        <f>VLOOKUP(C130,'Retail Rates'!$B$7:$D$35,3,FALSE)</f>
        <v>CGS</v>
      </c>
      <c r="F130" s="222">
        <f>SUMIFS('Data-Retail'!$H$4:$H$269,'Data-Retail'!$A$4:$A$269,'GSC Support'!$B130,'Data-Retail'!$D$4:$D$269,'GSC Support'!$C130)</f>
        <v>615</v>
      </c>
      <c r="G130" s="222">
        <f>SUMIFS('Data-Retail'!$I$4:$I$269,'Data-Retail'!$A$4:$A$269,'GSC Support'!$B130,'Data-Retail'!$D$4:$D$269,'GSC Support'!$C130)</f>
        <v>0</v>
      </c>
      <c r="H130" s="222">
        <f t="shared" si="10"/>
        <v>615</v>
      </c>
      <c r="I130" s="286">
        <v>229</v>
      </c>
      <c r="J130" s="286">
        <v>386</v>
      </c>
      <c r="K130" s="286"/>
      <c r="L130" s="286">
        <f t="shared" si="8"/>
        <v>615</v>
      </c>
      <c r="M130" s="279">
        <f t="shared" si="9"/>
        <v>0</v>
      </c>
      <c r="O130" s="323">
        <f>SUMIFS('Data-Retail'!$N$4:$N$238,'Data-Retail'!$A$4:$A$238,'GSC Support'!$B130,'Data-Retail'!$D$4:$D$238,'GSC Support'!$C130)</f>
        <v>344.4</v>
      </c>
      <c r="P130" s="323"/>
      <c r="Q130" s="323"/>
      <c r="R130" s="323"/>
      <c r="S130" s="281">
        <f ca="1">SUMIFS('Apr11-Mar12 Billed-RETAIL'!$BA$5:$BA$138,'Apr11-Mar12 Billed-RETAIL'!$B$5:$B$138,'GSC Support'!$B130,'Apr11-Mar12 Billed-RETAIL'!$C$5:$C$138,'GSC Support'!$C130)</f>
        <v>344.4</v>
      </c>
      <c r="T130" s="287">
        <v>128.24</v>
      </c>
      <c r="U130" s="287">
        <v>216.16</v>
      </c>
      <c r="V130" s="287">
        <f t="shared" si="11"/>
        <v>344.4</v>
      </c>
      <c r="W130" s="288">
        <f t="shared" ca="1" si="12"/>
        <v>0</v>
      </c>
    </row>
    <row r="131" spans="1:23" x14ac:dyDescent="0.2">
      <c r="A131" s="196">
        <f t="shared" si="13"/>
        <v>126</v>
      </c>
      <c r="B131" s="211">
        <v>40756</v>
      </c>
      <c r="C131" s="211" t="str">
        <f>+'Retail Rates'!B16</f>
        <v>LGCMG881</v>
      </c>
      <c r="D131" s="197" t="str">
        <f t="shared" si="7"/>
        <v>881</v>
      </c>
      <c r="E131" s="197" t="str">
        <f>VLOOKUP(C131,'Retail Rates'!$B$7:$D$35,3,FALSE)</f>
        <v>CGS-TS</v>
      </c>
      <c r="F131" s="329">
        <f>SUMIFS('Data-Retail'!$H$4:$H$269,'Data-Retail'!$A$4:$A$269,'GSC Support'!$B131,'Data-Retail'!$D$4:$D$269,'GSC Support'!$C131)</f>
        <v>0</v>
      </c>
      <c r="G131" s="329">
        <f>SUMIFS('Data-Retail'!$I$4:$I$269,'Data-Retail'!$A$4:$A$269,'GSC Support'!$B131,'Data-Retail'!$D$4:$D$269,'GSC Support'!$C131)</f>
        <v>0</v>
      </c>
      <c r="H131" s="329">
        <f t="shared" si="10"/>
        <v>0</v>
      </c>
      <c r="I131" s="330">
        <v>501</v>
      </c>
      <c r="J131" s="330">
        <v>-727</v>
      </c>
      <c r="K131" s="330"/>
      <c r="L131" s="330">
        <f t="shared" si="8"/>
        <v>-226</v>
      </c>
      <c r="M131" s="331">
        <f t="shared" si="9"/>
        <v>226</v>
      </c>
      <c r="N131" s="332"/>
      <c r="O131" s="323">
        <f>SUMIFS('Data-Retail'!$V$4:$V$238,'Data-Retail'!$A$4:$A$238,'GSC Support'!$B131,'Data-Retail'!$D$4:$D$238,'GSC Support'!$C131)</f>
        <v>0</v>
      </c>
      <c r="P131" s="327">
        <f>VLOOKUP($B131,'GSC-DSM Factors'!$A$18:$E$44,5,FALSE)</f>
        <v>9.6000000000000002E-4</v>
      </c>
      <c r="Q131" s="326">
        <f>P131*H131</f>
        <v>0</v>
      </c>
      <c r="R131" s="323">
        <f>+O131-Q131</f>
        <v>0</v>
      </c>
      <c r="S131" s="281">
        <f>SUMIFS('Apr11-Mar12 Billed-RETAIL'!$BA$5:$BA$138,'Apr11-Mar12 Billed-RETAIL'!$B$5:$B$138,'GSC Support'!$B131,'Apr11-Mar12 Billed-RETAIL'!$C$5:$C$138,'GSC Support'!$C131)</f>
        <v>0</v>
      </c>
      <c r="T131" s="287">
        <v>281.08999999999997</v>
      </c>
      <c r="U131" s="287">
        <v>-408.16</v>
      </c>
      <c r="V131" s="287">
        <f t="shared" si="11"/>
        <v>-127.07000000000005</v>
      </c>
      <c r="W131" s="288">
        <f t="shared" si="12"/>
        <v>127.07000000000005</v>
      </c>
    </row>
    <row r="132" spans="1:23" x14ac:dyDescent="0.2">
      <c r="A132" s="196">
        <f t="shared" si="13"/>
        <v>127</v>
      </c>
      <c r="B132" s="211">
        <v>40756</v>
      </c>
      <c r="C132" s="211" t="str">
        <f>+'Retail Rates'!B17</f>
        <v>LGCMG881PM</v>
      </c>
      <c r="D132" s="197" t="str">
        <f t="shared" si="7"/>
        <v>881</v>
      </c>
      <c r="E132" s="197" t="str">
        <f>VLOOKUP(C132,'Retail Rates'!$B$7:$D$35,3,FALSE)</f>
        <v>CGS-TS-PM</v>
      </c>
      <c r="F132" s="222">
        <f>SUMIFS('Data-Retail'!$H$4:$H$269,'Data-Retail'!$A$4:$A$269,'GSC Support'!$B132,'Data-Retail'!$D$4:$D$269,'GSC Support'!$C132)</f>
        <v>0</v>
      </c>
      <c r="G132" s="222">
        <f>SUMIFS('Data-Retail'!$I$4:$I$269,'Data-Retail'!$A$4:$A$269,'GSC Support'!$B132,'Data-Retail'!$D$4:$D$269,'GSC Support'!$C132)</f>
        <v>0</v>
      </c>
      <c r="H132" s="222">
        <f t="shared" si="10"/>
        <v>0</v>
      </c>
      <c r="I132" s="286"/>
      <c r="J132" s="286"/>
      <c r="K132" s="286"/>
      <c r="L132" s="286">
        <f t="shared" si="8"/>
        <v>0</v>
      </c>
      <c r="M132" s="279">
        <f t="shared" si="9"/>
        <v>0</v>
      </c>
      <c r="O132" s="323">
        <f>SUMIFS('Data-Retail'!$N$4:$N$238,'Data-Retail'!$A$4:$A$238,'GSC Support'!$B132,'Data-Retail'!$D$4:$D$238,'GSC Support'!$C132)</f>
        <v>0</v>
      </c>
      <c r="P132" s="323"/>
      <c r="Q132" s="323"/>
      <c r="R132" s="323"/>
      <c r="S132" s="281">
        <f>SUMIFS('Apr11-Mar12 Billed-RETAIL'!$BA$5:$BA$138,'Apr11-Mar12 Billed-RETAIL'!$B$5:$B$138,'GSC Support'!$B132,'Apr11-Mar12 Billed-RETAIL'!$C$5:$C$138,'GSC Support'!$C132)</f>
        <v>0</v>
      </c>
      <c r="T132" s="287"/>
      <c r="U132" s="287"/>
      <c r="V132" s="287">
        <f t="shared" si="11"/>
        <v>0</v>
      </c>
      <c r="W132" s="288">
        <f t="shared" si="12"/>
        <v>0</v>
      </c>
    </row>
    <row r="133" spans="1:23" x14ac:dyDescent="0.2">
      <c r="A133" s="196">
        <f t="shared" si="13"/>
        <v>128</v>
      </c>
      <c r="B133" s="211">
        <v>40756</v>
      </c>
      <c r="C133" s="211" t="str">
        <f>+'Retail Rates'!B18</f>
        <v>LGCMG875</v>
      </c>
      <c r="D133" s="197" t="str">
        <f t="shared" si="7"/>
        <v>875</v>
      </c>
      <c r="E133" s="197" t="str">
        <f>VLOOKUP(C133,'Retail Rates'!$B$7:$D$35,3,FALSE)</f>
        <v>DGGS-C</v>
      </c>
      <c r="F133" s="222">
        <f>SUMIFS('Data-Retail'!$H$4:$H$269,'Data-Retail'!$A$4:$A$269,'GSC Support'!$B133,'Data-Retail'!$D$4:$D$269,'GSC Support'!$C133)</f>
        <v>0</v>
      </c>
      <c r="G133" s="222">
        <f>SUMIFS('Data-Retail'!$I$4:$I$269,'Data-Retail'!$A$4:$A$269,'GSC Support'!$B133,'Data-Retail'!$D$4:$D$269,'GSC Support'!$C133)</f>
        <v>0</v>
      </c>
      <c r="H133" s="222">
        <f t="shared" si="10"/>
        <v>0</v>
      </c>
      <c r="I133" s="286"/>
      <c r="J133" s="286"/>
      <c r="K133" s="286"/>
      <c r="L133" s="286">
        <f t="shared" si="8"/>
        <v>0</v>
      </c>
      <c r="M133" s="279">
        <f t="shared" si="9"/>
        <v>0</v>
      </c>
      <c r="O133" s="323">
        <f>SUMIFS('Data-Retail'!$N$4:$N$238,'Data-Retail'!$A$4:$A$238,'GSC Support'!$B133,'Data-Retail'!$D$4:$D$238,'GSC Support'!$C133)</f>
        <v>0</v>
      </c>
      <c r="P133" s="323"/>
      <c r="Q133" s="323"/>
      <c r="R133" s="323"/>
      <c r="S133" s="281">
        <f ca="1">SUMIFS('Apr11-Mar12 Billed-RETAIL'!$BA$5:$BA$138,'Apr11-Mar12 Billed-RETAIL'!$B$5:$B$138,'GSC Support'!$B133,'Apr11-Mar12 Billed-RETAIL'!$C$5:$C$138,'GSC Support'!$C133)</f>
        <v>0</v>
      </c>
      <c r="T133" s="287"/>
      <c r="U133" s="287"/>
      <c r="V133" s="287">
        <f t="shared" si="11"/>
        <v>0</v>
      </c>
      <c r="W133" s="288">
        <f t="shared" ca="1" si="12"/>
        <v>0</v>
      </c>
    </row>
    <row r="134" spans="1:23" x14ac:dyDescent="0.2">
      <c r="A134" s="196">
        <f t="shared" si="13"/>
        <v>129</v>
      </c>
      <c r="B134" s="211">
        <v>40756</v>
      </c>
      <c r="C134" s="211" t="str">
        <f>+'Retail Rates'!B19</f>
        <v>LGCMG895</v>
      </c>
      <c r="D134" s="197" t="str">
        <f t="shared" ref="D134:D197" si="14">MID(C134,6,3)</f>
        <v>895</v>
      </c>
      <c r="E134" s="197" t="str">
        <f>VLOOKUP(C134,'Retail Rates'!$B$7:$D$35,3,FALSE)</f>
        <v>FT-C</v>
      </c>
      <c r="F134" s="222">
        <f>SUMIFS('Data-Retail'!$H$4:$H$269,'Data-Retail'!$A$4:$A$269,'GSC Support'!$B134,'Data-Retail'!$D$4:$D$269,'GSC Support'!$C134)</f>
        <v>0</v>
      </c>
      <c r="G134" s="222">
        <f>SUMIFS('Data-Retail'!$I$4:$I$269,'Data-Retail'!$A$4:$A$269,'GSC Support'!$B134,'Data-Retail'!$D$4:$D$269,'GSC Support'!$C134)</f>
        <v>0</v>
      </c>
      <c r="H134" s="222">
        <f t="shared" si="10"/>
        <v>0</v>
      </c>
      <c r="I134" s="286">
        <v>1779306</v>
      </c>
      <c r="J134" s="286"/>
      <c r="K134" s="286"/>
      <c r="L134" s="286">
        <f t="shared" ref="L134:L197" si="15">SUM(I134:K134)</f>
        <v>1779306</v>
      </c>
      <c r="M134" s="279">
        <f t="shared" ref="M134:M197" si="16">+H134-L134</f>
        <v>-1779306</v>
      </c>
      <c r="O134" s="323">
        <f>SUMIFS('Data-Retail'!$N$4:$N$238,'Data-Retail'!$A$4:$A$238,'GSC Support'!$B134,'Data-Retail'!$D$4:$D$238,'GSC Support'!$C134)</f>
        <v>0</v>
      </c>
      <c r="P134" s="323"/>
      <c r="Q134" s="323"/>
      <c r="R134" s="323"/>
      <c r="S134" s="281">
        <f>SUMIFS('Apr11-Mar12 Billed-RETAIL'!$BA$5:$BA$138,'Apr11-Mar12 Billed-RETAIL'!$B$5:$B$138,'GSC Support'!$B134,'Apr11-Mar12 Billed-RETAIL'!$C$5:$C$138,'GSC Support'!$C134)</f>
        <v>0</v>
      </c>
      <c r="T134" s="287"/>
      <c r="U134" s="287"/>
      <c r="V134" s="287">
        <f t="shared" si="11"/>
        <v>0</v>
      </c>
      <c r="W134" s="288">
        <f t="shared" si="12"/>
        <v>0</v>
      </c>
    </row>
    <row r="135" spans="1:23" x14ac:dyDescent="0.2">
      <c r="A135" s="196">
        <f t="shared" si="13"/>
        <v>130</v>
      </c>
      <c r="B135" s="211">
        <v>40756</v>
      </c>
      <c r="C135" s="211" t="str">
        <f>+'Retail Rates'!B20</f>
        <v>LGCMG895PM</v>
      </c>
      <c r="D135" s="197" t="str">
        <f t="shared" si="14"/>
        <v>895</v>
      </c>
      <c r="E135" s="197" t="str">
        <f>VLOOKUP(C135,'Retail Rates'!$B$7:$D$35,3,FALSE)</f>
        <v>FT-C-PM</v>
      </c>
      <c r="F135" s="222">
        <f>SUMIFS('Data-Retail'!$H$4:$H$269,'Data-Retail'!$A$4:$A$269,'GSC Support'!$B135,'Data-Retail'!$D$4:$D$269,'GSC Support'!$C135)</f>
        <v>0</v>
      </c>
      <c r="G135" s="222">
        <f>SUMIFS('Data-Retail'!$I$4:$I$269,'Data-Retail'!$A$4:$A$269,'GSC Support'!$B135,'Data-Retail'!$D$4:$D$269,'GSC Support'!$C135)</f>
        <v>0</v>
      </c>
      <c r="H135" s="222">
        <f t="shared" ref="H135:H198" si="17">+F135+G135</f>
        <v>0</v>
      </c>
      <c r="I135" s="286">
        <v>3</v>
      </c>
      <c r="J135" s="286"/>
      <c r="K135" s="286"/>
      <c r="L135" s="286">
        <f t="shared" si="15"/>
        <v>3</v>
      </c>
      <c r="M135" s="279">
        <f t="shared" si="16"/>
        <v>-3</v>
      </c>
      <c r="O135" s="323">
        <f>SUMIFS('Data-Retail'!$N$4:$N$238,'Data-Retail'!$A$4:$A$238,'GSC Support'!$B135,'Data-Retail'!$D$4:$D$238,'GSC Support'!$C135)</f>
        <v>0</v>
      </c>
      <c r="P135" s="323"/>
      <c r="Q135" s="323"/>
      <c r="R135" s="323"/>
      <c r="S135" s="281">
        <f>SUMIFS('Apr11-Mar12 Billed-RETAIL'!$BA$5:$BA$138,'Apr11-Mar12 Billed-RETAIL'!$B$5:$B$138,'GSC Support'!$B135,'Apr11-Mar12 Billed-RETAIL'!$C$5:$C$138,'GSC Support'!$C135)</f>
        <v>0</v>
      </c>
      <c r="T135" s="287"/>
      <c r="U135" s="287"/>
      <c r="V135" s="287">
        <f t="shared" ref="V135:V198" si="18">SUM(T135:U135)</f>
        <v>0</v>
      </c>
      <c r="W135" s="288">
        <f t="shared" ref="W135:W198" si="19">+S135-V135</f>
        <v>0</v>
      </c>
    </row>
    <row r="136" spans="1:23" x14ac:dyDescent="0.2">
      <c r="A136" s="196">
        <f t="shared" ref="A136:A199" si="20">+A135+1</f>
        <v>131</v>
      </c>
      <c r="B136" s="211">
        <v>40756</v>
      </c>
      <c r="C136" s="211" t="str">
        <f>+'Retail Rates'!B21</f>
        <v>LGING896</v>
      </c>
      <c r="D136" s="197" t="str">
        <f t="shared" si="14"/>
        <v>896</v>
      </c>
      <c r="E136" s="197" t="str">
        <f>VLOOKUP(C136,'Retail Rates'!$B$7:$D$35,3,FALSE)</f>
        <v>FT-I</v>
      </c>
      <c r="F136" s="222">
        <f>SUMIFS('Data-Retail'!$H$4:$H$269,'Data-Retail'!$A$4:$A$269,'GSC Support'!$B136,'Data-Retail'!$D$4:$D$269,'GSC Support'!$C136)</f>
        <v>0</v>
      </c>
      <c r="G136" s="222">
        <f>SUMIFS('Data-Retail'!$I$4:$I$269,'Data-Retail'!$A$4:$A$269,'GSC Support'!$B136,'Data-Retail'!$D$4:$D$269,'GSC Support'!$C136)</f>
        <v>0</v>
      </c>
      <c r="H136" s="222">
        <f t="shared" si="17"/>
        <v>0</v>
      </c>
      <c r="I136" s="286">
        <v>147</v>
      </c>
      <c r="J136" s="286"/>
      <c r="K136" s="286"/>
      <c r="L136" s="286">
        <f t="shared" si="15"/>
        <v>147</v>
      </c>
      <c r="M136" s="279">
        <f t="shared" si="16"/>
        <v>-147</v>
      </c>
      <c r="O136" s="323">
        <f>SUMIFS('Data-Retail'!$N$4:$N$238,'Data-Retail'!$A$4:$A$238,'GSC Support'!$B136,'Data-Retail'!$D$4:$D$238,'GSC Support'!$C136)</f>
        <v>0</v>
      </c>
      <c r="P136" s="323"/>
      <c r="Q136" s="323"/>
      <c r="R136" s="323"/>
      <c r="S136" s="281">
        <f>SUMIFS('Apr11-Mar12 Billed-RETAIL'!$BA$5:$BA$138,'Apr11-Mar12 Billed-RETAIL'!$B$5:$B$138,'GSC Support'!$B136,'Apr11-Mar12 Billed-RETAIL'!$C$5:$C$138,'GSC Support'!$C136)</f>
        <v>0</v>
      </c>
      <c r="T136" s="287"/>
      <c r="U136" s="287"/>
      <c r="V136" s="287">
        <f t="shared" si="18"/>
        <v>0</v>
      </c>
      <c r="W136" s="288">
        <f t="shared" si="19"/>
        <v>0</v>
      </c>
    </row>
    <row r="137" spans="1:23" x14ac:dyDescent="0.2">
      <c r="A137" s="196">
        <f t="shared" si="20"/>
        <v>132</v>
      </c>
      <c r="B137" s="211">
        <v>40756</v>
      </c>
      <c r="C137" s="211" t="str">
        <f>+'Retail Rates'!B22</f>
        <v>LGING896PM</v>
      </c>
      <c r="D137" s="197" t="str">
        <f t="shared" si="14"/>
        <v>896</v>
      </c>
      <c r="E137" s="197" t="str">
        <f>VLOOKUP(C137,'Retail Rates'!$B$7:$D$35,3,FALSE)</f>
        <v>FT-I-PM</v>
      </c>
      <c r="F137" s="222">
        <f>SUMIFS('Data-Retail'!$H$4:$H$269,'Data-Retail'!$A$4:$A$269,'GSC Support'!$B137,'Data-Retail'!$D$4:$D$269,'GSC Support'!$C137)</f>
        <v>0</v>
      </c>
      <c r="G137" s="222">
        <f>SUMIFS('Data-Retail'!$I$4:$I$269,'Data-Retail'!$A$4:$A$269,'GSC Support'!$B137,'Data-Retail'!$D$4:$D$269,'GSC Support'!$C137)</f>
        <v>0</v>
      </c>
      <c r="H137" s="222">
        <f t="shared" si="17"/>
        <v>0</v>
      </c>
      <c r="I137" s="286">
        <v>11</v>
      </c>
      <c r="J137" s="286"/>
      <c r="K137" s="286"/>
      <c r="L137" s="286">
        <f t="shared" si="15"/>
        <v>11</v>
      </c>
      <c r="M137" s="279">
        <f t="shared" si="16"/>
        <v>-11</v>
      </c>
      <c r="O137" s="323">
        <f>SUMIFS('Data-Retail'!$N$4:$N$238,'Data-Retail'!$A$4:$A$238,'GSC Support'!$B137,'Data-Retail'!$D$4:$D$238,'GSC Support'!$C137)</f>
        <v>0</v>
      </c>
      <c r="P137" s="323"/>
      <c r="Q137" s="323"/>
      <c r="R137" s="323"/>
      <c r="S137" s="281">
        <f>SUMIFS('Apr11-Mar12 Billed-RETAIL'!$BA$5:$BA$138,'Apr11-Mar12 Billed-RETAIL'!$B$5:$B$138,'GSC Support'!$B137,'Apr11-Mar12 Billed-RETAIL'!$C$5:$C$138,'GSC Support'!$C137)</f>
        <v>0</v>
      </c>
      <c r="T137" s="287"/>
      <c r="U137" s="287"/>
      <c r="V137" s="287">
        <f t="shared" si="18"/>
        <v>0</v>
      </c>
      <c r="W137" s="288">
        <f t="shared" si="19"/>
        <v>0</v>
      </c>
    </row>
    <row r="138" spans="1:23" x14ac:dyDescent="0.2">
      <c r="A138" s="196">
        <f t="shared" si="20"/>
        <v>133</v>
      </c>
      <c r="B138" s="211">
        <v>40756</v>
      </c>
      <c r="C138" s="211" t="str">
        <f>+'Retail Rates'!B23</f>
        <v>LGING855</v>
      </c>
      <c r="D138" s="197" t="str">
        <f t="shared" si="14"/>
        <v>855</v>
      </c>
      <c r="E138" s="197" t="str">
        <f>VLOOKUP(C138,'Retail Rates'!$B$7:$D$35,3,FALSE)</f>
        <v>IGS</v>
      </c>
      <c r="F138" s="222">
        <f>SUMIFS('Data-Retail'!$H$4:$H$269,'Data-Retail'!$A$4:$A$269,'GSC Support'!$B138,'Data-Retail'!$D$4:$D$269,'GSC Support'!$C138)</f>
        <v>57664</v>
      </c>
      <c r="G138" s="222">
        <f>SUMIFS('Data-Retail'!$I$4:$I$269,'Data-Retail'!$A$4:$A$269,'GSC Support'!$B138,'Data-Retail'!$D$4:$D$269,'GSC Support'!$C138)</f>
        <v>384790</v>
      </c>
      <c r="H138" s="222">
        <f t="shared" si="17"/>
        <v>442454</v>
      </c>
      <c r="I138" s="286">
        <v>225302</v>
      </c>
      <c r="J138" s="286">
        <v>217152</v>
      </c>
      <c r="K138" s="286"/>
      <c r="L138" s="286">
        <f t="shared" si="15"/>
        <v>442454</v>
      </c>
      <c r="M138" s="279">
        <f t="shared" si="16"/>
        <v>0</v>
      </c>
      <c r="O138" s="323">
        <f>SUMIFS('Data-Retail'!$N$4:$N$238,'Data-Retail'!$A$4:$A$238,'GSC Support'!$B138,'Data-Retail'!$D$4:$D$238,'GSC Support'!$C138)</f>
        <v>248197.34</v>
      </c>
      <c r="P138" s="323"/>
      <c r="Q138" s="323"/>
      <c r="R138" s="323"/>
      <c r="S138" s="281">
        <f ca="1">SUMIFS('Apr11-Mar12 Billed-RETAIL'!$BA$5:$BA$138,'Apr11-Mar12 Billed-RETAIL'!$B$5:$B$138,'GSC Support'!$B138,'Apr11-Mar12 Billed-RETAIL'!$C$5:$C$138,'GSC Support'!$C138)</f>
        <v>248197.34</v>
      </c>
      <c r="T138" s="287">
        <v>126281.7</v>
      </c>
      <c r="U138" s="287">
        <v>121915.64</v>
      </c>
      <c r="V138" s="287">
        <f t="shared" si="18"/>
        <v>248197.34</v>
      </c>
      <c r="W138" s="288">
        <f t="shared" ca="1" si="19"/>
        <v>0</v>
      </c>
    </row>
    <row r="139" spans="1:23" x14ac:dyDescent="0.2">
      <c r="A139" s="196">
        <f t="shared" si="20"/>
        <v>134</v>
      </c>
      <c r="B139" s="211">
        <v>40756</v>
      </c>
      <c r="C139" s="211" t="str">
        <f>+'Retail Rates'!B24</f>
        <v>LGING882</v>
      </c>
      <c r="D139" s="197" t="str">
        <f t="shared" si="14"/>
        <v>882</v>
      </c>
      <c r="E139" s="197" t="str">
        <f>VLOOKUP(C139,'Retail Rates'!$B$7:$D$35,3,FALSE)</f>
        <v>IGS-TS</v>
      </c>
      <c r="F139" s="329">
        <v>1463</v>
      </c>
      <c r="G139" s="329"/>
      <c r="H139" s="329">
        <f t="shared" si="17"/>
        <v>1463</v>
      </c>
      <c r="I139" s="330">
        <v>1463</v>
      </c>
      <c r="J139" s="330"/>
      <c r="K139" s="330"/>
      <c r="L139" s="330">
        <f t="shared" si="15"/>
        <v>1463</v>
      </c>
      <c r="M139" s="331">
        <f t="shared" si="16"/>
        <v>0</v>
      </c>
      <c r="N139" s="332"/>
      <c r="O139" s="323"/>
      <c r="P139" s="327"/>
      <c r="Q139" s="326"/>
      <c r="R139" s="323"/>
      <c r="S139" s="281">
        <f>SUMIFS('Apr11-Mar12 Billed-RETAIL'!$BA$5:$BA$138,'Apr11-Mar12 Billed-RETAIL'!$B$5:$B$138,'GSC Support'!$B139,'Apr11-Mar12 Billed-RETAIL'!$C$5:$C$138,'GSC Support'!$C139)</f>
        <v>0</v>
      </c>
      <c r="T139" s="287">
        <v>820.2</v>
      </c>
      <c r="U139" s="287"/>
      <c r="V139" s="287">
        <f t="shared" si="18"/>
        <v>820.2</v>
      </c>
      <c r="W139" s="288">
        <f t="shared" si="19"/>
        <v>-820.2</v>
      </c>
    </row>
    <row r="140" spans="1:23" x14ac:dyDescent="0.2">
      <c r="A140" s="196">
        <f t="shared" si="20"/>
        <v>135</v>
      </c>
      <c r="B140" s="211">
        <v>40756</v>
      </c>
      <c r="C140" s="211" t="str">
        <f>+'Retail Rates'!B25</f>
        <v>LGING882PM</v>
      </c>
      <c r="D140" s="197" t="str">
        <f t="shared" si="14"/>
        <v>882</v>
      </c>
      <c r="E140" s="197" t="str">
        <f>VLOOKUP(C140,'Retail Rates'!$B$7:$D$35,3,FALSE)</f>
        <v>IGS-TS-PM</v>
      </c>
      <c r="F140" s="222">
        <f>SUMIFS('Data-Retail'!$H$4:$H$269,'Data-Retail'!$A$4:$A$269,'GSC Support'!$B140,'Data-Retail'!$D$4:$D$269,'GSC Support'!$C140)</f>
        <v>0</v>
      </c>
      <c r="G140" s="222">
        <f>SUMIFS('Data-Retail'!$I$4:$I$269,'Data-Retail'!$A$4:$A$269,'GSC Support'!$B140,'Data-Retail'!$D$4:$D$269,'GSC Support'!$C140)</f>
        <v>0</v>
      </c>
      <c r="H140" s="222">
        <f t="shared" si="17"/>
        <v>0</v>
      </c>
      <c r="I140" s="286"/>
      <c r="J140" s="286"/>
      <c r="K140" s="286"/>
      <c r="L140" s="286">
        <f t="shared" si="15"/>
        <v>0</v>
      </c>
      <c r="M140" s="279">
        <f t="shared" si="16"/>
        <v>0</v>
      </c>
      <c r="O140" s="323">
        <f>SUMIFS('Data-Retail'!$N$4:$N$238,'Data-Retail'!$A$4:$A$238,'GSC Support'!$B140,'Data-Retail'!$D$4:$D$238,'GSC Support'!$C140)</f>
        <v>0</v>
      </c>
      <c r="P140" s="323"/>
      <c r="Q140" s="323"/>
      <c r="R140" s="323"/>
      <c r="S140" s="281">
        <f>SUMIFS('Apr11-Mar12 Billed-RETAIL'!$BA$5:$BA$138,'Apr11-Mar12 Billed-RETAIL'!$B$5:$B$138,'GSC Support'!$B140,'Apr11-Mar12 Billed-RETAIL'!$C$5:$C$138,'GSC Support'!$C140)</f>
        <v>0</v>
      </c>
      <c r="T140" s="287"/>
      <c r="U140" s="287"/>
      <c r="V140" s="287">
        <f t="shared" si="18"/>
        <v>0</v>
      </c>
      <c r="W140" s="288">
        <f t="shared" si="19"/>
        <v>0</v>
      </c>
    </row>
    <row r="141" spans="1:23" x14ac:dyDescent="0.2">
      <c r="A141" s="196">
        <f t="shared" si="20"/>
        <v>136</v>
      </c>
      <c r="B141" s="211">
        <v>40756</v>
      </c>
      <c r="C141" s="211" t="str">
        <f>+'Retail Rates'!B26</f>
        <v>LGRSG811</v>
      </c>
      <c r="D141" s="197" t="str">
        <f t="shared" si="14"/>
        <v>811</v>
      </c>
      <c r="E141" s="197" t="str">
        <f>VLOOKUP(C141,'Retail Rates'!$B$7:$D$35,3,FALSE)</f>
        <v>RGS</v>
      </c>
      <c r="F141" s="222">
        <f>SUMIFS('Data-Retail'!$H$4:$H$269,'Data-Retail'!$A$4:$A$269,'GSC Support'!$B141,'Data-Retail'!$D$4:$D$269,'GSC Support'!$C141)</f>
        <v>3590255</v>
      </c>
      <c r="G141" s="222">
        <f>SUMIFS('Data-Retail'!$I$4:$I$269,'Data-Retail'!$A$4:$A$269,'GSC Support'!$B141,'Data-Retail'!$D$4:$D$269,'GSC Support'!$C141)</f>
        <v>0</v>
      </c>
      <c r="H141" s="222">
        <f t="shared" si="17"/>
        <v>3590255</v>
      </c>
      <c r="I141" s="286">
        <v>1810949</v>
      </c>
      <c r="J141" s="286">
        <v>1779306</v>
      </c>
      <c r="K141" s="286"/>
      <c r="L141" s="286">
        <f t="shared" si="15"/>
        <v>3590255</v>
      </c>
      <c r="M141" s="279">
        <f t="shared" si="16"/>
        <v>0</v>
      </c>
      <c r="O141" s="323">
        <f>SUMIFS('Data-Retail'!$N$4:$N$238,'Data-Retail'!$A$4:$A$238,'GSC Support'!$B141,'Data-Retail'!$D$4:$D$238,'GSC Support'!$C141)</f>
        <v>2013890.0999999999</v>
      </c>
      <c r="P141" s="323"/>
      <c r="Q141" s="323"/>
      <c r="R141" s="323"/>
      <c r="S141" s="281">
        <f ca="1">SUMIFS('Apr11-Mar12 Billed-RETAIL'!$BA$5:$BA$138,'Apr11-Mar12 Billed-RETAIL'!$B$5:$B$138,'GSC Support'!$B141,'Apr11-Mar12 Billed-RETAIL'!$C$5:$C$138,'GSC Support'!$C141)</f>
        <v>2013890.0999999999</v>
      </c>
      <c r="T141" s="287">
        <v>1014869.18</v>
      </c>
      <c r="U141" s="287">
        <v>999020.92</v>
      </c>
      <c r="V141" s="287">
        <f t="shared" si="18"/>
        <v>2013890.1</v>
      </c>
      <c r="W141" s="288">
        <f t="shared" ca="1" si="19"/>
        <v>0</v>
      </c>
    </row>
    <row r="142" spans="1:23" x14ac:dyDescent="0.2">
      <c r="A142" s="196">
        <f t="shared" si="20"/>
        <v>137</v>
      </c>
      <c r="B142" s="211">
        <v>40756</v>
      </c>
      <c r="C142" s="211" t="str">
        <f>+'Retail Rates'!B27</f>
        <v>LGRSG811S1</v>
      </c>
      <c r="D142" s="197" t="str">
        <f t="shared" si="14"/>
        <v>811</v>
      </c>
      <c r="E142" s="197" t="str">
        <f>VLOOKUP(C142,'Retail Rates'!$B$7:$D$35,3,FALSE)</f>
        <v>RGS</v>
      </c>
      <c r="F142" s="222">
        <f>SUMIFS('Data-Retail'!$H$4:$H$269,'Data-Retail'!$A$4:$A$269,'GSC Support'!$B142,'Data-Retail'!$D$4:$D$269,'GSC Support'!$C142)</f>
        <v>27</v>
      </c>
      <c r="G142" s="222">
        <f>SUMIFS('Data-Retail'!$I$4:$I$269,'Data-Retail'!$A$4:$A$269,'GSC Support'!$B142,'Data-Retail'!$D$4:$D$269,'GSC Support'!$C142)</f>
        <v>0</v>
      </c>
      <c r="H142" s="222">
        <f t="shared" si="17"/>
        <v>27</v>
      </c>
      <c r="I142" s="286">
        <v>24</v>
      </c>
      <c r="J142" s="286">
        <v>3</v>
      </c>
      <c r="K142" s="286"/>
      <c r="L142" s="286">
        <f t="shared" si="15"/>
        <v>27</v>
      </c>
      <c r="M142" s="279">
        <f t="shared" si="16"/>
        <v>0</v>
      </c>
      <c r="O142" s="323">
        <f>SUMIFS('Data-Retail'!$N$4:$N$238,'Data-Retail'!$A$4:$A$238,'GSC Support'!$B142,'Data-Retail'!$D$4:$D$238,'GSC Support'!$C142)</f>
        <v>15.13</v>
      </c>
      <c r="P142" s="323"/>
      <c r="Q142" s="323"/>
      <c r="R142" s="323"/>
      <c r="S142" s="281">
        <f ca="1">SUMIFS('Apr11-Mar12 Billed-RETAIL'!$BA$5:$BA$138,'Apr11-Mar12 Billed-RETAIL'!$B$5:$B$138,'GSC Support'!$B142,'Apr11-Mar12 Billed-RETAIL'!$C$5:$C$138,'GSC Support'!$C142)</f>
        <v>15.13</v>
      </c>
      <c r="T142" s="287">
        <v>13.45</v>
      </c>
      <c r="U142" s="287">
        <v>1.68</v>
      </c>
      <c r="V142" s="287">
        <f t="shared" si="18"/>
        <v>15.129999999999999</v>
      </c>
      <c r="W142" s="288">
        <f t="shared" ca="1" si="19"/>
        <v>0</v>
      </c>
    </row>
    <row r="143" spans="1:23" x14ac:dyDescent="0.2">
      <c r="A143" s="196">
        <f t="shared" si="20"/>
        <v>138</v>
      </c>
      <c r="B143" s="211">
        <v>40756</v>
      </c>
      <c r="C143" s="211" t="str">
        <f>+'Retail Rates'!B28</f>
        <v>LGRSG840</v>
      </c>
      <c r="D143" s="197" t="str">
        <f t="shared" si="14"/>
        <v>840</v>
      </c>
      <c r="E143" s="197" t="str">
        <f>VLOOKUP(C143,'Retail Rates'!$B$7:$D$35,3,FALSE)</f>
        <v>RGS</v>
      </c>
      <c r="F143" s="222">
        <f>SUMIFS('Data-Retail'!$H$4:$H$269,'Data-Retail'!$A$4:$A$269,'GSC Support'!$B143,'Data-Retail'!$D$4:$D$269,'GSC Support'!$C143)</f>
        <v>322</v>
      </c>
      <c r="G143" s="222">
        <f>SUMIFS('Data-Retail'!$I$4:$I$269,'Data-Retail'!$A$4:$A$269,'GSC Support'!$B143,'Data-Retail'!$D$4:$D$269,'GSC Support'!$C143)</f>
        <v>0</v>
      </c>
      <c r="H143" s="222">
        <f t="shared" si="17"/>
        <v>322</v>
      </c>
      <c r="I143" s="286">
        <v>175</v>
      </c>
      <c r="J143" s="286">
        <v>147</v>
      </c>
      <c r="K143" s="286"/>
      <c r="L143" s="286">
        <f t="shared" si="15"/>
        <v>322</v>
      </c>
      <c r="M143" s="279">
        <f t="shared" si="16"/>
        <v>0</v>
      </c>
      <c r="O143" s="323">
        <f>SUMIFS('Data-Retail'!$N$4:$N$238,'Data-Retail'!$A$4:$A$238,'GSC Support'!$B143,'Data-Retail'!$D$4:$D$238,'GSC Support'!$C143)</f>
        <v>180.61</v>
      </c>
      <c r="P143" s="323"/>
      <c r="Q143" s="323"/>
      <c r="R143" s="323"/>
      <c r="S143" s="281">
        <f ca="1">SUMIFS('Apr11-Mar12 Billed-RETAIL'!$BA$5:$BA$138,'Apr11-Mar12 Billed-RETAIL'!$B$5:$B$138,'GSC Support'!$B143,'Apr11-Mar12 Billed-RETAIL'!$C$5:$C$138,'GSC Support'!$C143)</f>
        <v>180.61</v>
      </c>
      <c r="T143" s="287">
        <v>98.08</v>
      </c>
      <c r="U143" s="287">
        <v>82.53</v>
      </c>
      <c r="V143" s="287">
        <f t="shared" si="18"/>
        <v>180.61</v>
      </c>
      <c r="W143" s="288">
        <f t="shared" ca="1" si="19"/>
        <v>0</v>
      </c>
    </row>
    <row r="144" spans="1:23" x14ac:dyDescent="0.2">
      <c r="A144" s="196">
        <f t="shared" si="20"/>
        <v>139</v>
      </c>
      <c r="B144" s="211">
        <v>40756</v>
      </c>
      <c r="C144" s="211" t="str">
        <f>+'Retail Rates'!B29</f>
        <v>LGUMG830</v>
      </c>
      <c r="D144" s="197" t="str">
        <f t="shared" si="14"/>
        <v>830</v>
      </c>
      <c r="E144" s="197" t="str">
        <f>VLOOKUP(C144,'Retail Rates'!$B$7:$D$35,3,FALSE)</f>
        <v>RGS</v>
      </c>
      <c r="F144" s="222">
        <f>SUMIFS('Data-Retail'!$H$4:$H$269,'Data-Retail'!$A$4:$A$269,'GSC Support'!$B144,'Data-Retail'!$D$4:$D$269,'GSC Support'!$C144)</f>
        <v>32</v>
      </c>
      <c r="G144" s="222">
        <f>SUMIFS('Data-Retail'!$I$4:$I$269,'Data-Retail'!$A$4:$A$269,'GSC Support'!$B144,'Data-Retail'!$D$4:$D$269,'GSC Support'!$C144)</f>
        <v>0</v>
      </c>
      <c r="H144" s="222">
        <f t="shared" si="17"/>
        <v>32</v>
      </c>
      <c r="I144" s="286">
        <v>21</v>
      </c>
      <c r="J144" s="286">
        <v>11</v>
      </c>
      <c r="K144" s="286"/>
      <c r="L144" s="286">
        <f t="shared" si="15"/>
        <v>32</v>
      </c>
      <c r="M144" s="279">
        <f t="shared" si="16"/>
        <v>0</v>
      </c>
      <c r="O144" s="323">
        <f>SUMIFS('Data-Retail'!$N$4:$N$238,'Data-Retail'!$A$4:$A$238,'GSC Support'!$B144,'Data-Retail'!$D$4:$D$238,'GSC Support'!$C144)</f>
        <v>17.95</v>
      </c>
      <c r="P144" s="323"/>
      <c r="Q144" s="323"/>
      <c r="R144" s="323"/>
      <c r="S144" s="281">
        <f ca="1">SUMIFS('Apr11-Mar12 Billed-RETAIL'!$BA$5:$BA$138,'Apr11-Mar12 Billed-RETAIL'!$B$5:$B$138,'GSC Support'!$B144,'Apr11-Mar12 Billed-RETAIL'!$C$5:$C$138,'GSC Support'!$C144)</f>
        <v>17.95</v>
      </c>
      <c r="T144" s="287">
        <v>11.77</v>
      </c>
      <c r="U144" s="287">
        <v>6.18</v>
      </c>
      <c r="V144" s="287">
        <f t="shared" si="18"/>
        <v>17.95</v>
      </c>
      <c r="W144" s="288">
        <f t="shared" ca="1" si="19"/>
        <v>0</v>
      </c>
    </row>
    <row r="145" spans="1:23" x14ac:dyDescent="0.2">
      <c r="A145" s="196">
        <f t="shared" si="20"/>
        <v>140</v>
      </c>
      <c r="B145" s="211">
        <v>40756</v>
      </c>
      <c r="C145" s="211" t="str">
        <f>+'Retail Rates'!B30</f>
        <v>LGING992</v>
      </c>
      <c r="D145" s="197" t="str">
        <f t="shared" si="14"/>
        <v>992</v>
      </c>
      <c r="E145" s="197" t="str">
        <f>VLOOKUP(C145,'Retail Rates'!$B$7:$D$35,3,FALSE)</f>
        <v>SPC-EIDuP</v>
      </c>
      <c r="F145" s="222">
        <f>SUMIFS('Data-Retail'!$H$4:$H$269,'Data-Retail'!$A$4:$A$269,'GSC Support'!$B145,'Data-Retail'!$D$4:$D$269,'GSC Support'!$C145)</f>
        <v>0</v>
      </c>
      <c r="G145" s="222">
        <f>SUMIFS('Data-Retail'!$I$4:$I$269,'Data-Retail'!$A$4:$A$269,'GSC Support'!$B145,'Data-Retail'!$D$4:$D$269,'GSC Support'!$C145)</f>
        <v>0</v>
      </c>
      <c r="H145" s="222">
        <f t="shared" si="17"/>
        <v>0</v>
      </c>
      <c r="I145" s="286"/>
      <c r="J145" s="286"/>
      <c r="K145" s="286"/>
      <c r="L145" s="286">
        <f t="shared" si="15"/>
        <v>0</v>
      </c>
      <c r="M145" s="279">
        <f t="shared" si="16"/>
        <v>0</v>
      </c>
      <c r="O145" s="323">
        <f>SUMIFS('Data-Retail'!$N$4:$N$238,'Data-Retail'!$A$4:$A$238,'GSC Support'!$B145,'Data-Retail'!$D$4:$D$238,'GSC Support'!$C145)</f>
        <v>0</v>
      </c>
      <c r="P145" s="323"/>
      <c r="Q145" s="323"/>
      <c r="R145" s="323"/>
      <c r="S145" s="281">
        <f>SUMIFS('Apr11-Mar12 Billed-RETAIL'!$BA$5:$BA$138,'Apr11-Mar12 Billed-RETAIL'!$B$5:$B$138,'GSC Support'!$B145,'Apr11-Mar12 Billed-RETAIL'!$C$5:$C$138,'GSC Support'!$C145)</f>
        <v>0</v>
      </c>
      <c r="T145" s="287"/>
      <c r="U145" s="287"/>
      <c r="V145" s="287">
        <f t="shared" si="18"/>
        <v>0</v>
      </c>
      <c r="W145" s="288">
        <f t="shared" si="19"/>
        <v>0</v>
      </c>
    </row>
    <row r="146" spans="1:23" x14ac:dyDescent="0.2">
      <c r="A146" s="196">
        <f t="shared" si="20"/>
        <v>141</v>
      </c>
      <c r="B146" s="211">
        <v>40756</v>
      </c>
      <c r="C146" s="211" t="str">
        <f>+'Retail Rates'!B31</f>
        <v>LGING896FD</v>
      </c>
      <c r="D146" s="197" t="str">
        <f t="shared" si="14"/>
        <v>896</v>
      </c>
      <c r="E146" s="197" t="str">
        <f>VLOOKUP(C146,'Retail Rates'!$B$7:$D$35,3,FALSE)</f>
        <v>SPC-FORD</v>
      </c>
      <c r="F146" s="222">
        <f>SUMIFS('Data-Retail'!$H$4:$H$269,'Data-Retail'!$A$4:$A$269,'GSC Support'!$B146,'Data-Retail'!$D$4:$D$269,'GSC Support'!$C146)</f>
        <v>0</v>
      </c>
      <c r="G146" s="222">
        <f>SUMIFS('Data-Retail'!$I$4:$I$269,'Data-Retail'!$A$4:$A$269,'GSC Support'!$B146,'Data-Retail'!$D$4:$D$269,'GSC Support'!$C146)</f>
        <v>0</v>
      </c>
      <c r="H146" s="222">
        <f t="shared" si="17"/>
        <v>0</v>
      </c>
      <c r="I146" s="286"/>
      <c r="J146" s="286"/>
      <c r="K146" s="286"/>
      <c r="L146" s="286">
        <f t="shared" si="15"/>
        <v>0</v>
      </c>
      <c r="M146" s="279">
        <f t="shared" si="16"/>
        <v>0</v>
      </c>
      <c r="O146" s="323">
        <f>SUMIFS('Data-Retail'!$N$4:$N$238,'Data-Retail'!$A$4:$A$238,'GSC Support'!$B146,'Data-Retail'!$D$4:$D$238,'GSC Support'!$C146)</f>
        <v>0</v>
      </c>
      <c r="P146" s="323"/>
      <c r="Q146" s="323"/>
      <c r="R146" s="323"/>
      <c r="S146" s="281">
        <f>SUMIFS('Apr11-Mar12 Billed-RETAIL'!$BA$5:$BA$138,'Apr11-Mar12 Billed-RETAIL'!$B$5:$B$138,'GSC Support'!$B146,'Apr11-Mar12 Billed-RETAIL'!$C$5:$C$138,'GSC Support'!$C146)</f>
        <v>0</v>
      </c>
      <c r="T146" s="287"/>
      <c r="U146" s="287"/>
      <c r="V146" s="287">
        <f t="shared" si="18"/>
        <v>0</v>
      </c>
      <c r="W146" s="288">
        <f t="shared" si="19"/>
        <v>0</v>
      </c>
    </row>
    <row r="147" spans="1:23" x14ac:dyDescent="0.2">
      <c r="A147" s="196">
        <f t="shared" si="20"/>
        <v>142</v>
      </c>
      <c r="B147" s="211">
        <v>40756</v>
      </c>
      <c r="C147" s="211" t="str">
        <f>+'Retail Rates'!B32</f>
        <v>LGING896FM</v>
      </c>
      <c r="D147" s="197" t="str">
        <f t="shared" si="14"/>
        <v>896</v>
      </c>
      <c r="E147" s="197" t="str">
        <f>VLOOKUP(C147,'Retail Rates'!$B$7:$D$35,3,FALSE)</f>
        <v>SPC-FORD-PM</v>
      </c>
      <c r="F147" s="222">
        <f>SUMIFS('Data-Retail'!$H$4:$H$269,'Data-Retail'!$A$4:$A$269,'GSC Support'!$B147,'Data-Retail'!$D$4:$D$269,'GSC Support'!$C147)</f>
        <v>0</v>
      </c>
      <c r="G147" s="222">
        <f>SUMIFS('Data-Retail'!$I$4:$I$269,'Data-Retail'!$A$4:$A$269,'GSC Support'!$B147,'Data-Retail'!$D$4:$D$269,'GSC Support'!$C147)</f>
        <v>0</v>
      </c>
      <c r="H147" s="222">
        <f t="shared" si="17"/>
        <v>0</v>
      </c>
      <c r="I147" s="286"/>
      <c r="J147" s="286"/>
      <c r="K147" s="286"/>
      <c r="L147" s="286">
        <f t="shared" si="15"/>
        <v>0</v>
      </c>
      <c r="M147" s="279">
        <f t="shared" si="16"/>
        <v>0</v>
      </c>
      <c r="O147" s="323">
        <f>SUMIFS('Data-Retail'!$N$4:$N$238,'Data-Retail'!$A$4:$A$238,'GSC Support'!$B147,'Data-Retail'!$D$4:$D$238,'GSC Support'!$C147)</f>
        <v>0</v>
      </c>
      <c r="P147" s="323"/>
      <c r="Q147" s="323"/>
      <c r="R147" s="323"/>
      <c r="S147" s="281">
        <f>SUMIFS('Apr11-Mar12 Billed-RETAIL'!$BA$5:$BA$138,'Apr11-Mar12 Billed-RETAIL'!$B$5:$B$138,'GSC Support'!$B147,'Apr11-Mar12 Billed-RETAIL'!$C$5:$C$138,'GSC Support'!$C147)</f>
        <v>0</v>
      </c>
      <c r="T147" s="287"/>
      <c r="U147" s="287"/>
      <c r="V147" s="287">
        <f t="shared" si="18"/>
        <v>0</v>
      </c>
      <c r="W147" s="288">
        <f t="shared" si="19"/>
        <v>0</v>
      </c>
    </row>
    <row r="148" spans="1:23" x14ac:dyDescent="0.2">
      <c r="A148" s="196">
        <f t="shared" si="20"/>
        <v>143</v>
      </c>
      <c r="B148" s="211">
        <v>40756</v>
      </c>
      <c r="C148" s="211" t="str">
        <f>+'Retail Rates'!B33</f>
        <v>LGCMG991</v>
      </c>
      <c r="D148" s="197" t="str">
        <f t="shared" si="14"/>
        <v>991</v>
      </c>
      <c r="E148" s="197" t="str">
        <f>VLOOKUP(C148,'Retail Rates'!$B$7:$D$35,3,FALSE)</f>
        <v>SPC-FTKX</v>
      </c>
      <c r="F148" s="222">
        <f>SUMIFS('Data-Retail'!$H$4:$H$269,'Data-Retail'!$A$4:$A$269,'GSC Support'!$B148,'Data-Retail'!$D$4:$D$269,'GSC Support'!$C148)</f>
        <v>0</v>
      </c>
      <c r="G148" s="222">
        <f>SUMIFS('Data-Retail'!$I$4:$I$269,'Data-Retail'!$A$4:$A$269,'GSC Support'!$B148,'Data-Retail'!$D$4:$D$269,'GSC Support'!$C148)</f>
        <v>0</v>
      </c>
      <c r="H148" s="222">
        <f t="shared" si="17"/>
        <v>0</v>
      </c>
      <c r="I148" s="286"/>
      <c r="J148" s="286"/>
      <c r="K148" s="286"/>
      <c r="L148" s="286">
        <f t="shared" si="15"/>
        <v>0</v>
      </c>
      <c r="M148" s="279">
        <f t="shared" si="16"/>
        <v>0</v>
      </c>
      <c r="O148" s="323">
        <f>SUMIFS('Data-Retail'!$N$4:$N$238,'Data-Retail'!$A$4:$A$238,'GSC Support'!$B148,'Data-Retail'!$D$4:$D$238,'GSC Support'!$C148)</f>
        <v>0</v>
      </c>
      <c r="P148" s="323"/>
      <c r="Q148" s="323"/>
      <c r="R148" s="323"/>
      <c r="S148" s="281">
        <f>SUMIFS('Apr11-Mar12 Billed-RETAIL'!$BA$5:$BA$138,'Apr11-Mar12 Billed-RETAIL'!$B$5:$B$138,'GSC Support'!$B148,'Apr11-Mar12 Billed-RETAIL'!$C$5:$C$138,'GSC Support'!$C148)</f>
        <v>0</v>
      </c>
      <c r="T148" s="287"/>
      <c r="U148" s="287"/>
      <c r="V148" s="287">
        <f t="shared" si="18"/>
        <v>0</v>
      </c>
      <c r="W148" s="288">
        <f t="shared" si="19"/>
        <v>0</v>
      </c>
    </row>
    <row r="149" spans="1:23" x14ac:dyDescent="0.2">
      <c r="A149" s="196">
        <f t="shared" si="20"/>
        <v>144</v>
      </c>
      <c r="B149" s="211">
        <v>40756</v>
      </c>
      <c r="C149" s="211" t="str">
        <f>+'Retail Rates'!B34</f>
        <v>LGING996</v>
      </c>
      <c r="D149" s="197" t="str">
        <f t="shared" si="14"/>
        <v>996</v>
      </c>
      <c r="E149" s="197" t="str">
        <f>VLOOKUP(C149,'Retail Rates'!$B$7:$D$35,3,FALSE)</f>
        <v>SPC-LGE</v>
      </c>
      <c r="F149" s="222">
        <f>SUMIFS('Data-Retail'!$H$4:$H$269,'Data-Retail'!$A$4:$A$269,'GSC Support'!$B149,'Data-Retail'!$D$4:$D$269,'GSC Support'!$C149)</f>
        <v>0</v>
      </c>
      <c r="G149" s="222">
        <f>SUMIFS('Data-Retail'!$I$4:$I$269,'Data-Retail'!$A$4:$A$269,'GSC Support'!$B149,'Data-Retail'!$D$4:$D$269,'GSC Support'!$C149)</f>
        <v>0</v>
      </c>
      <c r="H149" s="222">
        <f t="shared" si="17"/>
        <v>0</v>
      </c>
      <c r="I149" s="286">
        <v>878119</v>
      </c>
      <c r="J149" s="286"/>
      <c r="K149" s="286"/>
      <c r="L149" s="286">
        <f t="shared" si="15"/>
        <v>878119</v>
      </c>
      <c r="M149" s="279">
        <f t="shared" si="16"/>
        <v>-878119</v>
      </c>
      <c r="O149" s="323">
        <f>SUMIFS('Data-Retail'!$N$4:$N$238,'Data-Retail'!$A$4:$A$238,'GSC Support'!$B149,'Data-Retail'!$D$4:$D$238,'GSC Support'!$C149)</f>
        <v>0</v>
      </c>
      <c r="P149" s="323"/>
      <c r="Q149" s="323"/>
      <c r="R149" s="323"/>
      <c r="S149" s="281">
        <f>SUMIFS('Apr11-Mar12 Billed-RETAIL'!$BA$5:$BA$138,'Apr11-Mar12 Billed-RETAIL'!$B$5:$B$138,'GSC Support'!$B149,'Apr11-Mar12 Billed-RETAIL'!$C$5:$C$138,'GSC Support'!$C149)</f>
        <v>0</v>
      </c>
      <c r="T149" s="287">
        <v>492185.7</v>
      </c>
      <c r="U149" s="287"/>
      <c r="V149" s="287">
        <f t="shared" si="18"/>
        <v>492185.7</v>
      </c>
      <c r="W149" s="288">
        <f t="shared" si="19"/>
        <v>-492185.7</v>
      </c>
    </row>
    <row r="150" spans="1:23" x14ac:dyDescent="0.2">
      <c r="A150" s="196">
        <f t="shared" si="20"/>
        <v>145</v>
      </c>
      <c r="B150" s="211">
        <v>40756</v>
      </c>
      <c r="C150" s="211" t="str">
        <f>+'Retail Rates'!B35</f>
        <v>LGING997</v>
      </c>
      <c r="D150" s="197" t="str">
        <f t="shared" si="14"/>
        <v>997</v>
      </c>
      <c r="E150" s="197" t="str">
        <f>VLOOKUP(C150,'Retail Rates'!$B$7:$D$35,3,FALSE)</f>
        <v>SPC-PADDY</v>
      </c>
      <c r="F150" s="222">
        <f>SUMIFS('Data-Retail'!$H$4:$H$269,'Data-Retail'!$A$4:$A$269,'GSC Support'!$B150,'Data-Retail'!$D$4:$D$269,'GSC Support'!$C150)</f>
        <v>0</v>
      </c>
      <c r="G150" s="222">
        <f>SUMIFS('Data-Retail'!$I$4:$I$269,'Data-Retail'!$A$4:$A$269,'GSC Support'!$B150,'Data-Retail'!$D$4:$D$269,'GSC Support'!$C150)</f>
        <v>0</v>
      </c>
      <c r="H150" s="222">
        <f t="shared" si="17"/>
        <v>0</v>
      </c>
      <c r="I150" s="286"/>
      <c r="J150" s="286"/>
      <c r="K150" s="286"/>
      <c r="L150" s="286">
        <f t="shared" si="15"/>
        <v>0</v>
      </c>
      <c r="M150" s="279">
        <f t="shared" si="16"/>
        <v>0</v>
      </c>
      <c r="O150" s="323">
        <f>SUMIFS('Data-Retail'!$N$4:$N$238,'Data-Retail'!$A$4:$A$238,'GSC Support'!$B150,'Data-Retail'!$D$4:$D$238,'GSC Support'!$C150)</f>
        <v>0</v>
      </c>
      <c r="P150" s="323"/>
      <c r="Q150" s="323"/>
      <c r="R150" s="323"/>
      <c r="S150" s="281">
        <f>SUMIFS('Apr11-Mar12 Billed-RETAIL'!$BA$5:$BA$138,'Apr11-Mar12 Billed-RETAIL'!$B$5:$B$138,'GSC Support'!$B150,'Apr11-Mar12 Billed-RETAIL'!$C$5:$C$138,'GSC Support'!$C150)</f>
        <v>0</v>
      </c>
      <c r="T150" s="287"/>
      <c r="U150" s="287"/>
      <c r="V150" s="287">
        <f t="shared" si="18"/>
        <v>0</v>
      </c>
      <c r="W150" s="288">
        <f t="shared" si="19"/>
        <v>0</v>
      </c>
    </row>
    <row r="151" spans="1:23" x14ac:dyDescent="0.2">
      <c r="A151" s="196">
        <f t="shared" si="20"/>
        <v>146</v>
      </c>
      <c r="B151" s="211">
        <v>40787</v>
      </c>
      <c r="C151" s="211" t="str">
        <f>+'Retail Rates'!B7</f>
        <v>LGCMG865</v>
      </c>
      <c r="D151" s="197" t="str">
        <f t="shared" si="14"/>
        <v>865</v>
      </c>
      <c r="E151" s="197" t="str">
        <f>VLOOKUP(C151,'Retail Rates'!$B$7:$D$35,3,FALSE)</f>
        <v>AAGS-C</v>
      </c>
      <c r="F151" s="222">
        <f>SUMIFS('Data-Retail'!$H$4:$H$269,'Data-Retail'!$A$4:$A$269,'GSC Support'!$B151,'Data-Retail'!$D$4:$D$269,'GSC Support'!$C151)</f>
        <v>87880</v>
      </c>
      <c r="G151" s="222">
        <f>SUMIFS('Data-Retail'!$I$4:$I$269,'Data-Retail'!$A$4:$A$269,'GSC Support'!$B151,'Data-Retail'!$D$4:$D$269,'GSC Support'!$C151)</f>
        <v>0</v>
      </c>
      <c r="H151" s="222">
        <f t="shared" si="17"/>
        <v>87880</v>
      </c>
      <c r="I151" s="286">
        <v>87880</v>
      </c>
      <c r="J151" s="286"/>
      <c r="K151" s="286"/>
      <c r="L151" s="286">
        <f t="shared" si="15"/>
        <v>87880</v>
      </c>
      <c r="M151" s="279">
        <f t="shared" si="16"/>
        <v>0</v>
      </c>
      <c r="O151" s="323">
        <f>SUMIFS('Data-Retail'!$N$4:$N$238,'Data-Retail'!$A$4:$A$238,'GSC Support'!$B151,'Data-Retail'!$D$4:$D$238,'GSC Support'!$C151)</f>
        <v>49256.75</v>
      </c>
      <c r="P151" s="323"/>
      <c r="Q151" s="323"/>
      <c r="R151" s="323"/>
      <c r="S151" s="281">
        <f ca="1">SUMIFS('Apr11-Mar12 Billed-RETAIL'!$BA$5:$BA$138,'Apr11-Mar12 Billed-RETAIL'!$B$5:$B$138,'GSC Support'!$B151,'Apr11-Mar12 Billed-RETAIL'!$C$5:$C$138,'GSC Support'!$C151)</f>
        <v>49256.75</v>
      </c>
      <c r="T151" s="287">
        <v>49256.75</v>
      </c>
      <c r="U151" s="287"/>
      <c r="V151" s="287">
        <f t="shared" si="18"/>
        <v>49256.75</v>
      </c>
      <c r="W151" s="288">
        <f t="shared" ca="1" si="19"/>
        <v>0</v>
      </c>
    </row>
    <row r="152" spans="1:23" x14ac:dyDescent="0.2">
      <c r="A152" s="196">
        <f t="shared" si="20"/>
        <v>147</v>
      </c>
      <c r="B152" s="211">
        <v>40787</v>
      </c>
      <c r="C152" s="211" t="str">
        <f>+'Retail Rates'!B8</f>
        <v>LGCMG891</v>
      </c>
      <c r="D152" s="197" t="str">
        <f t="shared" si="14"/>
        <v>891</v>
      </c>
      <c r="E152" s="197" t="str">
        <f>VLOOKUP(C152,'Retail Rates'!$B$7:$D$35,3,FALSE)</f>
        <v>AAGS-C-TS</v>
      </c>
      <c r="F152" s="222">
        <f>SUMIFS('Data-Retail'!$H$4:$H$269,'Data-Retail'!$A$4:$A$269,'GSC Support'!$B152,'Data-Retail'!$D$4:$D$269,'GSC Support'!$C152)</f>
        <v>0</v>
      </c>
      <c r="G152" s="222">
        <f>SUMIFS('Data-Retail'!$I$4:$I$269,'Data-Retail'!$A$4:$A$269,'GSC Support'!$B152,'Data-Retail'!$D$4:$D$269,'GSC Support'!$C152)</f>
        <v>0</v>
      </c>
      <c r="H152" s="222">
        <f t="shared" si="17"/>
        <v>0</v>
      </c>
      <c r="I152" s="286"/>
      <c r="J152" s="286"/>
      <c r="K152" s="286"/>
      <c r="L152" s="286">
        <f t="shared" si="15"/>
        <v>0</v>
      </c>
      <c r="M152" s="279">
        <f t="shared" si="16"/>
        <v>0</v>
      </c>
      <c r="O152" s="323">
        <f>SUMIFS('Data-Retail'!$N$4:$N$238,'Data-Retail'!$A$4:$A$238,'GSC Support'!$B152,'Data-Retail'!$D$4:$D$238,'GSC Support'!$C152)</f>
        <v>0</v>
      </c>
      <c r="P152" s="323"/>
      <c r="Q152" s="323"/>
      <c r="R152" s="323"/>
      <c r="S152" s="281">
        <f>SUMIFS('Apr11-Mar12 Billed-RETAIL'!$BA$5:$BA$138,'Apr11-Mar12 Billed-RETAIL'!$B$5:$B$138,'GSC Support'!$B152,'Apr11-Mar12 Billed-RETAIL'!$C$5:$C$138,'GSC Support'!$C152)</f>
        <v>0</v>
      </c>
      <c r="T152" s="287"/>
      <c r="U152" s="287"/>
      <c r="V152" s="287">
        <f t="shared" si="18"/>
        <v>0</v>
      </c>
      <c r="W152" s="288">
        <f t="shared" si="19"/>
        <v>0</v>
      </c>
    </row>
    <row r="153" spans="1:23" x14ac:dyDescent="0.2">
      <c r="A153" s="196">
        <f t="shared" si="20"/>
        <v>148</v>
      </c>
      <c r="B153" s="211">
        <v>40787</v>
      </c>
      <c r="C153" s="211" t="str">
        <f>+'Retail Rates'!B9</f>
        <v>LGCMG891PM</v>
      </c>
      <c r="D153" s="197" t="str">
        <f t="shared" si="14"/>
        <v>891</v>
      </c>
      <c r="E153" s="197" t="str">
        <f>VLOOKUP(C153,'Retail Rates'!$B$7:$D$35,3,FALSE)</f>
        <v>AAGS-C-TS-PM</v>
      </c>
      <c r="F153" s="222">
        <f>SUMIFS('Data-Retail'!$H$4:$H$269,'Data-Retail'!$A$4:$A$269,'GSC Support'!$B153,'Data-Retail'!$D$4:$D$269,'GSC Support'!$C153)</f>
        <v>0</v>
      </c>
      <c r="G153" s="222">
        <f>SUMIFS('Data-Retail'!$I$4:$I$269,'Data-Retail'!$A$4:$A$269,'GSC Support'!$B153,'Data-Retail'!$D$4:$D$269,'GSC Support'!$C153)</f>
        <v>0</v>
      </c>
      <c r="H153" s="222">
        <f t="shared" si="17"/>
        <v>0</v>
      </c>
      <c r="I153" s="286"/>
      <c r="J153" s="286"/>
      <c r="K153" s="286"/>
      <c r="L153" s="286">
        <f t="shared" si="15"/>
        <v>0</v>
      </c>
      <c r="M153" s="279">
        <f t="shared" si="16"/>
        <v>0</v>
      </c>
      <c r="O153" s="323">
        <f>SUMIFS('Data-Retail'!$N$4:$N$238,'Data-Retail'!$A$4:$A$238,'GSC Support'!$B153,'Data-Retail'!$D$4:$D$238,'GSC Support'!$C153)</f>
        <v>0</v>
      </c>
      <c r="P153" s="323"/>
      <c r="Q153" s="323"/>
      <c r="R153" s="323"/>
      <c r="S153" s="281">
        <f>SUMIFS('Apr11-Mar12 Billed-RETAIL'!$BA$5:$BA$138,'Apr11-Mar12 Billed-RETAIL'!$B$5:$B$138,'GSC Support'!$B153,'Apr11-Mar12 Billed-RETAIL'!$C$5:$C$138,'GSC Support'!$C153)</f>
        <v>0</v>
      </c>
      <c r="T153" s="287"/>
      <c r="U153" s="287"/>
      <c r="V153" s="287">
        <f t="shared" si="18"/>
        <v>0</v>
      </c>
      <c r="W153" s="288">
        <f t="shared" si="19"/>
        <v>0</v>
      </c>
    </row>
    <row r="154" spans="1:23" x14ac:dyDescent="0.2">
      <c r="A154" s="196">
        <f t="shared" si="20"/>
        <v>149</v>
      </c>
      <c r="B154" s="211">
        <v>40787</v>
      </c>
      <c r="C154" s="211" t="str">
        <f>+'Retail Rates'!B10</f>
        <v>LGING866</v>
      </c>
      <c r="D154" s="197" t="str">
        <f t="shared" si="14"/>
        <v>866</v>
      </c>
      <c r="E154" s="197" t="str">
        <f>VLOOKUP(C154,'Retail Rates'!$B$7:$D$35,3,FALSE)</f>
        <v>AAGS-I</v>
      </c>
      <c r="F154" s="222">
        <f>SUMIFS('Data-Retail'!$H$4:$H$269,'Data-Retail'!$A$4:$A$269,'GSC Support'!$B154,'Data-Retail'!$D$4:$D$269,'GSC Support'!$C154)</f>
        <v>62542</v>
      </c>
      <c r="G154" s="222">
        <f>SUMIFS('Data-Retail'!$I$4:$I$269,'Data-Retail'!$A$4:$A$269,'GSC Support'!$B154,'Data-Retail'!$D$4:$D$269,'GSC Support'!$C154)</f>
        <v>0</v>
      </c>
      <c r="H154" s="222">
        <f t="shared" si="17"/>
        <v>62542</v>
      </c>
      <c r="I154" s="286">
        <v>62542</v>
      </c>
      <c r="J154" s="286"/>
      <c r="K154" s="286"/>
      <c r="L154" s="286">
        <f t="shared" si="15"/>
        <v>62542</v>
      </c>
      <c r="M154" s="279">
        <f t="shared" si="16"/>
        <v>0</v>
      </c>
      <c r="O154" s="323">
        <f>SUMIFS('Data-Retail'!$N$4:$N$238,'Data-Retail'!$A$4:$A$238,'GSC Support'!$B154,'Data-Retail'!$D$4:$D$238,'GSC Support'!$C154)</f>
        <v>35054.800000000003</v>
      </c>
      <c r="P154" s="323"/>
      <c r="Q154" s="323"/>
      <c r="R154" s="323"/>
      <c r="S154" s="281">
        <f ca="1">SUMIFS('Apr11-Mar12 Billed-RETAIL'!$BA$5:$BA$138,'Apr11-Mar12 Billed-RETAIL'!$B$5:$B$138,'GSC Support'!$B154,'Apr11-Mar12 Billed-RETAIL'!$C$5:$C$138,'GSC Support'!$C154)</f>
        <v>35054.800000000003</v>
      </c>
      <c r="T154" s="287">
        <v>35054.800000000003</v>
      </c>
      <c r="U154" s="287"/>
      <c r="V154" s="287">
        <f t="shared" si="18"/>
        <v>35054.800000000003</v>
      </c>
      <c r="W154" s="288">
        <f t="shared" ca="1" si="19"/>
        <v>0</v>
      </c>
    </row>
    <row r="155" spans="1:23" x14ac:dyDescent="0.2">
      <c r="A155" s="196">
        <f t="shared" si="20"/>
        <v>150</v>
      </c>
      <c r="B155" s="211">
        <v>40787</v>
      </c>
      <c r="C155" s="211" t="str">
        <f>+'Retail Rates'!B11</f>
        <v>LGING892</v>
      </c>
      <c r="D155" s="197" t="str">
        <f t="shared" si="14"/>
        <v>892</v>
      </c>
      <c r="E155" s="197" t="str">
        <f>VLOOKUP(C155,'Retail Rates'!$B$7:$D$35,3,FALSE)</f>
        <v>AAGS-I-TS</v>
      </c>
      <c r="F155" s="222">
        <f>SUMIFS('Data-Retail'!$H$4:$H$269,'Data-Retail'!$A$4:$A$269,'GSC Support'!$B155,'Data-Retail'!$D$4:$D$269,'GSC Support'!$C155)</f>
        <v>0</v>
      </c>
      <c r="G155" s="222">
        <f>SUMIFS('Data-Retail'!$I$4:$I$269,'Data-Retail'!$A$4:$A$269,'GSC Support'!$B155,'Data-Retail'!$D$4:$D$269,'GSC Support'!$C155)</f>
        <v>0</v>
      </c>
      <c r="H155" s="222">
        <f t="shared" si="17"/>
        <v>0</v>
      </c>
      <c r="I155" s="286"/>
      <c r="J155" s="286"/>
      <c r="K155" s="286"/>
      <c r="L155" s="286">
        <f t="shared" si="15"/>
        <v>0</v>
      </c>
      <c r="M155" s="279">
        <f t="shared" si="16"/>
        <v>0</v>
      </c>
      <c r="O155" s="323">
        <f>SUMIFS('Data-Retail'!$N$4:$N$238,'Data-Retail'!$A$4:$A$238,'GSC Support'!$B155,'Data-Retail'!$D$4:$D$238,'GSC Support'!$C155)</f>
        <v>0</v>
      </c>
      <c r="P155" s="323"/>
      <c r="Q155" s="323"/>
      <c r="R155" s="323"/>
      <c r="S155" s="281">
        <f>SUMIFS('Apr11-Mar12 Billed-RETAIL'!$BA$5:$BA$138,'Apr11-Mar12 Billed-RETAIL'!$B$5:$B$138,'GSC Support'!$B155,'Apr11-Mar12 Billed-RETAIL'!$C$5:$C$138,'GSC Support'!$C155)</f>
        <v>0</v>
      </c>
      <c r="T155" s="287"/>
      <c r="U155" s="287"/>
      <c r="V155" s="287">
        <f t="shared" si="18"/>
        <v>0</v>
      </c>
      <c r="W155" s="288">
        <f t="shared" si="19"/>
        <v>0</v>
      </c>
    </row>
    <row r="156" spans="1:23" x14ac:dyDescent="0.2">
      <c r="A156" s="196">
        <f t="shared" si="20"/>
        <v>151</v>
      </c>
      <c r="B156" s="211">
        <v>40787</v>
      </c>
      <c r="C156" s="211" t="str">
        <f>+'Retail Rates'!B12</f>
        <v>LGING892PM</v>
      </c>
      <c r="D156" s="197" t="str">
        <f t="shared" si="14"/>
        <v>892</v>
      </c>
      <c r="E156" s="197" t="str">
        <f>VLOOKUP(C156,'Retail Rates'!$B$7:$D$35,3,FALSE)</f>
        <v>AAGS-I-TS-PM</v>
      </c>
      <c r="F156" s="222">
        <f>SUMIFS('Data-Retail'!$H$4:$H$269,'Data-Retail'!$A$4:$A$269,'GSC Support'!$B156,'Data-Retail'!$D$4:$D$269,'GSC Support'!$C156)</f>
        <v>0</v>
      </c>
      <c r="G156" s="222">
        <f>SUMIFS('Data-Retail'!$I$4:$I$269,'Data-Retail'!$A$4:$A$269,'GSC Support'!$B156,'Data-Retail'!$D$4:$D$269,'GSC Support'!$C156)</f>
        <v>0</v>
      </c>
      <c r="H156" s="222">
        <f t="shared" si="17"/>
        <v>0</v>
      </c>
      <c r="I156" s="286"/>
      <c r="J156" s="286"/>
      <c r="K156" s="286"/>
      <c r="L156" s="286">
        <f t="shared" si="15"/>
        <v>0</v>
      </c>
      <c r="M156" s="279">
        <f t="shared" si="16"/>
        <v>0</v>
      </c>
      <c r="O156" s="323">
        <f>SUMIFS('Data-Retail'!$N$4:$N$238,'Data-Retail'!$A$4:$A$238,'GSC Support'!$B156,'Data-Retail'!$D$4:$D$238,'GSC Support'!$C156)</f>
        <v>0</v>
      </c>
      <c r="P156" s="323"/>
      <c r="Q156" s="323"/>
      <c r="R156" s="323"/>
      <c r="S156" s="281">
        <f>SUMIFS('Apr11-Mar12 Billed-RETAIL'!$BA$5:$BA$138,'Apr11-Mar12 Billed-RETAIL'!$B$5:$B$138,'GSC Support'!$B156,'Apr11-Mar12 Billed-RETAIL'!$C$5:$C$138,'GSC Support'!$C156)</f>
        <v>0</v>
      </c>
      <c r="T156" s="287"/>
      <c r="U156" s="287"/>
      <c r="V156" s="287">
        <f t="shared" si="18"/>
        <v>0</v>
      </c>
      <c r="W156" s="288">
        <f t="shared" si="19"/>
        <v>0</v>
      </c>
    </row>
    <row r="157" spans="1:23" x14ac:dyDescent="0.2">
      <c r="A157" s="196">
        <f t="shared" si="20"/>
        <v>152</v>
      </c>
      <c r="B157" s="211">
        <v>40787</v>
      </c>
      <c r="C157" s="211" t="str">
        <f>+'Retail Rates'!B13</f>
        <v>LGCMG851</v>
      </c>
      <c r="D157" s="197" t="str">
        <f t="shared" si="14"/>
        <v>851</v>
      </c>
      <c r="E157" s="197" t="str">
        <f>VLOOKUP(C157,'Retail Rates'!$B$7:$D$35,3,FALSE)</f>
        <v>CGS</v>
      </c>
      <c r="F157" s="222">
        <f>SUMIFS('Data-Retail'!$H$4:$H$269,'Data-Retail'!$A$4:$A$269,'GSC Support'!$B157,'Data-Retail'!$D$4:$D$269,'GSC Support'!$C157)</f>
        <v>1946927</v>
      </c>
      <c r="G157" s="222">
        <f>SUMIFS('Data-Retail'!$I$4:$I$269,'Data-Retail'!$A$4:$A$269,'GSC Support'!$B157,'Data-Retail'!$D$4:$D$269,'GSC Support'!$C157)</f>
        <v>1133611</v>
      </c>
      <c r="H157" s="222">
        <f t="shared" si="17"/>
        <v>3080538</v>
      </c>
      <c r="I157" s="286">
        <v>2924222</v>
      </c>
      <c r="J157" s="286">
        <v>156316</v>
      </c>
      <c r="K157" s="286"/>
      <c r="L157" s="286">
        <f t="shared" si="15"/>
        <v>3080538</v>
      </c>
      <c r="M157" s="279">
        <f t="shared" si="16"/>
        <v>0</v>
      </c>
      <c r="O157" s="323">
        <f>SUMIFS('Data-Retail'!$N$4:$N$238,'Data-Retail'!$A$4:$A$238,'GSC Support'!$B157,'Data-Retail'!$D$4:$D$238,'GSC Support'!$C157)</f>
        <v>1726522.73</v>
      </c>
      <c r="P157" s="323"/>
      <c r="Q157" s="323"/>
      <c r="R157" s="323"/>
      <c r="S157" s="281">
        <f ca="1">SUMIFS('Apr11-Mar12 Billed-RETAIL'!$BA$5:$BA$138,'Apr11-Mar12 Billed-RETAIL'!$B$5:$B$138,'GSC Support'!$B157,'Apr11-Mar12 Billed-RETAIL'!$C$5:$C$138,'GSC Support'!$C157)</f>
        <v>1726522.73</v>
      </c>
      <c r="T157" s="287">
        <v>1639023.69</v>
      </c>
      <c r="U157" s="287">
        <v>87499.04</v>
      </c>
      <c r="V157" s="287">
        <f t="shared" si="18"/>
        <v>1726522.73</v>
      </c>
      <c r="W157" s="288">
        <f t="shared" ca="1" si="19"/>
        <v>0</v>
      </c>
    </row>
    <row r="158" spans="1:23" x14ac:dyDescent="0.2">
      <c r="A158" s="196">
        <f t="shared" si="20"/>
        <v>153</v>
      </c>
      <c r="B158" s="211">
        <v>40787</v>
      </c>
      <c r="C158" s="211" t="str">
        <f>+'Retail Rates'!B14</f>
        <v>LGUMG860</v>
      </c>
      <c r="D158" s="197" t="str">
        <f t="shared" si="14"/>
        <v>860</v>
      </c>
      <c r="E158" s="197" t="str">
        <f>VLOOKUP(C158,'Retail Rates'!$B$7:$D$35,3,FALSE)</f>
        <v>CGS</v>
      </c>
      <c r="F158" s="222">
        <f>SUMIFS('Data-Retail'!$H$4:$H$269,'Data-Retail'!$A$4:$A$269,'GSC Support'!$B158,'Data-Retail'!$D$4:$D$269,'GSC Support'!$C158)</f>
        <v>358</v>
      </c>
      <c r="G158" s="222">
        <f>SUMIFS('Data-Retail'!$I$4:$I$269,'Data-Retail'!$A$4:$A$269,'GSC Support'!$B158,'Data-Retail'!$D$4:$D$269,'GSC Support'!$C158)</f>
        <v>0</v>
      </c>
      <c r="H158" s="222">
        <f t="shared" si="17"/>
        <v>358</v>
      </c>
      <c r="I158" s="286">
        <v>358</v>
      </c>
      <c r="J158" s="286"/>
      <c r="K158" s="286"/>
      <c r="L158" s="286">
        <f t="shared" si="15"/>
        <v>358</v>
      </c>
      <c r="M158" s="279">
        <f t="shared" si="16"/>
        <v>0</v>
      </c>
      <c r="O158" s="323">
        <f>SUMIFS('Data-Retail'!$N$4:$N$238,'Data-Retail'!$A$4:$A$238,'GSC Support'!$B158,'Data-Retail'!$D$4:$D$238,'GSC Support'!$C158)</f>
        <v>200.66</v>
      </c>
      <c r="P158" s="323"/>
      <c r="Q158" s="323"/>
      <c r="R158" s="323"/>
      <c r="S158" s="281">
        <f ca="1">SUMIFS('Apr11-Mar12 Billed-RETAIL'!$BA$5:$BA$138,'Apr11-Mar12 Billed-RETAIL'!$B$5:$B$138,'GSC Support'!$B158,'Apr11-Mar12 Billed-RETAIL'!$C$5:$C$138,'GSC Support'!$C158)</f>
        <v>200.66</v>
      </c>
      <c r="T158" s="287">
        <v>200.66</v>
      </c>
      <c r="U158" s="287"/>
      <c r="V158" s="287">
        <f t="shared" si="18"/>
        <v>200.66</v>
      </c>
      <c r="W158" s="288">
        <f t="shared" ca="1" si="19"/>
        <v>0</v>
      </c>
    </row>
    <row r="159" spans="1:23" x14ac:dyDescent="0.2">
      <c r="A159" s="196">
        <f t="shared" si="20"/>
        <v>154</v>
      </c>
      <c r="B159" s="211">
        <v>40787</v>
      </c>
      <c r="C159" s="211" t="str">
        <f>+'Retail Rates'!B15</f>
        <v>LGUMG861</v>
      </c>
      <c r="D159" s="197" t="str">
        <f t="shared" si="14"/>
        <v>861</v>
      </c>
      <c r="E159" s="197" t="str">
        <f>VLOOKUP(C159,'Retail Rates'!$B$7:$D$35,3,FALSE)</f>
        <v>CGS</v>
      </c>
      <c r="F159" s="222">
        <f>SUMIFS('Data-Retail'!$H$4:$H$269,'Data-Retail'!$A$4:$A$269,'GSC Support'!$B159,'Data-Retail'!$D$4:$D$269,'GSC Support'!$C159)</f>
        <v>613</v>
      </c>
      <c r="G159" s="222">
        <f>SUMIFS('Data-Retail'!$I$4:$I$269,'Data-Retail'!$A$4:$A$269,'GSC Support'!$B159,'Data-Retail'!$D$4:$D$269,'GSC Support'!$C159)</f>
        <v>0</v>
      </c>
      <c r="H159" s="222">
        <f t="shared" si="17"/>
        <v>613</v>
      </c>
      <c r="I159" s="286">
        <v>613</v>
      </c>
      <c r="J159" s="286"/>
      <c r="K159" s="286"/>
      <c r="L159" s="286">
        <f t="shared" si="15"/>
        <v>613</v>
      </c>
      <c r="M159" s="279">
        <f t="shared" si="16"/>
        <v>0</v>
      </c>
      <c r="O159" s="323">
        <f>SUMIFS('Data-Retail'!$N$4:$N$238,'Data-Retail'!$A$4:$A$238,'GSC Support'!$B159,'Data-Retail'!$D$4:$D$238,'GSC Support'!$C159)</f>
        <v>343.28</v>
      </c>
      <c r="P159" s="323"/>
      <c r="Q159" s="323"/>
      <c r="R159" s="323"/>
      <c r="S159" s="281">
        <f ca="1">SUMIFS('Apr11-Mar12 Billed-RETAIL'!$BA$5:$BA$138,'Apr11-Mar12 Billed-RETAIL'!$B$5:$B$138,'GSC Support'!$B159,'Apr11-Mar12 Billed-RETAIL'!$C$5:$C$138,'GSC Support'!$C159)</f>
        <v>343.28</v>
      </c>
      <c r="T159" s="287">
        <v>343.28</v>
      </c>
      <c r="U159" s="287"/>
      <c r="V159" s="287">
        <f t="shared" si="18"/>
        <v>343.28</v>
      </c>
      <c r="W159" s="288">
        <f t="shared" ca="1" si="19"/>
        <v>0</v>
      </c>
    </row>
    <row r="160" spans="1:23" x14ac:dyDescent="0.2">
      <c r="A160" s="196">
        <f t="shared" si="20"/>
        <v>155</v>
      </c>
      <c r="B160" s="211">
        <v>40787</v>
      </c>
      <c r="C160" s="211" t="str">
        <f>+'Retail Rates'!B16</f>
        <v>LGCMG881</v>
      </c>
      <c r="D160" s="197" t="str">
        <f t="shared" si="14"/>
        <v>881</v>
      </c>
      <c r="E160" s="197" t="str">
        <f>VLOOKUP(C160,'Retail Rates'!$B$7:$D$35,3,FALSE)</f>
        <v>CGS-TS</v>
      </c>
      <c r="F160" s="329">
        <f>SUMIFS('Data-Retail'!$H$4:$H$269,'Data-Retail'!$A$4:$A$269,'GSC Support'!$B160,'Data-Retail'!$D$4:$D$269,'GSC Support'!$C160)</f>
        <v>0</v>
      </c>
      <c r="G160" s="329">
        <f>SUMIFS('Data-Retail'!$I$4:$I$269,'Data-Retail'!$A$4:$A$269,'GSC Support'!$B160,'Data-Retail'!$D$4:$D$269,'GSC Support'!$C160)</f>
        <v>0</v>
      </c>
      <c r="H160" s="329">
        <f t="shared" si="17"/>
        <v>0</v>
      </c>
      <c r="I160" s="330">
        <v>911</v>
      </c>
      <c r="J160" s="330"/>
      <c r="K160" s="330"/>
      <c r="L160" s="330">
        <f t="shared" si="15"/>
        <v>911</v>
      </c>
      <c r="M160" s="331">
        <f t="shared" si="16"/>
        <v>-911</v>
      </c>
      <c r="N160" s="332"/>
      <c r="O160" s="323">
        <f>SUMIFS('Data-Retail'!$V$4:$V$238,'Data-Retail'!$A$4:$A$238,'GSC Support'!$B160,'Data-Retail'!$D$4:$D$238,'GSC Support'!$C160)</f>
        <v>0</v>
      </c>
      <c r="P160" s="327">
        <f>VLOOKUP($B160,'GSC-DSM Factors'!$A$18:$E$44,5,FALSE)</f>
        <v>9.6000000000000002E-4</v>
      </c>
      <c r="Q160" s="326">
        <f>P160*H160</f>
        <v>0</v>
      </c>
      <c r="R160" s="323">
        <f>+O160-Q160</f>
        <v>0</v>
      </c>
      <c r="S160" s="281">
        <f>SUMIFS('Apr11-Mar12 Billed-RETAIL'!$BA$5:$BA$138,'Apr11-Mar12 Billed-RETAIL'!$B$5:$B$138,'GSC Support'!$B160,'Apr11-Mar12 Billed-RETAIL'!$C$5:$C$138,'GSC Support'!$C160)</f>
        <v>0</v>
      </c>
      <c r="T160" s="287">
        <v>510.62</v>
      </c>
      <c r="U160" s="287"/>
      <c r="V160" s="287">
        <f t="shared" si="18"/>
        <v>510.62</v>
      </c>
      <c r="W160" s="288">
        <f t="shared" si="19"/>
        <v>-510.62</v>
      </c>
    </row>
    <row r="161" spans="1:23" x14ac:dyDescent="0.2">
      <c r="A161" s="196">
        <f t="shared" si="20"/>
        <v>156</v>
      </c>
      <c r="B161" s="211">
        <v>40787</v>
      </c>
      <c r="C161" s="211" t="str">
        <f>+'Retail Rates'!B17</f>
        <v>LGCMG881PM</v>
      </c>
      <c r="D161" s="197" t="str">
        <f t="shared" si="14"/>
        <v>881</v>
      </c>
      <c r="E161" s="197" t="str">
        <f>VLOOKUP(C161,'Retail Rates'!$B$7:$D$35,3,FALSE)</f>
        <v>CGS-TS-PM</v>
      </c>
      <c r="F161" s="222">
        <f>SUMIFS('Data-Retail'!$H$4:$H$269,'Data-Retail'!$A$4:$A$269,'GSC Support'!$B161,'Data-Retail'!$D$4:$D$269,'GSC Support'!$C161)</f>
        <v>0</v>
      </c>
      <c r="G161" s="222">
        <f>SUMIFS('Data-Retail'!$I$4:$I$269,'Data-Retail'!$A$4:$A$269,'GSC Support'!$B161,'Data-Retail'!$D$4:$D$269,'GSC Support'!$C161)</f>
        <v>0</v>
      </c>
      <c r="H161" s="222">
        <f t="shared" si="17"/>
        <v>0</v>
      </c>
      <c r="I161" s="286"/>
      <c r="J161" s="286"/>
      <c r="K161" s="286"/>
      <c r="L161" s="286">
        <f t="shared" si="15"/>
        <v>0</v>
      </c>
      <c r="M161" s="279">
        <f t="shared" si="16"/>
        <v>0</v>
      </c>
      <c r="O161" s="323">
        <f>SUMIFS('Data-Retail'!$N$4:$N$238,'Data-Retail'!$A$4:$A$238,'GSC Support'!$B161,'Data-Retail'!$D$4:$D$238,'GSC Support'!$C161)</f>
        <v>0</v>
      </c>
      <c r="P161" s="323"/>
      <c r="Q161" s="323"/>
      <c r="R161" s="323"/>
      <c r="S161" s="281">
        <f>SUMIFS('Apr11-Mar12 Billed-RETAIL'!$BA$5:$BA$138,'Apr11-Mar12 Billed-RETAIL'!$B$5:$B$138,'GSC Support'!$B161,'Apr11-Mar12 Billed-RETAIL'!$C$5:$C$138,'GSC Support'!$C161)</f>
        <v>0</v>
      </c>
      <c r="T161" s="287"/>
      <c r="U161" s="287"/>
      <c r="V161" s="287">
        <f t="shared" si="18"/>
        <v>0</v>
      </c>
      <c r="W161" s="288">
        <f t="shared" si="19"/>
        <v>0</v>
      </c>
    </row>
    <row r="162" spans="1:23" x14ac:dyDescent="0.2">
      <c r="A162" s="196">
        <f t="shared" si="20"/>
        <v>157</v>
      </c>
      <c r="B162" s="211">
        <v>40787</v>
      </c>
      <c r="C162" s="211" t="str">
        <f>+'Retail Rates'!B18</f>
        <v>LGCMG875</v>
      </c>
      <c r="D162" s="197" t="str">
        <f t="shared" si="14"/>
        <v>875</v>
      </c>
      <c r="E162" s="197" t="str">
        <f>VLOOKUP(C162,'Retail Rates'!$B$7:$D$35,3,FALSE)</f>
        <v>DGGS-C</v>
      </c>
      <c r="F162" s="222">
        <f>SUMIFS('Data-Retail'!$H$4:$H$269,'Data-Retail'!$A$4:$A$269,'GSC Support'!$B162,'Data-Retail'!$D$4:$D$269,'GSC Support'!$C162)</f>
        <v>0</v>
      </c>
      <c r="G162" s="222">
        <f>SUMIFS('Data-Retail'!$I$4:$I$269,'Data-Retail'!$A$4:$A$269,'GSC Support'!$B162,'Data-Retail'!$D$4:$D$269,'GSC Support'!$C162)</f>
        <v>0</v>
      </c>
      <c r="H162" s="222">
        <f t="shared" si="17"/>
        <v>0</v>
      </c>
      <c r="I162" s="286"/>
      <c r="J162" s="286"/>
      <c r="K162" s="286"/>
      <c r="L162" s="286">
        <f t="shared" si="15"/>
        <v>0</v>
      </c>
      <c r="M162" s="279">
        <f t="shared" si="16"/>
        <v>0</v>
      </c>
      <c r="O162" s="323">
        <f>SUMIFS('Data-Retail'!$N$4:$N$238,'Data-Retail'!$A$4:$A$238,'GSC Support'!$B162,'Data-Retail'!$D$4:$D$238,'GSC Support'!$C162)</f>
        <v>0</v>
      </c>
      <c r="P162" s="323"/>
      <c r="Q162" s="323"/>
      <c r="R162" s="323"/>
      <c r="S162" s="281">
        <f ca="1">SUMIFS('Apr11-Mar12 Billed-RETAIL'!$BA$5:$BA$138,'Apr11-Mar12 Billed-RETAIL'!$B$5:$B$138,'GSC Support'!$B162,'Apr11-Mar12 Billed-RETAIL'!$C$5:$C$138,'GSC Support'!$C162)</f>
        <v>0</v>
      </c>
      <c r="T162" s="287"/>
      <c r="U162" s="287"/>
      <c r="V162" s="287">
        <f t="shared" si="18"/>
        <v>0</v>
      </c>
      <c r="W162" s="288">
        <f t="shared" ca="1" si="19"/>
        <v>0</v>
      </c>
    </row>
    <row r="163" spans="1:23" x14ac:dyDescent="0.2">
      <c r="A163" s="196">
        <f t="shared" si="20"/>
        <v>158</v>
      </c>
      <c r="B163" s="211">
        <v>40787</v>
      </c>
      <c r="C163" s="211" t="str">
        <f>+'Retail Rates'!B19</f>
        <v>LGCMG895</v>
      </c>
      <c r="D163" s="197" t="str">
        <f t="shared" si="14"/>
        <v>895</v>
      </c>
      <c r="E163" s="197" t="str">
        <f>VLOOKUP(C163,'Retail Rates'!$B$7:$D$35,3,FALSE)</f>
        <v>FT-C</v>
      </c>
      <c r="F163" s="222">
        <f>SUMIFS('Data-Retail'!$H$4:$H$269,'Data-Retail'!$A$4:$A$269,'GSC Support'!$B163,'Data-Retail'!$D$4:$D$269,'GSC Support'!$C163)</f>
        <v>0</v>
      </c>
      <c r="G163" s="222">
        <f>SUMIFS('Data-Retail'!$I$4:$I$269,'Data-Retail'!$A$4:$A$269,'GSC Support'!$B163,'Data-Retail'!$D$4:$D$269,'GSC Support'!$C163)</f>
        <v>0</v>
      </c>
      <c r="H163" s="222">
        <f t="shared" si="17"/>
        <v>0</v>
      </c>
      <c r="I163" s="286"/>
      <c r="J163" s="286"/>
      <c r="K163" s="286"/>
      <c r="L163" s="286">
        <f t="shared" si="15"/>
        <v>0</v>
      </c>
      <c r="M163" s="279">
        <f t="shared" si="16"/>
        <v>0</v>
      </c>
      <c r="O163" s="323">
        <f>SUMIFS('Data-Retail'!$N$4:$N$238,'Data-Retail'!$A$4:$A$238,'GSC Support'!$B163,'Data-Retail'!$D$4:$D$238,'GSC Support'!$C163)</f>
        <v>0</v>
      </c>
      <c r="P163" s="323"/>
      <c r="Q163" s="323"/>
      <c r="R163" s="323"/>
      <c r="S163" s="281">
        <f>SUMIFS('Apr11-Mar12 Billed-RETAIL'!$BA$5:$BA$138,'Apr11-Mar12 Billed-RETAIL'!$B$5:$B$138,'GSC Support'!$B163,'Apr11-Mar12 Billed-RETAIL'!$C$5:$C$138,'GSC Support'!$C163)</f>
        <v>0</v>
      </c>
      <c r="T163" s="287"/>
      <c r="U163" s="287"/>
      <c r="V163" s="287">
        <f t="shared" si="18"/>
        <v>0</v>
      </c>
      <c r="W163" s="288">
        <f t="shared" si="19"/>
        <v>0</v>
      </c>
    </row>
    <row r="164" spans="1:23" x14ac:dyDescent="0.2">
      <c r="A164" s="196">
        <f t="shared" si="20"/>
        <v>159</v>
      </c>
      <c r="B164" s="211">
        <v>40787</v>
      </c>
      <c r="C164" s="211" t="str">
        <f>+'Retail Rates'!B20</f>
        <v>LGCMG895PM</v>
      </c>
      <c r="D164" s="197" t="str">
        <f t="shared" si="14"/>
        <v>895</v>
      </c>
      <c r="E164" s="197" t="str">
        <f>VLOOKUP(C164,'Retail Rates'!$B$7:$D$35,3,FALSE)</f>
        <v>FT-C-PM</v>
      </c>
      <c r="F164" s="222">
        <f>SUMIFS('Data-Retail'!$H$4:$H$269,'Data-Retail'!$A$4:$A$269,'GSC Support'!$B164,'Data-Retail'!$D$4:$D$269,'GSC Support'!$C164)</f>
        <v>0</v>
      </c>
      <c r="G164" s="222">
        <f>SUMIFS('Data-Retail'!$I$4:$I$269,'Data-Retail'!$A$4:$A$269,'GSC Support'!$B164,'Data-Retail'!$D$4:$D$269,'GSC Support'!$C164)</f>
        <v>0</v>
      </c>
      <c r="H164" s="222">
        <f t="shared" si="17"/>
        <v>0</v>
      </c>
      <c r="I164" s="286"/>
      <c r="J164" s="286"/>
      <c r="K164" s="286"/>
      <c r="L164" s="286">
        <f t="shared" si="15"/>
        <v>0</v>
      </c>
      <c r="M164" s="279">
        <f t="shared" si="16"/>
        <v>0</v>
      </c>
      <c r="O164" s="323">
        <f>SUMIFS('Data-Retail'!$N$4:$N$238,'Data-Retail'!$A$4:$A$238,'GSC Support'!$B164,'Data-Retail'!$D$4:$D$238,'GSC Support'!$C164)</f>
        <v>0</v>
      </c>
      <c r="P164" s="323"/>
      <c r="Q164" s="323"/>
      <c r="R164" s="323"/>
      <c r="S164" s="281">
        <f>SUMIFS('Apr11-Mar12 Billed-RETAIL'!$BA$5:$BA$138,'Apr11-Mar12 Billed-RETAIL'!$B$5:$B$138,'GSC Support'!$B164,'Apr11-Mar12 Billed-RETAIL'!$C$5:$C$138,'GSC Support'!$C164)</f>
        <v>0</v>
      </c>
      <c r="T164" s="287"/>
      <c r="U164" s="287"/>
      <c r="V164" s="287">
        <f t="shared" si="18"/>
        <v>0</v>
      </c>
      <c r="W164" s="288">
        <f t="shared" si="19"/>
        <v>0</v>
      </c>
    </row>
    <row r="165" spans="1:23" x14ac:dyDescent="0.2">
      <c r="A165" s="196">
        <f t="shared" si="20"/>
        <v>160</v>
      </c>
      <c r="B165" s="211">
        <v>40787</v>
      </c>
      <c r="C165" s="211" t="str">
        <f>+'Retail Rates'!B21</f>
        <v>LGING896</v>
      </c>
      <c r="D165" s="197" t="str">
        <f t="shared" si="14"/>
        <v>896</v>
      </c>
      <c r="E165" s="197" t="str">
        <f>VLOOKUP(C165,'Retail Rates'!$B$7:$D$35,3,FALSE)</f>
        <v>FT-I</v>
      </c>
      <c r="F165" s="222">
        <f>SUMIFS('Data-Retail'!$H$4:$H$269,'Data-Retail'!$A$4:$A$269,'GSC Support'!$B165,'Data-Retail'!$D$4:$D$269,'GSC Support'!$C165)</f>
        <v>0</v>
      </c>
      <c r="G165" s="222">
        <f>SUMIFS('Data-Retail'!$I$4:$I$269,'Data-Retail'!$A$4:$A$269,'GSC Support'!$B165,'Data-Retail'!$D$4:$D$269,'GSC Support'!$C165)</f>
        <v>0</v>
      </c>
      <c r="H165" s="222">
        <f t="shared" si="17"/>
        <v>0</v>
      </c>
      <c r="I165" s="286"/>
      <c r="J165" s="286"/>
      <c r="K165" s="286"/>
      <c r="L165" s="286">
        <f t="shared" si="15"/>
        <v>0</v>
      </c>
      <c r="M165" s="279">
        <f t="shared" si="16"/>
        <v>0</v>
      </c>
      <c r="O165" s="323">
        <f>SUMIFS('Data-Retail'!$N$4:$N$238,'Data-Retail'!$A$4:$A$238,'GSC Support'!$B165,'Data-Retail'!$D$4:$D$238,'GSC Support'!$C165)</f>
        <v>0</v>
      </c>
      <c r="P165" s="323"/>
      <c r="Q165" s="323"/>
      <c r="R165" s="323"/>
      <c r="S165" s="281">
        <f>SUMIFS('Apr11-Mar12 Billed-RETAIL'!$BA$5:$BA$138,'Apr11-Mar12 Billed-RETAIL'!$B$5:$B$138,'GSC Support'!$B165,'Apr11-Mar12 Billed-RETAIL'!$C$5:$C$138,'GSC Support'!$C165)</f>
        <v>0</v>
      </c>
      <c r="T165" s="287"/>
      <c r="U165" s="287"/>
      <c r="V165" s="287">
        <f t="shared" si="18"/>
        <v>0</v>
      </c>
      <c r="W165" s="288">
        <f t="shared" si="19"/>
        <v>0</v>
      </c>
    </row>
    <row r="166" spans="1:23" x14ac:dyDescent="0.2">
      <c r="A166" s="196">
        <f t="shared" si="20"/>
        <v>161</v>
      </c>
      <c r="B166" s="211">
        <v>40787</v>
      </c>
      <c r="C166" s="211" t="str">
        <f>+'Retail Rates'!B22</f>
        <v>LGING896PM</v>
      </c>
      <c r="D166" s="197" t="str">
        <f t="shared" si="14"/>
        <v>896</v>
      </c>
      <c r="E166" s="197" t="str">
        <f>VLOOKUP(C166,'Retail Rates'!$B$7:$D$35,3,FALSE)</f>
        <v>FT-I-PM</v>
      </c>
      <c r="F166" s="222">
        <f>SUMIFS('Data-Retail'!$H$4:$H$269,'Data-Retail'!$A$4:$A$269,'GSC Support'!$B166,'Data-Retail'!$D$4:$D$269,'GSC Support'!$C166)</f>
        <v>0</v>
      </c>
      <c r="G166" s="222">
        <f>SUMIFS('Data-Retail'!$I$4:$I$269,'Data-Retail'!$A$4:$A$269,'GSC Support'!$B166,'Data-Retail'!$D$4:$D$269,'GSC Support'!$C166)</f>
        <v>0</v>
      </c>
      <c r="H166" s="222">
        <f t="shared" si="17"/>
        <v>0</v>
      </c>
      <c r="I166" s="286"/>
      <c r="J166" s="286"/>
      <c r="K166" s="286"/>
      <c r="L166" s="286">
        <f t="shared" si="15"/>
        <v>0</v>
      </c>
      <c r="M166" s="279">
        <f t="shared" si="16"/>
        <v>0</v>
      </c>
      <c r="O166" s="323">
        <f>SUMIFS('Data-Retail'!$N$4:$N$238,'Data-Retail'!$A$4:$A$238,'GSC Support'!$B166,'Data-Retail'!$D$4:$D$238,'GSC Support'!$C166)</f>
        <v>0</v>
      </c>
      <c r="P166" s="323"/>
      <c r="Q166" s="323"/>
      <c r="R166" s="323"/>
      <c r="S166" s="281">
        <f>SUMIFS('Apr11-Mar12 Billed-RETAIL'!$BA$5:$BA$138,'Apr11-Mar12 Billed-RETAIL'!$B$5:$B$138,'GSC Support'!$B166,'Apr11-Mar12 Billed-RETAIL'!$C$5:$C$138,'GSC Support'!$C166)</f>
        <v>0</v>
      </c>
      <c r="T166" s="287"/>
      <c r="U166" s="287"/>
      <c r="V166" s="287">
        <f t="shared" si="18"/>
        <v>0</v>
      </c>
      <c r="W166" s="288">
        <f t="shared" si="19"/>
        <v>0</v>
      </c>
    </row>
    <row r="167" spans="1:23" x14ac:dyDescent="0.2">
      <c r="A167" s="196">
        <f t="shared" si="20"/>
        <v>162</v>
      </c>
      <c r="B167" s="211">
        <v>40787</v>
      </c>
      <c r="C167" s="211" t="str">
        <f>+'Retail Rates'!B23</f>
        <v>LGING855</v>
      </c>
      <c r="D167" s="197" t="str">
        <f t="shared" si="14"/>
        <v>855</v>
      </c>
      <c r="E167" s="197" t="str">
        <f>VLOOKUP(C167,'Retail Rates'!$B$7:$D$35,3,FALSE)</f>
        <v>IGS</v>
      </c>
      <c r="F167" s="222">
        <f>SUMIFS('Data-Retail'!$H$4:$H$269,'Data-Retail'!$A$4:$A$269,'GSC Support'!$B167,'Data-Retail'!$D$4:$D$269,'GSC Support'!$C167)</f>
        <v>54460</v>
      </c>
      <c r="G167" s="222">
        <f>SUMIFS('Data-Retail'!$I$4:$I$269,'Data-Retail'!$A$4:$A$269,'GSC Support'!$B167,'Data-Retail'!$D$4:$D$269,'GSC Support'!$C167)</f>
        <v>376088</v>
      </c>
      <c r="H167" s="222">
        <f t="shared" si="17"/>
        <v>430548</v>
      </c>
      <c r="I167" s="286">
        <v>432105</v>
      </c>
      <c r="J167" s="286">
        <v>-1557</v>
      </c>
      <c r="K167" s="286"/>
      <c r="L167" s="286">
        <f t="shared" si="15"/>
        <v>430548</v>
      </c>
      <c r="M167" s="279">
        <f t="shared" si="16"/>
        <v>0</v>
      </c>
      <c r="O167" s="323">
        <f>SUMIFS('Data-Retail'!$N$4:$N$238,'Data-Retail'!$A$4:$A$238,'GSC Support'!$B167,'Data-Retail'!$D$4:$D$238,'GSC Support'!$C167)</f>
        <v>241321.77</v>
      </c>
      <c r="P167" s="323"/>
      <c r="Q167" s="323"/>
      <c r="R167" s="323"/>
      <c r="S167" s="281">
        <f ca="1">SUMIFS('Apr11-Mar12 Billed-RETAIL'!$BA$5:$BA$138,'Apr11-Mar12 Billed-RETAIL'!$B$5:$B$138,'GSC Support'!$B167,'Apr11-Mar12 Billed-RETAIL'!$C$5:$C$138,'GSC Support'!$C167)</f>
        <v>241321.77</v>
      </c>
      <c r="T167" s="287">
        <v>242194.84</v>
      </c>
      <c r="U167" s="287">
        <v>-873.07</v>
      </c>
      <c r="V167" s="287">
        <f t="shared" si="18"/>
        <v>241321.77</v>
      </c>
      <c r="W167" s="288">
        <f t="shared" ca="1" si="19"/>
        <v>0</v>
      </c>
    </row>
    <row r="168" spans="1:23" x14ac:dyDescent="0.2">
      <c r="A168" s="196">
        <f t="shared" si="20"/>
        <v>163</v>
      </c>
      <c r="B168" s="211">
        <v>40787</v>
      </c>
      <c r="C168" s="211" t="str">
        <f>+'Retail Rates'!B24</f>
        <v>LGING882</v>
      </c>
      <c r="D168" s="197" t="str">
        <f t="shared" si="14"/>
        <v>882</v>
      </c>
      <c r="E168" s="197" t="str">
        <f>VLOOKUP(C168,'Retail Rates'!$B$7:$D$35,3,FALSE)</f>
        <v>IGS-TS</v>
      </c>
      <c r="F168" s="329">
        <v>0</v>
      </c>
      <c r="G168" s="329"/>
      <c r="H168" s="329">
        <f t="shared" si="17"/>
        <v>0</v>
      </c>
      <c r="I168" s="330">
        <v>0</v>
      </c>
      <c r="J168" s="330"/>
      <c r="K168" s="330"/>
      <c r="L168" s="330">
        <f t="shared" si="15"/>
        <v>0</v>
      </c>
      <c r="M168" s="331">
        <f t="shared" si="16"/>
        <v>0</v>
      </c>
      <c r="N168" s="332"/>
      <c r="O168" s="323"/>
      <c r="P168" s="327"/>
      <c r="Q168" s="326"/>
      <c r="R168" s="323"/>
      <c r="S168" s="281">
        <f>SUMIFS('Apr11-Mar12 Billed-RETAIL'!$BA$5:$BA$138,'Apr11-Mar12 Billed-RETAIL'!$B$5:$B$138,'GSC Support'!$B168,'Apr11-Mar12 Billed-RETAIL'!$C$5:$C$138,'GSC Support'!$C168)</f>
        <v>0</v>
      </c>
      <c r="T168" s="287">
        <v>0</v>
      </c>
      <c r="U168" s="287"/>
      <c r="V168" s="287">
        <f t="shared" si="18"/>
        <v>0</v>
      </c>
      <c r="W168" s="288">
        <f t="shared" si="19"/>
        <v>0</v>
      </c>
    </row>
    <row r="169" spans="1:23" x14ac:dyDescent="0.2">
      <c r="A169" s="196">
        <f t="shared" si="20"/>
        <v>164</v>
      </c>
      <c r="B169" s="211">
        <v>40787</v>
      </c>
      <c r="C169" s="211" t="str">
        <f>+'Retail Rates'!B25</f>
        <v>LGING882PM</v>
      </c>
      <c r="D169" s="197" t="str">
        <f t="shared" si="14"/>
        <v>882</v>
      </c>
      <c r="E169" s="197" t="str">
        <f>VLOOKUP(C169,'Retail Rates'!$B$7:$D$35,3,FALSE)</f>
        <v>IGS-TS-PM</v>
      </c>
      <c r="F169" s="222">
        <f>SUMIFS('Data-Retail'!$H$4:$H$269,'Data-Retail'!$A$4:$A$269,'GSC Support'!$B169,'Data-Retail'!$D$4:$D$269,'GSC Support'!$C169)</f>
        <v>0</v>
      </c>
      <c r="G169" s="222">
        <f>SUMIFS('Data-Retail'!$I$4:$I$269,'Data-Retail'!$A$4:$A$269,'GSC Support'!$B169,'Data-Retail'!$D$4:$D$269,'GSC Support'!$C169)</f>
        <v>0</v>
      </c>
      <c r="H169" s="222">
        <f t="shared" si="17"/>
        <v>0</v>
      </c>
      <c r="I169" s="286"/>
      <c r="J169" s="286"/>
      <c r="K169" s="286"/>
      <c r="L169" s="286">
        <f t="shared" si="15"/>
        <v>0</v>
      </c>
      <c r="M169" s="279">
        <f t="shared" si="16"/>
        <v>0</v>
      </c>
      <c r="O169" s="323">
        <f>SUMIFS('Data-Retail'!$N$4:$N$238,'Data-Retail'!$A$4:$A$238,'GSC Support'!$B169,'Data-Retail'!$D$4:$D$238,'GSC Support'!$C169)</f>
        <v>0</v>
      </c>
      <c r="P169" s="323"/>
      <c r="Q169" s="323"/>
      <c r="R169" s="323"/>
      <c r="S169" s="281">
        <f>SUMIFS('Apr11-Mar12 Billed-RETAIL'!$BA$5:$BA$138,'Apr11-Mar12 Billed-RETAIL'!$B$5:$B$138,'GSC Support'!$B169,'Apr11-Mar12 Billed-RETAIL'!$C$5:$C$138,'GSC Support'!$C169)</f>
        <v>0</v>
      </c>
      <c r="T169" s="287"/>
      <c r="U169" s="287"/>
      <c r="V169" s="287">
        <f t="shared" si="18"/>
        <v>0</v>
      </c>
      <c r="W169" s="288">
        <f t="shared" si="19"/>
        <v>0</v>
      </c>
    </row>
    <row r="170" spans="1:23" x14ac:dyDescent="0.2">
      <c r="A170" s="196">
        <f t="shared" si="20"/>
        <v>165</v>
      </c>
      <c r="B170" s="211">
        <v>40787</v>
      </c>
      <c r="C170" s="211" t="str">
        <f>+'Retail Rates'!B26</f>
        <v>LGRSG811</v>
      </c>
      <c r="D170" s="197" t="str">
        <f t="shared" si="14"/>
        <v>811</v>
      </c>
      <c r="E170" s="197" t="str">
        <f>VLOOKUP(C170,'Retail Rates'!$B$7:$D$35,3,FALSE)</f>
        <v>RGS</v>
      </c>
      <c r="F170" s="222">
        <f>SUMIFS('Data-Retail'!$H$4:$H$269,'Data-Retail'!$A$4:$A$269,'GSC Support'!$B170,'Data-Retail'!$D$4:$D$269,'GSC Support'!$C170)</f>
        <v>3922439</v>
      </c>
      <c r="G170" s="222">
        <f>SUMIFS('Data-Retail'!$I$4:$I$269,'Data-Retail'!$A$4:$A$269,'GSC Support'!$B170,'Data-Retail'!$D$4:$D$269,'GSC Support'!$C170)</f>
        <v>0</v>
      </c>
      <c r="H170" s="222">
        <f t="shared" si="17"/>
        <v>3922439</v>
      </c>
      <c r="I170" s="286">
        <v>3943545</v>
      </c>
      <c r="J170" s="286">
        <v>-21106</v>
      </c>
      <c r="K170" s="286"/>
      <c r="L170" s="286">
        <f t="shared" si="15"/>
        <v>3922439</v>
      </c>
      <c r="M170" s="279">
        <f t="shared" si="16"/>
        <v>0</v>
      </c>
      <c r="O170" s="323">
        <f>SUMIFS('Data-Retail'!$N$4:$N$238,'Data-Retail'!$A$4:$A$238,'GSC Support'!$B170,'Data-Retail'!$D$4:$D$238,'GSC Support'!$C170)</f>
        <v>2198447.77</v>
      </c>
      <c r="P170" s="323"/>
      <c r="Q170" s="323"/>
      <c r="R170" s="323"/>
      <c r="S170" s="281">
        <f ca="1">SUMIFS('Apr11-Mar12 Billed-RETAIL'!$BA$5:$BA$138,'Apr11-Mar12 Billed-RETAIL'!$B$5:$B$138,'GSC Support'!$B170,'Apr11-Mar12 Billed-RETAIL'!$C$5:$C$138,'GSC Support'!$C170)</f>
        <v>2198447.7699999996</v>
      </c>
      <c r="T170" s="287">
        <v>2210446.5499999998</v>
      </c>
      <c r="U170" s="287">
        <v>-11998.78</v>
      </c>
      <c r="V170" s="287">
        <f t="shared" si="18"/>
        <v>2198447.77</v>
      </c>
      <c r="W170" s="288">
        <f t="shared" ca="1" si="19"/>
        <v>0</v>
      </c>
    </row>
    <row r="171" spans="1:23" x14ac:dyDescent="0.2">
      <c r="A171" s="196">
        <f t="shared" si="20"/>
        <v>166</v>
      </c>
      <c r="B171" s="211">
        <v>40787</v>
      </c>
      <c r="C171" s="211" t="str">
        <f>+'Retail Rates'!B27</f>
        <v>LGRSG811S1</v>
      </c>
      <c r="D171" s="197" t="str">
        <f t="shared" si="14"/>
        <v>811</v>
      </c>
      <c r="E171" s="197" t="str">
        <f>VLOOKUP(C171,'Retail Rates'!$B$7:$D$35,3,FALSE)</f>
        <v>RGS</v>
      </c>
      <c r="F171" s="222">
        <f>SUMIFS('Data-Retail'!$H$4:$H$269,'Data-Retail'!$A$4:$A$269,'GSC Support'!$B171,'Data-Retail'!$D$4:$D$269,'GSC Support'!$C171)</f>
        <v>170</v>
      </c>
      <c r="G171" s="222">
        <f>SUMIFS('Data-Retail'!$I$4:$I$269,'Data-Retail'!$A$4:$A$269,'GSC Support'!$B171,'Data-Retail'!$D$4:$D$269,'GSC Support'!$C171)</f>
        <v>0</v>
      </c>
      <c r="H171" s="222">
        <f t="shared" si="17"/>
        <v>170</v>
      </c>
      <c r="I171" s="286">
        <v>170</v>
      </c>
      <c r="J171" s="286"/>
      <c r="K171" s="286"/>
      <c r="L171" s="286">
        <f t="shared" si="15"/>
        <v>170</v>
      </c>
      <c r="M171" s="279">
        <f t="shared" si="16"/>
        <v>0</v>
      </c>
      <c r="O171" s="323">
        <f>SUMIFS('Data-Retail'!$N$4:$N$238,'Data-Retail'!$A$4:$A$238,'GSC Support'!$B171,'Data-Retail'!$D$4:$D$238,'GSC Support'!$C171)</f>
        <v>95.29</v>
      </c>
      <c r="P171" s="323"/>
      <c r="Q171" s="323"/>
      <c r="R171" s="323"/>
      <c r="S171" s="281">
        <f ca="1">SUMIFS('Apr11-Mar12 Billed-RETAIL'!$BA$5:$BA$138,'Apr11-Mar12 Billed-RETAIL'!$B$5:$B$138,'GSC Support'!$B171,'Apr11-Mar12 Billed-RETAIL'!$C$5:$C$138,'GSC Support'!$C171)</f>
        <v>95.29</v>
      </c>
      <c r="T171" s="287">
        <v>95.29</v>
      </c>
      <c r="U171" s="287"/>
      <c r="V171" s="287">
        <f t="shared" si="18"/>
        <v>95.29</v>
      </c>
      <c r="W171" s="288">
        <f t="shared" ca="1" si="19"/>
        <v>0</v>
      </c>
    </row>
    <row r="172" spans="1:23" x14ac:dyDescent="0.2">
      <c r="A172" s="196">
        <f t="shared" si="20"/>
        <v>167</v>
      </c>
      <c r="B172" s="211">
        <v>40787</v>
      </c>
      <c r="C172" s="211" t="str">
        <f>+'Retail Rates'!B28</f>
        <v>LGRSG840</v>
      </c>
      <c r="D172" s="197" t="str">
        <f t="shared" si="14"/>
        <v>840</v>
      </c>
      <c r="E172" s="197" t="str">
        <f>VLOOKUP(C172,'Retail Rates'!$B$7:$D$35,3,FALSE)</f>
        <v>RGS</v>
      </c>
      <c r="F172" s="222">
        <f>SUMIFS('Data-Retail'!$H$4:$H$269,'Data-Retail'!$A$4:$A$269,'GSC Support'!$B172,'Data-Retail'!$D$4:$D$269,'GSC Support'!$C172)</f>
        <v>355</v>
      </c>
      <c r="G172" s="222">
        <f>SUMIFS('Data-Retail'!$I$4:$I$269,'Data-Retail'!$A$4:$A$269,'GSC Support'!$B172,'Data-Retail'!$D$4:$D$269,'GSC Support'!$C172)</f>
        <v>0</v>
      </c>
      <c r="H172" s="222">
        <f t="shared" si="17"/>
        <v>355</v>
      </c>
      <c r="I172" s="286">
        <v>355</v>
      </c>
      <c r="J172" s="286"/>
      <c r="K172" s="286"/>
      <c r="L172" s="286">
        <f t="shared" si="15"/>
        <v>355</v>
      </c>
      <c r="M172" s="279">
        <f t="shared" si="16"/>
        <v>0</v>
      </c>
      <c r="O172" s="323">
        <f>SUMIFS('Data-Retail'!$N$4:$N$238,'Data-Retail'!$A$4:$A$238,'GSC Support'!$B172,'Data-Retail'!$D$4:$D$238,'GSC Support'!$C172)</f>
        <v>198.97</v>
      </c>
      <c r="P172" s="323"/>
      <c r="Q172" s="323"/>
      <c r="R172" s="323"/>
      <c r="S172" s="281">
        <f ca="1">SUMIFS('Apr11-Mar12 Billed-RETAIL'!$BA$5:$BA$138,'Apr11-Mar12 Billed-RETAIL'!$B$5:$B$138,'GSC Support'!$B172,'Apr11-Mar12 Billed-RETAIL'!$C$5:$C$138,'GSC Support'!$C172)</f>
        <v>198.97</v>
      </c>
      <c r="T172" s="287">
        <v>198.97</v>
      </c>
      <c r="U172" s="287"/>
      <c r="V172" s="287">
        <f t="shared" si="18"/>
        <v>198.97</v>
      </c>
      <c r="W172" s="288">
        <f t="shared" ca="1" si="19"/>
        <v>0</v>
      </c>
    </row>
    <row r="173" spans="1:23" x14ac:dyDescent="0.2">
      <c r="A173" s="196">
        <f t="shared" si="20"/>
        <v>168</v>
      </c>
      <c r="B173" s="211">
        <v>40787</v>
      </c>
      <c r="C173" s="211" t="str">
        <f>+'Retail Rates'!B29</f>
        <v>LGUMG830</v>
      </c>
      <c r="D173" s="197" t="str">
        <f t="shared" si="14"/>
        <v>830</v>
      </c>
      <c r="E173" s="197" t="str">
        <f>VLOOKUP(C173,'Retail Rates'!$B$7:$D$35,3,FALSE)</f>
        <v>RGS</v>
      </c>
      <c r="F173" s="222">
        <f>SUMIFS('Data-Retail'!$H$4:$H$269,'Data-Retail'!$A$4:$A$269,'GSC Support'!$B173,'Data-Retail'!$D$4:$D$269,'GSC Support'!$C173)</f>
        <v>32</v>
      </c>
      <c r="G173" s="222">
        <f>SUMIFS('Data-Retail'!$I$4:$I$269,'Data-Retail'!$A$4:$A$269,'GSC Support'!$B173,'Data-Retail'!$D$4:$D$269,'GSC Support'!$C173)</f>
        <v>0</v>
      </c>
      <c r="H173" s="222">
        <f t="shared" si="17"/>
        <v>32</v>
      </c>
      <c r="I173" s="286">
        <v>32</v>
      </c>
      <c r="J173" s="286"/>
      <c r="K173" s="286"/>
      <c r="L173" s="286">
        <f t="shared" si="15"/>
        <v>32</v>
      </c>
      <c r="M173" s="279">
        <f t="shared" si="16"/>
        <v>0</v>
      </c>
      <c r="O173" s="323">
        <f>SUMIFS('Data-Retail'!$N$4:$N$238,'Data-Retail'!$A$4:$A$238,'GSC Support'!$B173,'Data-Retail'!$D$4:$D$238,'GSC Support'!$C173)</f>
        <v>17.940000000000001</v>
      </c>
      <c r="P173" s="323"/>
      <c r="Q173" s="323"/>
      <c r="R173" s="323"/>
      <c r="S173" s="281">
        <f ca="1">SUMIFS('Apr11-Mar12 Billed-RETAIL'!$BA$5:$BA$138,'Apr11-Mar12 Billed-RETAIL'!$B$5:$B$138,'GSC Support'!$B173,'Apr11-Mar12 Billed-RETAIL'!$C$5:$C$138,'GSC Support'!$C173)</f>
        <v>17.940000000000001</v>
      </c>
      <c r="T173" s="287">
        <v>17.940000000000001</v>
      </c>
      <c r="U173" s="287"/>
      <c r="V173" s="287">
        <f t="shared" si="18"/>
        <v>17.940000000000001</v>
      </c>
      <c r="W173" s="288">
        <f t="shared" ca="1" si="19"/>
        <v>0</v>
      </c>
    </row>
    <row r="174" spans="1:23" x14ac:dyDescent="0.2">
      <c r="A174" s="196">
        <f t="shared" si="20"/>
        <v>169</v>
      </c>
      <c r="B174" s="211">
        <v>40787</v>
      </c>
      <c r="C174" s="211" t="str">
        <f>+'Retail Rates'!B30</f>
        <v>LGING992</v>
      </c>
      <c r="D174" s="197" t="str">
        <f t="shared" si="14"/>
        <v>992</v>
      </c>
      <c r="E174" s="197" t="str">
        <f>VLOOKUP(C174,'Retail Rates'!$B$7:$D$35,3,FALSE)</f>
        <v>SPC-EIDuP</v>
      </c>
      <c r="F174" s="222">
        <f>SUMIFS('Data-Retail'!$H$4:$H$269,'Data-Retail'!$A$4:$A$269,'GSC Support'!$B174,'Data-Retail'!$D$4:$D$269,'GSC Support'!$C174)</f>
        <v>0</v>
      </c>
      <c r="G174" s="222">
        <f>SUMIFS('Data-Retail'!$I$4:$I$269,'Data-Retail'!$A$4:$A$269,'GSC Support'!$B174,'Data-Retail'!$D$4:$D$269,'GSC Support'!$C174)</f>
        <v>0</v>
      </c>
      <c r="H174" s="222">
        <f t="shared" si="17"/>
        <v>0</v>
      </c>
      <c r="I174" s="286"/>
      <c r="J174" s="286"/>
      <c r="K174" s="286"/>
      <c r="L174" s="286">
        <f t="shared" si="15"/>
        <v>0</v>
      </c>
      <c r="M174" s="279">
        <f t="shared" si="16"/>
        <v>0</v>
      </c>
      <c r="O174" s="323">
        <f>SUMIFS('Data-Retail'!$N$4:$N$238,'Data-Retail'!$A$4:$A$238,'GSC Support'!$B174,'Data-Retail'!$D$4:$D$238,'GSC Support'!$C174)</f>
        <v>0</v>
      </c>
      <c r="P174" s="323"/>
      <c r="Q174" s="323"/>
      <c r="R174" s="323"/>
      <c r="S174" s="281">
        <f>SUMIFS('Apr11-Mar12 Billed-RETAIL'!$BA$5:$BA$138,'Apr11-Mar12 Billed-RETAIL'!$B$5:$B$138,'GSC Support'!$B174,'Apr11-Mar12 Billed-RETAIL'!$C$5:$C$138,'GSC Support'!$C174)</f>
        <v>0</v>
      </c>
      <c r="T174" s="287"/>
      <c r="U174" s="287"/>
      <c r="V174" s="287">
        <f t="shared" si="18"/>
        <v>0</v>
      </c>
      <c r="W174" s="288">
        <f t="shared" si="19"/>
        <v>0</v>
      </c>
    </row>
    <row r="175" spans="1:23" x14ac:dyDescent="0.2">
      <c r="A175" s="196">
        <f t="shared" si="20"/>
        <v>170</v>
      </c>
      <c r="B175" s="211">
        <v>40787</v>
      </c>
      <c r="C175" s="211" t="str">
        <f>+'Retail Rates'!B31</f>
        <v>LGING896FD</v>
      </c>
      <c r="D175" s="197" t="str">
        <f t="shared" si="14"/>
        <v>896</v>
      </c>
      <c r="E175" s="197" t="str">
        <f>VLOOKUP(C175,'Retail Rates'!$B$7:$D$35,3,FALSE)</f>
        <v>SPC-FORD</v>
      </c>
      <c r="F175" s="222">
        <f>SUMIFS('Data-Retail'!$H$4:$H$269,'Data-Retail'!$A$4:$A$269,'GSC Support'!$B175,'Data-Retail'!$D$4:$D$269,'GSC Support'!$C175)</f>
        <v>0</v>
      </c>
      <c r="G175" s="222">
        <f>SUMIFS('Data-Retail'!$I$4:$I$269,'Data-Retail'!$A$4:$A$269,'GSC Support'!$B175,'Data-Retail'!$D$4:$D$269,'GSC Support'!$C175)</f>
        <v>0</v>
      </c>
      <c r="H175" s="222">
        <f t="shared" si="17"/>
        <v>0</v>
      </c>
      <c r="I175" s="286"/>
      <c r="J175" s="286"/>
      <c r="K175" s="286"/>
      <c r="L175" s="286">
        <f t="shared" si="15"/>
        <v>0</v>
      </c>
      <c r="M175" s="279">
        <f t="shared" si="16"/>
        <v>0</v>
      </c>
      <c r="O175" s="323">
        <f>SUMIFS('Data-Retail'!$N$4:$N$238,'Data-Retail'!$A$4:$A$238,'GSC Support'!$B175,'Data-Retail'!$D$4:$D$238,'GSC Support'!$C175)</f>
        <v>0</v>
      </c>
      <c r="P175" s="323"/>
      <c r="Q175" s="323"/>
      <c r="R175" s="323"/>
      <c r="S175" s="281">
        <f>SUMIFS('Apr11-Mar12 Billed-RETAIL'!$BA$5:$BA$138,'Apr11-Mar12 Billed-RETAIL'!$B$5:$B$138,'GSC Support'!$B175,'Apr11-Mar12 Billed-RETAIL'!$C$5:$C$138,'GSC Support'!$C175)</f>
        <v>0</v>
      </c>
      <c r="T175" s="287"/>
      <c r="U175" s="287"/>
      <c r="V175" s="287">
        <f t="shared" si="18"/>
        <v>0</v>
      </c>
      <c r="W175" s="288">
        <f t="shared" si="19"/>
        <v>0</v>
      </c>
    </row>
    <row r="176" spans="1:23" x14ac:dyDescent="0.2">
      <c r="A176" s="196">
        <f t="shared" si="20"/>
        <v>171</v>
      </c>
      <c r="B176" s="211">
        <v>40787</v>
      </c>
      <c r="C176" s="211" t="str">
        <f>+'Retail Rates'!B32</f>
        <v>LGING896FM</v>
      </c>
      <c r="D176" s="197" t="str">
        <f t="shared" si="14"/>
        <v>896</v>
      </c>
      <c r="E176" s="197" t="str">
        <f>VLOOKUP(C176,'Retail Rates'!$B$7:$D$35,3,FALSE)</f>
        <v>SPC-FORD-PM</v>
      </c>
      <c r="F176" s="222">
        <f>SUMIFS('Data-Retail'!$H$4:$H$269,'Data-Retail'!$A$4:$A$269,'GSC Support'!$B176,'Data-Retail'!$D$4:$D$269,'GSC Support'!$C176)</f>
        <v>0</v>
      </c>
      <c r="G176" s="222">
        <f>SUMIFS('Data-Retail'!$I$4:$I$269,'Data-Retail'!$A$4:$A$269,'GSC Support'!$B176,'Data-Retail'!$D$4:$D$269,'GSC Support'!$C176)</f>
        <v>0</v>
      </c>
      <c r="H176" s="222">
        <f t="shared" si="17"/>
        <v>0</v>
      </c>
      <c r="I176" s="286"/>
      <c r="J176" s="286"/>
      <c r="K176" s="286"/>
      <c r="L176" s="286">
        <f t="shared" si="15"/>
        <v>0</v>
      </c>
      <c r="M176" s="279">
        <f t="shared" si="16"/>
        <v>0</v>
      </c>
      <c r="O176" s="323">
        <f>SUMIFS('Data-Retail'!$N$4:$N$238,'Data-Retail'!$A$4:$A$238,'GSC Support'!$B176,'Data-Retail'!$D$4:$D$238,'GSC Support'!$C176)</f>
        <v>0</v>
      </c>
      <c r="P176" s="323"/>
      <c r="Q176" s="323"/>
      <c r="R176" s="323"/>
      <c r="S176" s="281">
        <f>SUMIFS('Apr11-Mar12 Billed-RETAIL'!$BA$5:$BA$138,'Apr11-Mar12 Billed-RETAIL'!$B$5:$B$138,'GSC Support'!$B176,'Apr11-Mar12 Billed-RETAIL'!$C$5:$C$138,'GSC Support'!$C176)</f>
        <v>0</v>
      </c>
      <c r="T176" s="287"/>
      <c r="U176" s="287"/>
      <c r="V176" s="287">
        <f t="shared" si="18"/>
        <v>0</v>
      </c>
      <c r="W176" s="288">
        <f t="shared" si="19"/>
        <v>0</v>
      </c>
    </row>
    <row r="177" spans="1:23" x14ac:dyDescent="0.2">
      <c r="A177" s="196">
        <f t="shared" si="20"/>
        <v>172</v>
      </c>
      <c r="B177" s="211">
        <v>40787</v>
      </c>
      <c r="C177" s="211" t="str">
        <f>+'Retail Rates'!B33</f>
        <v>LGCMG991</v>
      </c>
      <c r="D177" s="197" t="str">
        <f t="shared" si="14"/>
        <v>991</v>
      </c>
      <c r="E177" s="197" t="str">
        <f>VLOOKUP(C177,'Retail Rates'!$B$7:$D$35,3,FALSE)</f>
        <v>SPC-FTKX</v>
      </c>
      <c r="F177" s="222">
        <f>SUMIFS('Data-Retail'!$H$4:$H$269,'Data-Retail'!$A$4:$A$269,'GSC Support'!$B177,'Data-Retail'!$D$4:$D$269,'GSC Support'!$C177)</f>
        <v>0</v>
      </c>
      <c r="G177" s="222">
        <f>SUMIFS('Data-Retail'!$I$4:$I$269,'Data-Retail'!$A$4:$A$269,'GSC Support'!$B177,'Data-Retail'!$D$4:$D$269,'GSC Support'!$C177)</f>
        <v>0</v>
      </c>
      <c r="H177" s="222">
        <f t="shared" si="17"/>
        <v>0</v>
      </c>
      <c r="I177" s="286"/>
      <c r="J177" s="286"/>
      <c r="K177" s="286"/>
      <c r="L177" s="286">
        <f t="shared" si="15"/>
        <v>0</v>
      </c>
      <c r="M177" s="279">
        <f t="shared" si="16"/>
        <v>0</v>
      </c>
      <c r="O177" s="323">
        <f>SUMIFS('Data-Retail'!$N$4:$N$238,'Data-Retail'!$A$4:$A$238,'GSC Support'!$B177,'Data-Retail'!$D$4:$D$238,'GSC Support'!$C177)</f>
        <v>0</v>
      </c>
      <c r="P177" s="323"/>
      <c r="Q177" s="323"/>
      <c r="R177" s="323"/>
      <c r="S177" s="281">
        <f>SUMIFS('Apr11-Mar12 Billed-RETAIL'!$BA$5:$BA$138,'Apr11-Mar12 Billed-RETAIL'!$B$5:$B$138,'GSC Support'!$B177,'Apr11-Mar12 Billed-RETAIL'!$C$5:$C$138,'GSC Support'!$C177)</f>
        <v>0</v>
      </c>
      <c r="T177" s="287"/>
      <c r="U177" s="287"/>
      <c r="V177" s="287">
        <f t="shared" si="18"/>
        <v>0</v>
      </c>
      <c r="W177" s="288">
        <f t="shared" si="19"/>
        <v>0</v>
      </c>
    </row>
    <row r="178" spans="1:23" x14ac:dyDescent="0.2">
      <c r="A178" s="196">
        <f t="shared" si="20"/>
        <v>173</v>
      </c>
      <c r="B178" s="211">
        <v>40787</v>
      </c>
      <c r="C178" s="211" t="str">
        <f>+'Retail Rates'!B34</f>
        <v>LGING996</v>
      </c>
      <c r="D178" s="197" t="str">
        <f t="shared" si="14"/>
        <v>996</v>
      </c>
      <c r="E178" s="197" t="str">
        <f>VLOOKUP(C178,'Retail Rates'!$B$7:$D$35,3,FALSE)</f>
        <v>SPC-LGE</v>
      </c>
      <c r="F178" s="222">
        <f>SUMIFS('Data-Retail'!$H$4:$H$269,'Data-Retail'!$A$4:$A$269,'GSC Support'!$B178,'Data-Retail'!$D$4:$D$269,'GSC Support'!$C178)</f>
        <v>0</v>
      </c>
      <c r="G178" s="222">
        <f>SUMIFS('Data-Retail'!$I$4:$I$269,'Data-Retail'!$A$4:$A$269,'GSC Support'!$B178,'Data-Retail'!$D$4:$D$269,'GSC Support'!$C178)</f>
        <v>0</v>
      </c>
      <c r="H178" s="222">
        <f t="shared" si="17"/>
        <v>0</v>
      </c>
      <c r="I178" s="286">
        <v>395892</v>
      </c>
      <c r="J178" s="286"/>
      <c r="K178" s="286"/>
      <c r="L178" s="286">
        <f t="shared" si="15"/>
        <v>395892</v>
      </c>
      <c r="M178" s="279">
        <f t="shared" si="16"/>
        <v>-395892</v>
      </c>
      <c r="O178" s="323">
        <f>SUMIFS('Data-Retail'!$N$4:$N$238,'Data-Retail'!$A$4:$A$238,'GSC Support'!$B178,'Data-Retail'!$D$4:$D$238,'GSC Support'!$C178)</f>
        <v>0</v>
      </c>
      <c r="P178" s="323"/>
      <c r="Q178" s="323"/>
      <c r="R178" s="323"/>
      <c r="S178" s="281">
        <f>SUMIFS('Apr11-Mar12 Billed-RETAIL'!$BA$5:$BA$138,'Apr11-Mar12 Billed-RETAIL'!$B$5:$B$138,'GSC Support'!$B178,'Apr11-Mar12 Billed-RETAIL'!$C$5:$C$138,'GSC Support'!$C178)</f>
        <v>0</v>
      </c>
      <c r="T178" s="287">
        <v>221897.46</v>
      </c>
      <c r="U178" s="287"/>
      <c r="V178" s="287">
        <f t="shared" si="18"/>
        <v>221897.46</v>
      </c>
      <c r="W178" s="288">
        <f t="shared" si="19"/>
        <v>-221897.46</v>
      </c>
    </row>
    <row r="179" spans="1:23" x14ac:dyDescent="0.2">
      <c r="A179" s="196">
        <f t="shared" si="20"/>
        <v>174</v>
      </c>
      <c r="B179" s="211">
        <v>40787</v>
      </c>
      <c r="C179" s="211" t="str">
        <f>+'Retail Rates'!B35</f>
        <v>LGING997</v>
      </c>
      <c r="D179" s="197" t="str">
        <f t="shared" si="14"/>
        <v>997</v>
      </c>
      <c r="E179" s="197" t="str">
        <f>VLOOKUP(C179,'Retail Rates'!$B$7:$D$35,3,FALSE)</f>
        <v>SPC-PADDY</v>
      </c>
      <c r="F179" s="222">
        <f>SUMIFS('Data-Retail'!$H$4:$H$269,'Data-Retail'!$A$4:$A$269,'GSC Support'!$B179,'Data-Retail'!$D$4:$D$269,'GSC Support'!$C179)</f>
        <v>0</v>
      </c>
      <c r="G179" s="222">
        <f>SUMIFS('Data-Retail'!$I$4:$I$269,'Data-Retail'!$A$4:$A$269,'GSC Support'!$B179,'Data-Retail'!$D$4:$D$269,'GSC Support'!$C179)</f>
        <v>0</v>
      </c>
      <c r="H179" s="222">
        <f t="shared" si="17"/>
        <v>0</v>
      </c>
      <c r="I179" s="286"/>
      <c r="J179" s="286"/>
      <c r="K179" s="286"/>
      <c r="L179" s="286">
        <f t="shared" si="15"/>
        <v>0</v>
      </c>
      <c r="M179" s="279">
        <f t="shared" si="16"/>
        <v>0</v>
      </c>
      <c r="O179" s="323">
        <f>SUMIFS('Data-Retail'!$N$4:$N$238,'Data-Retail'!$A$4:$A$238,'GSC Support'!$B179,'Data-Retail'!$D$4:$D$238,'GSC Support'!$C179)</f>
        <v>0</v>
      </c>
      <c r="P179" s="323"/>
      <c r="Q179" s="323"/>
      <c r="R179" s="323"/>
      <c r="S179" s="281">
        <f>SUMIFS('Apr11-Mar12 Billed-RETAIL'!$BA$5:$BA$138,'Apr11-Mar12 Billed-RETAIL'!$B$5:$B$138,'GSC Support'!$B179,'Apr11-Mar12 Billed-RETAIL'!$C$5:$C$138,'GSC Support'!$C179)</f>
        <v>0</v>
      </c>
      <c r="T179" s="287"/>
      <c r="U179" s="287"/>
      <c r="V179" s="287">
        <f t="shared" si="18"/>
        <v>0</v>
      </c>
      <c r="W179" s="288">
        <f t="shared" si="19"/>
        <v>0</v>
      </c>
    </row>
    <row r="180" spans="1:23" x14ac:dyDescent="0.2">
      <c r="A180" s="196">
        <f t="shared" si="20"/>
        <v>175</v>
      </c>
      <c r="B180" s="211">
        <v>40817</v>
      </c>
      <c r="C180" s="211" t="str">
        <f>+'Retail Rates'!B7</f>
        <v>LGCMG865</v>
      </c>
      <c r="D180" s="197" t="str">
        <f t="shared" si="14"/>
        <v>865</v>
      </c>
      <c r="E180" s="197" t="str">
        <f>VLOOKUP(C180,'Retail Rates'!$B$7:$D$35,3,FALSE)</f>
        <v>AAGS-C</v>
      </c>
      <c r="F180" s="222">
        <f>SUMIFS('Data-Retail'!$H$4:$H$269,'Data-Retail'!$A$4:$A$269,'GSC Support'!$B180,'Data-Retail'!$D$4:$D$269,'GSC Support'!$C180)</f>
        <v>88595</v>
      </c>
      <c r="G180" s="222">
        <f>SUMIFS('Data-Retail'!$I$4:$I$269,'Data-Retail'!$A$4:$A$269,'GSC Support'!$B180,'Data-Retail'!$D$4:$D$269,'GSC Support'!$C180)</f>
        <v>0</v>
      </c>
      <c r="H180" s="222">
        <f t="shared" si="17"/>
        <v>88595</v>
      </c>
      <c r="I180" s="286">
        <v>88595</v>
      </c>
      <c r="J180" s="286"/>
      <c r="K180" s="286"/>
      <c r="L180" s="286">
        <f t="shared" si="15"/>
        <v>88595</v>
      </c>
      <c r="M180" s="279">
        <f t="shared" si="16"/>
        <v>0</v>
      </c>
      <c r="O180" s="323">
        <f>SUMIFS('Data-Retail'!$N$4:$N$238,'Data-Retail'!$A$4:$A$238,'GSC Support'!$B180,'Data-Retail'!$D$4:$D$238,'GSC Support'!$C180)</f>
        <v>49657.490000000005</v>
      </c>
      <c r="P180" s="323"/>
      <c r="Q180" s="323"/>
      <c r="R180" s="323"/>
      <c r="S180" s="281">
        <f ca="1">SUMIFS('Apr11-Mar12 Billed-RETAIL'!$BA$5:$BA$138,'Apr11-Mar12 Billed-RETAIL'!$B$5:$B$138,'GSC Support'!$B180,'Apr11-Mar12 Billed-RETAIL'!$C$5:$C$138,'GSC Support'!$C180)</f>
        <v>49657.490000000005</v>
      </c>
      <c r="T180" s="287">
        <v>49657.49</v>
      </c>
      <c r="U180" s="287"/>
      <c r="V180" s="287">
        <f t="shared" si="18"/>
        <v>49657.49</v>
      </c>
      <c r="W180" s="288">
        <f t="shared" ca="1" si="19"/>
        <v>0</v>
      </c>
    </row>
    <row r="181" spans="1:23" x14ac:dyDescent="0.2">
      <c r="A181" s="196">
        <f t="shared" si="20"/>
        <v>176</v>
      </c>
      <c r="B181" s="211">
        <v>40817</v>
      </c>
      <c r="C181" s="211" t="str">
        <f>+'Retail Rates'!B8</f>
        <v>LGCMG891</v>
      </c>
      <c r="D181" s="197" t="str">
        <f t="shared" si="14"/>
        <v>891</v>
      </c>
      <c r="E181" s="197" t="str">
        <f>VLOOKUP(C181,'Retail Rates'!$B$7:$D$35,3,FALSE)</f>
        <v>AAGS-C-TS</v>
      </c>
      <c r="F181" s="222">
        <f>SUMIFS('Data-Retail'!$H$4:$H$269,'Data-Retail'!$A$4:$A$269,'GSC Support'!$B181,'Data-Retail'!$D$4:$D$269,'GSC Support'!$C181)</f>
        <v>0</v>
      </c>
      <c r="G181" s="222">
        <f>SUMIFS('Data-Retail'!$I$4:$I$269,'Data-Retail'!$A$4:$A$269,'GSC Support'!$B181,'Data-Retail'!$D$4:$D$269,'GSC Support'!$C181)</f>
        <v>0</v>
      </c>
      <c r="H181" s="222">
        <f t="shared" si="17"/>
        <v>0</v>
      </c>
      <c r="I181" s="286"/>
      <c r="J181" s="286"/>
      <c r="K181" s="286"/>
      <c r="L181" s="286">
        <f t="shared" si="15"/>
        <v>0</v>
      </c>
      <c r="M181" s="279">
        <f t="shared" si="16"/>
        <v>0</v>
      </c>
      <c r="O181" s="323">
        <f>SUMIFS('Data-Retail'!$N$4:$N$238,'Data-Retail'!$A$4:$A$238,'GSC Support'!$B181,'Data-Retail'!$D$4:$D$238,'GSC Support'!$C181)</f>
        <v>0</v>
      </c>
      <c r="P181" s="323"/>
      <c r="Q181" s="323"/>
      <c r="R181" s="323"/>
      <c r="S181" s="281">
        <f>SUMIFS('Apr11-Mar12 Billed-RETAIL'!$BA$5:$BA$138,'Apr11-Mar12 Billed-RETAIL'!$B$5:$B$138,'GSC Support'!$B181,'Apr11-Mar12 Billed-RETAIL'!$C$5:$C$138,'GSC Support'!$C181)</f>
        <v>0</v>
      </c>
      <c r="T181" s="287"/>
      <c r="U181" s="287"/>
      <c r="V181" s="287">
        <f t="shared" si="18"/>
        <v>0</v>
      </c>
      <c r="W181" s="288">
        <f t="shared" si="19"/>
        <v>0</v>
      </c>
    </row>
    <row r="182" spans="1:23" x14ac:dyDescent="0.2">
      <c r="A182" s="196">
        <f t="shared" si="20"/>
        <v>177</v>
      </c>
      <c r="B182" s="211">
        <v>40817</v>
      </c>
      <c r="C182" s="211" t="str">
        <f>+'Retail Rates'!B9</f>
        <v>LGCMG891PM</v>
      </c>
      <c r="D182" s="197" t="str">
        <f t="shared" si="14"/>
        <v>891</v>
      </c>
      <c r="E182" s="197" t="str">
        <f>VLOOKUP(C182,'Retail Rates'!$B$7:$D$35,3,FALSE)</f>
        <v>AAGS-C-TS-PM</v>
      </c>
      <c r="F182" s="222">
        <f>SUMIFS('Data-Retail'!$H$4:$H$269,'Data-Retail'!$A$4:$A$269,'GSC Support'!$B182,'Data-Retail'!$D$4:$D$269,'GSC Support'!$C182)</f>
        <v>0</v>
      </c>
      <c r="G182" s="222">
        <f>SUMIFS('Data-Retail'!$I$4:$I$269,'Data-Retail'!$A$4:$A$269,'GSC Support'!$B182,'Data-Retail'!$D$4:$D$269,'GSC Support'!$C182)</f>
        <v>0</v>
      </c>
      <c r="H182" s="222">
        <f t="shared" si="17"/>
        <v>0</v>
      </c>
      <c r="I182" s="286"/>
      <c r="J182" s="286"/>
      <c r="K182" s="286"/>
      <c r="L182" s="286">
        <f t="shared" si="15"/>
        <v>0</v>
      </c>
      <c r="M182" s="279">
        <f t="shared" si="16"/>
        <v>0</v>
      </c>
      <c r="O182" s="323">
        <f>SUMIFS('Data-Retail'!$N$4:$N$238,'Data-Retail'!$A$4:$A$238,'GSC Support'!$B182,'Data-Retail'!$D$4:$D$238,'GSC Support'!$C182)</f>
        <v>0</v>
      </c>
      <c r="P182" s="323"/>
      <c r="Q182" s="323"/>
      <c r="R182" s="323"/>
      <c r="S182" s="281">
        <f>SUMIFS('Apr11-Mar12 Billed-RETAIL'!$BA$5:$BA$138,'Apr11-Mar12 Billed-RETAIL'!$B$5:$B$138,'GSC Support'!$B182,'Apr11-Mar12 Billed-RETAIL'!$C$5:$C$138,'GSC Support'!$C182)</f>
        <v>0</v>
      </c>
      <c r="T182" s="287"/>
      <c r="U182" s="287"/>
      <c r="V182" s="287">
        <f t="shared" si="18"/>
        <v>0</v>
      </c>
      <c r="W182" s="288">
        <f t="shared" si="19"/>
        <v>0</v>
      </c>
    </row>
    <row r="183" spans="1:23" x14ac:dyDescent="0.2">
      <c r="A183" s="196">
        <f t="shared" si="20"/>
        <v>178</v>
      </c>
      <c r="B183" s="211">
        <v>40817</v>
      </c>
      <c r="C183" s="211" t="str">
        <f>+'Retail Rates'!B10</f>
        <v>LGING866</v>
      </c>
      <c r="D183" s="197" t="str">
        <f t="shared" si="14"/>
        <v>866</v>
      </c>
      <c r="E183" s="197" t="str">
        <f>VLOOKUP(C183,'Retail Rates'!$B$7:$D$35,3,FALSE)</f>
        <v>AAGS-I</v>
      </c>
      <c r="F183" s="222">
        <f>SUMIFS('Data-Retail'!$H$4:$H$269,'Data-Retail'!$A$4:$A$269,'GSC Support'!$B183,'Data-Retail'!$D$4:$D$269,'GSC Support'!$C183)</f>
        <v>167968</v>
      </c>
      <c r="G183" s="222">
        <f>SUMIFS('Data-Retail'!$I$4:$I$269,'Data-Retail'!$A$4:$A$269,'GSC Support'!$B183,'Data-Retail'!$D$4:$D$269,'GSC Support'!$C183)</f>
        <v>0</v>
      </c>
      <c r="H183" s="222">
        <f t="shared" si="17"/>
        <v>167968</v>
      </c>
      <c r="I183" s="286">
        <v>167968</v>
      </c>
      <c r="J183" s="286"/>
      <c r="K183" s="286"/>
      <c r="L183" s="286">
        <f t="shared" si="15"/>
        <v>167968</v>
      </c>
      <c r="M183" s="279">
        <f t="shared" si="16"/>
        <v>0</v>
      </c>
      <c r="O183" s="323">
        <f>SUMIFS('Data-Retail'!$N$4:$N$238,'Data-Retail'!$A$4:$A$238,'GSC Support'!$B183,'Data-Retail'!$D$4:$D$238,'GSC Support'!$C183)</f>
        <v>94146.06</v>
      </c>
      <c r="P183" s="323"/>
      <c r="Q183" s="323"/>
      <c r="R183" s="323"/>
      <c r="S183" s="281">
        <f ca="1">SUMIFS('Apr11-Mar12 Billed-RETAIL'!$BA$5:$BA$138,'Apr11-Mar12 Billed-RETAIL'!$B$5:$B$138,'GSC Support'!$B183,'Apr11-Mar12 Billed-RETAIL'!$C$5:$C$138,'GSC Support'!$C183)</f>
        <v>94146.06</v>
      </c>
      <c r="T183" s="287">
        <v>94146.06</v>
      </c>
      <c r="U183" s="287"/>
      <c r="V183" s="287">
        <f t="shared" si="18"/>
        <v>94146.06</v>
      </c>
      <c r="W183" s="288">
        <f t="shared" ca="1" si="19"/>
        <v>0</v>
      </c>
    </row>
    <row r="184" spans="1:23" x14ac:dyDescent="0.2">
      <c r="A184" s="196">
        <f t="shared" si="20"/>
        <v>179</v>
      </c>
      <c r="B184" s="211">
        <v>40817</v>
      </c>
      <c r="C184" s="211" t="str">
        <f>+'Retail Rates'!B11</f>
        <v>LGING892</v>
      </c>
      <c r="D184" s="197" t="str">
        <f t="shared" si="14"/>
        <v>892</v>
      </c>
      <c r="E184" s="197" t="str">
        <f>VLOOKUP(C184,'Retail Rates'!$B$7:$D$35,3,FALSE)</f>
        <v>AAGS-I-TS</v>
      </c>
      <c r="F184" s="222">
        <f>SUMIFS('Data-Retail'!$H$4:$H$269,'Data-Retail'!$A$4:$A$269,'GSC Support'!$B184,'Data-Retail'!$D$4:$D$269,'GSC Support'!$C184)</f>
        <v>0</v>
      </c>
      <c r="G184" s="222">
        <f>SUMIFS('Data-Retail'!$I$4:$I$269,'Data-Retail'!$A$4:$A$269,'GSC Support'!$B184,'Data-Retail'!$D$4:$D$269,'GSC Support'!$C184)</f>
        <v>0</v>
      </c>
      <c r="H184" s="222">
        <f t="shared" si="17"/>
        <v>0</v>
      </c>
      <c r="I184" s="286"/>
      <c r="J184" s="286"/>
      <c r="K184" s="286"/>
      <c r="L184" s="286">
        <f t="shared" si="15"/>
        <v>0</v>
      </c>
      <c r="M184" s="279">
        <f t="shared" si="16"/>
        <v>0</v>
      </c>
      <c r="O184" s="323">
        <f>SUMIFS('Data-Retail'!$N$4:$N$238,'Data-Retail'!$A$4:$A$238,'GSC Support'!$B184,'Data-Retail'!$D$4:$D$238,'GSC Support'!$C184)</f>
        <v>0</v>
      </c>
      <c r="P184" s="323"/>
      <c r="Q184" s="323"/>
      <c r="R184" s="323"/>
      <c r="S184" s="281">
        <f>SUMIFS('Apr11-Mar12 Billed-RETAIL'!$BA$5:$BA$138,'Apr11-Mar12 Billed-RETAIL'!$B$5:$B$138,'GSC Support'!$B184,'Apr11-Mar12 Billed-RETAIL'!$C$5:$C$138,'GSC Support'!$C184)</f>
        <v>0</v>
      </c>
      <c r="T184" s="287"/>
      <c r="U184" s="287"/>
      <c r="V184" s="287">
        <f t="shared" si="18"/>
        <v>0</v>
      </c>
      <c r="W184" s="288">
        <f t="shared" si="19"/>
        <v>0</v>
      </c>
    </row>
    <row r="185" spans="1:23" x14ac:dyDescent="0.2">
      <c r="A185" s="196">
        <f t="shared" si="20"/>
        <v>180</v>
      </c>
      <c r="B185" s="211">
        <v>40817</v>
      </c>
      <c r="C185" s="211" t="str">
        <f>+'Retail Rates'!B12</f>
        <v>LGING892PM</v>
      </c>
      <c r="D185" s="197" t="str">
        <f t="shared" si="14"/>
        <v>892</v>
      </c>
      <c r="E185" s="197" t="str">
        <f>VLOOKUP(C185,'Retail Rates'!$B$7:$D$35,3,FALSE)</f>
        <v>AAGS-I-TS-PM</v>
      </c>
      <c r="F185" s="222">
        <f>SUMIFS('Data-Retail'!$H$4:$H$269,'Data-Retail'!$A$4:$A$269,'GSC Support'!$B185,'Data-Retail'!$D$4:$D$269,'GSC Support'!$C185)</f>
        <v>0</v>
      </c>
      <c r="G185" s="222">
        <f>SUMIFS('Data-Retail'!$I$4:$I$269,'Data-Retail'!$A$4:$A$269,'GSC Support'!$B185,'Data-Retail'!$D$4:$D$269,'GSC Support'!$C185)</f>
        <v>0</v>
      </c>
      <c r="H185" s="222">
        <f t="shared" si="17"/>
        <v>0</v>
      </c>
      <c r="I185" s="286"/>
      <c r="J185" s="286"/>
      <c r="K185" s="286"/>
      <c r="L185" s="286">
        <f t="shared" si="15"/>
        <v>0</v>
      </c>
      <c r="M185" s="279">
        <f t="shared" si="16"/>
        <v>0</v>
      </c>
      <c r="O185" s="323">
        <f>SUMIFS('Data-Retail'!$N$4:$N$238,'Data-Retail'!$A$4:$A$238,'GSC Support'!$B185,'Data-Retail'!$D$4:$D$238,'GSC Support'!$C185)</f>
        <v>0</v>
      </c>
      <c r="P185" s="323"/>
      <c r="Q185" s="323"/>
      <c r="R185" s="323"/>
      <c r="S185" s="281">
        <f>SUMIFS('Apr11-Mar12 Billed-RETAIL'!$BA$5:$BA$138,'Apr11-Mar12 Billed-RETAIL'!$B$5:$B$138,'GSC Support'!$B185,'Apr11-Mar12 Billed-RETAIL'!$C$5:$C$138,'GSC Support'!$C185)</f>
        <v>0</v>
      </c>
      <c r="T185" s="287"/>
      <c r="U185" s="287"/>
      <c r="V185" s="287">
        <f t="shared" si="18"/>
        <v>0</v>
      </c>
      <c r="W185" s="288">
        <f t="shared" si="19"/>
        <v>0</v>
      </c>
    </row>
    <row r="186" spans="1:23" x14ac:dyDescent="0.2">
      <c r="A186" s="196">
        <f t="shared" si="20"/>
        <v>181</v>
      </c>
      <c r="B186" s="211">
        <v>40817</v>
      </c>
      <c r="C186" s="211" t="str">
        <f>+'Retail Rates'!B13</f>
        <v>LGCMG851</v>
      </c>
      <c r="D186" s="197" t="str">
        <f t="shared" si="14"/>
        <v>851</v>
      </c>
      <c r="E186" s="197" t="str">
        <f>VLOOKUP(C186,'Retail Rates'!$B$7:$D$35,3,FALSE)</f>
        <v>CGS</v>
      </c>
      <c r="F186" s="222">
        <f>SUMIFS('Data-Retail'!$H$4:$H$269,'Data-Retail'!$A$4:$A$269,'GSC Support'!$B186,'Data-Retail'!$D$4:$D$269,'GSC Support'!$C186)</f>
        <v>2375180</v>
      </c>
      <c r="G186" s="222">
        <f>SUMIFS('Data-Retail'!$I$4:$I$269,'Data-Retail'!$A$4:$A$269,'GSC Support'!$B186,'Data-Retail'!$D$4:$D$269,'GSC Support'!$C186)</f>
        <v>1363703</v>
      </c>
      <c r="H186" s="222">
        <f t="shared" si="17"/>
        <v>3738883</v>
      </c>
      <c r="I186" s="286">
        <v>3730800</v>
      </c>
      <c r="J186" s="286">
        <v>8083</v>
      </c>
      <c r="K186" s="286"/>
      <c r="L186" s="286">
        <f t="shared" si="15"/>
        <v>3738883</v>
      </c>
      <c r="M186" s="279">
        <f t="shared" si="16"/>
        <v>0</v>
      </c>
      <c r="O186" s="323">
        <f>SUMIFS('Data-Retail'!$N$4:$N$238,'Data-Retail'!$A$4:$A$238,'GSC Support'!$B186,'Data-Retail'!$D$4:$D$238,'GSC Support'!$C186)</f>
        <v>2095350.76</v>
      </c>
      <c r="P186" s="323"/>
      <c r="Q186" s="323"/>
      <c r="R186" s="323"/>
      <c r="S186" s="281">
        <f ca="1">SUMIFS('Apr11-Mar12 Billed-RETAIL'!$BA$5:$BA$138,'Apr11-Mar12 Billed-RETAIL'!$B$5:$B$138,'GSC Support'!$B186,'Apr11-Mar12 Billed-RETAIL'!$C$5:$C$138,'GSC Support'!$C186)</f>
        <v>2095350.76</v>
      </c>
      <c r="T186" s="287">
        <v>2091110.3999999999</v>
      </c>
      <c r="U186" s="287">
        <v>4240.3599999999997</v>
      </c>
      <c r="V186" s="287">
        <f t="shared" si="18"/>
        <v>2095350.76</v>
      </c>
      <c r="W186" s="288">
        <f t="shared" ca="1" si="19"/>
        <v>0</v>
      </c>
    </row>
    <row r="187" spans="1:23" x14ac:dyDescent="0.2">
      <c r="A187" s="196">
        <f t="shared" si="20"/>
        <v>182</v>
      </c>
      <c r="B187" s="211">
        <v>40817</v>
      </c>
      <c r="C187" s="211" t="str">
        <f>+'Retail Rates'!B14</f>
        <v>LGUMG860</v>
      </c>
      <c r="D187" s="197" t="str">
        <f t="shared" si="14"/>
        <v>860</v>
      </c>
      <c r="E187" s="197" t="str">
        <f>VLOOKUP(C187,'Retail Rates'!$B$7:$D$35,3,FALSE)</f>
        <v>CGS</v>
      </c>
      <c r="F187" s="222">
        <f>SUMIFS('Data-Retail'!$H$4:$H$269,'Data-Retail'!$A$4:$A$269,'GSC Support'!$B187,'Data-Retail'!$D$4:$D$269,'GSC Support'!$C187)</f>
        <v>358</v>
      </c>
      <c r="G187" s="222">
        <f>SUMIFS('Data-Retail'!$I$4:$I$269,'Data-Retail'!$A$4:$A$269,'GSC Support'!$B187,'Data-Retail'!$D$4:$D$269,'GSC Support'!$C187)</f>
        <v>0</v>
      </c>
      <c r="H187" s="222">
        <f t="shared" si="17"/>
        <v>358</v>
      </c>
      <c r="I187" s="286">
        <v>358</v>
      </c>
      <c r="J187" s="286"/>
      <c r="K187" s="286"/>
      <c r="L187" s="286">
        <f t="shared" si="15"/>
        <v>358</v>
      </c>
      <c r="M187" s="279">
        <f t="shared" si="16"/>
        <v>0</v>
      </c>
      <c r="O187" s="323">
        <f>SUMIFS('Data-Retail'!$N$4:$N$238,'Data-Retail'!$A$4:$A$238,'GSC Support'!$B187,'Data-Retail'!$D$4:$D$238,'GSC Support'!$C187)</f>
        <v>200.66</v>
      </c>
      <c r="P187" s="323"/>
      <c r="Q187" s="323"/>
      <c r="R187" s="323"/>
      <c r="S187" s="281">
        <f ca="1">SUMIFS('Apr11-Mar12 Billed-RETAIL'!$BA$5:$BA$138,'Apr11-Mar12 Billed-RETAIL'!$B$5:$B$138,'GSC Support'!$B187,'Apr11-Mar12 Billed-RETAIL'!$C$5:$C$138,'GSC Support'!$C187)</f>
        <v>200.66</v>
      </c>
      <c r="T187" s="287">
        <v>200.66</v>
      </c>
      <c r="U187" s="287"/>
      <c r="V187" s="287">
        <f t="shared" si="18"/>
        <v>200.66</v>
      </c>
      <c r="W187" s="288">
        <f t="shared" ca="1" si="19"/>
        <v>0</v>
      </c>
    </row>
    <row r="188" spans="1:23" x14ac:dyDescent="0.2">
      <c r="A188" s="196">
        <f t="shared" si="20"/>
        <v>183</v>
      </c>
      <c r="B188" s="211">
        <v>40817</v>
      </c>
      <c r="C188" s="211" t="str">
        <f>+'Retail Rates'!B15</f>
        <v>LGUMG861</v>
      </c>
      <c r="D188" s="197" t="str">
        <f t="shared" si="14"/>
        <v>861</v>
      </c>
      <c r="E188" s="197" t="str">
        <f>VLOOKUP(C188,'Retail Rates'!$B$7:$D$35,3,FALSE)</f>
        <v>CGS</v>
      </c>
      <c r="F188" s="222">
        <f>SUMIFS('Data-Retail'!$H$4:$H$269,'Data-Retail'!$A$4:$A$269,'GSC Support'!$B188,'Data-Retail'!$D$4:$D$269,'GSC Support'!$C188)</f>
        <v>613</v>
      </c>
      <c r="G188" s="222">
        <f>SUMIFS('Data-Retail'!$I$4:$I$269,'Data-Retail'!$A$4:$A$269,'GSC Support'!$B188,'Data-Retail'!$D$4:$D$269,'GSC Support'!$C188)</f>
        <v>0</v>
      </c>
      <c r="H188" s="222">
        <f t="shared" si="17"/>
        <v>613</v>
      </c>
      <c r="I188" s="286">
        <v>613</v>
      </c>
      <c r="J188" s="286"/>
      <c r="K188" s="286"/>
      <c r="L188" s="286">
        <f t="shared" si="15"/>
        <v>613</v>
      </c>
      <c r="M188" s="279">
        <f t="shared" si="16"/>
        <v>0</v>
      </c>
      <c r="O188" s="323">
        <f>SUMIFS('Data-Retail'!$N$4:$N$238,'Data-Retail'!$A$4:$A$238,'GSC Support'!$B188,'Data-Retail'!$D$4:$D$238,'GSC Support'!$C188)</f>
        <v>343.28</v>
      </c>
      <c r="P188" s="323"/>
      <c r="Q188" s="323"/>
      <c r="R188" s="323"/>
      <c r="S188" s="281">
        <f ca="1">SUMIFS('Apr11-Mar12 Billed-RETAIL'!$BA$5:$BA$138,'Apr11-Mar12 Billed-RETAIL'!$B$5:$B$138,'GSC Support'!$B188,'Apr11-Mar12 Billed-RETAIL'!$C$5:$C$138,'GSC Support'!$C188)</f>
        <v>343.28</v>
      </c>
      <c r="T188" s="287">
        <v>343.28</v>
      </c>
      <c r="U188" s="287"/>
      <c r="V188" s="287">
        <f t="shared" si="18"/>
        <v>343.28</v>
      </c>
      <c r="W188" s="288">
        <f t="shared" ca="1" si="19"/>
        <v>0</v>
      </c>
    </row>
    <row r="189" spans="1:23" x14ac:dyDescent="0.2">
      <c r="A189" s="196">
        <f t="shared" si="20"/>
        <v>184</v>
      </c>
      <c r="B189" s="211">
        <v>40817</v>
      </c>
      <c r="C189" s="211" t="str">
        <f>+'Retail Rates'!B16</f>
        <v>LGCMG881</v>
      </c>
      <c r="D189" s="197" t="str">
        <f t="shared" si="14"/>
        <v>881</v>
      </c>
      <c r="E189" s="197" t="str">
        <f>VLOOKUP(C189,'Retail Rates'!$B$7:$D$35,3,FALSE)</f>
        <v>CGS-TS</v>
      </c>
      <c r="F189" s="329">
        <f>SUMIFS('Data-Retail'!$H$4:$H$269,'Data-Retail'!$A$4:$A$269,'GSC Support'!$B189,'Data-Retail'!$D$4:$D$269,'GSC Support'!$C189)</f>
        <v>0</v>
      </c>
      <c r="G189" s="329">
        <f>SUMIFS('Data-Retail'!$I$4:$I$269,'Data-Retail'!$A$4:$A$269,'GSC Support'!$B189,'Data-Retail'!$D$4:$D$269,'GSC Support'!$C189)</f>
        <v>0</v>
      </c>
      <c r="H189" s="329">
        <f t="shared" si="17"/>
        <v>0</v>
      </c>
      <c r="I189" s="330">
        <v>980</v>
      </c>
      <c r="J189" s="330"/>
      <c r="K189" s="330"/>
      <c r="L189" s="330">
        <f t="shared" si="15"/>
        <v>980</v>
      </c>
      <c r="M189" s="331">
        <f t="shared" si="16"/>
        <v>-980</v>
      </c>
      <c r="N189" s="332"/>
      <c r="O189" s="323">
        <f>SUMIFS('Data-Retail'!$V$4:$V$238,'Data-Retail'!$A$4:$A$238,'GSC Support'!$B189,'Data-Retail'!$D$4:$D$238,'GSC Support'!$C189)</f>
        <v>0</v>
      </c>
      <c r="P189" s="327">
        <f>VLOOKUP($B189,'GSC-DSM Factors'!$A$18:$E$44,5,FALSE)</f>
        <v>9.6000000000000002E-4</v>
      </c>
      <c r="Q189" s="326">
        <f>P189*H189</f>
        <v>0</v>
      </c>
      <c r="R189" s="323">
        <f>+O189-Q189</f>
        <v>0</v>
      </c>
      <c r="S189" s="281">
        <f>SUMIFS('Apr11-Mar12 Billed-RETAIL'!$BA$5:$BA$138,'Apr11-Mar12 Billed-RETAIL'!$B$5:$B$138,'GSC Support'!$B189,'Apr11-Mar12 Billed-RETAIL'!$C$5:$C$138,'GSC Support'!$C189)</f>
        <v>0</v>
      </c>
      <c r="T189" s="287">
        <v>549.29</v>
      </c>
      <c r="U189" s="287"/>
      <c r="V189" s="287">
        <f t="shared" si="18"/>
        <v>549.29</v>
      </c>
      <c r="W189" s="288">
        <f t="shared" si="19"/>
        <v>-549.29</v>
      </c>
    </row>
    <row r="190" spans="1:23" x14ac:dyDescent="0.2">
      <c r="A190" s="196">
        <f t="shared" si="20"/>
        <v>185</v>
      </c>
      <c r="B190" s="211">
        <v>40817</v>
      </c>
      <c r="C190" s="211" t="str">
        <f>+'Retail Rates'!B17</f>
        <v>LGCMG881PM</v>
      </c>
      <c r="D190" s="197" t="str">
        <f t="shared" si="14"/>
        <v>881</v>
      </c>
      <c r="E190" s="197" t="str">
        <f>VLOOKUP(C190,'Retail Rates'!$B$7:$D$35,3,FALSE)</f>
        <v>CGS-TS-PM</v>
      </c>
      <c r="F190" s="222">
        <f>SUMIFS('Data-Retail'!$H$4:$H$269,'Data-Retail'!$A$4:$A$269,'GSC Support'!$B190,'Data-Retail'!$D$4:$D$269,'GSC Support'!$C190)</f>
        <v>0</v>
      </c>
      <c r="G190" s="222">
        <f>SUMIFS('Data-Retail'!$I$4:$I$269,'Data-Retail'!$A$4:$A$269,'GSC Support'!$B190,'Data-Retail'!$D$4:$D$269,'GSC Support'!$C190)</f>
        <v>0</v>
      </c>
      <c r="H190" s="222">
        <f t="shared" si="17"/>
        <v>0</v>
      </c>
      <c r="I190" s="286"/>
      <c r="J190" s="286"/>
      <c r="K190" s="286"/>
      <c r="L190" s="286">
        <f t="shared" si="15"/>
        <v>0</v>
      </c>
      <c r="M190" s="279">
        <f t="shared" si="16"/>
        <v>0</v>
      </c>
      <c r="O190" s="323">
        <f>SUMIFS('Data-Retail'!$N$4:$N$238,'Data-Retail'!$A$4:$A$238,'GSC Support'!$B190,'Data-Retail'!$D$4:$D$238,'GSC Support'!$C190)</f>
        <v>0</v>
      </c>
      <c r="P190" s="323"/>
      <c r="Q190" s="323"/>
      <c r="R190" s="323"/>
      <c r="S190" s="281">
        <f>SUMIFS('Apr11-Mar12 Billed-RETAIL'!$BA$5:$BA$138,'Apr11-Mar12 Billed-RETAIL'!$B$5:$B$138,'GSC Support'!$B190,'Apr11-Mar12 Billed-RETAIL'!$C$5:$C$138,'GSC Support'!$C190)</f>
        <v>0</v>
      </c>
      <c r="T190" s="287"/>
      <c r="U190" s="287"/>
      <c r="V190" s="287">
        <f t="shared" si="18"/>
        <v>0</v>
      </c>
      <c r="W190" s="288">
        <f t="shared" si="19"/>
        <v>0</v>
      </c>
    </row>
    <row r="191" spans="1:23" x14ac:dyDescent="0.2">
      <c r="A191" s="196">
        <f t="shared" si="20"/>
        <v>186</v>
      </c>
      <c r="B191" s="211">
        <v>40817</v>
      </c>
      <c r="C191" s="211" t="str">
        <f>+'Retail Rates'!B18</f>
        <v>LGCMG875</v>
      </c>
      <c r="D191" s="197" t="str">
        <f t="shared" si="14"/>
        <v>875</v>
      </c>
      <c r="E191" s="197" t="str">
        <f>VLOOKUP(C191,'Retail Rates'!$B$7:$D$35,3,FALSE)</f>
        <v>DGGS-C</v>
      </c>
      <c r="F191" s="222">
        <f>SUMIFS('Data-Retail'!$H$4:$H$269,'Data-Retail'!$A$4:$A$269,'GSC Support'!$B191,'Data-Retail'!$D$4:$D$269,'GSC Support'!$C191)</f>
        <v>0</v>
      </c>
      <c r="G191" s="222">
        <f>SUMIFS('Data-Retail'!$I$4:$I$269,'Data-Retail'!$A$4:$A$269,'GSC Support'!$B191,'Data-Retail'!$D$4:$D$269,'GSC Support'!$C191)</f>
        <v>0</v>
      </c>
      <c r="H191" s="222">
        <f t="shared" si="17"/>
        <v>0</v>
      </c>
      <c r="I191" s="286"/>
      <c r="J191" s="286"/>
      <c r="K191" s="286"/>
      <c r="L191" s="286">
        <f t="shared" si="15"/>
        <v>0</v>
      </c>
      <c r="M191" s="279">
        <f t="shared" si="16"/>
        <v>0</v>
      </c>
      <c r="O191" s="323">
        <f>SUMIFS('Data-Retail'!$N$4:$N$238,'Data-Retail'!$A$4:$A$238,'GSC Support'!$B191,'Data-Retail'!$D$4:$D$238,'GSC Support'!$C191)</f>
        <v>0</v>
      </c>
      <c r="P191" s="323"/>
      <c r="Q191" s="323"/>
      <c r="R191" s="323"/>
      <c r="S191" s="281">
        <f ca="1">SUMIFS('Apr11-Mar12 Billed-RETAIL'!$BA$5:$BA$138,'Apr11-Mar12 Billed-RETAIL'!$B$5:$B$138,'GSC Support'!$B191,'Apr11-Mar12 Billed-RETAIL'!$C$5:$C$138,'GSC Support'!$C191)</f>
        <v>0</v>
      </c>
      <c r="T191" s="287"/>
      <c r="U191" s="287"/>
      <c r="V191" s="287">
        <f t="shared" si="18"/>
        <v>0</v>
      </c>
      <c r="W191" s="288">
        <f t="shared" ca="1" si="19"/>
        <v>0</v>
      </c>
    </row>
    <row r="192" spans="1:23" x14ac:dyDescent="0.2">
      <c r="A192" s="196">
        <f t="shared" si="20"/>
        <v>187</v>
      </c>
      <c r="B192" s="211">
        <v>40817</v>
      </c>
      <c r="C192" s="211" t="str">
        <f>+'Retail Rates'!B19</f>
        <v>LGCMG895</v>
      </c>
      <c r="D192" s="197" t="str">
        <f t="shared" si="14"/>
        <v>895</v>
      </c>
      <c r="E192" s="197" t="str">
        <f>VLOOKUP(C192,'Retail Rates'!$B$7:$D$35,3,FALSE)</f>
        <v>FT-C</v>
      </c>
      <c r="F192" s="222">
        <f>SUMIFS('Data-Retail'!$H$4:$H$269,'Data-Retail'!$A$4:$A$269,'GSC Support'!$B192,'Data-Retail'!$D$4:$D$269,'GSC Support'!$C192)</f>
        <v>0</v>
      </c>
      <c r="G192" s="222">
        <f>SUMIFS('Data-Retail'!$I$4:$I$269,'Data-Retail'!$A$4:$A$269,'GSC Support'!$B192,'Data-Retail'!$D$4:$D$269,'GSC Support'!$C192)</f>
        <v>0</v>
      </c>
      <c r="H192" s="222">
        <f t="shared" si="17"/>
        <v>0</v>
      </c>
      <c r="I192" s="286"/>
      <c r="J192" s="286"/>
      <c r="K192" s="286"/>
      <c r="L192" s="286">
        <f t="shared" si="15"/>
        <v>0</v>
      </c>
      <c r="M192" s="279">
        <f t="shared" si="16"/>
        <v>0</v>
      </c>
      <c r="O192" s="323">
        <f>SUMIFS('Data-Retail'!$N$4:$N$238,'Data-Retail'!$A$4:$A$238,'GSC Support'!$B192,'Data-Retail'!$D$4:$D$238,'GSC Support'!$C192)</f>
        <v>0</v>
      </c>
      <c r="P192" s="323"/>
      <c r="Q192" s="323"/>
      <c r="R192" s="323"/>
      <c r="S192" s="281">
        <f>SUMIFS('Apr11-Mar12 Billed-RETAIL'!$BA$5:$BA$138,'Apr11-Mar12 Billed-RETAIL'!$B$5:$B$138,'GSC Support'!$B192,'Apr11-Mar12 Billed-RETAIL'!$C$5:$C$138,'GSC Support'!$C192)</f>
        <v>0</v>
      </c>
      <c r="T192" s="287"/>
      <c r="U192" s="287"/>
      <c r="V192" s="287">
        <f t="shared" si="18"/>
        <v>0</v>
      </c>
      <c r="W192" s="288">
        <f t="shared" si="19"/>
        <v>0</v>
      </c>
    </row>
    <row r="193" spans="1:23" x14ac:dyDescent="0.2">
      <c r="A193" s="196">
        <f t="shared" si="20"/>
        <v>188</v>
      </c>
      <c r="B193" s="211">
        <v>40817</v>
      </c>
      <c r="C193" s="211" t="str">
        <f>+'Retail Rates'!B20</f>
        <v>LGCMG895PM</v>
      </c>
      <c r="D193" s="197" t="str">
        <f t="shared" si="14"/>
        <v>895</v>
      </c>
      <c r="E193" s="197" t="str">
        <f>VLOOKUP(C193,'Retail Rates'!$B$7:$D$35,3,FALSE)</f>
        <v>FT-C-PM</v>
      </c>
      <c r="F193" s="222">
        <f>SUMIFS('Data-Retail'!$H$4:$H$269,'Data-Retail'!$A$4:$A$269,'GSC Support'!$B193,'Data-Retail'!$D$4:$D$269,'GSC Support'!$C193)</f>
        <v>0</v>
      </c>
      <c r="G193" s="222">
        <f>SUMIFS('Data-Retail'!$I$4:$I$269,'Data-Retail'!$A$4:$A$269,'GSC Support'!$B193,'Data-Retail'!$D$4:$D$269,'GSC Support'!$C193)</f>
        <v>0</v>
      </c>
      <c r="H193" s="222">
        <f t="shared" si="17"/>
        <v>0</v>
      </c>
      <c r="I193" s="286"/>
      <c r="J193" s="286"/>
      <c r="K193" s="286"/>
      <c r="L193" s="286">
        <f t="shared" si="15"/>
        <v>0</v>
      </c>
      <c r="M193" s="279">
        <f t="shared" si="16"/>
        <v>0</v>
      </c>
      <c r="O193" s="323">
        <f>SUMIFS('Data-Retail'!$N$4:$N$238,'Data-Retail'!$A$4:$A$238,'GSC Support'!$B193,'Data-Retail'!$D$4:$D$238,'GSC Support'!$C193)</f>
        <v>0</v>
      </c>
      <c r="P193" s="323"/>
      <c r="Q193" s="323"/>
      <c r="R193" s="323"/>
      <c r="S193" s="281">
        <f>SUMIFS('Apr11-Mar12 Billed-RETAIL'!$BA$5:$BA$138,'Apr11-Mar12 Billed-RETAIL'!$B$5:$B$138,'GSC Support'!$B193,'Apr11-Mar12 Billed-RETAIL'!$C$5:$C$138,'GSC Support'!$C193)</f>
        <v>0</v>
      </c>
      <c r="T193" s="287"/>
      <c r="U193" s="287"/>
      <c r="V193" s="287">
        <f t="shared" si="18"/>
        <v>0</v>
      </c>
      <c r="W193" s="288">
        <f t="shared" si="19"/>
        <v>0</v>
      </c>
    </row>
    <row r="194" spans="1:23" x14ac:dyDescent="0.2">
      <c r="A194" s="196">
        <f t="shared" si="20"/>
        <v>189</v>
      </c>
      <c r="B194" s="211">
        <v>40817</v>
      </c>
      <c r="C194" s="211" t="str">
        <f>+'Retail Rates'!B21</f>
        <v>LGING896</v>
      </c>
      <c r="D194" s="197" t="str">
        <f t="shared" si="14"/>
        <v>896</v>
      </c>
      <c r="E194" s="197" t="str">
        <f>VLOOKUP(C194,'Retail Rates'!$B$7:$D$35,3,FALSE)</f>
        <v>FT-I</v>
      </c>
      <c r="F194" s="222">
        <f>SUMIFS('Data-Retail'!$H$4:$H$269,'Data-Retail'!$A$4:$A$269,'GSC Support'!$B194,'Data-Retail'!$D$4:$D$269,'GSC Support'!$C194)</f>
        <v>0</v>
      </c>
      <c r="G194" s="222">
        <f>SUMIFS('Data-Retail'!$I$4:$I$269,'Data-Retail'!$A$4:$A$269,'GSC Support'!$B194,'Data-Retail'!$D$4:$D$269,'GSC Support'!$C194)</f>
        <v>0</v>
      </c>
      <c r="H194" s="222">
        <f t="shared" si="17"/>
        <v>0</v>
      </c>
      <c r="I194" s="286"/>
      <c r="J194" s="286"/>
      <c r="K194" s="286"/>
      <c r="L194" s="286">
        <f t="shared" si="15"/>
        <v>0</v>
      </c>
      <c r="M194" s="279">
        <f t="shared" si="16"/>
        <v>0</v>
      </c>
      <c r="O194" s="323">
        <f>SUMIFS('Data-Retail'!$N$4:$N$238,'Data-Retail'!$A$4:$A$238,'GSC Support'!$B194,'Data-Retail'!$D$4:$D$238,'GSC Support'!$C194)</f>
        <v>0</v>
      </c>
      <c r="P194" s="323"/>
      <c r="Q194" s="323"/>
      <c r="R194" s="323"/>
      <c r="S194" s="281">
        <f>SUMIFS('Apr11-Mar12 Billed-RETAIL'!$BA$5:$BA$138,'Apr11-Mar12 Billed-RETAIL'!$B$5:$B$138,'GSC Support'!$B194,'Apr11-Mar12 Billed-RETAIL'!$C$5:$C$138,'GSC Support'!$C194)</f>
        <v>0</v>
      </c>
      <c r="T194" s="287"/>
      <c r="U194" s="287"/>
      <c r="V194" s="287">
        <f t="shared" si="18"/>
        <v>0</v>
      </c>
      <c r="W194" s="288">
        <f t="shared" si="19"/>
        <v>0</v>
      </c>
    </row>
    <row r="195" spans="1:23" x14ac:dyDescent="0.2">
      <c r="A195" s="196">
        <f t="shared" si="20"/>
        <v>190</v>
      </c>
      <c r="B195" s="211">
        <v>40817</v>
      </c>
      <c r="C195" s="211" t="str">
        <f>+'Retail Rates'!B22</f>
        <v>LGING896PM</v>
      </c>
      <c r="D195" s="197" t="str">
        <f t="shared" si="14"/>
        <v>896</v>
      </c>
      <c r="E195" s="197" t="str">
        <f>VLOOKUP(C195,'Retail Rates'!$B$7:$D$35,3,FALSE)</f>
        <v>FT-I-PM</v>
      </c>
      <c r="F195" s="222">
        <f>SUMIFS('Data-Retail'!$H$4:$H$269,'Data-Retail'!$A$4:$A$269,'GSC Support'!$B195,'Data-Retail'!$D$4:$D$269,'GSC Support'!$C195)</f>
        <v>0</v>
      </c>
      <c r="G195" s="222">
        <f>SUMIFS('Data-Retail'!$I$4:$I$269,'Data-Retail'!$A$4:$A$269,'GSC Support'!$B195,'Data-Retail'!$D$4:$D$269,'GSC Support'!$C195)</f>
        <v>0</v>
      </c>
      <c r="H195" s="222">
        <f t="shared" si="17"/>
        <v>0</v>
      </c>
      <c r="I195" s="286"/>
      <c r="J195" s="286"/>
      <c r="K195" s="286"/>
      <c r="L195" s="286">
        <f t="shared" si="15"/>
        <v>0</v>
      </c>
      <c r="M195" s="279">
        <f t="shared" si="16"/>
        <v>0</v>
      </c>
      <c r="O195" s="323">
        <f>SUMIFS('Data-Retail'!$N$4:$N$238,'Data-Retail'!$A$4:$A$238,'GSC Support'!$B195,'Data-Retail'!$D$4:$D$238,'GSC Support'!$C195)</f>
        <v>0</v>
      </c>
      <c r="P195" s="323"/>
      <c r="Q195" s="323"/>
      <c r="R195" s="323"/>
      <c r="S195" s="281">
        <f>SUMIFS('Apr11-Mar12 Billed-RETAIL'!$BA$5:$BA$138,'Apr11-Mar12 Billed-RETAIL'!$B$5:$B$138,'GSC Support'!$B195,'Apr11-Mar12 Billed-RETAIL'!$C$5:$C$138,'GSC Support'!$C195)</f>
        <v>0</v>
      </c>
      <c r="T195" s="287"/>
      <c r="U195" s="287"/>
      <c r="V195" s="287">
        <f t="shared" si="18"/>
        <v>0</v>
      </c>
      <c r="W195" s="288">
        <f t="shared" si="19"/>
        <v>0</v>
      </c>
    </row>
    <row r="196" spans="1:23" x14ac:dyDescent="0.2">
      <c r="A196" s="196">
        <f t="shared" si="20"/>
        <v>191</v>
      </c>
      <c r="B196" s="211">
        <v>40817</v>
      </c>
      <c r="C196" s="211" t="str">
        <f>+'Retail Rates'!B23</f>
        <v>LGING855</v>
      </c>
      <c r="D196" s="197" t="str">
        <f t="shared" si="14"/>
        <v>855</v>
      </c>
      <c r="E196" s="197" t="str">
        <f>VLOOKUP(C196,'Retail Rates'!$B$7:$D$35,3,FALSE)</f>
        <v>IGS</v>
      </c>
      <c r="F196" s="222">
        <f>SUMIFS('Data-Retail'!$H$4:$H$269,'Data-Retail'!$A$4:$A$269,'GSC Support'!$B196,'Data-Retail'!$D$4:$D$269,'GSC Support'!$C196)</f>
        <v>75755</v>
      </c>
      <c r="G196" s="222">
        <f>SUMIFS('Data-Retail'!$I$4:$I$269,'Data-Retail'!$A$4:$A$269,'GSC Support'!$B196,'Data-Retail'!$D$4:$D$269,'GSC Support'!$C196)</f>
        <v>420298</v>
      </c>
      <c r="H196" s="222">
        <f t="shared" si="17"/>
        <v>496053</v>
      </c>
      <c r="I196" s="286">
        <v>487671</v>
      </c>
      <c r="J196" s="286">
        <v>8382</v>
      </c>
      <c r="K196" s="286"/>
      <c r="L196" s="286">
        <f t="shared" si="15"/>
        <v>496053</v>
      </c>
      <c r="M196" s="279">
        <f t="shared" si="16"/>
        <v>0</v>
      </c>
      <c r="O196" s="323">
        <f>SUMIFS('Data-Retail'!$N$4:$N$238,'Data-Retail'!$A$4:$A$238,'GSC Support'!$B196,'Data-Retail'!$D$4:$D$238,'GSC Support'!$C196)</f>
        <v>278040.38</v>
      </c>
      <c r="P196" s="323"/>
      <c r="Q196" s="323"/>
      <c r="R196" s="323"/>
      <c r="S196" s="281">
        <f ca="1">SUMIFS('Apr11-Mar12 Billed-RETAIL'!$BA$5:$BA$138,'Apr11-Mar12 Billed-RETAIL'!$B$5:$B$138,'GSC Support'!$B196,'Apr11-Mar12 Billed-RETAIL'!$C$5:$C$138,'GSC Support'!$C196)</f>
        <v>278040.38</v>
      </c>
      <c r="T196" s="287">
        <v>273339.58</v>
      </c>
      <c r="U196" s="287">
        <v>4700.8</v>
      </c>
      <c r="V196" s="287">
        <f t="shared" si="18"/>
        <v>278040.38</v>
      </c>
      <c r="W196" s="288">
        <f t="shared" ca="1" si="19"/>
        <v>0</v>
      </c>
    </row>
    <row r="197" spans="1:23" x14ac:dyDescent="0.2">
      <c r="A197" s="196">
        <f t="shared" si="20"/>
        <v>192</v>
      </c>
      <c r="B197" s="211">
        <v>40817</v>
      </c>
      <c r="C197" s="211" t="str">
        <f>+'Retail Rates'!B24</f>
        <v>LGING882</v>
      </c>
      <c r="D197" s="197" t="str">
        <f t="shared" si="14"/>
        <v>882</v>
      </c>
      <c r="E197" s="197" t="str">
        <f>VLOOKUP(C197,'Retail Rates'!$B$7:$D$35,3,FALSE)</f>
        <v>IGS-TS</v>
      </c>
      <c r="F197" s="329">
        <v>22109</v>
      </c>
      <c r="G197" s="329"/>
      <c r="H197" s="329">
        <f t="shared" si="17"/>
        <v>22109</v>
      </c>
      <c r="I197" s="330">
        <v>22109</v>
      </c>
      <c r="J197" s="330"/>
      <c r="K197" s="330"/>
      <c r="L197" s="330">
        <f t="shared" si="15"/>
        <v>22109</v>
      </c>
      <c r="M197" s="331">
        <f t="shared" si="16"/>
        <v>0</v>
      </c>
      <c r="N197" s="332"/>
      <c r="O197" s="323"/>
      <c r="P197" s="327"/>
      <c r="Q197" s="326"/>
      <c r="R197" s="323"/>
      <c r="S197" s="281">
        <f>SUMIFS('Apr11-Mar12 Billed-RETAIL'!$BA$5:$BA$138,'Apr11-Mar12 Billed-RETAIL'!$B$5:$B$138,'GSC Support'!$B197,'Apr11-Mar12 Billed-RETAIL'!$C$5:$C$138,'GSC Support'!$C197)</f>
        <v>0</v>
      </c>
      <c r="T197" s="287">
        <v>12392.09</v>
      </c>
      <c r="U197" s="287"/>
      <c r="V197" s="287">
        <f t="shared" si="18"/>
        <v>12392.09</v>
      </c>
      <c r="W197" s="288">
        <f t="shared" si="19"/>
        <v>-12392.09</v>
      </c>
    </row>
    <row r="198" spans="1:23" x14ac:dyDescent="0.2">
      <c r="A198" s="196">
        <f t="shared" si="20"/>
        <v>193</v>
      </c>
      <c r="B198" s="211">
        <v>40817</v>
      </c>
      <c r="C198" s="211" t="str">
        <f>+'Retail Rates'!B25</f>
        <v>LGING882PM</v>
      </c>
      <c r="D198" s="197" t="str">
        <f t="shared" ref="D198:D261" si="21">MID(C198,6,3)</f>
        <v>882</v>
      </c>
      <c r="E198" s="197" t="str">
        <f>VLOOKUP(C198,'Retail Rates'!$B$7:$D$35,3,FALSE)</f>
        <v>IGS-TS-PM</v>
      </c>
      <c r="F198" s="222">
        <f>SUMIFS('Data-Retail'!$H$4:$H$269,'Data-Retail'!$A$4:$A$269,'GSC Support'!$B198,'Data-Retail'!$D$4:$D$269,'GSC Support'!$C198)</f>
        <v>0</v>
      </c>
      <c r="G198" s="222">
        <f>SUMIFS('Data-Retail'!$I$4:$I$269,'Data-Retail'!$A$4:$A$269,'GSC Support'!$B198,'Data-Retail'!$D$4:$D$269,'GSC Support'!$C198)</f>
        <v>0</v>
      </c>
      <c r="H198" s="222">
        <f t="shared" si="17"/>
        <v>0</v>
      </c>
      <c r="I198" s="286"/>
      <c r="J198" s="286"/>
      <c r="K198" s="286"/>
      <c r="L198" s="286">
        <f t="shared" ref="L198:L261" si="22">SUM(I198:K198)</f>
        <v>0</v>
      </c>
      <c r="M198" s="279">
        <f t="shared" ref="M198:M261" si="23">+H198-L198</f>
        <v>0</v>
      </c>
      <c r="O198" s="323">
        <f>SUMIFS('Data-Retail'!$N$4:$N$238,'Data-Retail'!$A$4:$A$238,'GSC Support'!$B198,'Data-Retail'!$D$4:$D$238,'GSC Support'!$C198)</f>
        <v>0</v>
      </c>
      <c r="P198" s="323"/>
      <c r="Q198" s="323"/>
      <c r="R198" s="323"/>
      <c r="S198" s="281">
        <f>SUMIFS('Apr11-Mar12 Billed-RETAIL'!$BA$5:$BA$138,'Apr11-Mar12 Billed-RETAIL'!$B$5:$B$138,'GSC Support'!$B198,'Apr11-Mar12 Billed-RETAIL'!$C$5:$C$138,'GSC Support'!$C198)</f>
        <v>0</v>
      </c>
      <c r="T198" s="287"/>
      <c r="U198" s="287"/>
      <c r="V198" s="287">
        <f t="shared" si="18"/>
        <v>0</v>
      </c>
      <c r="W198" s="288">
        <f t="shared" si="19"/>
        <v>0</v>
      </c>
    </row>
    <row r="199" spans="1:23" x14ac:dyDescent="0.2">
      <c r="A199" s="196">
        <f t="shared" si="20"/>
        <v>194</v>
      </c>
      <c r="B199" s="211">
        <v>40817</v>
      </c>
      <c r="C199" s="211" t="str">
        <f>+'Retail Rates'!B26</f>
        <v>LGRSG811</v>
      </c>
      <c r="D199" s="197" t="str">
        <f t="shared" si="21"/>
        <v>811</v>
      </c>
      <c r="E199" s="197" t="str">
        <f>VLOOKUP(C199,'Retail Rates'!$B$7:$D$35,3,FALSE)</f>
        <v>RGS</v>
      </c>
      <c r="F199" s="222">
        <f>SUMIFS('Data-Retail'!$H$4:$H$269,'Data-Retail'!$A$4:$A$269,'GSC Support'!$B199,'Data-Retail'!$D$4:$D$269,'GSC Support'!$C199)</f>
        <v>5743591</v>
      </c>
      <c r="G199" s="222">
        <f>SUMIFS('Data-Retail'!$I$4:$I$269,'Data-Retail'!$A$4:$A$269,'GSC Support'!$B199,'Data-Retail'!$D$4:$D$269,'GSC Support'!$C199)</f>
        <v>0</v>
      </c>
      <c r="H199" s="222">
        <f t="shared" ref="H199:H262" si="24">+F199+G199</f>
        <v>5743591</v>
      </c>
      <c r="I199" s="286">
        <v>5758801</v>
      </c>
      <c r="J199" s="286">
        <v>-15210</v>
      </c>
      <c r="K199" s="286"/>
      <c r="L199" s="286">
        <f t="shared" si="22"/>
        <v>5743591</v>
      </c>
      <c r="M199" s="279">
        <f t="shared" si="23"/>
        <v>0</v>
      </c>
      <c r="O199" s="323">
        <f>SUMIFS('Data-Retail'!$N$4:$N$238,'Data-Retail'!$A$4:$A$238,'GSC Support'!$B199,'Data-Retail'!$D$4:$D$238,'GSC Support'!$C199)</f>
        <v>3219479.9200000004</v>
      </c>
      <c r="P199" s="323"/>
      <c r="Q199" s="323"/>
      <c r="R199" s="323"/>
      <c r="S199" s="281">
        <f ca="1">SUMIFS('Apr11-Mar12 Billed-RETAIL'!$BA$5:$BA$138,'Apr11-Mar12 Billed-RETAIL'!$B$5:$B$138,'GSC Support'!$B199,'Apr11-Mar12 Billed-RETAIL'!$C$5:$C$138,'GSC Support'!$C199)</f>
        <v>3219479.9200000004</v>
      </c>
      <c r="T199" s="287">
        <v>3227896.71</v>
      </c>
      <c r="U199" s="287">
        <v>-8416.7900000000009</v>
      </c>
      <c r="V199" s="287">
        <f t="shared" ref="V199:V262" si="25">SUM(T199:U199)</f>
        <v>3219479.92</v>
      </c>
      <c r="W199" s="288">
        <f t="shared" ref="W199:W262" ca="1" si="26">+S199-V199</f>
        <v>0</v>
      </c>
    </row>
    <row r="200" spans="1:23" x14ac:dyDescent="0.2">
      <c r="A200" s="196">
        <f t="shared" ref="A200:A263" si="27">+A199+1</f>
        <v>195</v>
      </c>
      <c r="B200" s="211">
        <v>40817</v>
      </c>
      <c r="C200" s="211" t="str">
        <f>+'Retail Rates'!B27</f>
        <v>LGRSG811S1</v>
      </c>
      <c r="D200" s="197" t="str">
        <f t="shared" si="21"/>
        <v>811</v>
      </c>
      <c r="E200" s="197" t="str">
        <f>VLOOKUP(C200,'Retail Rates'!$B$7:$D$35,3,FALSE)</f>
        <v>RGS</v>
      </c>
      <c r="F200" s="222">
        <f>SUMIFS('Data-Retail'!$H$4:$H$269,'Data-Retail'!$A$4:$A$269,'GSC Support'!$B200,'Data-Retail'!$D$4:$D$269,'GSC Support'!$C200)</f>
        <v>622</v>
      </c>
      <c r="G200" s="222">
        <f>SUMIFS('Data-Retail'!$I$4:$I$269,'Data-Retail'!$A$4:$A$269,'GSC Support'!$B200,'Data-Retail'!$D$4:$D$269,'GSC Support'!$C200)</f>
        <v>0</v>
      </c>
      <c r="H200" s="222">
        <f t="shared" si="24"/>
        <v>622</v>
      </c>
      <c r="I200" s="286">
        <v>622</v>
      </c>
      <c r="J200" s="286"/>
      <c r="K200" s="286"/>
      <c r="L200" s="286">
        <f t="shared" si="22"/>
        <v>622</v>
      </c>
      <c r="M200" s="279">
        <f t="shared" si="23"/>
        <v>0</v>
      </c>
      <c r="O200" s="323">
        <f>SUMIFS('Data-Retail'!$N$4:$N$238,'Data-Retail'!$A$4:$A$238,'GSC Support'!$B200,'Data-Retail'!$D$4:$D$238,'GSC Support'!$C200)</f>
        <v>348.63</v>
      </c>
      <c r="P200" s="323"/>
      <c r="Q200" s="323"/>
      <c r="R200" s="323"/>
      <c r="S200" s="281">
        <f ca="1">SUMIFS('Apr11-Mar12 Billed-RETAIL'!$BA$5:$BA$138,'Apr11-Mar12 Billed-RETAIL'!$B$5:$B$138,'GSC Support'!$B200,'Apr11-Mar12 Billed-RETAIL'!$C$5:$C$138,'GSC Support'!$C200)</f>
        <v>348.63</v>
      </c>
      <c r="T200" s="287">
        <v>348.63</v>
      </c>
      <c r="U200" s="287"/>
      <c r="V200" s="287">
        <f t="shared" si="25"/>
        <v>348.63</v>
      </c>
      <c r="W200" s="288">
        <f t="shared" ca="1" si="26"/>
        <v>0</v>
      </c>
    </row>
    <row r="201" spans="1:23" x14ac:dyDescent="0.2">
      <c r="A201" s="196">
        <f t="shared" si="27"/>
        <v>196</v>
      </c>
      <c r="B201" s="211">
        <v>40817</v>
      </c>
      <c r="C201" s="211" t="str">
        <f>+'Retail Rates'!B28</f>
        <v>LGRSG840</v>
      </c>
      <c r="D201" s="197" t="str">
        <f t="shared" si="21"/>
        <v>840</v>
      </c>
      <c r="E201" s="197" t="str">
        <f>VLOOKUP(C201,'Retail Rates'!$B$7:$D$35,3,FALSE)</f>
        <v>RGS</v>
      </c>
      <c r="F201" s="222">
        <f>SUMIFS('Data-Retail'!$H$4:$H$269,'Data-Retail'!$A$4:$A$269,'GSC Support'!$B201,'Data-Retail'!$D$4:$D$269,'GSC Support'!$C201)</f>
        <v>383</v>
      </c>
      <c r="G201" s="222">
        <f>SUMIFS('Data-Retail'!$I$4:$I$269,'Data-Retail'!$A$4:$A$269,'GSC Support'!$B201,'Data-Retail'!$D$4:$D$269,'GSC Support'!$C201)</f>
        <v>0</v>
      </c>
      <c r="H201" s="222">
        <f t="shared" si="24"/>
        <v>383</v>
      </c>
      <c r="I201" s="286">
        <v>383</v>
      </c>
      <c r="J201" s="286"/>
      <c r="K201" s="286"/>
      <c r="L201" s="286">
        <f t="shared" si="22"/>
        <v>383</v>
      </c>
      <c r="M201" s="279">
        <f t="shared" si="23"/>
        <v>0</v>
      </c>
      <c r="O201" s="323">
        <f>SUMIFS('Data-Retail'!$N$4:$N$238,'Data-Retail'!$A$4:$A$238,'GSC Support'!$B201,'Data-Retail'!$D$4:$D$238,'GSC Support'!$C201)</f>
        <v>214.68</v>
      </c>
      <c r="P201" s="323"/>
      <c r="Q201" s="323"/>
      <c r="R201" s="323"/>
      <c r="S201" s="281">
        <f ca="1">SUMIFS('Apr11-Mar12 Billed-RETAIL'!$BA$5:$BA$138,'Apr11-Mar12 Billed-RETAIL'!$B$5:$B$138,'GSC Support'!$B201,'Apr11-Mar12 Billed-RETAIL'!$C$5:$C$138,'GSC Support'!$C201)</f>
        <v>214.68</v>
      </c>
      <c r="T201" s="287">
        <v>214.68</v>
      </c>
      <c r="U201" s="287"/>
      <c r="V201" s="287">
        <f t="shared" si="25"/>
        <v>214.68</v>
      </c>
      <c r="W201" s="288">
        <f t="shared" ca="1" si="26"/>
        <v>0</v>
      </c>
    </row>
    <row r="202" spans="1:23" x14ac:dyDescent="0.2">
      <c r="A202" s="196">
        <f t="shared" si="27"/>
        <v>197</v>
      </c>
      <c r="B202" s="211">
        <v>40817</v>
      </c>
      <c r="C202" s="211" t="str">
        <f>+'Retail Rates'!B29</f>
        <v>LGUMG830</v>
      </c>
      <c r="D202" s="197" t="str">
        <f t="shared" si="21"/>
        <v>830</v>
      </c>
      <c r="E202" s="197" t="str">
        <f>VLOOKUP(C202,'Retail Rates'!$B$7:$D$35,3,FALSE)</f>
        <v>RGS</v>
      </c>
      <c r="F202" s="222">
        <f>SUMIFS('Data-Retail'!$H$4:$H$269,'Data-Retail'!$A$4:$A$269,'GSC Support'!$B202,'Data-Retail'!$D$4:$D$269,'GSC Support'!$C202)</f>
        <v>32</v>
      </c>
      <c r="G202" s="222">
        <f>SUMIFS('Data-Retail'!$I$4:$I$269,'Data-Retail'!$A$4:$A$269,'GSC Support'!$B202,'Data-Retail'!$D$4:$D$269,'GSC Support'!$C202)</f>
        <v>0</v>
      </c>
      <c r="H202" s="222">
        <f t="shared" si="24"/>
        <v>32</v>
      </c>
      <c r="I202" s="286">
        <v>32</v>
      </c>
      <c r="J202" s="286"/>
      <c r="K202" s="286"/>
      <c r="L202" s="286">
        <f t="shared" si="22"/>
        <v>32</v>
      </c>
      <c r="M202" s="279">
        <f t="shared" si="23"/>
        <v>0</v>
      </c>
      <c r="O202" s="323">
        <f>SUMIFS('Data-Retail'!$N$4:$N$238,'Data-Retail'!$A$4:$A$238,'GSC Support'!$B202,'Data-Retail'!$D$4:$D$238,'GSC Support'!$C202)</f>
        <v>17.940000000000001</v>
      </c>
      <c r="P202" s="323"/>
      <c r="Q202" s="323"/>
      <c r="R202" s="323"/>
      <c r="S202" s="281">
        <f ca="1">SUMIFS('Apr11-Mar12 Billed-RETAIL'!$BA$5:$BA$138,'Apr11-Mar12 Billed-RETAIL'!$B$5:$B$138,'GSC Support'!$B202,'Apr11-Mar12 Billed-RETAIL'!$C$5:$C$138,'GSC Support'!$C202)</f>
        <v>17.940000000000001</v>
      </c>
      <c r="T202" s="287">
        <v>17.940000000000001</v>
      </c>
      <c r="U202" s="287"/>
      <c r="V202" s="287">
        <f t="shared" si="25"/>
        <v>17.940000000000001</v>
      </c>
      <c r="W202" s="288">
        <f t="shared" ca="1" si="26"/>
        <v>0</v>
      </c>
    </row>
    <row r="203" spans="1:23" x14ac:dyDescent="0.2">
      <c r="A203" s="196">
        <f t="shared" si="27"/>
        <v>198</v>
      </c>
      <c r="B203" s="211">
        <v>40817</v>
      </c>
      <c r="C203" s="211" t="str">
        <f>+'Retail Rates'!B30</f>
        <v>LGING992</v>
      </c>
      <c r="D203" s="197" t="str">
        <f t="shared" si="21"/>
        <v>992</v>
      </c>
      <c r="E203" s="197" t="str">
        <f>VLOOKUP(C203,'Retail Rates'!$B$7:$D$35,3,FALSE)</f>
        <v>SPC-EIDuP</v>
      </c>
      <c r="F203" s="222">
        <f>SUMIFS('Data-Retail'!$H$4:$H$269,'Data-Retail'!$A$4:$A$269,'GSC Support'!$B203,'Data-Retail'!$D$4:$D$269,'GSC Support'!$C203)</f>
        <v>0</v>
      </c>
      <c r="G203" s="222">
        <f>SUMIFS('Data-Retail'!$I$4:$I$269,'Data-Retail'!$A$4:$A$269,'GSC Support'!$B203,'Data-Retail'!$D$4:$D$269,'GSC Support'!$C203)</f>
        <v>0</v>
      </c>
      <c r="H203" s="222">
        <f t="shared" si="24"/>
        <v>0</v>
      </c>
      <c r="I203" s="286"/>
      <c r="J203" s="286"/>
      <c r="K203" s="286"/>
      <c r="L203" s="286">
        <f t="shared" si="22"/>
        <v>0</v>
      </c>
      <c r="M203" s="279">
        <f t="shared" si="23"/>
        <v>0</v>
      </c>
      <c r="O203" s="323">
        <f>SUMIFS('Data-Retail'!$N$4:$N$238,'Data-Retail'!$A$4:$A$238,'GSC Support'!$B203,'Data-Retail'!$D$4:$D$238,'GSC Support'!$C203)</f>
        <v>0</v>
      </c>
      <c r="P203" s="323"/>
      <c r="Q203" s="323"/>
      <c r="R203" s="323"/>
      <c r="S203" s="281">
        <f>SUMIFS('Apr11-Mar12 Billed-RETAIL'!$BA$5:$BA$138,'Apr11-Mar12 Billed-RETAIL'!$B$5:$B$138,'GSC Support'!$B203,'Apr11-Mar12 Billed-RETAIL'!$C$5:$C$138,'GSC Support'!$C203)</f>
        <v>0</v>
      </c>
      <c r="T203" s="287"/>
      <c r="U203" s="287"/>
      <c r="V203" s="287">
        <f t="shared" si="25"/>
        <v>0</v>
      </c>
      <c r="W203" s="288">
        <f t="shared" si="26"/>
        <v>0</v>
      </c>
    </row>
    <row r="204" spans="1:23" x14ac:dyDescent="0.2">
      <c r="A204" s="196">
        <f t="shared" si="27"/>
        <v>199</v>
      </c>
      <c r="B204" s="211">
        <v>40817</v>
      </c>
      <c r="C204" s="211" t="str">
        <f>+'Retail Rates'!B31</f>
        <v>LGING896FD</v>
      </c>
      <c r="D204" s="197" t="str">
        <f t="shared" si="21"/>
        <v>896</v>
      </c>
      <c r="E204" s="197" t="str">
        <f>VLOOKUP(C204,'Retail Rates'!$B$7:$D$35,3,FALSE)</f>
        <v>SPC-FORD</v>
      </c>
      <c r="F204" s="222">
        <f>SUMIFS('Data-Retail'!$H$4:$H$269,'Data-Retail'!$A$4:$A$269,'GSC Support'!$B204,'Data-Retail'!$D$4:$D$269,'GSC Support'!$C204)</f>
        <v>0</v>
      </c>
      <c r="G204" s="222">
        <f>SUMIFS('Data-Retail'!$I$4:$I$269,'Data-Retail'!$A$4:$A$269,'GSC Support'!$B204,'Data-Retail'!$D$4:$D$269,'GSC Support'!$C204)</f>
        <v>0</v>
      </c>
      <c r="H204" s="222">
        <f t="shared" si="24"/>
        <v>0</v>
      </c>
      <c r="I204" s="286"/>
      <c r="J204" s="286"/>
      <c r="K204" s="286"/>
      <c r="L204" s="286">
        <f t="shared" si="22"/>
        <v>0</v>
      </c>
      <c r="M204" s="279">
        <f t="shared" si="23"/>
        <v>0</v>
      </c>
      <c r="O204" s="323">
        <f>SUMIFS('Data-Retail'!$N$4:$N$238,'Data-Retail'!$A$4:$A$238,'GSC Support'!$B204,'Data-Retail'!$D$4:$D$238,'GSC Support'!$C204)</f>
        <v>0</v>
      </c>
      <c r="P204" s="323"/>
      <c r="Q204" s="323"/>
      <c r="R204" s="323"/>
      <c r="S204" s="281">
        <f>SUMIFS('Apr11-Mar12 Billed-RETAIL'!$BA$5:$BA$138,'Apr11-Mar12 Billed-RETAIL'!$B$5:$B$138,'GSC Support'!$B204,'Apr11-Mar12 Billed-RETAIL'!$C$5:$C$138,'GSC Support'!$C204)</f>
        <v>0</v>
      </c>
      <c r="T204" s="287"/>
      <c r="U204" s="287"/>
      <c r="V204" s="287">
        <f t="shared" si="25"/>
        <v>0</v>
      </c>
      <c r="W204" s="288">
        <f t="shared" si="26"/>
        <v>0</v>
      </c>
    </row>
    <row r="205" spans="1:23" x14ac:dyDescent="0.2">
      <c r="A205" s="196">
        <f t="shared" si="27"/>
        <v>200</v>
      </c>
      <c r="B205" s="211">
        <v>40817</v>
      </c>
      <c r="C205" s="211" t="str">
        <f>+'Retail Rates'!B32</f>
        <v>LGING896FM</v>
      </c>
      <c r="D205" s="197" t="str">
        <f t="shared" si="21"/>
        <v>896</v>
      </c>
      <c r="E205" s="197" t="str">
        <f>VLOOKUP(C205,'Retail Rates'!$B$7:$D$35,3,FALSE)</f>
        <v>SPC-FORD-PM</v>
      </c>
      <c r="F205" s="222">
        <f>SUMIFS('Data-Retail'!$H$4:$H$269,'Data-Retail'!$A$4:$A$269,'GSC Support'!$B205,'Data-Retail'!$D$4:$D$269,'GSC Support'!$C205)</f>
        <v>0</v>
      </c>
      <c r="G205" s="222">
        <f>SUMIFS('Data-Retail'!$I$4:$I$269,'Data-Retail'!$A$4:$A$269,'GSC Support'!$B205,'Data-Retail'!$D$4:$D$269,'GSC Support'!$C205)</f>
        <v>0</v>
      </c>
      <c r="H205" s="222">
        <f t="shared" si="24"/>
        <v>0</v>
      </c>
      <c r="I205" s="286"/>
      <c r="J205" s="286"/>
      <c r="K205" s="286"/>
      <c r="L205" s="286">
        <f t="shared" si="22"/>
        <v>0</v>
      </c>
      <c r="M205" s="279">
        <f t="shared" si="23"/>
        <v>0</v>
      </c>
      <c r="O205" s="323">
        <f>SUMIFS('Data-Retail'!$N$4:$N$238,'Data-Retail'!$A$4:$A$238,'GSC Support'!$B205,'Data-Retail'!$D$4:$D$238,'GSC Support'!$C205)</f>
        <v>0</v>
      </c>
      <c r="P205" s="323"/>
      <c r="Q205" s="323"/>
      <c r="R205" s="323"/>
      <c r="S205" s="281">
        <f>SUMIFS('Apr11-Mar12 Billed-RETAIL'!$BA$5:$BA$138,'Apr11-Mar12 Billed-RETAIL'!$B$5:$B$138,'GSC Support'!$B205,'Apr11-Mar12 Billed-RETAIL'!$C$5:$C$138,'GSC Support'!$C205)</f>
        <v>0</v>
      </c>
      <c r="T205" s="287"/>
      <c r="U205" s="287"/>
      <c r="V205" s="287">
        <f t="shared" si="25"/>
        <v>0</v>
      </c>
      <c r="W205" s="288">
        <f t="shared" si="26"/>
        <v>0</v>
      </c>
    </row>
    <row r="206" spans="1:23" x14ac:dyDescent="0.2">
      <c r="A206" s="196">
        <f t="shared" si="27"/>
        <v>201</v>
      </c>
      <c r="B206" s="211">
        <v>40817</v>
      </c>
      <c r="C206" s="211" t="str">
        <f>+'Retail Rates'!B33</f>
        <v>LGCMG991</v>
      </c>
      <c r="D206" s="197" t="str">
        <f t="shared" si="21"/>
        <v>991</v>
      </c>
      <c r="E206" s="197" t="str">
        <f>VLOOKUP(C206,'Retail Rates'!$B$7:$D$35,3,FALSE)</f>
        <v>SPC-FTKX</v>
      </c>
      <c r="F206" s="222">
        <f>SUMIFS('Data-Retail'!$H$4:$H$269,'Data-Retail'!$A$4:$A$269,'GSC Support'!$B206,'Data-Retail'!$D$4:$D$269,'GSC Support'!$C206)</f>
        <v>0</v>
      </c>
      <c r="G206" s="222">
        <f>SUMIFS('Data-Retail'!$I$4:$I$269,'Data-Retail'!$A$4:$A$269,'GSC Support'!$B206,'Data-Retail'!$D$4:$D$269,'GSC Support'!$C206)</f>
        <v>0</v>
      </c>
      <c r="H206" s="222">
        <f t="shared" si="24"/>
        <v>0</v>
      </c>
      <c r="I206" s="286"/>
      <c r="J206" s="286"/>
      <c r="K206" s="286"/>
      <c r="L206" s="286">
        <f t="shared" si="22"/>
        <v>0</v>
      </c>
      <c r="M206" s="279">
        <f t="shared" si="23"/>
        <v>0</v>
      </c>
      <c r="O206" s="323">
        <f>SUMIFS('Data-Retail'!$N$4:$N$238,'Data-Retail'!$A$4:$A$238,'GSC Support'!$B206,'Data-Retail'!$D$4:$D$238,'GSC Support'!$C206)</f>
        <v>0</v>
      </c>
      <c r="P206" s="323"/>
      <c r="Q206" s="323"/>
      <c r="R206" s="323"/>
      <c r="S206" s="281">
        <f>SUMIFS('Apr11-Mar12 Billed-RETAIL'!$BA$5:$BA$138,'Apr11-Mar12 Billed-RETAIL'!$B$5:$B$138,'GSC Support'!$B206,'Apr11-Mar12 Billed-RETAIL'!$C$5:$C$138,'GSC Support'!$C206)</f>
        <v>0</v>
      </c>
      <c r="T206" s="287"/>
      <c r="U206" s="287"/>
      <c r="V206" s="287">
        <f t="shared" si="25"/>
        <v>0</v>
      </c>
      <c r="W206" s="288">
        <f t="shared" si="26"/>
        <v>0</v>
      </c>
    </row>
    <row r="207" spans="1:23" x14ac:dyDescent="0.2">
      <c r="A207" s="196">
        <f t="shared" si="27"/>
        <v>202</v>
      </c>
      <c r="B207" s="211">
        <v>40817</v>
      </c>
      <c r="C207" s="211" t="str">
        <f>+'Retail Rates'!B34</f>
        <v>LGING996</v>
      </c>
      <c r="D207" s="197" t="str">
        <f t="shared" si="21"/>
        <v>996</v>
      </c>
      <c r="E207" s="197" t="str">
        <f>VLOOKUP(C207,'Retail Rates'!$B$7:$D$35,3,FALSE)</f>
        <v>SPC-LGE</v>
      </c>
      <c r="F207" s="222">
        <f>SUMIFS('Data-Retail'!$H$4:$H$269,'Data-Retail'!$A$4:$A$269,'GSC Support'!$B207,'Data-Retail'!$D$4:$D$269,'GSC Support'!$C207)</f>
        <v>0</v>
      </c>
      <c r="G207" s="222">
        <f>SUMIFS('Data-Retail'!$I$4:$I$269,'Data-Retail'!$A$4:$A$269,'GSC Support'!$B207,'Data-Retail'!$D$4:$D$269,'GSC Support'!$C207)</f>
        <v>0</v>
      </c>
      <c r="H207" s="222">
        <f t="shared" si="24"/>
        <v>0</v>
      </c>
      <c r="I207" s="286">
        <v>548813</v>
      </c>
      <c r="J207" s="286"/>
      <c r="K207" s="286"/>
      <c r="L207" s="286">
        <f t="shared" si="22"/>
        <v>548813</v>
      </c>
      <c r="M207" s="279">
        <f t="shared" si="23"/>
        <v>-548813</v>
      </c>
      <c r="O207" s="323">
        <f>SUMIFS('Data-Retail'!$N$4:$N$238,'Data-Retail'!$A$4:$A$238,'GSC Support'!$B207,'Data-Retail'!$D$4:$D$238,'GSC Support'!$C207)</f>
        <v>0</v>
      </c>
      <c r="P207" s="323"/>
      <c r="Q207" s="323"/>
      <c r="R207" s="323"/>
      <c r="S207" s="281">
        <f>SUMIFS('Apr11-Mar12 Billed-RETAIL'!$BA$5:$BA$138,'Apr11-Mar12 Billed-RETAIL'!$B$5:$B$138,'GSC Support'!$B207,'Apr11-Mar12 Billed-RETAIL'!$C$5:$C$138,'GSC Support'!$C207)</f>
        <v>0</v>
      </c>
      <c r="T207" s="287">
        <v>307609.69</v>
      </c>
      <c r="U207" s="287"/>
      <c r="V207" s="287">
        <f t="shared" si="25"/>
        <v>307609.69</v>
      </c>
      <c r="W207" s="288">
        <f t="shared" si="26"/>
        <v>-307609.69</v>
      </c>
    </row>
    <row r="208" spans="1:23" x14ac:dyDescent="0.2">
      <c r="A208" s="196">
        <f t="shared" si="27"/>
        <v>203</v>
      </c>
      <c r="B208" s="211">
        <v>40817</v>
      </c>
      <c r="C208" s="211" t="str">
        <f>+'Retail Rates'!B35</f>
        <v>LGING997</v>
      </c>
      <c r="D208" s="197" t="str">
        <f t="shared" si="21"/>
        <v>997</v>
      </c>
      <c r="E208" s="197" t="str">
        <f>VLOOKUP(C208,'Retail Rates'!$B$7:$D$35,3,FALSE)</f>
        <v>SPC-PADDY</v>
      </c>
      <c r="F208" s="222">
        <f>SUMIFS('Data-Retail'!$H$4:$H$269,'Data-Retail'!$A$4:$A$269,'GSC Support'!$B208,'Data-Retail'!$D$4:$D$269,'GSC Support'!$C208)</f>
        <v>0</v>
      </c>
      <c r="G208" s="222">
        <f>SUMIFS('Data-Retail'!$I$4:$I$269,'Data-Retail'!$A$4:$A$269,'GSC Support'!$B208,'Data-Retail'!$D$4:$D$269,'GSC Support'!$C208)</f>
        <v>0</v>
      </c>
      <c r="H208" s="222">
        <f t="shared" si="24"/>
        <v>0</v>
      </c>
      <c r="I208" s="286"/>
      <c r="J208" s="286"/>
      <c r="K208" s="286"/>
      <c r="L208" s="286">
        <f t="shared" si="22"/>
        <v>0</v>
      </c>
      <c r="M208" s="279">
        <f t="shared" si="23"/>
        <v>0</v>
      </c>
      <c r="O208" s="323">
        <f>SUMIFS('Data-Retail'!$N$4:$N$238,'Data-Retail'!$A$4:$A$238,'GSC Support'!$B208,'Data-Retail'!$D$4:$D$238,'GSC Support'!$C208)</f>
        <v>0</v>
      </c>
      <c r="P208" s="323"/>
      <c r="Q208" s="323"/>
      <c r="R208" s="323"/>
      <c r="S208" s="281">
        <f>SUMIFS('Apr11-Mar12 Billed-RETAIL'!$BA$5:$BA$138,'Apr11-Mar12 Billed-RETAIL'!$B$5:$B$138,'GSC Support'!$B208,'Apr11-Mar12 Billed-RETAIL'!$C$5:$C$138,'GSC Support'!$C208)</f>
        <v>0</v>
      </c>
      <c r="T208" s="287"/>
      <c r="U208" s="287"/>
      <c r="V208" s="287">
        <f t="shared" si="25"/>
        <v>0</v>
      </c>
      <c r="W208" s="288">
        <f t="shared" si="26"/>
        <v>0</v>
      </c>
    </row>
    <row r="209" spans="1:24" x14ac:dyDescent="0.2">
      <c r="A209" s="196">
        <f t="shared" si="27"/>
        <v>204</v>
      </c>
      <c r="B209" s="211">
        <v>40848</v>
      </c>
      <c r="C209" s="211" t="str">
        <f>+'Retail Rates'!B7</f>
        <v>LGCMG865</v>
      </c>
      <c r="D209" s="197" t="str">
        <f t="shared" si="21"/>
        <v>865</v>
      </c>
      <c r="E209" s="197" t="str">
        <f>VLOOKUP(C209,'Retail Rates'!$B$7:$D$35,3,FALSE)</f>
        <v>AAGS-C</v>
      </c>
      <c r="F209" s="222">
        <f>SUMIFS('Data-Retail'!$H$4:$H$269,'Data-Retail'!$A$4:$A$269,'GSC Support'!$B209,'Data-Retail'!$D$4:$D$269,'GSC Support'!$C209)</f>
        <v>432445</v>
      </c>
      <c r="G209" s="222">
        <f>SUMIFS('Data-Retail'!$I$4:$I$269,'Data-Retail'!$A$4:$A$269,'GSC Support'!$B209,'Data-Retail'!$D$4:$D$269,'GSC Support'!$C209)</f>
        <v>0</v>
      </c>
      <c r="H209" s="222">
        <f t="shared" si="24"/>
        <v>432445</v>
      </c>
      <c r="I209" s="286">
        <v>65505</v>
      </c>
      <c r="J209" s="286">
        <v>366940</v>
      </c>
      <c r="K209" s="286"/>
      <c r="L209" s="286">
        <f t="shared" si="22"/>
        <v>432445</v>
      </c>
      <c r="M209" s="279">
        <f t="shared" si="23"/>
        <v>0</v>
      </c>
      <c r="O209" s="323">
        <f>SUMIFS('Data-Retail'!$N$4:$N$238,'Data-Retail'!$A$4:$A$238,'GSC Support'!$B209,'Data-Retail'!$D$4:$D$238,'GSC Support'!$C209)</f>
        <v>239601.62</v>
      </c>
      <c r="P209" s="323"/>
      <c r="Q209" s="323"/>
      <c r="R209" s="323"/>
      <c r="S209" s="281">
        <f ca="1">SUMIFS('Apr11-Mar12 Billed-RETAIL'!$BA$5:$BA$138,'Apr11-Mar12 Billed-RETAIL'!$B$5:$B$138,'GSC Support'!$B209,'Apr11-Mar12 Billed-RETAIL'!$C$5:$C$138,'GSC Support'!$C209)</f>
        <v>239601.62</v>
      </c>
      <c r="T209" s="287">
        <v>33901.519999999997</v>
      </c>
      <c r="U209" s="287">
        <v>205700.1</v>
      </c>
      <c r="V209" s="287">
        <f t="shared" si="25"/>
        <v>239601.62</v>
      </c>
      <c r="W209" s="288">
        <f t="shared" ca="1" si="26"/>
        <v>0</v>
      </c>
    </row>
    <row r="210" spans="1:24" x14ac:dyDescent="0.2">
      <c r="A210" s="196">
        <f t="shared" si="27"/>
        <v>205</v>
      </c>
      <c r="B210" s="211">
        <v>40848</v>
      </c>
      <c r="C210" s="211" t="str">
        <f>+'Retail Rates'!B8</f>
        <v>LGCMG891</v>
      </c>
      <c r="D210" s="197" t="str">
        <f t="shared" si="21"/>
        <v>891</v>
      </c>
      <c r="E210" s="197" t="str">
        <f>VLOOKUP(C210,'Retail Rates'!$B$7:$D$35,3,FALSE)</f>
        <v>AAGS-C-TS</v>
      </c>
      <c r="F210" s="222">
        <f>SUMIFS('Data-Retail'!$H$4:$H$269,'Data-Retail'!$A$4:$A$269,'GSC Support'!$B210,'Data-Retail'!$D$4:$D$269,'GSC Support'!$C210)</f>
        <v>0</v>
      </c>
      <c r="G210" s="222">
        <f>SUMIFS('Data-Retail'!$I$4:$I$269,'Data-Retail'!$A$4:$A$269,'GSC Support'!$B210,'Data-Retail'!$D$4:$D$269,'GSC Support'!$C210)</f>
        <v>0</v>
      </c>
      <c r="H210" s="222">
        <f t="shared" si="24"/>
        <v>0</v>
      </c>
      <c r="I210" s="286"/>
      <c r="J210" s="286"/>
      <c r="K210" s="286"/>
      <c r="L210" s="286">
        <f t="shared" si="22"/>
        <v>0</v>
      </c>
      <c r="M210" s="279">
        <f t="shared" si="23"/>
        <v>0</v>
      </c>
      <c r="O210" s="323">
        <f>SUMIFS('Data-Retail'!$N$4:$N$238,'Data-Retail'!$A$4:$A$238,'GSC Support'!$B210,'Data-Retail'!$D$4:$D$238,'GSC Support'!$C210)</f>
        <v>0</v>
      </c>
      <c r="P210" s="323"/>
      <c r="Q210" s="323"/>
      <c r="R210" s="323"/>
      <c r="S210" s="281">
        <f>SUMIFS('Apr11-Mar12 Billed-RETAIL'!$BA$5:$BA$138,'Apr11-Mar12 Billed-RETAIL'!$B$5:$B$138,'GSC Support'!$B210,'Apr11-Mar12 Billed-RETAIL'!$C$5:$C$138,'GSC Support'!$C210)</f>
        <v>0</v>
      </c>
      <c r="T210" s="287"/>
      <c r="U210" s="287"/>
      <c r="V210" s="287">
        <f t="shared" si="25"/>
        <v>0</v>
      </c>
      <c r="W210" s="288">
        <f t="shared" si="26"/>
        <v>0</v>
      </c>
    </row>
    <row r="211" spans="1:24" x14ac:dyDescent="0.2">
      <c r="A211" s="196">
        <f t="shared" si="27"/>
        <v>206</v>
      </c>
      <c r="B211" s="211">
        <v>40848</v>
      </c>
      <c r="C211" s="211" t="str">
        <f>+'Retail Rates'!B9</f>
        <v>LGCMG891PM</v>
      </c>
      <c r="D211" s="197" t="str">
        <f t="shared" si="21"/>
        <v>891</v>
      </c>
      <c r="E211" s="197" t="str">
        <f>VLOOKUP(C211,'Retail Rates'!$B$7:$D$35,3,FALSE)</f>
        <v>AAGS-C-TS-PM</v>
      </c>
      <c r="F211" s="222">
        <f>SUMIFS('Data-Retail'!$H$4:$H$269,'Data-Retail'!$A$4:$A$269,'GSC Support'!$B211,'Data-Retail'!$D$4:$D$269,'GSC Support'!$C211)</f>
        <v>0</v>
      </c>
      <c r="G211" s="222">
        <f>SUMIFS('Data-Retail'!$I$4:$I$269,'Data-Retail'!$A$4:$A$269,'GSC Support'!$B211,'Data-Retail'!$D$4:$D$269,'GSC Support'!$C211)</f>
        <v>0</v>
      </c>
      <c r="H211" s="222">
        <f t="shared" si="24"/>
        <v>0</v>
      </c>
      <c r="I211" s="286"/>
      <c r="J211" s="286"/>
      <c r="K211" s="286"/>
      <c r="L211" s="286">
        <f t="shared" si="22"/>
        <v>0</v>
      </c>
      <c r="M211" s="279">
        <f t="shared" si="23"/>
        <v>0</v>
      </c>
      <c r="O211" s="323">
        <f>SUMIFS('Data-Retail'!$N$4:$N$238,'Data-Retail'!$A$4:$A$238,'GSC Support'!$B211,'Data-Retail'!$D$4:$D$238,'GSC Support'!$C211)</f>
        <v>0</v>
      </c>
      <c r="P211" s="323"/>
      <c r="Q211" s="323"/>
      <c r="R211" s="323"/>
      <c r="S211" s="281">
        <f>SUMIFS('Apr11-Mar12 Billed-RETAIL'!$BA$5:$BA$138,'Apr11-Mar12 Billed-RETAIL'!$B$5:$B$138,'GSC Support'!$B211,'Apr11-Mar12 Billed-RETAIL'!$C$5:$C$138,'GSC Support'!$C211)</f>
        <v>0</v>
      </c>
      <c r="T211" s="287"/>
      <c r="U211" s="287"/>
      <c r="V211" s="287">
        <f t="shared" si="25"/>
        <v>0</v>
      </c>
      <c r="W211" s="288">
        <f t="shared" si="26"/>
        <v>0</v>
      </c>
    </row>
    <row r="212" spans="1:24" x14ac:dyDescent="0.2">
      <c r="A212" s="196">
        <f t="shared" si="27"/>
        <v>207</v>
      </c>
      <c r="B212" s="211">
        <v>40848</v>
      </c>
      <c r="C212" s="211" t="str">
        <f>+'Retail Rates'!B10</f>
        <v>LGING866</v>
      </c>
      <c r="D212" s="197" t="str">
        <f t="shared" si="21"/>
        <v>866</v>
      </c>
      <c r="E212" s="197" t="str">
        <f>VLOOKUP(C212,'Retail Rates'!$B$7:$D$35,3,FALSE)</f>
        <v>AAGS-I</v>
      </c>
      <c r="F212" s="222">
        <f>SUMIFS('Data-Retail'!$H$4:$H$269,'Data-Retail'!$A$4:$A$269,'GSC Support'!$B212,'Data-Retail'!$D$4:$D$269,'GSC Support'!$C212)</f>
        <v>138515</v>
      </c>
      <c r="G212" s="222">
        <f>SUMIFS('Data-Retail'!$I$4:$I$269,'Data-Retail'!$A$4:$A$269,'GSC Support'!$B212,'Data-Retail'!$D$4:$D$269,'GSC Support'!$C212)</f>
        <v>0</v>
      </c>
      <c r="H212" s="222">
        <f t="shared" si="24"/>
        <v>138515</v>
      </c>
      <c r="I212" s="286">
        <v>104448</v>
      </c>
      <c r="J212" s="286">
        <v>34067</v>
      </c>
      <c r="K212" s="286"/>
      <c r="L212" s="286">
        <f t="shared" si="22"/>
        <v>138515</v>
      </c>
      <c r="M212" s="279">
        <f t="shared" si="23"/>
        <v>0</v>
      </c>
      <c r="O212" s="323">
        <f>SUMIFS('Data-Retail'!$N$4:$N$238,'Data-Retail'!$A$4:$A$238,'GSC Support'!$B212,'Data-Retail'!$D$4:$D$238,'GSC Support'!$C212)</f>
        <v>72991.819999999992</v>
      </c>
      <c r="P212" s="323"/>
      <c r="Q212" s="323"/>
      <c r="R212" s="323"/>
      <c r="S212" s="281">
        <f ca="1">SUMIFS('Apr11-Mar12 Billed-RETAIL'!$BA$5:$BA$138,'Apr11-Mar12 Billed-RETAIL'!$B$5:$B$138,'GSC Support'!$B212,'Apr11-Mar12 Billed-RETAIL'!$C$5:$C$138,'GSC Support'!$C212)</f>
        <v>72991.819999999992</v>
      </c>
      <c r="T212" s="287">
        <v>53897.26</v>
      </c>
      <c r="U212" s="287">
        <v>19094.560000000001</v>
      </c>
      <c r="V212" s="287">
        <f t="shared" si="25"/>
        <v>72991.820000000007</v>
      </c>
      <c r="W212" s="288">
        <f t="shared" ca="1" si="26"/>
        <v>0</v>
      </c>
    </row>
    <row r="213" spans="1:24" x14ac:dyDescent="0.2">
      <c r="A213" s="196">
        <f t="shared" si="27"/>
        <v>208</v>
      </c>
      <c r="B213" s="211">
        <v>40848</v>
      </c>
      <c r="C213" s="211" t="str">
        <f>+'Retail Rates'!B11</f>
        <v>LGING892</v>
      </c>
      <c r="D213" s="197" t="str">
        <f t="shared" si="21"/>
        <v>892</v>
      </c>
      <c r="E213" s="197" t="str">
        <f>VLOOKUP(C213,'Retail Rates'!$B$7:$D$35,3,FALSE)</f>
        <v>AAGS-I-TS</v>
      </c>
      <c r="F213" s="222">
        <f>SUMIFS('Data-Retail'!$H$4:$H$269,'Data-Retail'!$A$4:$A$269,'GSC Support'!$B213,'Data-Retail'!$D$4:$D$269,'GSC Support'!$C213)</f>
        <v>0</v>
      </c>
      <c r="G213" s="222">
        <f>SUMIFS('Data-Retail'!$I$4:$I$269,'Data-Retail'!$A$4:$A$269,'GSC Support'!$B213,'Data-Retail'!$D$4:$D$269,'GSC Support'!$C213)</f>
        <v>0</v>
      </c>
      <c r="H213" s="222">
        <f t="shared" si="24"/>
        <v>0</v>
      </c>
      <c r="I213" s="286"/>
      <c r="J213" s="286"/>
      <c r="K213" s="286"/>
      <c r="L213" s="286">
        <f t="shared" si="22"/>
        <v>0</v>
      </c>
      <c r="M213" s="279">
        <f t="shared" si="23"/>
        <v>0</v>
      </c>
      <c r="O213" s="323">
        <f>SUMIFS('Data-Retail'!$N$4:$N$238,'Data-Retail'!$A$4:$A$238,'GSC Support'!$B213,'Data-Retail'!$D$4:$D$238,'GSC Support'!$C213)</f>
        <v>0</v>
      </c>
      <c r="P213" s="323"/>
      <c r="Q213" s="323"/>
      <c r="R213" s="323"/>
      <c r="S213" s="281">
        <f>SUMIFS('Apr11-Mar12 Billed-RETAIL'!$BA$5:$BA$138,'Apr11-Mar12 Billed-RETAIL'!$B$5:$B$138,'GSC Support'!$B213,'Apr11-Mar12 Billed-RETAIL'!$C$5:$C$138,'GSC Support'!$C213)</f>
        <v>0</v>
      </c>
      <c r="T213" s="287"/>
      <c r="U213" s="287"/>
      <c r="V213" s="287">
        <f t="shared" si="25"/>
        <v>0</v>
      </c>
      <c r="W213" s="288">
        <f t="shared" si="26"/>
        <v>0</v>
      </c>
    </row>
    <row r="214" spans="1:24" x14ac:dyDescent="0.2">
      <c r="A214" s="196">
        <f t="shared" si="27"/>
        <v>209</v>
      </c>
      <c r="B214" s="211">
        <v>40848</v>
      </c>
      <c r="C214" s="211" t="str">
        <f>+'Retail Rates'!B12</f>
        <v>LGING892PM</v>
      </c>
      <c r="D214" s="197" t="str">
        <f t="shared" si="21"/>
        <v>892</v>
      </c>
      <c r="E214" s="197" t="str">
        <f>VLOOKUP(C214,'Retail Rates'!$B$7:$D$35,3,FALSE)</f>
        <v>AAGS-I-TS-PM</v>
      </c>
      <c r="F214" s="222">
        <f>SUMIFS('Data-Retail'!$H$4:$H$269,'Data-Retail'!$A$4:$A$269,'GSC Support'!$B214,'Data-Retail'!$D$4:$D$269,'GSC Support'!$C214)</f>
        <v>0</v>
      </c>
      <c r="G214" s="222">
        <f>SUMIFS('Data-Retail'!$I$4:$I$269,'Data-Retail'!$A$4:$A$269,'GSC Support'!$B214,'Data-Retail'!$D$4:$D$269,'GSC Support'!$C214)</f>
        <v>0</v>
      </c>
      <c r="H214" s="222">
        <f t="shared" si="24"/>
        <v>0</v>
      </c>
      <c r="I214" s="286"/>
      <c r="J214" s="286"/>
      <c r="K214" s="286"/>
      <c r="L214" s="286">
        <f t="shared" si="22"/>
        <v>0</v>
      </c>
      <c r="M214" s="279">
        <f t="shared" si="23"/>
        <v>0</v>
      </c>
      <c r="O214" s="323">
        <f>SUMIFS('Data-Retail'!$N$4:$N$238,'Data-Retail'!$A$4:$A$238,'GSC Support'!$B214,'Data-Retail'!$D$4:$D$238,'GSC Support'!$C214)</f>
        <v>0</v>
      </c>
      <c r="P214" s="323"/>
      <c r="Q214" s="323"/>
      <c r="R214" s="323"/>
      <c r="S214" s="281">
        <f>SUMIFS('Apr11-Mar12 Billed-RETAIL'!$BA$5:$BA$138,'Apr11-Mar12 Billed-RETAIL'!$B$5:$B$138,'GSC Support'!$B214,'Apr11-Mar12 Billed-RETAIL'!$C$5:$C$138,'GSC Support'!$C214)</f>
        <v>0</v>
      </c>
      <c r="T214" s="287"/>
      <c r="U214" s="287"/>
      <c r="V214" s="287">
        <f t="shared" si="25"/>
        <v>0</v>
      </c>
      <c r="W214" s="288">
        <f t="shared" si="26"/>
        <v>0</v>
      </c>
    </row>
    <row r="215" spans="1:24" x14ac:dyDescent="0.2">
      <c r="A215" s="196">
        <f t="shared" si="27"/>
        <v>210</v>
      </c>
      <c r="B215" s="211">
        <v>40848</v>
      </c>
      <c r="C215" s="211" t="str">
        <f>+'Retail Rates'!B13</f>
        <v>LGCMG851</v>
      </c>
      <c r="D215" s="197" t="str">
        <f t="shared" si="21"/>
        <v>851</v>
      </c>
      <c r="E215" s="197" t="str">
        <f>VLOOKUP(C215,'Retail Rates'!$B$7:$D$35,3,FALSE)</f>
        <v>CGS</v>
      </c>
      <c r="F215" s="222">
        <f>SUMIFS('Data-Retail'!$H$4:$H$269,'Data-Retail'!$A$4:$A$269,'GSC Support'!$B215,'Data-Retail'!$D$4:$D$269,'GSC Support'!$C215)</f>
        <v>6194883</v>
      </c>
      <c r="G215" s="222">
        <f>SUMIFS('Data-Retail'!$I$4:$I$269,'Data-Retail'!$A$4:$A$269,'GSC Support'!$B215,'Data-Retail'!$D$4:$D$269,'GSC Support'!$C215)</f>
        <v>-282589</v>
      </c>
      <c r="H215" s="222">
        <f t="shared" si="24"/>
        <v>5912294</v>
      </c>
      <c r="I215" s="286">
        <v>2854839</v>
      </c>
      <c r="J215" s="286">
        <v>3057455</v>
      </c>
      <c r="K215" s="286"/>
      <c r="L215" s="286">
        <f t="shared" si="22"/>
        <v>5912294</v>
      </c>
      <c r="M215" s="279">
        <f t="shared" si="23"/>
        <v>0</v>
      </c>
      <c r="O215" s="323">
        <f>SUMIFS('Data-Retail'!$N$4:$N$238,'Data-Retail'!$A$4:$A$238,'GSC Support'!$B215,'Data-Retail'!$D$4:$D$238,'GSC Support'!$C215)</f>
        <v>3172685.4299999997</v>
      </c>
      <c r="P215" s="323"/>
      <c r="Q215" s="323"/>
      <c r="R215" s="323"/>
      <c r="S215" s="281">
        <f ca="1">SUMIFS('Apr11-Mar12 Billed-RETAIL'!$BA$5:$BA$138,'Apr11-Mar12 Billed-RETAIL'!$B$5:$B$138,'GSC Support'!$B215,'Apr11-Mar12 Billed-RETAIL'!$C$5:$C$138,'GSC Support'!$C215)</f>
        <v>3172685.4299999997</v>
      </c>
      <c r="T215" s="287">
        <v>1467712.48</v>
      </c>
      <c r="U215" s="287">
        <v>1704972.95</v>
      </c>
      <c r="V215" s="287">
        <f t="shared" si="25"/>
        <v>3172685.4299999997</v>
      </c>
      <c r="W215" s="288">
        <f t="shared" ca="1" si="26"/>
        <v>0</v>
      </c>
      <c r="X215" s="242">
        <f ca="1">+O215-S215</f>
        <v>0</v>
      </c>
    </row>
    <row r="216" spans="1:24" x14ac:dyDescent="0.2">
      <c r="A216" s="196">
        <f t="shared" si="27"/>
        <v>211</v>
      </c>
      <c r="B216" s="211">
        <v>40848</v>
      </c>
      <c r="C216" s="211" t="str">
        <f>+'Retail Rates'!B14</f>
        <v>LGUMG860</v>
      </c>
      <c r="D216" s="197" t="str">
        <f t="shared" si="21"/>
        <v>860</v>
      </c>
      <c r="E216" s="197" t="str">
        <f>VLOOKUP(C216,'Retail Rates'!$B$7:$D$35,3,FALSE)</f>
        <v>CGS</v>
      </c>
      <c r="F216" s="222">
        <f>SUMIFS('Data-Retail'!$H$4:$H$269,'Data-Retail'!$A$4:$A$269,'GSC Support'!$B216,'Data-Retail'!$D$4:$D$269,'GSC Support'!$C216)</f>
        <v>358</v>
      </c>
      <c r="G216" s="222">
        <f>SUMIFS('Data-Retail'!$I$4:$I$269,'Data-Retail'!$A$4:$A$269,'GSC Support'!$B216,'Data-Retail'!$D$4:$D$269,'GSC Support'!$C216)</f>
        <v>0</v>
      </c>
      <c r="H216" s="222">
        <f t="shared" si="24"/>
        <v>358</v>
      </c>
      <c r="I216" s="286">
        <v>266</v>
      </c>
      <c r="J216" s="286">
        <v>92</v>
      </c>
      <c r="K216" s="286"/>
      <c r="L216" s="286">
        <f t="shared" si="22"/>
        <v>358</v>
      </c>
      <c r="M216" s="279">
        <f t="shared" si="23"/>
        <v>0</v>
      </c>
      <c r="O216" s="323">
        <f>SUMIFS('Data-Retail'!$N$4:$N$238,'Data-Retail'!$A$4:$A$238,'GSC Support'!$B216,'Data-Retail'!$D$4:$D$238,'GSC Support'!$C216)</f>
        <v>188.83</v>
      </c>
      <c r="P216" s="323"/>
      <c r="Q216" s="323"/>
      <c r="R216" s="323"/>
      <c r="S216" s="281">
        <f ca="1">SUMIFS('Apr11-Mar12 Billed-RETAIL'!$BA$5:$BA$138,'Apr11-Mar12 Billed-RETAIL'!$B$5:$B$138,'GSC Support'!$B216,'Apr11-Mar12 Billed-RETAIL'!$C$5:$C$138,'GSC Support'!$C216)</f>
        <v>188.83</v>
      </c>
      <c r="T216" s="287">
        <v>137.26</v>
      </c>
      <c r="U216" s="287">
        <v>51.57</v>
      </c>
      <c r="V216" s="287">
        <f t="shared" si="25"/>
        <v>188.82999999999998</v>
      </c>
      <c r="W216" s="288">
        <f t="shared" ca="1" si="26"/>
        <v>0</v>
      </c>
    </row>
    <row r="217" spans="1:24" x14ac:dyDescent="0.2">
      <c r="A217" s="196">
        <f t="shared" si="27"/>
        <v>212</v>
      </c>
      <c r="B217" s="211">
        <v>40848</v>
      </c>
      <c r="C217" s="211" t="str">
        <f>+'Retail Rates'!B15</f>
        <v>LGUMG861</v>
      </c>
      <c r="D217" s="197" t="str">
        <f t="shared" si="21"/>
        <v>861</v>
      </c>
      <c r="E217" s="197" t="str">
        <f>VLOOKUP(C217,'Retail Rates'!$B$7:$D$35,3,FALSE)</f>
        <v>CGS</v>
      </c>
      <c r="F217" s="222">
        <f>SUMIFS('Data-Retail'!$H$4:$H$269,'Data-Retail'!$A$4:$A$269,'GSC Support'!$B217,'Data-Retail'!$D$4:$D$269,'GSC Support'!$C217)</f>
        <v>613</v>
      </c>
      <c r="G217" s="222">
        <f>SUMIFS('Data-Retail'!$I$4:$I$269,'Data-Retail'!$A$4:$A$269,'GSC Support'!$B217,'Data-Retail'!$D$4:$D$269,'GSC Support'!$C217)</f>
        <v>0</v>
      </c>
      <c r="H217" s="222">
        <f t="shared" si="24"/>
        <v>613</v>
      </c>
      <c r="I217" s="286">
        <v>230</v>
      </c>
      <c r="J217" s="286">
        <v>383</v>
      </c>
      <c r="K217" s="286"/>
      <c r="L217" s="286">
        <f t="shared" si="22"/>
        <v>613</v>
      </c>
      <c r="M217" s="279">
        <f t="shared" si="23"/>
        <v>0</v>
      </c>
      <c r="O217" s="323">
        <f>SUMIFS('Data-Retail'!$N$4:$N$238,'Data-Retail'!$A$4:$A$238,'GSC Support'!$B217,'Data-Retail'!$D$4:$D$238,'GSC Support'!$C217)</f>
        <v>334.05</v>
      </c>
      <c r="P217" s="323"/>
      <c r="Q217" s="323"/>
      <c r="R217" s="323"/>
      <c r="S217" s="281">
        <f ca="1">SUMIFS('Apr11-Mar12 Billed-RETAIL'!$BA$5:$BA$138,'Apr11-Mar12 Billed-RETAIL'!$B$5:$B$138,'GSC Support'!$B217,'Apr11-Mar12 Billed-RETAIL'!$C$5:$C$138,'GSC Support'!$C217)</f>
        <v>334.05</v>
      </c>
      <c r="T217" s="287">
        <v>119.57</v>
      </c>
      <c r="U217" s="287">
        <v>214.48</v>
      </c>
      <c r="V217" s="287">
        <f t="shared" si="25"/>
        <v>334.04999999999995</v>
      </c>
      <c r="W217" s="288">
        <f t="shared" ca="1" si="26"/>
        <v>0</v>
      </c>
    </row>
    <row r="218" spans="1:24" x14ac:dyDescent="0.2">
      <c r="A218" s="196">
        <f t="shared" si="27"/>
        <v>213</v>
      </c>
      <c r="B218" s="211">
        <v>40848</v>
      </c>
      <c r="C218" s="211" t="str">
        <f>+'Retail Rates'!B16</f>
        <v>LGCMG881</v>
      </c>
      <c r="D218" s="197" t="str">
        <f t="shared" si="21"/>
        <v>881</v>
      </c>
      <c r="E218" s="197" t="str">
        <f>VLOOKUP(C218,'Retail Rates'!$B$7:$D$35,3,FALSE)</f>
        <v>CGS-TS</v>
      </c>
      <c r="F218" s="329">
        <f>SUMIFS('Data-Retail'!$H$4:$H$269,'Data-Retail'!$A$4:$A$269,'GSC Support'!$B218,'Data-Retail'!$D$4:$D$269,'GSC Support'!$C218)</f>
        <v>0</v>
      </c>
      <c r="G218" s="329">
        <f>SUMIFS('Data-Retail'!$I$4:$I$269,'Data-Retail'!$A$4:$A$269,'GSC Support'!$B218,'Data-Retail'!$D$4:$D$269,'GSC Support'!$C218)</f>
        <v>0</v>
      </c>
      <c r="H218" s="329">
        <f t="shared" si="24"/>
        <v>0</v>
      </c>
      <c r="I218" s="330">
        <v>0</v>
      </c>
      <c r="J218" s="330">
        <v>0</v>
      </c>
      <c r="K218" s="330"/>
      <c r="L218" s="330">
        <f t="shared" si="22"/>
        <v>0</v>
      </c>
      <c r="M218" s="331">
        <f t="shared" si="23"/>
        <v>0</v>
      </c>
      <c r="N218" s="332"/>
      <c r="O218" s="323">
        <f>SUMIFS('Data-Retail'!$V$4:$V$238,'Data-Retail'!$A$4:$A$238,'GSC Support'!$B218,'Data-Retail'!$D$4:$D$238,'GSC Support'!$C218)</f>
        <v>0</v>
      </c>
      <c r="P218" s="327">
        <f>VLOOKUP($B218,'GSC-DSM Factors'!$A$18:$E$44,5,FALSE)</f>
        <v>9.6000000000000002E-4</v>
      </c>
      <c r="Q218" s="326">
        <f>P218*H218</f>
        <v>0</v>
      </c>
      <c r="R218" s="323">
        <f>+O218-Q218</f>
        <v>0</v>
      </c>
      <c r="S218" s="281">
        <f>SUMIFS('Apr11-Mar12 Billed-RETAIL'!$BA$5:$BA$138,'Apr11-Mar12 Billed-RETAIL'!$B$5:$B$138,'GSC Support'!$B218,'Apr11-Mar12 Billed-RETAIL'!$C$5:$C$138,'GSC Support'!$C218)</f>
        <v>0</v>
      </c>
      <c r="T218" s="287">
        <v>0</v>
      </c>
      <c r="U218" s="287"/>
      <c r="V218" s="287">
        <f t="shared" si="25"/>
        <v>0</v>
      </c>
      <c r="W218" s="288">
        <f t="shared" si="26"/>
        <v>0</v>
      </c>
    </row>
    <row r="219" spans="1:24" x14ac:dyDescent="0.2">
      <c r="A219" s="196">
        <f t="shared" si="27"/>
        <v>214</v>
      </c>
      <c r="B219" s="211">
        <v>40848</v>
      </c>
      <c r="C219" s="211" t="str">
        <f>+'Retail Rates'!B17</f>
        <v>LGCMG881PM</v>
      </c>
      <c r="D219" s="197" t="str">
        <f t="shared" si="21"/>
        <v>881</v>
      </c>
      <c r="E219" s="197" t="str">
        <f>VLOOKUP(C219,'Retail Rates'!$B$7:$D$35,3,FALSE)</f>
        <v>CGS-TS-PM</v>
      </c>
      <c r="F219" s="222">
        <f>SUMIFS('Data-Retail'!$H$4:$H$269,'Data-Retail'!$A$4:$A$269,'GSC Support'!$B219,'Data-Retail'!$D$4:$D$269,'GSC Support'!$C219)</f>
        <v>0</v>
      </c>
      <c r="G219" s="222">
        <f>SUMIFS('Data-Retail'!$I$4:$I$269,'Data-Retail'!$A$4:$A$269,'GSC Support'!$B219,'Data-Retail'!$D$4:$D$269,'GSC Support'!$C219)</f>
        <v>0</v>
      </c>
      <c r="H219" s="222">
        <f t="shared" si="24"/>
        <v>0</v>
      </c>
      <c r="I219" s="286"/>
      <c r="J219" s="286"/>
      <c r="K219" s="286"/>
      <c r="L219" s="286">
        <f t="shared" si="22"/>
        <v>0</v>
      </c>
      <c r="M219" s="279">
        <f t="shared" si="23"/>
        <v>0</v>
      </c>
      <c r="O219" s="323">
        <f>SUMIFS('Data-Retail'!$N$4:$N$238,'Data-Retail'!$A$4:$A$238,'GSC Support'!$B219,'Data-Retail'!$D$4:$D$238,'GSC Support'!$C219)</f>
        <v>0</v>
      </c>
      <c r="P219" s="323"/>
      <c r="Q219" s="323"/>
      <c r="R219" s="323"/>
      <c r="S219" s="281">
        <f>SUMIFS('Apr11-Mar12 Billed-RETAIL'!$BA$5:$BA$138,'Apr11-Mar12 Billed-RETAIL'!$B$5:$B$138,'GSC Support'!$B219,'Apr11-Mar12 Billed-RETAIL'!$C$5:$C$138,'GSC Support'!$C219)</f>
        <v>0</v>
      </c>
      <c r="T219" s="287"/>
      <c r="U219" s="287"/>
      <c r="V219" s="287">
        <f t="shared" si="25"/>
        <v>0</v>
      </c>
      <c r="W219" s="288">
        <f t="shared" si="26"/>
        <v>0</v>
      </c>
    </row>
    <row r="220" spans="1:24" x14ac:dyDescent="0.2">
      <c r="A220" s="196">
        <f t="shared" si="27"/>
        <v>215</v>
      </c>
      <c r="B220" s="211">
        <v>40848</v>
      </c>
      <c r="C220" s="211" t="str">
        <f>+'Retail Rates'!B18</f>
        <v>LGCMG875</v>
      </c>
      <c r="D220" s="197" t="str">
        <f t="shared" si="21"/>
        <v>875</v>
      </c>
      <c r="E220" s="197" t="str">
        <f>VLOOKUP(C220,'Retail Rates'!$B$7:$D$35,3,FALSE)</f>
        <v>DGGS-C</v>
      </c>
      <c r="F220" s="222">
        <f>SUMIFS('Data-Retail'!$H$4:$H$269,'Data-Retail'!$A$4:$A$269,'GSC Support'!$B220,'Data-Retail'!$D$4:$D$269,'GSC Support'!$C220)</f>
        <v>0</v>
      </c>
      <c r="G220" s="222">
        <f>SUMIFS('Data-Retail'!$I$4:$I$269,'Data-Retail'!$A$4:$A$269,'GSC Support'!$B220,'Data-Retail'!$D$4:$D$269,'GSC Support'!$C220)</f>
        <v>0</v>
      </c>
      <c r="H220" s="222">
        <f t="shared" si="24"/>
        <v>0</v>
      </c>
      <c r="I220" s="286"/>
      <c r="J220" s="286"/>
      <c r="K220" s="286"/>
      <c r="L220" s="286">
        <f t="shared" si="22"/>
        <v>0</v>
      </c>
      <c r="M220" s="279">
        <f t="shared" si="23"/>
        <v>0</v>
      </c>
      <c r="O220" s="323">
        <f>SUMIFS('Data-Retail'!$N$4:$N$238,'Data-Retail'!$A$4:$A$238,'GSC Support'!$B220,'Data-Retail'!$D$4:$D$238,'GSC Support'!$C220)</f>
        <v>0</v>
      </c>
      <c r="P220" s="323"/>
      <c r="Q220" s="323"/>
      <c r="R220" s="323"/>
      <c r="S220" s="281">
        <f ca="1">SUMIFS('Apr11-Mar12 Billed-RETAIL'!$BA$5:$BA$138,'Apr11-Mar12 Billed-RETAIL'!$B$5:$B$138,'GSC Support'!$B220,'Apr11-Mar12 Billed-RETAIL'!$C$5:$C$138,'GSC Support'!$C220)</f>
        <v>0</v>
      </c>
      <c r="T220" s="287"/>
      <c r="U220" s="287"/>
      <c r="V220" s="287">
        <f t="shared" si="25"/>
        <v>0</v>
      </c>
      <c r="W220" s="288">
        <f t="shared" ca="1" si="26"/>
        <v>0</v>
      </c>
    </row>
    <row r="221" spans="1:24" x14ac:dyDescent="0.2">
      <c r="A221" s="196">
        <f t="shared" si="27"/>
        <v>216</v>
      </c>
      <c r="B221" s="211">
        <v>40848</v>
      </c>
      <c r="C221" s="211" t="str">
        <f>+'Retail Rates'!B19</f>
        <v>LGCMG895</v>
      </c>
      <c r="D221" s="197" t="str">
        <f t="shared" si="21"/>
        <v>895</v>
      </c>
      <c r="E221" s="197" t="str">
        <f>VLOOKUP(C221,'Retail Rates'!$B$7:$D$35,3,FALSE)</f>
        <v>FT-C</v>
      </c>
      <c r="F221" s="222">
        <f>SUMIFS('Data-Retail'!$H$4:$H$269,'Data-Retail'!$A$4:$A$269,'GSC Support'!$B221,'Data-Retail'!$D$4:$D$269,'GSC Support'!$C221)</f>
        <v>0</v>
      </c>
      <c r="G221" s="222">
        <f>SUMIFS('Data-Retail'!$I$4:$I$269,'Data-Retail'!$A$4:$A$269,'GSC Support'!$B221,'Data-Retail'!$D$4:$D$269,'GSC Support'!$C221)</f>
        <v>0</v>
      </c>
      <c r="H221" s="222">
        <f t="shared" si="24"/>
        <v>0</v>
      </c>
      <c r="I221" s="286"/>
      <c r="J221" s="286"/>
      <c r="K221" s="286"/>
      <c r="L221" s="286">
        <f t="shared" si="22"/>
        <v>0</v>
      </c>
      <c r="M221" s="279">
        <f t="shared" si="23"/>
        <v>0</v>
      </c>
      <c r="O221" s="323">
        <f>SUMIFS('Data-Retail'!$N$4:$N$238,'Data-Retail'!$A$4:$A$238,'GSC Support'!$B221,'Data-Retail'!$D$4:$D$238,'GSC Support'!$C221)</f>
        <v>0</v>
      </c>
      <c r="P221" s="323"/>
      <c r="Q221" s="323"/>
      <c r="R221" s="323"/>
      <c r="S221" s="281">
        <f>SUMIFS('Apr11-Mar12 Billed-RETAIL'!$BA$5:$BA$138,'Apr11-Mar12 Billed-RETAIL'!$B$5:$B$138,'GSC Support'!$B221,'Apr11-Mar12 Billed-RETAIL'!$C$5:$C$138,'GSC Support'!$C221)</f>
        <v>0</v>
      </c>
      <c r="T221" s="287"/>
      <c r="U221" s="287"/>
      <c r="V221" s="287">
        <f t="shared" si="25"/>
        <v>0</v>
      </c>
      <c r="W221" s="288">
        <f t="shared" si="26"/>
        <v>0</v>
      </c>
    </row>
    <row r="222" spans="1:24" x14ac:dyDescent="0.2">
      <c r="A222" s="196">
        <f t="shared" si="27"/>
        <v>217</v>
      </c>
      <c r="B222" s="211">
        <v>40848</v>
      </c>
      <c r="C222" s="211" t="str">
        <f>+'Retail Rates'!B20</f>
        <v>LGCMG895PM</v>
      </c>
      <c r="D222" s="197" t="str">
        <f t="shared" si="21"/>
        <v>895</v>
      </c>
      <c r="E222" s="197" t="str">
        <f>VLOOKUP(C222,'Retail Rates'!$B$7:$D$35,3,FALSE)</f>
        <v>FT-C-PM</v>
      </c>
      <c r="F222" s="222">
        <f>SUMIFS('Data-Retail'!$H$4:$H$269,'Data-Retail'!$A$4:$A$269,'GSC Support'!$B222,'Data-Retail'!$D$4:$D$269,'GSC Support'!$C222)</f>
        <v>0</v>
      </c>
      <c r="G222" s="222">
        <f>SUMIFS('Data-Retail'!$I$4:$I$269,'Data-Retail'!$A$4:$A$269,'GSC Support'!$B222,'Data-Retail'!$D$4:$D$269,'GSC Support'!$C222)</f>
        <v>0</v>
      </c>
      <c r="H222" s="222">
        <f t="shared" si="24"/>
        <v>0</v>
      </c>
      <c r="I222" s="286"/>
      <c r="J222" s="286"/>
      <c r="K222" s="286"/>
      <c r="L222" s="286">
        <f t="shared" si="22"/>
        <v>0</v>
      </c>
      <c r="M222" s="279">
        <f t="shared" si="23"/>
        <v>0</v>
      </c>
      <c r="O222" s="323">
        <f>SUMIFS('Data-Retail'!$N$4:$N$238,'Data-Retail'!$A$4:$A$238,'GSC Support'!$B222,'Data-Retail'!$D$4:$D$238,'GSC Support'!$C222)</f>
        <v>0</v>
      </c>
      <c r="P222" s="323"/>
      <c r="Q222" s="323"/>
      <c r="R222" s="323"/>
      <c r="S222" s="281">
        <f>SUMIFS('Apr11-Mar12 Billed-RETAIL'!$BA$5:$BA$138,'Apr11-Mar12 Billed-RETAIL'!$B$5:$B$138,'GSC Support'!$B222,'Apr11-Mar12 Billed-RETAIL'!$C$5:$C$138,'GSC Support'!$C222)</f>
        <v>0</v>
      </c>
      <c r="T222" s="287"/>
      <c r="U222" s="287"/>
      <c r="V222" s="287">
        <f t="shared" si="25"/>
        <v>0</v>
      </c>
      <c r="W222" s="288">
        <f t="shared" si="26"/>
        <v>0</v>
      </c>
    </row>
    <row r="223" spans="1:24" x14ac:dyDescent="0.2">
      <c r="A223" s="196">
        <f t="shared" si="27"/>
        <v>218</v>
      </c>
      <c r="B223" s="211">
        <v>40848</v>
      </c>
      <c r="C223" s="211" t="str">
        <f>+'Retail Rates'!B21</f>
        <v>LGING896</v>
      </c>
      <c r="D223" s="197" t="str">
        <f t="shared" si="21"/>
        <v>896</v>
      </c>
      <c r="E223" s="197" t="str">
        <f>VLOOKUP(C223,'Retail Rates'!$B$7:$D$35,3,FALSE)</f>
        <v>FT-I</v>
      </c>
      <c r="F223" s="222">
        <f>SUMIFS('Data-Retail'!$H$4:$H$269,'Data-Retail'!$A$4:$A$269,'GSC Support'!$B223,'Data-Retail'!$D$4:$D$269,'GSC Support'!$C223)</f>
        <v>0</v>
      </c>
      <c r="G223" s="222">
        <f>SUMIFS('Data-Retail'!$I$4:$I$269,'Data-Retail'!$A$4:$A$269,'GSC Support'!$B223,'Data-Retail'!$D$4:$D$269,'GSC Support'!$C223)</f>
        <v>0</v>
      </c>
      <c r="H223" s="222">
        <f t="shared" si="24"/>
        <v>0</v>
      </c>
      <c r="I223" s="286"/>
      <c r="J223" s="286"/>
      <c r="K223" s="286"/>
      <c r="L223" s="286">
        <f t="shared" si="22"/>
        <v>0</v>
      </c>
      <c r="M223" s="279">
        <f t="shared" si="23"/>
        <v>0</v>
      </c>
      <c r="O223" s="323">
        <f>SUMIFS('Data-Retail'!$N$4:$N$238,'Data-Retail'!$A$4:$A$238,'GSC Support'!$B223,'Data-Retail'!$D$4:$D$238,'GSC Support'!$C223)</f>
        <v>0</v>
      </c>
      <c r="P223" s="323"/>
      <c r="Q223" s="323"/>
      <c r="R223" s="323"/>
      <c r="S223" s="281">
        <f>SUMIFS('Apr11-Mar12 Billed-RETAIL'!$BA$5:$BA$138,'Apr11-Mar12 Billed-RETAIL'!$B$5:$B$138,'GSC Support'!$B223,'Apr11-Mar12 Billed-RETAIL'!$C$5:$C$138,'GSC Support'!$C223)</f>
        <v>0</v>
      </c>
      <c r="T223" s="287"/>
      <c r="U223" s="287"/>
      <c r="V223" s="287">
        <f t="shared" si="25"/>
        <v>0</v>
      </c>
      <c r="W223" s="288">
        <f t="shared" si="26"/>
        <v>0</v>
      </c>
    </row>
    <row r="224" spans="1:24" x14ac:dyDescent="0.2">
      <c r="A224" s="196">
        <f t="shared" si="27"/>
        <v>219</v>
      </c>
      <c r="B224" s="211">
        <v>40848</v>
      </c>
      <c r="C224" s="211" t="str">
        <f>+'Retail Rates'!B22</f>
        <v>LGING896PM</v>
      </c>
      <c r="D224" s="197" t="str">
        <f t="shared" si="21"/>
        <v>896</v>
      </c>
      <c r="E224" s="197" t="str">
        <f>VLOOKUP(C224,'Retail Rates'!$B$7:$D$35,3,FALSE)</f>
        <v>FT-I-PM</v>
      </c>
      <c r="F224" s="222">
        <f>SUMIFS('Data-Retail'!$H$4:$H$269,'Data-Retail'!$A$4:$A$269,'GSC Support'!$B224,'Data-Retail'!$D$4:$D$269,'GSC Support'!$C224)</f>
        <v>0</v>
      </c>
      <c r="G224" s="222">
        <f>SUMIFS('Data-Retail'!$I$4:$I$269,'Data-Retail'!$A$4:$A$269,'GSC Support'!$B224,'Data-Retail'!$D$4:$D$269,'GSC Support'!$C224)</f>
        <v>0</v>
      </c>
      <c r="H224" s="222">
        <f t="shared" si="24"/>
        <v>0</v>
      </c>
      <c r="I224" s="286"/>
      <c r="J224" s="286"/>
      <c r="K224" s="286"/>
      <c r="L224" s="286">
        <f t="shared" si="22"/>
        <v>0</v>
      </c>
      <c r="M224" s="279">
        <f t="shared" si="23"/>
        <v>0</v>
      </c>
      <c r="O224" s="323">
        <f>SUMIFS('Data-Retail'!$N$4:$N$238,'Data-Retail'!$A$4:$A$238,'GSC Support'!$B224,'Data-Retail'!$D$4:$D$238,'GSC Support'!$C224)</f>
        <v>0</v>
      </c>
      <c r="P224" s="323"/>
      <c r="Q224" s="323"/>
      <c r="R224" s="323"/>
      <c r="S224" s="281">
        <f>SUMIFS('Apr11-Mar12 Billed-RETAIL'!$BA$5:$BA$138,'Apr11-Mar12 Billed-RETAIL'!$B$5:$B$138,'GSC Support'!$B224,'Apr11-Mar12 Billed-RETAIL'!$C$5:$C$138,'GSC Support'!$C224)</f>
        <v>0</v>
      </c>
      <c r="T224" s="287"/>
      <c r="U224" s="287"/>
      <c r="V224" s="287">
        <f t="shared" si="25"/>
        <v>0</v>
      </c>
      <c r="W224" s="288">
        <f t="shared" si="26"/>
        <v>0</v>
      </c>
    </row>
    <row r="225" spans="1:23" x14ac:dyDescent="0.2">
      <c r="A225" s="196">
        <f t="shared" si="27"/>
        <v>220</v>
      </c>
      <c r="B225" s="211">
        <v>40848</v>
      </c>
      <c r="C225" s="211" t="str">
        <f>+'Retail Rates'!B23</f>
        <v>LGING855</v>
      </c>
      <c r="D225" s="197" t="str">
        <f t="shared" si="21"/>
        <v>855</v>
      </c>
      <c r="E225" s="197" t="str">
        <f>VLOOKUP(C225,'Retail Rates'!$B$7:$D$35,3,FALSE)</f>
        <v>IGS</v>
      </c>
      <c r="F225" s="222">
        <f>SUMIFS('Data-Retail'!$H$4:$H$269,'Data-Retail'!$A$4:$A$269,'GSC Support'!$B225,'Data-Retail'!$D$4:$D$269,'GSC Support'!$C225)</f>
        <v>597061</v>
      </c>
      <c r="G225" s="222">
        <f>SUMIFS('Data-Retail'!$I$4:$I$269,'Data-Retail'!$A$4:$A$269,'GSC Support'!$B225,'Data-Retail'!$D$4:$D$269,'GSC Support'!$C225)</f>
        <v>31236</v>
      </c>
      <c r="H225" s="222">
        <f t="shared" si="24"/>
        <v>628297</v>
      </c>
      <c r="I225" s="286">
        <v>352529</v>
      </c>
      <c r="J225" s="286">
        <v>275768</v>
      </c>
      <c r="K225" s="286"/>
      <c r="L225" s="286">
        <f t="shared" si="22"/>
        <v>628297</v>
      </c>
      <c r="M225" s="279">
        <f t="shared" si="23"/>
        <v>0</v>
      </c>
      <c r="O225" s="323">
        <f>SUMIFS('Data-Retail'!$N$4:$N$238,'Data-Retail'!$A$4:$A$238,'GSC Support'!$B225,'Data-Retail'!$D$4:$D$238,'GSC Support'!$C225)</f>
        <v>336212.32</v>
      </c>
      <c r="P225" s="323"/>
      <c r="Q225" s="323"/>
      <c r="R225" s="323"/>
      <c r="S225" s="281">
        <f ca="1">SUMIFS('Apr11-Mar12 Billed-RETAIL'!$BA$5:$BA$138,'Apr11-Mar12 Billed-RETAIL'!$B$5:$B$138,'GSC Support'!$B225,'Apr11-Mar12 Billed-RETAIL'!$C$5:$C$138,'GSC Support'!$C225)</f>
        <v>336212.32</v>
      </c>
      <c r="T225" s="287">
        <v>181912.02</v>
      </c>
      <c r="U225" s="287">
        <v>154300.29999999999</v>
      </c>
      <c r="V225" s="287">
        <f t="shared" si="25"/>
        <v>336212.31999999995</v>
      </c>
      <c r="W225" s="288">
        <f t="shared" ca="1" si="26"/>
        <v>0</v>
      </c>
    </row>
    <row r="226" spans="1:23" x14ac:dyDescent="0.2">
      <c r="A226" s="196">
        <f t="shared" si="27"/>
        <v>221</v>
      </c>
      <c r="B226" s="211">
        <v>40848</v>
      </c>
      <c r="C226" s="211" t="str">
        <f>+'Retail Rates'!B24</f>
        <v>LGING882</v>
      </c>
      <c r="D226" s="197" t="str">
        <f t="shared" si="21"/>
        <v>882</v>
      </c>
      <c r="E226" s="197" t="str">
        <f>VLOOKUP(C226,'Retail Rates'!$B$7:$D$35,3,FALSE)</f>
        <v>IGS-TS</v>
      </c>
      <c r="F226" s="329">
        <v>6906</v>
      </c>
      <c r="G226" s="329"/>
      <c r="H226" s="329">
        <f t="shared" si="24"/>
        <v>6906</v>
      </c>
      <c r="I226" s="330">
        <v>5719</v>
      </c>
      <c r="J226" s="330">
        <v>1187</v>
      </c>
      <c r="K226" s="330"/>
      <c r="L226" s="330">
        <f t="shared" si="22"/>
        <v>6906</v>
      </c>
      <c r="M226" s="331">
        <f t="shared" si="23"/>
        <v>0</v>
      </c>
      <c r="N226" s="332"/>
      <c r="O226" s="323"/>
      <c r="P226" s="327"/>
      <c r="Q226" s="326"/>
      <c r="R226" s="323"/>
      <c r="S226" s="281">
        <f>SUMIFS('Apr11-Mar12 Billed-RETAIL'!$BA$5:$BA$138,'Apr11-Mar12 Billed-RETAIL'!$B$5:$B$138,'GSC Support'!$B226,'Apr11-Mar12 Billed-RETAIL'!$C$5:$C$138,'GSC Support'!$C226)</f>
        <v>0</v>
      </c>
      <c r="T226" s="287">
        <v>2951.12</v>
      </c>
      <c r="U226" s="287">
        <v>665.31</v>
      </c>
      <c r="V226" s="287">
        <f t="shared" si="25"/>
        <v>3616.43</v>
      </c>
      <c r="W226" s="288">
        <f t="shared" si="26"/>
        <v>-3616.43</v>
      </c>
    </row>
    <row r="227" spans="1:23" x14ac:dyDescent="0.2">
      <c r="A227" s="196">
        <f t="shared" si="27"/>
        <v>222</v>
      </c>
      <c r="B227" s="211">
        <v>40848</v>
      </c>
      <c r="C227" s="211" t="str">
        <f>+'Retail Rates'!B25</f>
        <v>LGING882PM</v>
      </c>
      <c r="D227" s="197" t="str">
        <f t="shared" si="21"/>
        <v>882</v>
      </c>
      <c r="E227" s="197" t="str">
        <f>VLOOKUP(C227,'Retail Rates'!$B$7:$D$35,3,FALSE)</f>
        <v>IGS-TS-PM</v>
      </c>
      <c r="F227" s="222">
        <f>SUMIFS('Data-Retail'!$H$4:$H$269,'Data-Retail'!$A$4:$A$269,'GSC Support'!$B227,'Data-Retail'!$D$4:$D$269,'GSC Support'!$C227)</f>
        <v>0</v>
      </c>
      <c r="G227" s="222">
        <f>SUMIFS('Data-Retail'!$I$4:$I$269,'Data-Retail'!$A$4:$A$269,'GSC Support'!$B227,'Data-Retail'!$D$4:$D$269,'GSC Support'!$C227)</f>
        <v>0</v>
      </c>
      <c r="H227" s="222">
        <f t="shared" si="24"/>
        <v>0</v>
      </c>
      <c r="I227" s="286"/>
      <c r="J227" s="286"/>
      <c r="K227" s="286"/>
      <c r="L227" s="286">
        <f t="shared" si="22"/>
        <v>0</v>
      </c>
      <c r="M227" s="279">
        <f t="shared" si="23"/>
        <v>0</v>
      </c>
      <c r="O227" s="323">
        <f>SUMIFS('Data-Retail'!$N$4:$N$238,'Data-Retail'!$A$4:$A$238,'GSC Support'!$B227,'Data-Retail'!$D$4:$D$238,'GSC Support'!$C227)</f>
        <v>0</v>
      </c>
      <c r="P227" s="323"/>
      <c r="Q227" s="323"/>
      <c r="R227" s="323"/>
      <c r="S227" s="281">
        <f>SUMIFS('Apr11-Mar12 Billed-RETAIL'!$BA$5:$BA$138,'Apr11-Mar12 Billed-RETAIL'!$B$5:$B$138,'GSC Support'!$B227,'Apr11-Mar12 Billed-RETAIL'!$C$5:$C$138,'GSC Support'!$C227)</f>
        <v>0</v>
      </c>
      <c r="T227" s="287"/>
      <c r="U227" s="287"/>
      <c r="V227" s="287">
        <f t="shared" si="25"/>
        <v>0</v>
      </c>
      <c r="W227" s="288">
        <f t="shared" si="26"/>
        <v>0</v>
      </c>
    </row>
    <row r="228" spans="1:23" x14ac:dyDescent="0.2">
      <c r="A228" s="196">
        <f t="shared" si="27"/>
        <v>223</v>
      </c>
      <c r="B228" s="211">
        <v>40848</v>
      </c>
      <c r="C228" s="211" t="str">
        <f>+'Retail Rates'!B26</f>
        <v>LGRSG811</v>
      </c>
      <c r="D228" s="197" t="str">
        <f t="shared" si="21"/>
        <v>811</v>
      </c>
      <c r="E228" s="197" t="str">
        <f>VLOOKUP(C228,'Retail Rates'!$B$7:$D$35,3,FALSE)</f>
        <v>RGS</v>
      </c>
      <c r="F228" s="222">
        <f>SUMIFS('Data-Retail'!$H$4:$H$269,'Data-Retail'!$A$4:$A$269,'GSC Support'!$B228,'Data-Retail'!$D$4:$D$269,'GSC Support'!$C228)</f>
        <v>12982556</v>
      </c>
      <c r="G228" s="222">
        <f>SUMIFS('Data-Retail'!$I$4:$I$269,'Data-Retail'!$A$4:$A$269,'GSC Support'!$B228,'Data-Retail'!$D$4:$D$269,'GSC Support'!$C228)</f>
        <v>0</v>
      </c>
      <c r="H228" s="222">
        <f t="shared" si="24"/>
        <v>12982556</v>
      </c>
      <c r="I228" s="286">
        <v>6562000</v>
      </c>
      <c r="J228" s="286">
        <v>6420556</v>
      </c>
      <c r="K228" s="286"/>
      <c r="L228" s="286">
        <f t="shared" si="22"/>
        <v>12982556</v>
      </c>
      <c r="M228" s="279">
        <f t="shared" si="23"/>
        <v>0</v>
      </c>
      <c r="O228" s="323">
        <f>SUMIFS('Data-Retail'!$N$4:$N$238,'Data-Retail'!$A$4:$A$238,'GSC Support'!$B228,'Data-Retail'!$D$4:$D$238,'GSC Support'!$C228)</f>
        <v>6981728.2800000003</v>
      </c>
      <c r="P228" s="323"/>
      <c r="Q228" s="323"/>
      <c r="R228" s="323"/>
      <c r="S228" s="281">
        <f ca="1">SUMIFS('Apr11-Mar12 Billed-RETAIL'!$BA$5:$BA$138,'Apr11-Mar12 Billed-RETAIL'!$B$5:$B$138,'GSC Support'!$B228,'Apr11-Mar12 Billed-RETAIL'!$C$5:$C$138,'GSC Support'!$C228)</f>
        <v>6981728.2800000003</v>
      </c>
      <c r="T228" s="287">
        <v>3385963.22</v>
      </c>
      <c r="U228" s="287">
        <v>3595765.06</v>
      </c>
      <c r="V228" s="287">
        <f t="shared" si="25"/>
        <v>6981728.2800000003</v>
      </c>
      <c r="W228" s="288">
        <f t="shared" ca="1" si="26"/>
        <v>0</v>
      </c>
    </row>
    <row r="229" spans="1:23" x14ac:dyDescent="0.2">
      <c r="A229" s="196">
        <f t="shared" si="27"/>
        <v>224</v>
      </c>
      <c r="B229" s="211">
        <v>40848</v>
      </c>
      <c r="C229" s="211" t="str">
        <f>+'Retail Rates'!B27</f>
        <v>LGRSG811S1</v>
      </c>
      <c r="D229" s="197" t="str">
        <f t="shared" si="21"/>
        <v>811</v>
      </c>
      <c r="E229" s="197" t="str">
        <f>VLOOKUP(C229,'Retail Rates'!$B$7:$D$35,3,FALSE)</f>
        <v>RGS</v>
      </c>
      <c r="F229" s="222">
        <f>SUMIFS('Data-Retail'!$H$4:$H$269,'Data-Retail'!$A$4:$A$269,'GSC Support'!$B229,'Data-Retail'!$D$4:$D$269,'GSC Support'!$C229)</f>
        <v>1720</v>
      </c>
      <c r="G229" s="222">
        <f>SUMIFS('Data-Retail'!$I$4:$I$269,'Data-Retail'!$A$4:$A$269,'GSC Support'!$B229,'Data-Retail'!$D$4:$D$269,'GSC Support'!$C229)</f>
        <v>0</v>
      </c>
      <c r="H229" s="222">
        <f t="shared" si="24"/>
        <v>1720</v>
      </c>
      <c r="I229" s="286">
        <v>1460</v>
      </c>
      <c r="J229" s="286">
        <v>260</v>
      </c>
      <c r="K229" s="286"/>
      <c r="L229" s="286">
        <f t="shared" si="22"/>
        <v>1720</v>
      </c>
      <c r="M229" s="279">
        <f t="shared" si="23"/>
        <v>0</v>
      </c>
      <c r="O229" s="323">
        <f>SUMIFS('Data-Retail'!$N$4:$N$238,'Data-Retail'!$A$4:$A$238,'GSC Support'!$B229,'Data-Retail'!$D$4:$D$238,'GSC Support'!$C229)</f>
        <v>899.12</v>
      </c>
      <c r="P229" s="323"/>
      <c r="Q229" s="323"/>
      <c r="R229" s="323"/>
      <c r="S229" s="281">
        <f ca="1">SUMIFS('Apr11-Mar12 Billed-RETAIL'!$BA$5:$BA$138,'Apr11-Mar12 Billed-RETAIL'!$B$5:$B$138,'GSC Support'!$B229,'Apr11-Mar12 Billed-RETAIL'!$C$5:$C$138,'GSC Support'!$C229)</f>
        <v>899.12</v>
      </c>
      <c r="T229" s="287">
        <v>753.39</v>
      </c>
      <c r="U229" s="287">
        <v>145.72999999999999</v>
      </c>
      <c r="V229" s="287">
        <f t="shared" si="25"/>
        <v>899.12</v>
      </c>
      <c r="W229" s="288">
        <f t="shared" ca="1" si="26"/>
        <v>0</v>
      </c>
    </row>
    <row r="230" spans="1:23" x14ac:dyDescent="0.2">
      <c r="A230" s="196">
        <f t="shared" si="27"/>
        <v>225</v>
      </c>
      <c r="B230" s="211">
        <v>40848</v>
      </c>
      <c r="C230" s="211" t="str">
        <f>+'Retail Rates'!B28</f>
        <v>LGRSG840</v>
      </c>
      <c r="D230" s="197" t="str">
        <f t="shared" si="21"/>
        <v>840</v>
      </c>
      <c r="E230" s="197" t="str">
        <f>VLOOKUP(C230,'Retail Rates'!$B$7:$D$35,3,FALSE)</f>
        <v>RGS</v>
      </c>
      <c r="F230" s="222">
        <f>SUMIFS('Data-Retail'!$H$4:$H$269,'Data-Retail'!$A$4:$A$269,'GSC Support'!$B230,'Data-Retail'!$D$4:$D$269,'GSC Support'!$C230)</f>
        <v>698</v>
      </c>
      <c r="G230" s="222">
        <f>SUMIFS('Data-Retail'!$I$4:$I$269,'Data-Retail'!$A$4:$A$269,'GSC Support'!$B230,'Data-Retail'!$D$4:$D$269,'GSC Support'!$C230)</f>
        <v>0</v>
      </c>
      <c r="H230" s="222">
        <f t="shared" si="24"/>
        <v>698</v>
      </c>
      <c r="I230" s="286">
        <v>362</v>
      </c>
      <c r="J230" s="286">
        <v>336</v>
      </c>
      <c r="K230" s="286"/>
      <c r="L230" s="286">
        <f t="shared" si="22"/>
        <v>698</v>
      </c>
      <c r="M230" s="279">
        <f t="shared" si="23"/>
        <v>0</v>
      </c>
      <c r="O230" s="323">
        <f>SUMIFS('Data-Retail'!$N$4:$N$238,'Data-Retail'!$A$4:$A$238,'GSC Support'!$B230,'Data-Retail'!$D$4:$D$238,'GSC Support'!$C230)</f>
        <v>375.12</v>
      </c>
      <c r="P230" s="323"/>
      <c r="Q230" s="323"/>
      <c r="R230" s="323"/>
      <c r="S230" s="281">
        <f ca="1">SUMIFS('Apr11-Mar12 Billed-RETAIL'!$BA$5:$BA$138,'Apr11-Mar12 Billed-RETAIL'!$B$5:$B$138,'GSC Support'!$B230,'Apr11-Mar12 Billed-RETAIL'!$C$5:$C$138,'GSC Support'!$C230)</f>
        <v>375.12</v>
      </c>
      <c r="T230" s="287">
        <v>186.79</v>
      </c>
      <c r="U230" s="287">
        <v>188.33</v>
      </c>
      <c r="V230" s="287">
        <f t="shared" si="25"/>
        <v>375.12</v>
      </c>
      <c r="W230" s="288">
        <f t="shared" ca="1" si="26"/>
        <v>0</v>
      </c>
    </row>
    <row r="231" spans="1:23" x14ac:dyDescent="0.2">
      <c r="A231" s="196">
        <f t="shared" si="27"/>
        <v>226</v>
      </c>
      <c r="B231" s="211">
        <v>40848</v>
      </c>
      <c r="C231" s="211" t="str">
        <f>+'Retail Rates'!B29</f>
        <v>LGUMG830</v>
      </c>
      <c r="D231" s="197" t="str">
        <f t="shared" si="21"/>
        <v>830</v>
      </c>
      <c r="E231" s="197" t="str">
        <f>VLOOKUP(C231,'Retail Rates'!$B$7:$D$35,3,FALSE)</f>
        <v>RGS</v>
      </c>
      <c r="F231" s="222">
        <f>SUMIFS('Data-Retail'!$H$4:$H$269,'Data-Retail'!$A$4:$A$269,'GSC Support'!$B231,'Data-Retail'!$D$4:$D$269,'GSC Support'!$C231)</f>
        <v>32</v>
      </c>
      <c r="G231" s="222">
        <f>SUMIFS('Data-Retail'!$I$4:$I$269,'Data-Retail'!$A$4:$A$269,'GSC Support'!$B231,'Data-Retail'!$D$4:$D$269,'GSC Support'!$C231)</f>
        <v>0</v>
      </c>
      <c r="H231" s="222">
        <f t="shared" si="24"/>
        <v>32</v>
      </c>
      <c r="I231" s="286">
        <v>21</v>
      </c>
      <c r="J231" s="286">
        <v>11</v>
      </c>
      <c r="K231" s="286"/>
      <c r="L231" s="286">
        <f t="shared" si="22"/>
        <v>32</v>
      </c>
      <c r="M231" s="279">
        <f t="shared" si="23"/>
        <v>0</v>
      </c>
      <c r="O231" s="323">
        <f>SUMIFS('Data-Retail'!$N$4:$N$238,'Data-Retail'!$A$4:$A$238,'GSC Support'!$B231,'Data-Retail'!$D$4:$D$238,'GSC Support'!$C231)</f>
        <v>17.010000000000002</v>
      </c>
      <c r="P231" s="323"/>
      <c r="Q231" s="323"/>
      <c r="R231" s="323"/>
      <c r="S231" s="281">
        <f ca="1">SUMIFS('Apr11-Mar12 Billed-RETAIL'!$BA$5:$BA$138,'Apr11-Mar12 Billed-RETAIL'!$B$5:$B$138,'GSC Support'!$B231,'Apr11-Mar12 Billed-RETAIL'!$C$5:$C$138,'GSC Support'!$C231)</f>
        <v>17.010000000000002</v>
      </c>
      <c r="T231" s="287">
        <v>10.84</v>
      </c>
      <c r="U231" s="287">
        <v>6.17</v>
      </c>
      <c r="V231" s="287">
        <f t="shared" si="25"/>
        <v>17.009999999999998</v>
      </c>
      <c r="W231" s="288">
        <f t="shared" ca="1" si="26"/>
        <v>0</v>
      </c>
    </row>
    <row r="232" spans="1:23" x14ac:dyDescent="0.2">
      <c r="A232" s="196">
        <f t="shared" si="27"/>
        <v>227</v>
      </c>
      <c r="B232" s="211">
        <v>40848</v>
      </c>
      <c r="C232" s="211" t="str">
        <f>+'Retail Rates'!B30</f>
        <v>LGING992</v>
      </c>
      <c r="D232" s="197" t="str">
        <f t="shared" si="21"/>
        <v>992</v>
      </c>
      <c r="E232" s="197" t="str">
        <f>VLOOKUP(C232,'Retail Rates'!$B$7:$D$35,3,FALSE)</f>
        <v>SPC-EIDuP</v>
      </c>
      <c r="F232" s="222">
        <f>SUMIFS('Data-Retail'!$H$4:$H$269,'Data-Retail'!$A$4:$A$269,'GSC Support'!$B232,'Data-Retail'!$D$4:$D$269,'GSC Support'!$C232)</f>
        <v>0</v>
      </c>
      <c r="G232" s="222">
        <f>SUMIFS('Data-Retail'!$I$4:$I$269,'Data-Retail'!$A$4:$A$269,'GSC Support'!$B232,'Data-Retail'!$D$4:$D$269,'GSC Support'!$C232)</f>
        <v>0</v>
      </c>
      <c r="H232" s="222">
        <f t="shared" si="24"/>
        <v>0</v>
      </c>
      <c r="I232" s="286"/>
      <c r="J232" s="286"/>
      <c r="K232" s="286"/>
      <c r="L232" s="286">
        <f t="shared" si="22"/>
        <v>0</v>
      </c>
      <c r="M232" s="279">
        <f t="shared" si="23"/>
        <v>0</v>
      </c>
      <c r="O232" s="323">
        <f>SUMIFS('Data-Retail'!$N$4:$N$238,'Data-Retail'!$A$4:$A$238,'GSC Support'!$B232,'Data-Retail'!$D$4:$D$238,'GSC Support'!$C232)</f>
        <v>0</v>
      </c>
      <c r="P232" s="323"/>
      <c r="Q232" s="323"/>
      <c r="R232" s="323"/>
      <c r="S232" s="281">
        <f>SUMIFS('Apr11-Mar12 Billed-RETAIL'!$BA$5:$BA$138,'Apr11-Mar12 Billed-RETAIL'!$B$5:$B$138,'GSC Support'!$B232,'Apr11-Mar12 Billed-RETAIL'!$C$5:$C$138,'GSC Support'!$C232)</f>
        <v>0</v>
      </c>
      <c r="T232" s="287"/>
      <c r="U232" s="287"/>
      <c r="V232" s="287">
        <f t="shared" si="25"/>
        <v>0</v>
      </c>
      <c r="W232" s="288">
        <f t="shared" si="26"/>
        <v>0</v>
      </c>
    </row>
    <row r="233" spans="1:23" x14ac:dyDescent="0.2">
      <c r="A233" s="196">
        <f t="shared" si="27"/>
        <v>228</v>
      </c>
      <c r="B233" s="211">
        <v>40848</v>
      </c>
      <c r="C233" s="211" t="str">
        <f>+'Retail Rates'!B31</f>
        <v>LGING896FD</v>
      </c>
      <c r="D233" s="197" t="str">
        <f t="shared" si="21"/>
        <v>896</v>
      </c>
      <c r="E233" s="197" t="str">
        <f>VLOOKUP(C233,'Retail Rates'!$B$7:$D$35,3,FALSE)</f>
        <v>SPC-FORD</v>
      </c>
      <c r="F233" s="222">
        <f>SUMIFS('Data-Retail'!$H$4:$H$269,'Data-Retail'!$A$4:$A$269,'GSC Support'!$B233,'Data-Retail'!$D$4:$D$269,'GSC Support'!$C233)</f>
        <v>0</v>
      </c>
      <c r="G233" s="222">
        <f>SUMIFS('Data-Retail'!$I$4:$I$269,'Data-Retail'!$A$4:$A$269,'GSC Support'!$B233,'Data-Retail'!$D$4:$D$269,'GSC Support'!$C233)</f>
        <v>0</v>
      </c>
      <c r="H233" s="222">
        <f t="shared" si="24"/>
        <v>0</v>
      </c>
      <c r="I233" s="286"/>
      <c r="J233" s="286"/>
      <c r="K233" s="286"/>
      <c r="L233" s="286">
        <f t="shared" si="22"/>
        <v>0</v>
      </c>
      <c r="M233" s="279">
        <f t="shared" si="23"/>
        <v>0</v>
      </c>
      <c r="O233" s="323">
        <f>SUMIFS('Data-Retail'!$N$4:$N$238,'Data-Retail'!$A$4:$A$238,'GSC Support'!$B233,'Data-Retail'!$D$4:$D$238,'GSC Support'!$C233)</f>
        <v>0</v>
      </c>
      <c r="P233" s="323"/>
      <c r="Q233" s="323"/>
      <c r="R233" s="323"/>
      <c r="S233" s="281">
        <f>SUMIFS('Apr11-Mar12 Billed-RETAIL'!$BA$5:$BA$138,'Apr11-Mar12 Billed-RETAIL'!$B$5:$B$138,'GSC Support'!$B233,'Apr11-Mar12 Billed-RETAIL'!$C$5:$C$138,'GSC Support'!$C233)</f>
        <v>0</v>
      </c>
      <c r="T233" s="287"/>
      <c r="U233" s="287"/>
      <c r="V233" s="287">
        <f t="shared" si="25"/>
        <v>0</v>
      </c>
      <c r="W233" s="288">
        <f t="shared" si="26"/>
        <v>0</v>
      </c>
    </row>
    <row r="234" spans="1:23" x14ac:dyDescent="0.2">
      <c r="A234" s="196">
        <f t="shared" si="27"/>
        <v>229</v>
      </c>
      <c r="B234" s="211">
        <v>40848</v>
      </c>
      <c r="C234" s="211" t="str">
        <f>+'Retail Rates'!B32</f>
        <v>LGING896FM</v>
      </c>
      <c r="D234" s="197" t="str">
        <f t="shared" si="21"/>
        <v>896</v>
      </c>
      <c r="E234" s="197" t="str">
        <f>VLOOKUP(C234,'Retail Rates'!$B$7:$D$35,3,FALSE)</f>
        <v>SPC-FORD-PM</v>
      </c>
      <c r="F234" s="222">
        <f>SUMIFS('Data-Retail'!$H$4:$H$269,'Data-Retail'!$A$4:$A$269,'GSC Support'!$B234,'Data-Retail'!$D$4:$D$269,'GSC Support'!$C234)</f>
        <v>0</v>
      </c>
      <c r="G234" s="222">
        <f>SUMIFS('Data-Retail'!$I$4:$I$269,'Data-Retail'!$A$4:$A$269,'GSC Support'!$B234,'Data-Retail'!$D$4:$D$269,'GSC Support'!$C234)</f>
        <v>0</v>
      </c>
      <c r="H234" s="222">
        <f t="shared" si="24"/>
        <v>0</v>
      </c>
      <c r="I234" s="286"/>
      <c r="J234" s="286"/>
      <c r="K234" s="286"/>
      <c r="L234" s="286">
        <f t="shared" si="22"/>
        <v>0</v>
      </c>
      <c r="M234" s="279">
        <f t="shared" si="23"/>
        <v>0</v>
      </c>
      <c r="O234" s="323">
        <f>SUMIFS('Data-Retail'!$N$4:$N$238,'Data-Retail'!$A$4:$A$238,'GSC Support'!$B234,'Data-Retail'!$D$4:$D$238,'GSC Support'!$C234)</f>
        <v>0</v>
      </c>
      <c r="P234" s="323"/>
      <c r="Q234" s="323"/>
      <c r="R234" s="323"/>
      <c r="S234" s="281">
        <f>SUMIFS('Apr11-Mar12 Billed-RETAIL'!$BA$5:$BA$138,'Apr11-Mar12 Billed-RETAIL'!$B$5:$B$138,'GSC Support'!$B234,'Apr11-Mar12 Billed-RETAIL'!$C$5:$C$138,'GSC Support'!$C234)</f>
        <v>0</v>
      </c>
      <c r="T234" s="287"/>
      <c r="U234" s="287"/>
      <c r="V234" s="287">
        <f t="shared" si="25"/>
        <v>0</v>
      </c>
      <c r="W234" s="288">
        <f t="shared" si="26"/>
        <v>0</v>
      </c>
    </row>
    <row r="235" spans="1:23" x14ac:dyDescent="0.2">
      <c r="A235" s="196">
        <f t="shared" si="27"/>
        <v>230</v>
      </c>
      <c r="B235" s="211">
        <v>40848</v>
      </c>
      <c r="C235" s="211" t="str">
        <f>+'Retail Rates'!B33</f>
        <v>LGCMG991</v>
      </c>
      <c r="D235" s="197" t="str">
        <f t="shared" si="21"/>
        <v>991</v>
      </c>
      <c r="E235" s="197" t="str">
        <f>VLOOKUP(C235,'Retail Rates'!$B$7:$D$35,3,FALSE)</f>
        <v>SPC-FTKX</v>
      </c>
      <c r="F235" s="222">
        <f>SUMIFS('Data-Retail'!$H$4:$H$269,'Data-Retail'!$A$4:$A$269,'GSC Support'!$B235,'Data-Retail'!$D$4:$D$269,'GSC Support'!$C235)</f>
        <v>0</v>
      </c>
      <c r="G235" s="222">
        <f>SUMIFS('Data-Retail'!$I$4:$I$269,'Data-Retail'!$A$4:$A$269,'GSC Support'!$B235,'Data-Retail'!$D$4:$D$269,'GSC Support'!$C235)</f>
        <v>0</v>
      </c>
      <c r="H235" s="222">
        <f t="shared" si="24"/>
        <v>0</v>
      </c>
      <c r="I235" s="286"/>
      <c r="J235" s="286"/>
      <c r="K235" s="286"/>
      <c r="L235" s="286">
        <f t="shared" si="22"/>
        <v>0</v>
      </c>
      <c r="M235" s="279">
        <f t="shared" si="23"/>
        <v>0</v>
      </c>
      <c r="O235" s="323">
        <f>SUMIFS('Data-Retail'!$N$4:$N$238,'Data-Retail'!$A$4:$A$238,'GSC Support'!$B235,'Data-Retail'!$D$4:$D$238,'GSC Support'!$C235)</f>
        <v>0</v>
      </c>
      <c r="P235" s="323"/>
      <c r="Q235" s="323"/>
      <c r="R235" s="323"/>
      <c r="S235" s="281">
        <f>SUMIFS('Apr11-Mar12 Billed-RETAIL'!$BA$5:$BA$138,'Apr11-Mar12 Billed-RETAIL'!$B$5:$B$138,'GSC Support'!$B235,'Apr11-Mar12 Billed-RETAIL'!$C$5:$C$138,'GSC Support'!$C235)</f>
        <v>0</v>
      </c>
      <c r="T235" s="287"/>
      <c r="U235" s="287"/>
      <c r="V235" s="287">
        <f t="shared" si="25"/>
        <v>0</v>
      </c>
      <c r="W235" s="288">
        <f t="shared" si="26"/>
        <v>0</v>
      </c>
    </row>
    <row r="236" spans="1:23" x14ac:dyDescent="0.2">
      <c r="A236" s="196">
        <f t="shared" si="27"/>
        <v>231</v>
      </c>
      <c r="B236" s="211">
        <v>40848</v>
      </c>
      <c r="C236" s="211" t="str">
        <f>+'Retail Rates'!B34</f>
        <v>LGING996</v>
      </c>
      <c r="D236" s="197" t="str">
        <f t="shared" si="21"/>
        <v>996</v>
      </c>
      <c r="E236" s="197" t="str">
        <f>VLOOKUP(C236,'Retail Rates'!$B$7:$D$35,3,FALSE)</f>
        <v>SPC-LGE</v>
      </c>
      <c r="F236" s="222">
        <f>SUMIFS('Data-Retail'!$H$4:$H$269,'Data-Retail'!$A$4:$A$269,'GSC Support'!$B236,'Data-Retail'!$D$4:$D$269,'GSC Support'!$C236)</f>
        <v>0</v>
      </c>
      <c r="G236" s="222">
        <f>SUMIFS('Data-Retail'!$I$4:$I$269,'Data-Retail'!$A$4:$A$269,'GSC Support'!$B236,'Data-Retail'!$D$4:$D$269,'GSC Support'!$C236)</f>
        <v>0</v>
      </c>
      <c r="H236" s="222">
        <f t="shared" si="24"/>
        <v>0</v>
      </c>
      <c r="I236" s="286">
        <v>455848</v>
      </c>
      <c r="J236" s="286">
        <v>0</v>
      </c>
      <c r="K236" s="286"/>
      <c r="L236" s="286">
        <f t="shared" si="22"/>
        <v>455848</v>
      </c>
      <c r="M236" s="279">
        <f t="shared" si="23"/>
        <v>-455848</v>
      </c>
      <c r="O236" s="323">
        <f>SUMIFS('Data-Retail'!$N$4:$N$238,'Data-Retail'!$A$4:$A$238,'GSC Support'!$B236,'Data-Retail'!$D$4:$D$238,'GSC Support'!$C236)</f>
        <v>0</v>
      </c>
      <c r="P236" s="323"/>
      <c r="Q236" s="323"/>
      <c r="R236" s="323"/>
      <c r="S236" s="281">
        <f>SUMIFS('Apr11-Mar12 Billed-RETAIL'!$BA$5:$BA$138,'Apr11-Mar12 Billed-RETAIL'!$B$5:$B$138,'GSC Support'!$B236,'Apr11-Mar12 Billed-RETAIL'!$C$5:$C$138,'GSC Support'!$C236)</f>
        <v>0</v>
      </c>
      <c r="T236" s="287">
        <v>235226.69</v>
      </c>
      <c r="U236" s="287"/>
      <c r="V236" s="287">
        <f t="shared" si="25"/>
        <v>235226.69</v>
      </c>
      <c r="W236" s="288">
        <f t="shared" si="26"/>
        <v>-235226.69</v>
      </c>
    </row>
    <row r="237" spans="1:23" x14ac:dyDescent="0.2">
      <c r="A237" s="196">
        <f t="shared" si="27"/>
        <v>232</v>
      </c>
      <c r="B237" s="211">
        <v>40848</v>
      </c>
      <c r="C237" s="211" t="str">
        <f>+'Retail Rates'!B35</f>
        <v>LGING997</v>
      </c>
      <c r="D237" s="197" t="str">
        <f t="shared" si="21"/>
        <v>997</v>
      </c>
      <c r="E237" s="197" t="str">
        <f>VLOOKUP(C237,'Retail Rates'!$B$7:$D$35,3,FALSE)</f>
        <v>SPC-PADDY</v>
      </c>
      <c r="F237" s="222">
        <f>SUMIFS('Data-Retail'!$H$4:$H$269,'Data-Retail'!$A$4:$A$269,'GSC Support'!$B237,'Data-Retail'!$D$4:$D$269,'GSC Support'!$C237)</f>
        <v>0</v>
      </c>
      <c r="G237" s="222">
        <f>SUMIFS('Data-Retail'!$I$4:$I$269,'Data-Retail'!$A$4:$A$269,'GSC Support'!$B237,'Data-Retail'!$D$4:$D$269,'GSC Support'!$C237)</f>
        <v>0</v>
      </c>
      <c r="H237" s="222">
        <f t="shared" si="24"/>
        <v>0</v>
      </c>
      <c r="I237" s="286"/>
      <c r="J237" s="286"/>
      <c r="K237" s="286"/>
      <c r="L237" s="286">
        <f t="shared" si="22"/>
        <v>0</v>
      </c>
      <c r="M237" s="279">
        <f t="shared" si="23"/>
        <v>0</v>
      </c>
      <c r="O237" s="323">
        <f>SUMIFS('Data-Retail'!$N$4:$N$238,'Data-Retail'!$A$4:$A$238,'GSC Support'!$B237,'Data-Retail'!$D$4:$D$238,'GSC Support'!$C237)</f>
        <v>0</v>
      </c>
      <c r="P237" s="323"/>
      <c r="Q237" s="323"/>
      <c r="R237" s="323"/>
      <c r="S237" s="281">
        <f>SUMIFS('Apr11-Mar12 Billed-RETAIL'!$BA$5:$BA$138,'Apr11-Mar12 Billed-RETAIL'!$B$5:$B$138,'GSC Support'!$B237,'Apr11-Mar12 Billed-RETAIL'!$C$5:$C$138,'GSC Support'!$C237)</f>
        <v>0</v>
      </c>
      <c r="T237" s="287"/>
      <c r="U237" s="287"/>
      <c r="V237" s="287">
        <f t="shared" si="25"/>
        <v>0</v>
      </c>
      <c r="W237" s="288">
        <f t="shared" si="26"/>
        <v>0</v>
      </c>
    </row>
    <row r="238" spans="1:23" x14ac:dyDescent="0.2">
      <c r="A238" s="196">
        <f t="shared" si="27"/>
        <v>233</v>
      </c>
      <c r="B238" s="211">
        <v>40878</v>
      </c>
      <c r="C238" s="211" t="str">
        <f>+'Retail Rates'!B7</f>
        <v>LGCMG865</v>
      </c>
      <c r="D238" s="197" t="str">
        <f t="shared" si="21"/>
        <v>865</v>
      </c>
      <c r="E238" s="197" t="str">
        <f>VLOOKUP(C238,'Retail Rates'!$B$7:$D$35,3,FALSE)</f>
        <v>AAGS-C</v>
      </c>
      <c r="F238" s="222">
        <f>SUMIFS('Data-Retail'!$H$4:$H$269,'Data-Retail'!$A$4:$A$269,'GSC Support'!$B238,'Data-Retail'!$D$4:$D$269,'GSC Support'!$C238)</f>
        <v>111881</v>
      </c>
      <c r="G238" s="222">
        <f>SUMIFS('Data-Retail'!$I$4:$I$269,'Data-Retail'!$A$4:$A$269,'GSC Support'!$B238,'Data-Retail'!$D$4:$D$269,'GSC Support'!$C238)</f>
        <v>0</v>
      </c>
      <c r="H238" s="222">
        <f t="shared" si="24"/>
        <v>111881</v>
      </c>
      <c r="I238" s="286">
        <v>178185</v>
      </c>
      <c r="J238" s="286">
        <v>48221</v>
      </c>
      <c r="K238" s="286"/>
      <c r="L238" s="286">
        <f t="shared" si="22"/>
        <v>226406</v>
      </c>
      <c r="M238" s="279">
        <f t="shared" si="23"/>
        <v>-114525</v>
      </c>
      <c r="O238" s="323">
        <f>SUMIFS('Data-Retail'!$N$4:$N$238,'Data-Retail'!$A$4:$A$238,'GSC Support'!$B238,'Data-Retail'!$D$4:$D$238,'GSC Support'!$C238)</f>
        <v>58192.93</v>
      </c>
      <c r="P238" s="323"/>
      <c r="Q238" s="323"/>
      <c r="R238" s="323"/>
      <c r="S238" s="281">
        <f ca="1">SUMIFS('Apr11-Mar12 Billed-RETAIL'!$BA$5:$BA$138,'Apr11-Mar12 Billed-RETAIL'!$B$5:$B$138,'GSC Support'!$B238,'Apr11-Mar12 Billed-RETAIL'!$C$5:$C$138,'GSC Support'!$C238)</f>
        <v>58192.93</v>
      </c>
      <c r="T238" s="287">
        <v>91947.01</v>
      </c>
      <c r="U238" s="287">
        <v>25343.1</v>
      </c>
      <c r="V238" s="287">
        <f t="shared" si="25"/>
        <v>117290.10999999999</v>
      </c>
      <c r="W238" s="288">
        <f t="shared" ca="1" si="26"/>
        <v>-59097.179999999986</v>
      </c>
    </row>
    <row r="239" spans="1:23" x14ac:dyDescent="0.2">
      <c r="A239" s="196">
        <f t="shared" si="27"/>
        <v>234</v>
      </c>
      <c r="B239" s="211">
        <v>40878</v>
      </c>
      <c r="C239" s="211" t="str">
        <f>+'Retail Rates'!B8</f>
        <v>LGCMG891</v>
      </c>
      <c r="D239" s="197" t="str">
        <f t="shared" si="21"/>
        <v>891</v>
      </c>
      <c r="E239" s="197" t="str">
        <f>VLOOKUP(C239,'Retail Rates'!$B$7:$D$35,3,FALSE)</f>
        <v>AAGS-C-TS</v>
      </c>
      <c r="F239" s="222">
        <f>SUMIFS('Data-Retail'!$H$4:$H$269,'Data-Retail'!$A$4:$A$269,'GSC Support'!$B239,'Data-Retail'!$D$4:$D$269,'GSC Support'!$C239)</f>
        <v>0</v>
      </c>
      <c r="G239" s="222">
        <f>SUMIFS('Data-Retail'!$I$4:$I$269,'Data-Retail'!$A$4:$A$269,'GSC Support'!$B239,'Data-Retail'!$D$4:$D$269,'GSC Support'!$C239)</f>
        <v>0</v>
      </c>
      <c r="H239" s="222">
        <f t="shared" si="24"/>
        <v>0</v>
      </c>
      <c r="I239" s="286"/>
      <c r="J239" s="286"/>
      <c r="K239" s="286"/>
      <c r="L239" s="286">
        <f t="shared" si="22"/>
        <v>0</v>
      </c>
      <c r="M239" s="279">
        <f t="shared" si="23"/>
        <v>0</v>
      </c>
      <c r="O239" s="323">
        <f>SUMIFS('Data-Retail'!$N$4:$N$238,'Data-Retail'!$A$4:$A$238,'GSC Support'!$B239,'Data-Retail'!$D$4:$D$238,'GSC Support'!$C239)</f>
        <v>0</v>
      </c>
      <c r="P239" s="323"/>
      <c r="Q239" s="323"/>
      <c r="R239" s="323"/>
      <c r="S239" s="281">
        <f>SUMIFS('Apr11-Mar12 Billed-RETAIL'!$BA$5:$BA$138,'Apr11-Mar12 Billed-RETAIL'!$B$5:$B$138,'GSC Support'!$B239,'Apr11-Mar12 Billed-RETAIL'!$C$5:$C$138,'GSC Support'!$C239)</f>
        <v>0</v>
      </c>
      <c r="T239" s="287"/>
      <c r="U239" s="287"/>
      <c r="V239" s="287">
        <f t="shared" si="25"/>
        <v>0</v>
      </c>
      <c r="W239" s="288">
        <f t="shared" si="26"/>
        <v>0</v>
      </c>
    </row>
    <row r="240" spans="1:23" x14ac:dyDescent="0.2">
      <c r="A240" s="196">
        <f t="shared" si="27"/>
        <v>235</v>
      </c>
      <c r="B240" s="211">
        <v>40878</v>
      </c>
      <c r="C240" s="211" t="str">
        <f>+'Retail Rates'!B9</f>
        <v>LGCMG891PM</v>
      </c>
      <c r="D240" s="197" t="str">
        <f t="shared" si="21"/>
        <v>891</v>
      </c>
      <c r="E240" s="197" t="str">
        <f>VLOOKUP(C240,'Retail Rates'!$B$7:$D$35,3,FALSE)</f>
        <v>AAGS-C-TS-PM</v>
      </c>
      <c r="F240" s="222">
        <f>SUMIFS('Data-Retail'!$H$4:$H$269,'Data-Retail'!$A$4:$A$269,'GSC Support'!$B240,'Data-Retail'!$D$4:$D$269,'GSC Support'!$C240)</f>
        <v>0</v>
      </c>
      <c r="G240" s="222">
        <f>SUMIFS('Data-Retail'!$I$4:$I$269,'Data-Retail'!$A$4:$A$269,'GSC Support'!$B240,'Data-Retail'!$D$4:$D$269,'GSC Support'!$C240)</f>
        <v>0</v>
      </c>
      <c r="H240" s="222">
        <f t="shared" si="24"/>
        <v>0</v>
      </c>
      <c r="I240" s="286"/>
      <c r="J240" s="286"/>
      <c r="K240" s="286"/>
      <c r="L240" s="286">
        <f t="shared" si="22"/>
        <v>0</v>
      </c>
      <c r="M240" s="279">
        <f t="shared" si="23"/>
        <v>0</v>
      </c>
      <c r="O240" s="323">
        <f>SUMIFS('Data-Retail'!$N$4:$N$238,'Data-Retail'!$A$4:$A$238,'GSC Support'!$B240,'Data-Retail'!$D$4:$D$238,'GSC Support'!$C240)</f>
        <v>0</v>
      </c>
      <c r="P240" s="323"/>
      <c r="Q240" s="323"/>
      <c r="R240" s="323"/>
      <c r="S240" s="281">
        <f>SUMIFS('Apr11-Mar12 Billed-RETAIL'!$BA$5:$BA$138,'Apr11-Mar12 Billed-RETAIL'!$B$5:$B$138,'GSC Support'!$B240,'Apr11-Mar12 Billed-RETAIL'!$C$5:$C$138,'GSC Support'!$C240)</f>
        <v>0</v>
      </c>
      <c r="T240" s="287"/>
      <c r="U240" s="287"/>
      <c r="V240" s="287">
        <f t="shared" si="25"/>
        <v>0</v>
      </c>
      <c r="W240" s="288">
        <f t="shared" si="26"/>
        <v>0</v>
      </c>
    </row>
    <row r="241" spans="1:23" x14ac:dyDescent="0.2">
      <c r="A241" s="196">
        <f t="shared" si="27"/>
        <v>236</v>
      </c>
      <c r="B241" s="211">
        <v>40878</v>
      </c>
      <c r="C241" s="211" t="str">
        <f>+'Retail Rates'!B10</f>
        <v>LGING866</v>
      </c>
      <c r="D241" s="197" t="str">
        <f t="shared" si="21"/>
        <v>866</v>
      </c>
      <c r="E241" s="197" t="str">
        <f>VLOOKUP(C241,'Retail Rates'!$B$7:$D$35,3,FALSE)</f>
        <v>AAGS-I</v>
      </c>
      <c r="F241" s="222">
        <f>SUMIFS('Data-Retail'!$H$4:$H$269,'Data-Retail'!$A$4:$A$269,'GSC Support'!$B241,'Data-Retail'!$D$4:$D$269,'GSC Support'!$C241)</f>
        <v>259932</v>
      </c>
      <c r="G241" s="222">
        <f>SUMIFS('Data-Retail'!$I$4:$I$269,'Data-Retail'!$A$4:$A$269,'GSC Support'!$B241,'Data-Retail'!$D$4:$D$269,'GSC Support'!$C241)</f>
        <v>0</v>
      </c>
      <c r="H241" s="222">
        <f t="shared" si="24"/>
        <v>259932</v>
      </c>
      <c r="I241" s="286">
        <v>142842</v>
      </c>
      <c r="J241" s="286">
        <v>2565</v>
      </c>
      <c r="K241" s="286"/>
      <c r="L241" s="286">
        <f t="shared" si="22"/>
        <v>145407</v>
      </c>
      <c r="M241" s="279">
        <f t="shared" si="23"/>
        <v>114525</v>
      </c>
      <c r="O241" s="323">
        <f>SUMIFS('Data-Retail'!$N$4:$N$238,'Data-Retail'!$A$4:$A$238,'GSC Support'!$B241,'Data-Retail'!$D$4:$D$238,'GSC Support'!$C241)</f>
        <v>134139.89000000001</v>
      </c>
      <c r="P241" s="323"/>
      <c r="Q241" s="323"/>
      <c r="R241" s="323"/>
      <c r="S241" s="281">
        <f ca="1">SUMIFS('Apr11-Mar12 Billed-RETAIL'!$BA$5:$BA$138,'Apr11-Mar12 Billed-RETAIL'!$B$5:$B$138,'GSC Support'!$B241,'Apr11-Mar12 Billed-RETAIL'!$C$5:$C$138,'GSC Support'!$C241)</f>
        <v>134139.89000000001</v>
      </c>
      <c r="T241" s="287">
        <v>73709.33</v>
      </c>
      <c r="U241" s="287">
        <v>1333.38</v>
      </c>
      <c r="V241" s="287">
        <f t="shared" si="25"/>
        <v>75042.710000000006</v>
      </c>
      <c r="W241" s="288">
        <f t="shared" ca="1" si="26"/>
        <v>59097.180000000008</v>
      </c>
    </row>
    <row r="242" spans="1:23" x14ac:dyDescent="0.2">
      <c r="A242" s="196">
        <f t="shared" si="27"/>
        <v>237</v>
      </c>
      <c r="B242" s="211">
        <v>40878</v>
      </c>
      <c r="C242" s="211" t="str">
        <f>+'Retail Rates'!B11</f>
        <v>LGING892</v>
      </c>
      <c r="D242" s="197" t="str">
        <f t="shared" si="21"/>
        <v>892</v>
      </c>
      <c r="E242" s="197" t="str">
        <f>VLOOKUP(C242,'Retail Rates'!$B$7:$D$35,3,FALSE)</f>
        <v>AAGS-I-TS</v>
      </c>
      <c r="F242" s="222">
        <f>SUMIFS('Data-Retail'!$H$4:$H$269,'Data-Retail'!$A$4:$A$269,'GSC Support'!$B242,'Data-Retail'!$D$4:$D$269,'GSC Support'!$C242)</f>
        <v>0</v>
      </c>
      <c r="G242" s="222">
        <f>SUMIFS('Data-Retail'!$I$4:$I$269,'Data-Retail'!$A$4:$A$269,'GSC Support'!$B242,'Data-Retail'!$D$4:$D$269,'GSC Support'!$C242)</f>
        <v>0</v>
      </c>
      <c r="H242" s="222">
        <f t="shared" si="24"/>
        <v>0</v>
      </c>
      <c r="I242" s="286"/>
      <c r="J242" s="286"/>
      <c r="K242" s="286"/>
      <c r="L242" s="286">
        <f t="shared" si="22"/>
        <v>0</v>
      </c>
      <c r="M242" s="279">
        <f t="shared" si="23"/>
        <v>0</v>
      </c>
      <c r="O242" s="323">
        <f>SUMIFS('Data-Retail'!$N$4:$N$238,'Data-Retail'!$A$4:$A$238,'GSC Support'!$B242,'Data-Retail'!$D$4:$D$238,'GSC Support'!$C242)</f>
        <v>0</v>
      </c>
      <c r="P242" s="323"/>
      <c r="Q242" s="323"/>
      <c r="R242" s="323"/>
      <c r="S242" s="281">
        <f>SUMIFS('Apr11-Mar12 Billed-RETAIL'!$BA$5:$BA$138,'Apr11-Mar12 Billed-RETAIL'!$B$5:$B$138,'GSC Support'!$B242,'Apr11-Mar12 Billed-RETAIL'!$C$5:$C$138,'GSC Support'!$C242)</f>
        <v>0</v>
      </c>
      <c r="T242" s="287"/>
      <c r="U242" s="287"/>
      <c r="V242" s="287">
        <f t="shared" si="25"/>
        <v>0</v>
      </c>
      <c r="W242" s="288">
        <f t="shared" si="26"/>
        <v>0</v>
      </c>
    </row>
    <row r="243" spans="1:23" x14ac:dyDescent="0.2">
      <c r="A243" s="196">
        <f t="shared" si="27"/>
        <v>238</v>
      </c>
      <c r="B243" s="211">
        <v>40878</v>
      </c>
      <c r="C243" s="211" t="str">
        <f>+'Retail Rates'!B12</f>
        <v>LGING892PM</v>
      </c>
      <c r="D243" s="197" t="str">
        <f t="shared" si="21"/>
        <v>892</v>
      </c>
      <c r="E243" s="197" t="str">
        <f>VLOOKUP(C243,'Retail Rates'!$B$7:$D$35,3,FALSE)</f>
        <v>AAGS-I-TS-PM</v>
      </c>
      <c r="F243" s="222">
        <f>SUMIFS('Data-Retail'!$H$4:$H$269,'Data-Retail'!$A$4:$A$269,'GSC Support'!$B243,'Data-Retail'!$D$4:$D$269,'GSC Support'!$C243)</f>
        <v>0</v>
      </c>
      <c r="G243" s="222">
        <f>SUMIFS('Data-Retail'!$I$4:$I$269,'Data-Retail'!$A$4:$A$269,'GSC Support'!$B243,'Data-Retail'!$D$4:$D$269,'GSC Support'!$C243)</f>
        <v>0</v>
      </c>
      <c r="H243" s="222">
        <f t="shared" si="24"/>
        <v>0</v>
      </c>
      <c r="I243" s="286"/>
      <c r="J243" s="286"/>
      <c r="K243" s="286"/>
      <c r="L243" s="286">
        <f t="shared" si="22"/>
        <v>0</v>
      </c>
      <c r="M243" s="279">
        <f t="shared" si="23"/>
        <v>0</v>
      </c>
      <c r="O243" s="323">
        <f>SUMIFS('Data-Retail'!$N$4:$N$238,'Data-Retail'!$A$4:$A$238,'GSC Support'!$B243,'Data-Retail'!$D$4:$D$238,'GSC Support'!$C243)</f>
        <v>0</v>
      </c>
      <c r="P243" s="323"/>
      <c r="Q243" s="323"/>
      <c r="R243" s="323"/>
      <c r="S243" s="281">
        <f>SUMIFS('Apr11-Mar12 Billed-RETAIL'!$BA$5:$BA$138,'Apr11-Mar12 Billed-RETAIL'!$B$5:$B$138,'GSC Support'!$B243,'Apr11-Mar12 Billed-RETAIL'!$C$5:$C$138,'GSC Support'!$C243)</f>
        <v>0</v>
      </c>
      <c r="T243" s="287"/>
      <c r="U243" s="287"/>
      <c r="V243" s="287">
        <f t="shared" si="25"/>
        <v>0</v>
      </c>
      <c r="W243" s="288">
        <f t="shared" si="26"/>
        <v>0</v>
      </c>
    </row>
    <row r="244" spans="1:23" x14ac:dyDescent="0.2">
      <c r="A244" s="196">
        <f t="shared" si="27"/>
        <v>239</v>
      </c>
      <c r="B244" s="211">
        <v>40878</v>
      </c>
      <c r="C244" s="211" t="str">
        <f>+'Retail Rates'!B13</f>
        <v>LGCMG851</v>
      </c>
      <c r="D244" s="197" t="str">
        <f t="shared" si="21"/>
        <v>851</v>
      </c>
      <c r="E244" s="197" t="str">
        <f>VLOOKUP(C244,'Retail Rates'!$B$7:$D$35,3,FALSE)</f>
        <v>CGS</v>
      </c>
      <c r="F244" s="222">
        <f>SUMIFS('Data-Retail'!$H$4:$H$269,'Data-Retail'!$A$4:$A$269,'GSC Support'!$B244,'Data-Retail'!$D$4:$D$269,'GSC Support'!$C244)</f>
        <v>10776183</v>
      </c>
      <c r="G244" s="222">
        <f>SUMIFS('Data-Retail'!$I$4:$I$269,'Data-Retail'!$A$4:$A$269,'GSC Support'!$B244,'Data-Retail'!$D$4:$D$269,'GSC Support'!$C244)</f>
        <v>0</v>
      </c>
      <c r="H244" s="222">
        <f t="shared" si="24"/>
        <v>10776183</v>
      </c>
      <c r="I244" s="286">
        <v>10559786</v>
      </c>
      <c r="J244" s="286">
        <v>216397</v>
      </c>
      <c r="K244" s="286"/>
      <c r="L244" s="286">
        <f t="shared" si="22"/>
        <v>10776183</v>
      </c>
      <c r="M244" s="279">
        <f t="shared" si="23"/>
        <v>0</v>
      </c>
      <c r="O244" s="323">
        <f>SUMIFS('Data-Retail'!$N$4:$N$238,'Data-Retail'!$A$4:$A$238,'GSC Support'!$B244,'Data-Retail'!$D$4:$D$238,'GSC Support'!$C244)</f>
        <v>5563634.9199999999</v>
      </c>
      <c r="P244" s="323"/>
      <c r="Q244" s="323"/>
      <c r="R244" s="323"/>
      <c r="S244" s="281">
        <f ca="1">SUMIFS('Apr11-Mar12 Billed-RETAIL'!$BA$5:$BA$138,'Apr11-Mar12 Billed-RETAIL'!$B$5:$B$138,'GSC Support'!$B244,'Apr11-Mar12 Billed-RETAIL'!$C$5:$C$138,'GSC Support'!$C244)</f>
        <v>5563634.9199999999</v>
      </c>
      <c r="T244" s="287">
        <v>5449681.1100000003</v>
      </c>
      <c r="U244" s="287">
        <v>113953.81</v>
      </c>
      <c r="V244" s="287">
        <f t="shared" si="25"/>
        <v>5563634.9199999999</v>
      </c>
      <c r="W244" s="288">
        <f t="shared" ca="1" si="26"/>
        <v>0</v>
      </c>
    </row>
    <row r="245" spans="1:23" x14ac:dyDescent="0.2">
      <c r="A245" s="196">
        <f t="shared" si="27"/>
        <v>240</v>
      </c>
      <c r="B245" s="211">
        <v>40878</v>
      </c>
      <c r="C245" s="211" t="str">
        <f>+'Retail Rates'!B14</f>
        <v>LGUMG860</v>
      </c>
      <c r="D245" s="197" t="str">
        <f t="shared" si="21"/>
        <v>860</v>
      </c>
      <c r="E245" s="197" t="str">
        <f>VLOOKUP(C245,'Retail Rates'!$B$7:$D$35,3,FALSE)</f>
        <v>CGS</v>
      </c>
      <c r="F245" s="222">
        <f>SUMIFS('Data-Retail'!$H$4:$H$269,'Data-Retail'!$A$4:$A$269,'GSC Support'!$B245,'Data-Retail'!$D$4:$D$269,'GSC Support'!$C245)</f>
        <v>358</v>
      </c>
      <c r="G245" s="222">
        <f>SUMIFS('Data-Retail'!$I$4:$I$269,'Data-Retail'!$A$4:$A$269,'GSC Support'!$B245,'Data-Retail'!$D$4:$D$269,'GSC Support'!$C245)</f>
        <v>0</v>
      </c>
      <c r="H245" s="222">
        <f t="shared" si="24"/>
        <v>358</v>
      </c>
      <c r="I245" s="286">
        <v>358</v>
      </c>
      <c r="J245" s="286"/>
      <c r="K245" s="286"/>
      <c r="L245" s="286">
        <f t="shared" si="22"/>
        <v>358</v>
      </c>
      <c r="M245" s="279">
        <f t="shared" si="23"/>
        <v>0</v>
      </c>
      <c r="O245" s="323">
        <f>SUMIFS('Data-Retail'!$N$4:$N$238,'Data-Retail'!$A$4:$A$238,'GSC Support'!$B245,'Data-Retail'!$D$4:$D$238,'GSC Support'!$C245)</f>
        <v>184.74</v>
      </c>
      <c r="P245" s="323"/>
      <c r="Q245" s="323"/>
      <c r="R245" s="323"/>
      <c r="S245" s="281">
        <f ca="1">SUMIFS('Apr11-Mar12 Billed-RETAIL'!$BA$5:$BA$138,'Apr11-Mar12 Billed-RETAIL'!$B$5:$B$138,'GSC Support'!$B245,'Apr11-Mar12 Billed-RETAIL'!$C$5:$C$138,'GSC Support'!$C245)</f>
        <v>184.74</v>
      </c>
      <c r="T245" s="287">
        <v>184.74</v>
      </c>
      <c r="U245" s="287"/>
      <c r="V245" s="287">
        <f t="shared" si="25"/>
        <v>184.74</v>
      </c>
      <c r="W245" s="288">
        <f t="shared" ca="1" si="26"/>
        <v>0</v>
      </c>
    </row>
    <row r="246" spans="1:23" x14ac:dyDescent="0.2">
      <c r="A246" s="196">
        <f t="shared" si="27"/>
        <v>241</v>
      </c>
      <c r="B246" s="211">
        <v>40878</v>
      </c>
      <c r="C246" s="211" t="str">
        <f>+'Retail Rates'!B15</f>
        <v>LGUMG861</v>
      </c>
      <c r="D246" s="197" t="str">
        <f t="shared" si="21"/>
        <v>861</v>
      </c>
      <c r="E246" s="197" t="str">
        <f>VLOOKUP(C246,'Retail Rates'!$B$7:$D$35,3,FALSE)</f>
        <v>CGS</v>
      </c>
      <c r="F246" s="222">
        <f>SUMIFS('Data-Retail'!$H$4:$H$269,'Data-Retail'!$A$4:$A$269,'GSC Support'!$B246,'Data-Retail'!$D$4:$D$269,'GSC Support'!$C246)</f>
        <v>609</v>
      </c>
      <c r="G246" s="222">
        <f>SUMIFS('Data-Retail'!$I$4:$I$269,'Data-Retail'!$A$4:$A$269,'GSC Support'!$B246,'Data-Retail'!$D$4:$D$269,'GSC Support'!$C246)</f>
        <v>0</v>
      </c>
      <c r="H246" s="222">
        <f t="shared" si="24"/>
        <v>609</v>
      </c>
      <c r="I246" s="286">
        <v>609</v>
      </c>
      <c r="J246" s="286"/>
      <c r="K246" s="286"/>
      <c r="L246" s="286">
        <f t="shared" si="22"/>
        <v>609</v>
      </c>
      <c r="M246" s="279">
        <f t="shared" si="23"/>
        <v>0</v>
      </c>
      <c r="O246" s="323">
        <f>SUMIFS('Data-Retail'!$N$4:$N$238,'Data-Retail'!$A$4:$A$238,'GSC Support'!$B246,'Data-Retail'!$D$4:$D$238,'GSC Support'!$C246)</f>
        <v>316.58999999999997</v>
      </c>
      <c r="P246" s="323"/>
      <c r="Q246" s="323"/>
      <c r="R246" s="323"/>
      <c r="S246" s="281">
        <f ca="1">SUMIFS('Apr11-Mar12 Billed-RETAIL'!$BA$5:$BA$138,'Apr11-Mar12 Billed-RETAIL'!$B$5:$B$138,'GSC Support'!$B246,'Apr11-Mar12 Billed-RETAIL'!$C$5:$C$138,'GSC Support'!$C246)</f>
        <v>316.58999999999997</v>
      </c>
      <c r="T246" s="287">
        <v>316.58999999999997</v>
      </c>
      <c r="U246" s="287"/>
      <c r="V246" s="287">
        <f t="shared" si="25"/>
        <v>316.58999999999997</v>
      </c>
      <c r="W246" s="288">
        <f t="shared" ca="1" si="26"/>
        <v>0</v>
      </c>
    </row>
    <row r="247" spans="1:23" x14ac:dyDescent="0.2">
      <c r="A247" s="196">
        <f t="shared" si="27"/>
        <v>242</v>
      </c>
      <c r="B247" s="211">
        <v>40878</v>
      </c>
      <c r="C247" s="211" t="str">
        <f>+'Retail Rates'!B16</f>
        <v>LGCMG881</v>
      </c>
      <c r="D247" s="197" t="str">
        <f t="shared" si="21"/>
        <v>881</v>
      </c>
      <c r="E247" s="197" t="str">
        <f>VLOOKUP(C247,'Retail Rates'!$B$7:$D$35,3,FALSE)</f>
        <v>CGS-TS</v>
      </c>
      <c r="F247" s="329">
        <f>SUMIFS('Data-Retail'!$H$4:$H$269,'Data-Retail'!$A$4:$A$269,'GSC Support'!$B247,'Data-Retail'!$D$4:$D$269,'GSC Support'!$C247)</f>
        <v>0</v>
      </c>
      <c r="G247" s="329">
        <f>SUMIFS('Data-Retail'!$I$4:$I$269,'Data-Retail'!$A$4:$A$269,'GSC Support'!$B247,'Data-Retail'!$D$4:$D$269,'GSC Support'!$C247)</f>
        <v>0</v>
      </c>
      <c r="H247" s="329">
        <f t="shared" si="24"/>
        <v>0</v>
      </c>
      <c r="I247" s="330">
        <v>0</v>
      </c>
      <c r="J247" s="330"/>
      <c r="K247" s="330"/>
      <c r="L247" s="330">
        <f t="shared" si="22"/>
        <v>0</v>
      </c>
      <c r="M247" s="331">
        <f t="shared" si="23"/>
        <v>0</v>
      </c>
      <c r="N247" s="332"/>
      <c r="O247" s="323">
        <f>SUMIFS('Data-Retail'!$V$4:$V$238,'Data-Retail'!$A$4:$A$238,'GSC Support'!$B247,'Data-Retail'!$D$4:$D$238,'GSC Support'!$C247)</f>
        <v>0</v>
      </c>
      <c r="P247" s="327">
        <f>VLOOKUP($B247,'GSC-DSM Factors'!$A$18:$E$44,5,FALSE)</f>
        <v>9.6000000000000002E-4</v>
      </c>
      <c r="Q247" s="326">
        <f>P247*H247</f>
        <v>0</v>
      </c>
      <c r="R247" s="323">
        <f>+O247-Q247</f>
        <v>0</v>
      </c>
      <c r="S247" s="281">
        <f>SUMIFS('Apr11-Mar12 Billed-RETAIL'!$BA$5:$BA$138,'Apr11-Mar12 Billed-RETAIL'!$B$5:$B$138,'GSC Support'!$B247,'Apr11-Mar12 Billed-RETAIL'!$C$5:$C$138,'GSC Support'!$C247)</f>
        <v>0</v>
      </c>
      <c r="T247" s="287">
        <v>0</v>
      </c>
      <c r="U247" s="287"/>
      <c r="V247" s="287">
        <f t="shared" si="25"/>
        <v>0</v>
      </c>
      <c r="W247" s="288">
        <f t="shared" si="26"/>
        <v>0</v>
      </c>
    </row>
    <row r="248" spans="1:23" x14ac:dyDescent="0.2">
      <c r="A248" s="196">
        <f t="shared" si="27"/>
        <v>243</v>
      </c>
      <c r="B248" s="211">
        <v>40878</v>
      </c>
      <c r="C248" s="211" t="str">
        <f>+'Retail Rates'!B17</f>
        <v>LGCMG881PM</v>
      </c>
      <c r="D248" s="197" t="str">
        <f t="shared" si="21"/>
        <v>881</v>
      </c>
      <c r="E248" s="197" t="str">
        <f>VLOOKUP(C248,'Retail Rates'!$B$7:$D$35,3,FALSE)</f>
        <v>CGS-TS-PM</v>
      </c>
      <c r="F248" s="222">
        <f>SUMIFS('Data-Retail'!$H$4:$H$269,'Data-Retail'!$A$4:$A$269,'GSC Support'!$B248,'Data-Retail'!$D$4:$D$269,'GSC Support'!$C248)</f>
        <v>0</v>
      </c>
      <c r="G248" s="222">
        <f>SUMIFS('Data-Retail'!$I$4:$I$269,'Data-Retail'!$A$4:$A$269,'GSC Support'!$B248,'Data-Retail'!$D$4:$D$269,'GSC Support'!$C248)</f>
        <v>0</v>
      </c>
      <c r="H248" s="222">
        <f t="shared" si="24"/>
        <v>0</v>
      </c>
      <c r="I248" s="286"/>
      <c r="J248" s="286"/>
      <c r="K248" s="286"/>
      <c r="L248" s="286">
        <f t="shared" si="22"/>
        <v>0</v>
      </c>
      <c r="M248" s="279">
        <f t="shared" si="23"/>
        <v>0</v>
      </c>
      <c r="O248" s="323">
        <f>SUMIFS('Data-Retail'!$N$4:$N$238,'Data-Retail'!$A$4:$A$238,'GSC Support'!$B248,'Data-Retail'!$D$4:$D$238,'GSC Support'!$C248)</f>
        <v>0</v>
      </c>
      <c r="P248" s="323"/>
      <c r="Q248" s="323"/>
      <c r="R248" s="323"/>
      <c r="S248" s="281">
        <f>SUMIFS('Apr11-Mar12 Billed-RETAIL'!$BA$5:$BA$138,'Apr11-Mar12 Billed-RETAIL'!$B$5:$B$138,'GSC Support'!$B248,'Apr11-Mar12 Billed-RETAIL'!$C$5:$C$138,'GSC Support'!$C248)</f>
        <v>0</v>
      </c>
      <c r="T248" s="287"/>
      <c r="U248" s="287"/>
      <c r="V248" s="287">
        <f t="shared" si="25"/>
        <v>0</v>
      </c>
      <c r="W248" s="288">
        <f t="shared" si="26"/>
        <v>0</v>
      </c>
    </row>
    <row r="249" spans="1:23" x14ac:dyDescent="0.2">
      <c r="A249" s="196">
        <f t="shared" si="27"/>
        <v>244</v>
      </c>
      <c r="B249" s="211">
        <v>40878</v>
      </c>
      <c r="C249" s="211" t="str">
        <f>+'Retail Rates'!B18</f>
        <v>LGCMG875</v>
      </c>
      <c r="D249" s="197" t="str">
        <f t="shared" si="21"/>
        <v>875</v>
      </c>
      <c r="E249" s="197" t="str">
        <f>VLOOKUP(C249,'Retail Rates'!$B$7:$D$35,3,FALSE)</f>
        <v>DGGS-C</v>
      </c>
      <c r="F249" s="222">
        <f>SUMIFS('Data-Retail'!$H$4:$H$269,'Data-Retail'!$A$4:$A$269,'GSC Support'!$B249,'Data-Retail'!$D$4:$D$269,'GSC Support'!$C249)</f>
        <v>0</v>
      </c>
      <c r="G249" s="222">
        <f>SUMIFS('Data-Retail'!$I$4:$I$269,'Data-Retail'!$A$4:$A$269,'GSC Support'!$B249,'Data-Retail'!$D$4:$D$269,'GSC Support'!$C249)</f>
        <v>0</v>
      </c>
      <c r="H249" s="222">
        <f t="shared" si="24"/>
        <v>0</v>
      </c>
      <c r="I249" s="286"/>
      <c r="J249" s="286"/>
      <c r="K249" s="286"/>
      <c r="L249" s="286">
        <f t="shared" si="22"/>
        <v>0</v>
      </c>
      <c r="M249" s="279">
        <f t="shared" si="23"/>
        <v>0</v>
      </c>
      <c r="O249" s="323">
        <f>SUMIFS('Data-Retail'!$N$4:$N$238,'Data-Retail'!$A$4:$A$238,'GSC Support'!$B249,'Data-Retail'!$D$4:$D$238,'GSC Support'!$C249)</f>
        <v>0</v>
      </c>
      <c r="P249" s="323"/>
      <c r="Q249" s="323"/>
      <c r="R249" s="323"/>
      <c r="S249" s="281">
        <f ca="1">SUMIFS('Apr11-Mar12 Billed-RETAIL'!$BA$5:$BA$138,'Apr11-Mar12 Billed-RETAIL'!$B$5:$B$138,'GSC Support'!$B249,'Apr11-Mar12 Billed-RETAIL'!$C$5:$C$138,'GSC Support'!$C249)</f>
        <v>0</v>
      </c>
      <c r="T249" s="287"/>
      <c r="U249" s="287"/>
      <c r="V249" s="287">
        <f t="shared" si="25"/>
        <v>0</v>
      </c>
      <c r="W249" s="288">
        <f t="shared" ca="1" si="26"/>
        <v>0</v>
      </c>
    </row>
    <row r="250" spans="1:23" x14ac:dyDescent="0.2">
      <c r="A250" s="196">
        <f t="shared" si="27"/>
        <v>245</v>
      </c>
      <c r="B250" s="211">
        <v>40878</v>
      </c>
      <c r="C250" s="211" t="str">
        <f>+'Retail Rates'!B19</f>
        <v>LGCMG895</v>
      </c>
      <c r="D250" s="197" t="str">
        <f t="shared" si="21"/>
        <v>895</v>
      </c>
      <c r="E250" s="197" t="str">
        <f>VLOOKUP(C250,'Retail Rates'!$B$7:$D$35,3,FALSE)</f>
        <v>FT-C</v>
      </c>
      <c r="F250" s="222">
        <f>SUMIFS('Data-Retail'!$H$4:$H$269,'Data-Retail'!$A$4:$A$269,'GSC Support'!$B250,'Data-Retail'!$D$4:$D$269,'GSC Support'!$C250)</f>
        <v>0</v>
      </c>
      <c r="G250" s="222">
        <f>SUMIFS('Data-Retail'!$I$4:$I$269,'Data-Retail'!$A$4:$A$269,'GSC Support'!$B250,'Data-Retail'!$D$4:$D$269,'GSC Support'!$C250)</f>
        <v>0</v>
      </c>
      <c r="H250" s="222">
        <f t="shared" si="24"/>
        <v>0</v>
      </c>
      <c r="I250" s="286"/>
      <c r="J250" s="286"/>
      <c r="K250" s="286"/>
      <c r="L250" s="286">
        <f t="shared" si="22"/>
        <v>0</v>
      </c>
      <c r="M250" s="279">
        <f t="shared" si="23"/>
        <v>0</v>
      </c>
      <c r="O250" s="323">
        <f>SUMIFS('Data-Retail'!$N$4:$N$238,'Data-Retail'!$A$4:$A$238,'GSC Support'!$B250,'Data-Retail'!$D$4:$D$238,'GSC Support'!$C250)</f>
        <v>0</v>
      </c>
      <c r="P250" s="323"/>
      <c r="Q250" s="323"/>
      <c r="R250" s="323"/>
      <c r="S250" s="281">
        <f>SUMIFS('Apr11-Mar12 Billed-RETAIL'!$BA$5:$BA$138,'Apr11-Mar12 Billed-RETAIL'!$B$5:$B$138,'GSC Support'!$B250,'Apr11-Mar12 Billed-RETAIL'!$C$5:$C$138,'GSC Support'!$C250)</f>
        <v>0</v>
      </c>
      <c r="T250" s="287"/>
      <c r="U250" s="287"/>
      <c r="V250" s="287">
        <f t="shared" si="25"/>
        <v>0</v>
      </c>
      <c r="W250" s="288">
        <f t="shared" si="26"/>
        <v>0</v>
      </c>
    </row>
    <row r="251" spans="1:23" x14ac:dyDescent="0.2">
      <c r="A251" s="196">
        <f t="shared" si="27"/>
        <v>246</v>
      </c>
      <c r="B251" s="211">
        <v>40878</v>
      </c>
      <c r="C251" s="211" t="str">
        <f>+'Retail Rates'!B20</f>
        <v>LGCMG895PM</v>
      </c>
      <c r="D251" s="197" t="str">
        <f t="shared" si="21"/>
        <v>895</v>
      </c>
      <c r="E251" s="197" t="str">
        <f>VLOOKUP(C251,'Retail Rates'!$B$7:$D$35,3,FALSE)</f>
        <v>FT-C-PM</v>
      </c>
      <c r="F251" s="222">
        <f>SUMIFS('Data-Retail'!$H$4:$H$269,'Data-Retail'!$A$4:$A$269,'GSC Support'!$B251,'Data-Retail'!$D$4:$D$269,'GSC Support'!$C251)</f>
        <v>0</v>
      </c>
      <c r="G251" s="222">
        <f>SUMIFS('Data-Retail'!$I$4:$I$269,'Data-Retail'!$A$4:$A$269,'GSC Support'!$B251,'Data-Retail'!$D$4:$D$269,'GSC Support'!$C251)</f>
        <v>0</v>
      </c>
      <c r="H251" s="222">
        <f t="shared" si="24"/>
        <v>0</v>
      </c>
      <c r="I251" s="286"/>
      <c r="J251" s="286"/>
      <c r="K251" s="286"/>
      <c r="L251" s="286">
        <f t="shared" si="22"/>
        <v>0</v>
      </c>
      <c r="M251" s="279">
        <f t="shared" si="23"/>
        <v>0</v>
      </c>
      <c r="O251" s="323">
        <f>SUMIFS('Data-Retail'!$N$4:$N$238,'Data-Retail'!$A$4:$A$238,'GSC Support'!$B251,'Data-Retail'!$D$4:$D$238,'GSC Support'!$C251)</f>
        <v>0</v>
      </c>
      <c r="P251" s="323"/>
      <c r="Q251" s="323"/>
      <c r="R251" s="323"/>
      <c r="S251" s="281">
        <f>SUMIFS('Apr11-Mar12 Billed-RETAIL'!$BA$5:$BA$138,'Apr11-Mar12 Billed-RETAIL'!$B$5:$B$138,'GSC Support'!$B251,'Apr11-Mar12 Billed-RETAIL'!$C$5:$C$138,'GSC Support'!$C251)</f>
        <v>0</v>
      </c>
      <c r="T251" s="287"/>
      <c r="U251" s="287"/>
      <c r="V251" s="287">
        <f t="shared" si="25"/>
        <v>0</v>
      </c>
      <c r="W251" s="288">
        <f t="shared" si="26"/>
        <v>0</v>
      </c>
    </row>
    <row r="252" spans="1:23" x14ac:dyDescent="0.2">
      <c r="A252" s="196">
        <f t="shared" si="27"/>
        <v>247</v>
      </c>
      <c r="B252" s="211">
        <v>40878</v>
      </c>
      <c r="C252" s="211" t="str">
        <f>+'Retail Rates'!B21</f>
        <v>LGING896</v>
      </c>
      <c r="D252" s="197" t="str">
        <f t="shared" si="21"/>
        <v>896</v>
      </c>
      <c r="E252" s="197" t="str">
        <f>VLOOKUP(C252,'Retail Rates'!$B$7:$D$35,3,FALSE)</f>
        <v>FT-I</v>
      </c>
      <c r="F252" s="222">
        <f>SUMIFS('Data-Retail'!$H$4:$H$269,'Data-Retail'!$A$4:$A$269,'GSC Support'!$B252,'Data-Retail'!$D$4:$D$269,'GSC Support'!$C252)</f>
        <v>0</v>
      </c>
      <c r="G252" s="222">
        <f>SUMIFS('Data-Retail'!$I$4:$I$269,'Data-Retail'!$A$4:$A$269,'GSC Support'!$B252,'Data-Retail'!$D$4:$D$269,'GSC Support'!$C252)</f>
        <v>0</v>
      </c>
      <c r="H252" s="222">
        <f t="shared" si="24"/>
        <v>0</v>
      </c>
      <c r="I252" s="286"/>
      <c r="J252" s="286"/>
      <c r="K252" s="286"/>
      <c r="L252" s="286">
        <f t="shared" si="22"/>
        <v>0</v>
      </c>
      <c r="M252" s="279">
        <f t="shared" si="23"/>
        <v>0</v>
      </c>
      <c r="O252" s="323">
        <f>SUMIFS('Data-Retail'!$N$4:$N$238,'Data-Retail'!$A$4:$A$238,'GSC Support'!$B252,'Data-Retail'!$D$4:$D$238,'GSC Support'!$C252)</f>
        <v>0</v>
      </c>
      <c r="P252" s="323"/>
      <c r="Q252" s="323"/>
      <c r="R252" s="323"/>
      <c r="S252" s="281">
        <f>SUMIFS('Apr11-Mar12 Billed-RETAIL'!$BA$5:$BA$138,'Apr11-Mar12 Billed-RETAIL'!$B$5:$B$138,'GSC Support'!$B252,'Apr11-Mar12 Billed-RETAIL'!$C$5:$C$138,'GSC Support'!$C252)</f>
        <v>0</v>
      </c>
      <c r="T252" s="287"/>
      <c r="U252" s="287"/>
      <c r="V252" s="287">
        <f t="shared" si="25"/>
        <v>0</v>
      </c>
      <c r="W252" s="288">
        <f t="shared" si="26"/>
        <v>0</v>
      </c>
    </row>
    <row r="253" spans="1:23" x14ac:dyDescent="0.2">
      <c r="A253" s="196">
        <f t="shared" si="27"/>
        <v>248</v>
      </c>
      <c r="B253" s="211">
        <v>40878</v>
      </c>
      <c r="C253" s="211" t="str">
        <f>+'Retail Rates'!B22</f>
        <v>LGING896PM</v>
      </c>
      <c r="D253" s="197" t="str">
        <f t="shared" si="21"/>
        <v>896</v>
      </c>
      <c r="E253" s="197" t="str">
        <f>VLOOKUP(C253,'Retail Rates'!$B$7:$D$35,3,FALSE)</f>
        <v>FT-I-PM</v>
      </c>
      <c r="F253" s="222">
        <f>SUMIFS('Data-Retail'!$H$4:$H$269,'Data-Retail'!$A$4:$A$269,'GSC Support'!$B253,'Data-Retail'!$D$4:$D$269,'GSC Support'!$C253)</f>
        <v>0</v>
      </c>
      <c r="G253" s="222">
        <f>SUMIFS('Data-Retail'!$I$4:$I$269,'Data-Retail'!$A$4:$A$269,'GSC Support'!$B253,'Data-Retail'!$D$4:$D$269,'GSC Support'!$C253)</f>
        <v>0</v>
      </c>
      <c r="H253" s="222">
        <f t="shared" si="24"/>
        <v>0</v>
      </c>
      <c r="I253" s="286"/>
      <c r="J253" s="286"/>
      <c r="K253" s="286"/>
      <c r="L253" s="286">
        <f t="shared" si="22"/>
        <v>0</v>
      </c>
      <c r="M253" s="279">
        <f t="shared" si="23"/>
        <v>0</v>
      </c>
      <c r="O253" s="323">
        <f>SUMIFS('Data-Retail'!$N$4:$N$238,'Data-Retail'!$A$4:$A$238,'GSC Support'!$B253,'Data-Retail'!$D$4:$D$238,'GSC Support'!$C253)</f>
        <v>0</v>
      </c>
      <c r="P253" s="323"/>
      <c r="Q253" s="323"/>
      <c r="R253" s="323"/>
      <c r="S253" s="281">
        <f>SUMIFS('Apr11-Mar12 Billed-RETAIL'!$BA$5:$BA$138,'Apr11-Mar12 Billed-RETAIL'!$B$5:$B$138,'GSC Support'!$B253,'Apr11-Mar12 Billed-RETAIL'!$C$5:$C$138,'GSC Support'!$C253)</f>
        <v>0</v>
      </c>
      <c r="T253" s="287"/>
      <c r="U253" s="287"/>
      <c r="V253" s="287">
        <f t="shared" si="25"/>
        <v>0</v>
      </c>
      <c r="W253" s="288">
        <f t="shared" si="26"/>
        <v>0</v>
      </c>
    </row>
    <row r="254" spans="1:23" x14ac:dyDescent="0.2">
      <c r="A254" s="196">
        <f t="shared" si="27"/>
        <v>249</v>
      </c>
      <c r="B254" s="211">
        <v>40878</v>
      </c>
      <c r="C254" s="211" t="str">
        <f>+'Retail Rates'!B23</f>
        <v>LGING855</v>
      </c>
      <c r="D254" s="197" t="str">
        <f t="shared" si="21"/>
        <v>855</v>
      </c>
      <c r="E254" s="197" t="str">
        <f>VLOOKUP(C254,'Retail Rates'!$B$7:$D$35,3,FALSE)</f>
        <v>IGS</v>
      </c>
      <c r="F254" s="222">
        <f>SUMIFS('Data-Retail'!$H$4:$H$269,'Data-Retail'!$A$4:$A$269,'GSC Support'!$B254,'Data-Retail'!$D$4:$D$269,'GSC Support'!$C254)</f>
        <v>799442</v>
      </c>
      <c r="G254" s="222">
        <f>SUMIFS('Data-Retail'!$I$4:$I$269,'Data-Retail'!$A$4:$A$269,'GSC Support'!$B254,'Data-Retail'!$D$4:$D$269,'GSC Support'!$C254)</f>
        <v>0</v>
      </c>
      <c r="H254" s="222">
        <f t="shared" si="24"/>
        <v>799442</v>
      </c>
      <c r="I254" s="286">
        <v>797963</v>
      </c>
      <c r="J254" s="286">
        <v>1479</v>
      </c>
      <c r="K254" s="286"/>
      <c r="L254" s="286">
        <f t="shared" si="22"/>
        <v>799442</v>
      </c>
      <c r="M254" s="279">
        <f t="shared" si="23"/>
        <v>0</v>
      </c>
      <c r="O254" s="323">
        <f>SUMIFS('Data-Retail'!$N$4:$N$238,'Data-Retail'!$A$4:$A$238,'GSC Support'!$B254,'Data-Retail'!$D$4:$D$238,'GSC Support'!$C254)</f>
        <v>412536.96</v>
      </c>
      <c r="P254" s="323"/>
      <c r="Q254" s="323"/>
      <c r="R254" s="323"/>
      <c r="S254" s="281">
        <f ca="1">SUMIFS('Apr11-Mar12 Billed-RETAIL'!$BA$5:$BA$138,'Apr11-Mar12 Billed-RETAIL'!$B$5:$B$138,'GSC Support'!$B254,'Apr11-Mar12 Billed-RETAIL'!$C$5:$C$138,'GSC Support'!$C254)</f>
        <v>412536.96</v>
      </c>
      <c r="T254" s="287">
        <v>411764.91</v>
      </c>
      <c r="U254" s="287">
        <v>772.05</v>
      </c>
      <c r="V254" s="287">
        <f t="shared" si="25"/>
        <v>412536.95999999996</v>
      </c>
      <c r="W254" s="288">
        <f t="shared" ca="1" si="26"/>
        <v>0</v>
      </c>
    </row>
    <row r="255" spans="1:23" x14ac:dyDescent="0.2">
      <c r="A255" s="196">
        <f t="shared" si="27"/>
        <v>250</v>
      </c>
      <c r="B255" s="211">
        <v>40878</v>
      </c>
      <c r="C255" s="211" t="str">
        <f>+'Retail Rates'!B24</f>
        <v>LGING882</v>
      </c>
      <c r="D255" s="197" t="str">
        <f t="shared" si="21"/>
        <v>882</v>
      </c>
      <c r="E255" s="197" t="str">
        <f>VLOOKUP(C255,'Retail Rates'!$B$7:$D$35,3,FALSE)</f>
        <v>IGS-TS</v>
      </c>
      <c r="F255" s="329"/>
      <c r="G255" s="329"/>
      <c r="H255" s="329">
        <f t="shared" si="24"/>
        <v>0</v>
      </c>
      <c r="I255" s="330">
        <v>0</v>
      </c>
      <c r="J255" s="330"/>
      <c r="K255" s="330"/>
      <c r="L255" s="330">
        <f t="shared" si="22"/>
        <v>0</v>
      </c>
      <c r="M255" s="331">
        <f t="shared" si="23"/>
        <v>0</v>
      </c>
      <c r="N255" s="332"/>
      <c r="O255" s="323"/>
      <c r="P255" s="327"/>
      <c r="Q255" s="326"/>
      <c r="R255" s="323"/>
      <c r="S255" s="281">
        <f>SUMIFS('Apr11-Mar12 Billed-RETAIL'!$BA$5:$BA$138,'Apr11-Mar12 Billed-RETAIL'!$B$5:$B$138,'GSC Support'!$B255,'Apr11-Mar12 Billed-RETAIL'!$C$5:$C$138,'GSC Support'!$C255)</f>
        <v>0</v>
      </c>
      <c r="T255" s="287">
        <v>0</v>
      </c>
      <c r="U255" s="287"/>
      <c r="V255" s="287">
        <f t="shared" si="25"/>
        <v>0</v>
      </c>
      <c r="W255" s="288">
        <f t="shared" si="26"/>
        <v>0</v>
      </c>
    </row>
    <row r="256" spans="1:23" x14ac:dyDescent="0.2">
      <c r="A256" s="196">
        <f t="shared" si="27"/>
        <v>251</v>
      </c>
      <c r="B256" s="211">
        <v>40878</v>
      </c>
      <c r="C256" s="211" t="str">
        <f>+'Retail Rates'!B25</f>
        <v>LGING882PM</v>
      </c>
      <c r="D256" s="197" t="str">
        <f t="shared" si="21"/>
        <v>882</v>
      </c>
      <c r="E256" s="197" t="str">
        <f>VLOOKUP(C256,'Retail Rates'!$B$7:$D$35,3,FALSE)</f>
        <v>IGS-TS-PM</v>
      </c>
      <c r="F256" s="222">
        <f>SUMIFS('Data-Retail'!$H$4:$H$269,'Data-Retail'!$A$4:$A$269,'GSC Support'!$B256,'Data-Retail'!$D$4:$D$269,'GSC Support'!$C256)</f>
        <v>0</v>
      </c>
      <c r="G256" s="222">
        <f>SUMIFS('Data-Retail'!$I$4:$I$269,'Data-Retail'!$A$4:$A$269,'GSC Support'!$B256,'Data-Retail'!$D$4:$D$269,'GSC Support'!$C256)</f>
        <v>0</v>
      </c>
      <c r="H256" s="222">
        <f t="shared" si="24"/>
        <v>0</v>
      </c>
      <c r="I256" s="286"/>
      <c r="J256" s="286"/>
      <c r="K256" s="286"/>
      <c r="L256" s="286">
        <f t="shared" si="22"/>
        <v>0</v>
      </c>
      <c r="M256" s="279">
        <f t="shared" si="23"/>
        <v>0</v>
      </c>
      <c r="O256" s="323">
        <f>SUMIFS('Data-Retail'!$N$4:$N$238,'Data-Retail'!$A$4:$A$238,'GSC Support'!$B256,'Data-Retail'!$D$4:$D$238,'GSC Support'!$C256)</f>
        <v>0</v>
      </c>
      <c r="P256" s="323"/>
      <c r="Q256" s="323"/>
      <c r="R256" s="323"/>
      <c r="S256" s="281">
        <f>SUMIFS('Apr11-Mar12 Billed-RETAIL'!$BA$5:$BA$138,'Apr11-Mar12 Billed-RETAIL'!$B$5:$B$138,'GSC Support'!$B256,'Apr11-Mar12 Billed-RETAIL'!$C$5:$C$138,'GSC Support'!$C256)</f>
        <v>0</v>
      </c>
      <c r="T256" s="287"/>
      <c r="U256" s="287"/>
      <c r="V256" s="287">
        <f t="shared" si="25"/>
        <v>0</v>
      </c>
      <c r="W256" s="288">
        <f t="shared" si="26"/>
        <v>0</v>
      </c>
    </row>
    <row r="257" spans="1:23" x14ac:dyDescent="0.2">
      <c r="A257" s="196">
        <f t="shared" si="27"/>
        <v>252</v>
      </c>
      <c r="B257" s="211">
        <v>40878</v>
      </c>
      <c r="C257" s="211" t="str">
        <f>+'Retail Rates'!B26</f>
        <v>LGRSG811</v>
      </c>
      <c r="D257" s="197" t="str">
        <f t="shared" si="21"/>
        <v>811</v>
      </c>
      <c r="E257" s="197" t="str">
        <f>VLOOKUP(C257,'Retail Rates'!$B$7:$D$35,3,FALSE)</f>
        <v>RGS</v>
      </c>
      <c r="F257" s="222">
        <f>SUMIFS('Data-Retail'!$H$4:$H$269,'Data-Retail'!$A$4:$A$269,'GSC Support'!$B257,'Data-Retail'!$D$4:$D$269,'GSC Support'!$C257)</f>
        <v>22999776</v>
      </c>
      <c r="G257" s="222">
        <f>SUMIFS('Data-Retail'!$I$4:$I$269,'Data-Retail'!$A$4:$A$269,'GSC Support'!$B257,'Data-Retail'!$D$4:$D$269,'GSC Support'!$C257)</f>
        <v>0</v>
      </c>
      <c r="H257" s="222">
        <f t="shared" si="24"/>
        <v>22999776</v>
      </c>
      <c r="I257" s="286">
        <v>22903411</v>
      </c>
      <c r="J257" s="286">
        <v>96365</v>
      </c>
      <c r="K257" s="286"/>
      <c r="L257" s="286">
        <f t="shared" si="22"/>
        <v>22999776</v>
      </c>
      <c r="M257" s="279">
        <f t="shared" si="23"/>
        <v>0</v>
      </c>
      <c r="O257" s="323">
        <f>SUMIFS('Data-Retail'!$N$4:$N$238,'Data-Retail'!$A$4:$A$238,'GSC Support'!$B257,'Data-Retail'!$D$4:$D$238,'GSC Support'!$C257)</f>
        <v>11870575.970000001</v>
      </c>
      <c r="P257" s="323"/>
      <c r="Q257" s="323"/>
      <c r="R257" s="323"/>
      <c r="S257" s="281">
        <f ca="1">SUMIFS('Apr11-Mar12 Billed-RETAIL'!$BA$5:$BA$138,'Apr11-Mar12 Billed-RETAIL'!$B$5:$B$138,'GSC Support'!$B257,'Apr11-Mar12 Billed-RETAIL'!$C$5:$C$138,'GSC Support'!$C257)</f>
        <v>11870575.970000001</v>
      </c>
      <c r="T257" s="287">
        <v>11820122.630000001</v>
      </c>
      <c r="U257" s="287">
        <v>50453.34</v>
      </c>
      <c r="V257" s="287">
        <f t="shared" si="25"/>
        <v>11870575.970000001</v>
      </c>
      <c r="W257" s="288">
        <f t="shared" ca="1" si="26"/>
        <v>0</v>
      </c>
    </row>
    <row r="258" spans="1:23" x14ac:dyDescent="0.2">
      <c r="A258" s="196">
        <f t="shared" si="27"/>
        <v>253</v>
      </c>
      <c r="B258" s="211">
        <v>40878</v>
      </c>
      <c r="C258" s="211" t="str">
        <f>+'Retail Rates'!B27</f>
        <v>LGRSG811S1</v>
      </c>
      <c r="D258" s="197" t="str">
        <f t="shared" si="21"/>
        <v>811</v>
      </c>
      <c r="E258" s="197" t="str">
        <f>VLOOKUP(C258,'Retail Rates'!$B$7:$D$35,3,FALSE)</f>
        <v>RGS</v>
      </c>
      <c r="F258" s="222">
        <f>SUMIFS('Data-Retail'!$H$4:$H$269,'Data-Retail'!$A$4:$A$269,'GSC Support'!$B258,'Data-Retail'!$D$4:$D$269,'GSC Support'!$C258)</f>
        <v>2202</v>
      </c>
      <c r="G258" s="222">
        <f>SUMIFS('Data-Retail'!$I$4:$I$269,'Data-Retail'!$A$4:$A$269,'GSC Support'!$B258,'Data-Retail'!$D$4:$D$269,'GSC Support'!$C258)</f>
        <v>0</v>
      </c>
      <c r="H258" s="222">
        <f t="shared" si="24"/>
        <v>2202</v>
      </c>
      <c r="I258" s="286">
        <v>2202</v>
      </c>
      <c r="J258" s="286"/>
      <c r="K258" s="286"/>
      <c r="L258" s="286">
        <f t="shared" si="22"/>
        <v>2202</v>
      </c>
      <c r="M258" s="279">
        <f t="shared" si="23"/>
        <v>0</v>
      </c>
      <c r="O258" s="323">
        <f>SUMIFS('Data-Retail'!$N$4:$N$238,'Data-Retail'!$A$4:$A$238,'GSC Support'!$B258,'Data-Retail'!$D$4:$D$238,'GSC Support'!$C258)</f>
        <v>1136.28</v>
      </c>
      <c r="P258" s="323"/>
      <c r="Q258" s="323"/>
      <c r="R258" s="323"/>
      <c r="S258" s="281">
        <f ca="1">SUMIFS('Apr11-Mar12 Billed-RETAIL'!$BA$5:$BA$138,'Apr11-Mar12 Billed-RETAIL'!$B$5:$B$138,'GSC Support'!$B258,'Apr11-Mar12 Billed-RETAIL'!$C$5:$C$138,'GSC Support'!$C258)</f>
        <v>1136.28</v>
      </c>
      <c r="T258" s="287">
        <v>1136.28</v>
      </c>
      <c r="U258" s="287"/>
      <c r="V258" s="287">
        <f t="shared" si="25"/>
        <v>1136.28</v>
      </c>
      <c r="W258" s="288">
        <f t="shared" ca="1" si="26"/>
        <v>0</v>
      </c>
    </row>
    <row r="259" spans="1:23" x14ac:dyDescent="0.2">
      <c r="A259" s="196">
        <f t="shared" si="27"/>
        <v>254</v>
      </c>
      <c r="B259" s="211">
        <v>40878</v>
      </c>
      <c r="C259" s="211" t="str">
        <f>+'Retail Rates'!B28</f>
        <v>LGRSG840</v>
      </c>
      <c r="D259" s="197" t="str">
        <f t="shared" si="21"/>
        <v>840</v>
      </c>
      <c r="E259" s="197" t="str">
        <f>VLOOKUP(C259,'Retail Rates'!$B$7:$D$35,3,FALSE)</f>
        <v>RGS</v>
      </c>
      <c r="F259" s="222">
        <f>SUMIFS('Data-Retail'!$H$4:$H$269,'Data-Retail'!$A$4:$A$269,'GSC Support'!$B259,'Data-Retail'!$D$4:$D$269,'GSC Support'!$C259)</f>
        <v>1641</v>
      </c>
      <c r="G259" s="222">
        <f>SUMIFS('Data-Retail'!$I$4:$I$269,'Data-Retail'!$A$4:$A$269,'GSC Support'!$B259,'Data-Retail'!$D$4:$D$269,'GSC Support'!$C259)</f>
        <v>0</v>
      </c>
      <c r="H259" s="222">
        <f t="shared" si="24"/>
        <v>1641</v>
      </c>
      <c r="I259" s="286">
        <v>1641</v>
      </c>
      <c r="J259" s="286"/>
      <c r="K259" s="286"/>
      <c r="L259" s="286">
        <f t="shared" si="22"/>
        <v>1641</v>
      </c>
      <c r="M259" s="279">
        <f t="shared" si="23"/>
        <v>0</v>
      </c>
      <c r="O259" s="323">
        <f>SUMIFS('Data-Retail'!$N$4:$N$238,'Data-Retail'!$A$4:$A$238,'GSC Support'!$B259,'Data-Retail'!$D$4:$D$238,'GSC Support'!$C259)</f>
        <v>846.78</v>
      </c>
      <c r="P259" s="323"/>
      <c r="Q259" s="323"/>
      <c r="R259" s="323"/>
      <c r="S259" s="281">
        <f ca="1">SUMIFS('Apr11-Mar12 Billed-RETAIL'!$BA$5:$BA$138,'Apr11-Mar12 Billed-RETAIL'!$B$5:$B$138,'GSC Support'!$B259,'Apr11-Mar12 Billed-RETAIL'!$C$5:$C$138,'GSC Support'!$C259)</f>
        <v>846.78</v>
      </c>
      <c r="T259" s="287">
        <v>846.78</v>
      </c>
      <c r="U259" s="287"/>
      <c r="V259" s="287">
        <f t="shared" si="25"/>
        <v>846.78</v>
      </c>
      <c r="W259" s="288">
        <f t="shared" ca="1" si="26"/>
        <v>0</v>
      </c>
    </row>
    <row r="260" spans="1:23" x14ac:dyDescent="0.2">
      <c r="A260" s="196">
        <f t="shared" si="27"/>
        <v>255</v>
      </c>
      <c r="B260" s="211">
        <v>40878</v>
      </c>
      <c r="C260" s="211" t="str">
        <f>+'Retail Rates'!B29</f>
        <v>LGUMG830</v>
      </c>
      <c r="D260" s="197" t="str">
        <f t="shared" si="21"/>
        <v>830</v>
      </c>
      <c r="E260" s="197" t="str">
        <f>VLOOKUP(C260,'Retail Rates'!$B$7:$D$35,3,FALSE)</f>
        <v>RGS</v>
      </c>
      <c r="F260" s="222">
        <f>SUMIFS('Data-Retail'!$H$4:$H$269,'Data-Retail'!$A$4:$A$269,'GSC Support'!$B260,'Data-Retail'!$D$4:$D$269,'GSC Support'!$C260)</f>
        <v>32</v>
      </c>
      <c r="G260" s="222">
        <f>SUMIFS('Data-Retail'!$I$4:$I$269,'Data-Retail'!$A$4:$A$269,'GSC Support'!$B260,'Data-Retail'!$D$4:$D$269,'GSC Support'!$C260)</f>
        <v>0</v>
      </c>
      <c r="H260" s="222">
        <f t="shared" si="24"/>
        <v>32</v>
      </c>
      <c r="I260" s="286">
        <v>32</v>
      </c>
      <c r="J260" s="286"/>
      <c r="K260" s="286"/>
      <c r="L260" s="286">
        <f t="shared" si="22"/>
        <v>32</v>
      </c>
      <c r="M260" s="279">
        <f t="shared" si="23"/>
        <v>0</v>
      </c>
      <c r="O260" s="323">
        <f>SUMIFS('Data-Retail'!$N$4:$N$238,'Data-Retail'!$A$4:$A$238,'GSC Support'!$B260,'Data-Retail'!$D$4:$D$238,'GSC Support'!$C260)</f>
        <v>16.510000000000002</v>
      </c>
      <c r="P260" s="323"/>
      <c r="Q260" s="323"/>
      <c r="R260" s="323"/>
      <c r="S260" s="281">
        <f ca="1">SUMIFS('Apr11-Mar12 Billed-RETAIL'!$BA$5:$BA$138,'Apr11-Mar12 Billed-RETAIL'!$B$5:$B$138,'GSC Support'!$B260,'Apr11-Mar12 Billed-RETAIL'!$C$5:$C$138,'GSC Support'!$C260)</f>
        <v>16.510000000000002</v>
      </c>
      <c r="T260" s="287">
        <v>16.510000000000002</v>
      </c>
      <c r="U260" s="287"/>
      <c r="V260" s="287">
        <f t="shared" si="25"/>
        <v>16.510000000000002</v>
      </c>
      <c r="W260" s="288">
        <f t="shared" ca="1" si="26"/>
        <v>0</v>
      </c>
    </row>
    <row r="261" spans="1:23" x14ac:dyDescent="0.2">
      <c r="A261" s="196">
        <f t="shared" si="27"/>
        <v>256</v>
      </c>
      <c r="B261" s="211">
        <v>40878</v>
      </c>
      <c r="C261" s="211" t="str">
        <f>+'Retail Rates'!B30</f>
        <v>LGING992</v>
      </c>
      <c r="D261" s="197" t="str">
        <f t="shared" si="21"/>
        <v>992</v>
      </c>
      <c r="E261" s="197" t="str">
        <f>VLOOKUP(C261,'Retail Rates'!$B$7:$D$35,3,FALSE)</f>
        <v>SPC-EIDuP</v>
      </c>
      <c r="F261" s="222">
        <f>SUMIFS('Data-Retail'!$H$4:$H$269,'Data-Retail'!$A$4:$A$269,'GSC Support'!$B261,'Data-Retail'!$D$4:$D$269,'GSC Support'!$C261)</f>
        <v>0</v>
      </c>
      <c r="G261" s="222">
        <f>SUMIFS('Data-Retail'!$I$4:$I$269,'Data-Retail'!$A$4:$A$269,'GSC Support'!$B261,'Data-Retail'!$D$4:$D$269,'GSC Support'!$C261)</f>
        <v>0</v>
      </c>
      <c r="H261" s="222">
        <f t="shared" si="24"/>
        <v>0</v>
      </c>
      <c r="I261" s="286"/>
      <c r="J261" s="286"/>
      <c r="K261" s="286"/>
      <c r="L261" s="286">
        <f t="shared" si="22"/>
        <v>0</v>
      </c>
      <c r="M261" s="279">
        <f t="shared" si="23"/>
        <v>0</v>
      </c>
      <c r="O261" s="323">
        <f>SUMIFS('Data-Retail'!$N$4:$N$238,'Data-Retail'!$A$4:$A$238,'GSC Support'!$B261,'Data-Retail'!$D$4:$D$238,'GSC Support'!$C261)</f>
        <v>0</v>
      </c>
      <c r="P261" s="323"/>
      <c r="Q261" s="323"/>
      <c r="R261" s="323"/>
      <c r="S261" s="281">
        <f>SUMIFS('Apr11-Mar12 Billed-RETAIL'!$BA$5:$BA$138,'Apr11-Mar12 Billed-RETAIL'!$B$5:$B$138,'GSC Support'!$B261,'Apr11-Mar12 Billed-RETAIL'!$C$5:$C$138,'GSC Support'!$C261)</f>
        <v>0</v>
      </c>
      <c r="T261" s="287"/>
      <c r="U261" s="287"/>
      <c r="V261" s="287">
        <f t="shared" si="25"/>
        <v>0</v>
      </c>
      <c r="W261" s="288">
        <f t="shared" si="26"/>
        <v>0</v>
      </c>
    </row>
    <row r="262" spans="1:23" x14ac:dyDescent="0.2">
      <c r="A262" s="196">
        <f t="shared" si="27"/>
        <v>257</v>
      </c>
      <c r="B262" s="211">
        <v>40878</v>
      </c>
      <c r="C262" s="211" t="str">
        <f>+'Retail Rates'!B31</f>
        <v>LGING896FD</v>
      </c>
      <c r="D262" s="197" t="str">
        <f t="shared" ref="D262:D325" si="28">MID(C262,6,3)</f>
        <v>896</v>
      </c>
      <c r="E262" s="197" t="str">
        <f>VLOOKUP(C262,'Retail Rates'!$B$7:$D$35,3,FALSE)</f>
        <v>SPC-FORD</v>
      </c>
      <c r="F262" s="222">
        <f>SUMIFS('Data-Retail'!$H$4:$H$269,'Data-Retail'!$A$4:$A$269,'GSC Support'!$B262,'Data-Retail'!$D$4:$D$269,'GSC Support'!$C262)</f>
        <v>0</v>
      </c>
      <c r="G262" s="222">
        <f>SUMIFS('Data-Retail'!$I$4:$I$269,'Data-Retail'!$A$4:$A$269,'GSC Support'!$B262,'Data-Retail'!$D$4:$D$269,'GSC Support'!$C262)</f>
        <v>0</v>
      </c>
      <c r="H262" s="222">
        <f t="shared" si="24"/>
        <v>0</v>
      </c>
      <c r="I262" s="286"/>
      <c r="J262" s="286"/>
      <c r="K262" s="286"/>
      <c r="L262" s="286">
        <f t="shared" ref="L262:L295" si="29">SUM(I262:K262)</f>
        <v>0</v>
      </c>
      <c r="M262" s="279">
        <f t="shared" ref="M262:M267" si="30">+H262-L262</f>
        <v>0</v>
      </c>
      <c r="O262" s="323">
        <f>SUMIFS('Data-Retail'!$N$4:$N$238,'Data-Retail'!$A$4:$A$238,'GSC Support'!$B262,'Data-Retail'!$D$4:$D$238,'GSC Support'!$C262)</f>
        <v>0</v>
      </c>
      <c r="P262" s="323"/>
      <c r="Q262" s="323"/>
      <c r="R262" s="323"/>
      <c r="S262" s="281">
        <f>SUMIFS('Apr11-Mar12 Billed-RETAIL'!$BA$5:$BA$138,'Apr11-Mar12 Billed-RETAIL'!$B$5:$B$138,'GSC Support'!$B262,'Apr11-Mar12 Billed-RETAIL'!$C$5:$C$138,'GSC Support'!$C262)</f>
        <v>0</v>
      </c>
      <c r="T262" s="287"/>
      <c r="U262" s="287"/>
      <c r="V262" s="287">
        <f t="shared" si="25"/>
        <v>0</v>
      </c>
      <c r="W262" s="288">
        <f t="shared" si="26"/>
        <v>0</v>
      </c>
    </row>
    <row r="263" spans="1:23" x14ac:dyDescent="0.2">
      <c r="A263" s="196">
        <f t="shared" si="27"/>
        <v>258</v>
      </c>
      <c r="B263" s="211">
        <v>40878</v>
      </c>
      <c r="C263" s="211" t="str">
        <f>+'Retail Rates'!B32</f>
        <v>LGING896FM</v>
      </c>
      <c r="D263" s="197" t="str">
        <f t="shared" si="28"/>
        <v>896</v>
      </c>
      <c r="E263" s="197" t="str">
        <f>VLOOKUP(C263,'Retail Rates'!$B$7:$D$35,3,FALSE)</f>
        <v>SPC-FORD-PM</v>
      </c>
      <c r="F263" s="222">
        <f>SUMIFS('Data-Retail'!$H$4:$H$269,'Data-Retail'!$A$4:$A$269,'GSC Support'!$B263,'Data-Retail'!$D$4:$D$269,'GSC Support'!$C263)</f>
        <v>0</v>
      </c>
      <c r="G263" s="222">
        <f>SUMIFS('Data-Retail'!$I$4:$I$269,'Data-Retail'!$A$4:$A$269,'GSC Support'!$B263,'Data-Retail'!$D$4:$D$269,'GSC Support'!$C263)</f>
        <v>0</v>
      </c>
      <c r="H263" s="222">
        <f t="shared" ref="H263:H326" si="31">+F263+G263</f>
        <v>0</v>
      </c>
      <c r="I263" s="286"/>
      <c r="J263" s="286"/>
      <c r="K263" s="286"/>
      <c r="L263" s="286">
        <f t="shared" si="29"/>
        <v>0</v>
      </c>
      <c r="M263" s="279">
        <f t="shared" si="30"/>
        <v>0</v>
      </c>
      <c r="O263" s="323">
        <f>SUMIFS('Data-Retail'!$N$4:$N$238,'Data-Retail'!$A$4:$A$238,'GSC Support'!$B263,'Data-Retail'!$D$4:$D$238,'GSC Support'!$C263)</f>
        <v>0</v>
      </c>
      <c r="P263" s="323"/>
      <c r="Q263" s="323"/>
      <c r="R263" s="323"/>
      <c r="S263" s="281">
        <f>SUMIFS('Apr11-Mar12 Billed-RETAIL'!$BA$5:$BA$138,'Apr11-Mar12 Billed-RETAIL'!$B$5:$B$138,'GSC Support'!$B263,'Apr11-Mar12 Billed-RETAIL'!$C$5:$C$138,'GSC Support'!$C263)</f>
        <v>0</v>
      </c>
      <c r="T263" s="287"/>
      <c r="U263" s="287"/>
      <c r="V263" s="287">
        <f t="shared" ref="V263:V326" si="32">SUM(T263:U263)</f>
        <v>0</v>
      </c>
      <c r="W263" s="288">
        <f t="shared" ref="W263:W326" si="33">+S263-V263</f>
        <v>0</v>
      </c>
    </row>
    <row r="264" spans="1:23" x14ac:dyDescent="0.2">
      <c r="A264" s="196">
        <f t="shared" ref="A264:A327" si="34">+A263+1</f>
        <v>259</v>
      </c>
      <c r="B264" s="211">
        <v>40878</v>
      </c>
      <c r="C264" s="211" t="str">
        <f>+'Retail Rates'!B33</f>
        <v>LGCMG991</v>
      </c>
      <c r="D264" s="197" t="str">
        <f t="shared" si="28"/>
        <v>991</v>
      </c>
      <c r="E264" s="197" t="str">
        <f>VLOOKUP(C264,'Retail Rates'!$B$7:$D$35,3,FALSE)</f>
        <v>SPC-FTKX</v>
      </c>
      <c r="F264" s="222">
        <f>SUMIFS('Data-Retail'!$H$4:$H$269,'Data-Retail'!$A$4:$A$269,'GSC Support'!$B264,'Data-Retail'!$D$4:$D$269,'GSC Support'!$C264)</f>
        <v>0</v>
      </c>
      <c r="G264" s="222">
        <f>SUMIFS('Data-Retail'!$I$4:$I$269,'Data-Retail'!$A$4:$A$269,'GSC Support'!$B264,'Data-Retail'!$D$4:$D$269,'GSC Support'!$C264)</f>
        <v>0</v>
      </c>
      <c r="H264" s="222">
        <f t="shared" si="31"/>
        <v>0</v>
      </c>
      <c r="I264" s="286"/>
      <c r="J264" s="286"/>
      <c r="K264" s="286"/>
      <c r="L264" s="286">
        <f t="shared" si="29"/>
        <v>0</v>
      </c>
      <c r="M264" s="279">
        <f t="shared" si="30"/>
        <v>0</v>
      </c>
      <c r="O264" s="323">
        <f>SUMIFS('Data-Retail'!$N$4:$N$238,'Data-Retail'!$A$4:$A$238,'GSC Support'!$B264,'Data-Retail'!$D$4:$D$238,'GSC Support'!$C264)</f>
        <v>0</v>
      </c>
      <c r="P264" s="323"/>
      <c r="Q264" s="323"/>
      <c r="R264" s="323"/>
      <c r="S264" s="281">
        <f>SUMIFS('Apr11-Mar12 Billed-RETAIL'!$BA$5:$BA$138,'Apr11-Mar12 Billed-RETAIL'!$B$5:$B$138,'GSC Support'!$B264,'Apr11-Mar12 Billed-RETAIL'!$C$5:$C$138,'GSC Support'!$C264)</f>
        <v>0</v>
      </c>
      <c r="T264" s="287"/>
      <c r="U264" s="287"/>
      <c r="V264" s="287">
        <f t="shared" si="32"/>
        <v>0</v>
      </c>
      <c r="W264" s="288">
        <f t="shared" si="33"/>
        <v>0</v>
      </c>
    </row>
    <row r="265" spans="1:23" x14ac:dyDescent="0.2">
      <c r="A265" s="196">
        <f t="shared" si="34"/>
        <v>260</v>
      </c>
      <c r="B265" s="211">
        <v>40878</v>
      </c>
      <c r="C265" s="211" t="str">
        <f>+'Retail Rates'!B34</f>
        <v>LGING996</v>
      </c>
      <c r="D265" s="197" t="str">
        <f t="shared" si="28"/>
        <v>996</v>
      </c>
      <c r="E265" s="197" t="str">
        <f>VLOOKUP(C265,'Retail Rates'!$B$7:$D$35,3,FALSE)</f>
        <v>SPC-LGE</v>
      </c>
      <c r="F265" s="222">
        <f>SUMIFS('Data-Retail'!$H$4:$H$269,'Data-Retail'!$A$4:$A$269,'GSC Support'!$B265,'Data-Retail'!$D$4:$D$269,'GSC Support'!$C265)</f>
        <v>0</v>
      </c>
      <c r="G265" s="222">
        <f>SUMIFS('Data-Retail'!$I$4:$I$269,'Data-Retail'!$A$4:$A$269,'GSC Support'!$B265,'Data-Retail'!$D$4:$D$269,'GSC Support'!$C265)</f>
        <v>0</v>
      </c>
      <c r="H265" s="222">
        <f t="shared" si="31"/>
        <v>0</v>
      </c>
      <c r="I265" s="286">
        <v>494453</v>
      </c>
      <c r="J265" s="286"/>
      <c r="K265" s="286"/>
      <c r="L265" s="286">
        <f t="shared" si="29"/>
        <v>494453</v>
      </c>
      <c r="M265" s="279">
        <f t="shared" si="30"/>
        <v>-494453</v>
      </c>
      <c r="O265" s="323">
        <f>SUMIFS('Data-Retail'!$N$4:$N$238,'Data-Retail'!$A$4:$A$238,'GSC Support'!$B265,'Data-Retail'!$D$4:$D$238,'GSC Support'!$C265)</f>
        <v>0</v>
      </c>
      <c r="P265" s="323"/>
      <c r="Q265" s="323"/>
      <c r="R265" s="323"/>
      <c r="S265" s="281">
        <f>SUMIFS('Apr11-Mar12 Billed-RETAIL'!$BA$5:$BA$138,'Apr11-Mar12 Billed-RETAIL'!$B$5:$B$138,'GSC Support'!$B265,'Apr11-Mar12 Billed-RETAIL'!$C$5:$C$138,'GSC Support'!$C265)</f>
        <v>0</v>
      </c>
      <c r="T265" s="287">
        <v>255147.64</v>
      </c>
      <c r="U265" s="287"/>
      <c r="V265" s="287">
        <f t="shared" si="32"/>
        <v>255147.64</v>
      </c>
      <c r="W265" s="288">
        <f t="shared" si="33"/>
        <v>-255147.64</v>
      </c>
    </row>
    <row r="266" spans="1:23" x14ac:dyDescent="0.2">
      <c r="A266" s="196">
        <f t="shared" si="34"/>
        <v>261</v>
      </c>
      <c r="B266" s="211">
        <v>40878</v>
      </c>
      <c r="C266" s="211" t="str">
        <f>+'Retail Rates'!B35</f>
        <v>LGING997</v>
      </c>
      <c r="D266" s="197" t="str">
        <f t="shared" si="28"/>
        <v>997</v>
      </c>
      <c r="E266" s="197" t="str">
        <f>VLOOKUP(C266,'Retail Rates'!$B$7:$D$35,3,FALSE)</f>
        <v>SPC-PADDY</v>
      </c>
      <c r="F266" s="222">
        <f>SUMIFS('Data-Retail'!$H$4:$H$269,'Data-Retail'!$A$4:$A$269,'GSC Support'!$B266,'Data-Retail'!$D$4:$D$269,'GSC Support'!$C266)</f>
        <v>0</v>
      </c>
      <c r="G266" s="222">
        <f>SUMIFS('Data-Retail'!$I$4:$I$269,'Data-Retail'!$A$4:$A$269,'GSC Support'!$B266,'Data-Retail'!$D$4:$D$269,'GSC Support'!$C266)</f>
        <v>0</v>
      </c>
      <c r="H266" s="222">
        <f t="shared" si="31"/>
        <v>0</v>
      </c>
      <c r="I266" s="286"/>
      <c r="J266" s="286"/>
      <c r="K266" s="286"/>
      <c r="L266" s="286">
        <f t="shared" si="29"/>
        <v>0</v>
      </c>
      <c r="M266" s="279">
        <f t="shared" si="30"/>
        <v>0</v>
      </c>
      <c r="O266" s="323">
        <f>SUMIFS('Data-Retail'!$N$4:$N$238,'Data-Retail'!$A$4:$A$238,'GSC Support'!$B266,'Data-Retail'!$D$4:$D$238,'GSC Support'!$C266)</f>
        <v>0</v>
      </c>
      <c r="P266" s="323"/>
      <c r="Q266" s="323"/>
      <c r="R266" s="323"/>
      <c r="S266" s="281">
        <f>SUMIFS('Apr11-Mar12 Billed-RETAIL'!$BA$5:$BA$138,'Apr11-Mar12 Billed-RETAIL'!$B$5:$B$138,'GSC Support'!$B266,'Apr11-Mar12 Billed-RETAIL'!$C$5:$C$138,'GSC Support'!$C266)</f>
        <v>0</v>
      </c>
      <c r="T266" s="287"/>
      <c r="U266" s="287"/>
      <c r="V266" s="287">
        <f t="shared" si="32"/>
        <v>0</v>
      </c>
      <c r="W266" s="288">
        <f t="shared" si="33"/>
        <v>0</v>
      </c>
    </row>
    <row r="267" spans="1:23" x14ac:dyDescent="0.2">
      <c r="A267" s="196">
        <f t="shared" si="34"/>
        <v>262</v>
      </c>
      <c r="B267" s="211">
        <v>40909</v>
      </c>
      <c r="C267" s="211" t="str">
        <f>+'Retail Rates'!B7</f>
        <v>LGCMG865</v>
      </c>
      <c r="D267" s="197" t="str">
        <f t="shared" si="28"/>
        <v>865</v>
      </c>
      <c r="E267" s="197" t="str">
        <f>VLOOKUP(C267,'Retail Rates'!$B$7:$D$35,3,FALSE)</f>
        <v>AAGS-C</v>
      </c>
      <c r="F267" s="222">
        <f>SUMIFS('Data-Retail'!$H$4:$H$269,'Data-Retail'!$A$4:$A$269,'GSC Support'!$B267,'Data-Retail'!$D$4:$D$269,'GSC Support'!$C267)</f>
        <v>103916</v>
      </c>
      <c r="G267" s="222">
        <f>SUMIFS('Data-Retail'!$I$4:$I$269,'Data-Retail'!$A$4:$A$269,'GSC Support'!$B267,'Data-Retail'!$D$4:$D$269,'GSC Support'!$C267)</f>
        <v>0</v>
      </c>
      <c r="H267" s="222">
        <f t="shared" si="31"/>
        <v>103916</v>
      </c>
      <c r="I267" s="286">
        <v>103916</v>
      </c>
      <c r="J267" s="286"/>
      <c r="K267" s="286"/>
      <c r="L267" s="286">
        <f t="shared" si="29"/>
        <v>103916</v>
      </c>
      <c r="M267" s="279">
        <f t="shared" si="30"/>
        <v>0</v>
      </c>
      <c r="N267" s="279"/>
      <c r="O267" s="323">
        <f>SUMIFS('Data-Retail'!$N$4:$N$238,'Data-Retail'!$A$4:$A$238,'GSC Support'!$B267,'Data-Retail'!$D$4:$D$238,'GSC Support'!$C267)</f>
        <v>53622.740000000005</v>
      </c>
      <c r="P267" s="323"/>
      <c r="Q267" s="323"/>
      <c r="R267" s="323"/>
      <c r="S267" s="281">
        <f ca="1">SUMIFS('Apr11-Mar12 Billed-RETAIL'!$BA$5:$BA$138,'Apr11-Mar12 Billed-RETAIL'!$B$5:$B$138,'GSC Support'!$B267,'Apr11-Mar12 Billed-RETAIL'!$C$5:$C$138,'GSC Support'!$C267)</f>
        <v>53622.740000000005</v>
      </c>
      <c r="T267" s="287">
        <v>53622.73</v>
      </c>
      <c r="U267" s="287"/>
      <c r="V267" s="287">
        <f t="shared" si="32"/>
        <v>53622.73</v>
      </c>
      <c r="W267" s="288">
        <f t="shared" ca="1" si="33"/>
        <v>1.0000000002037268E-2</v>
      </c>
    </row>
    <row r="268" spans="1:23" x14ac:dyDescent="0.2">
      <c r="A268" s="196">
        <f t="shared" si="34"/>
        <v>263</v>
      </c>
      <c r="B268" s="211">
        <v>40909</v>
      </c>
      <c r="C268" s="211" t="str">
        <f>+'Retail Rates'!B8</f>
        <v>LGCMG891</v>
      </c>
      <c r="D268" s="197" t="str">
        <f t="shared" si="28"/>
        <v>891</v>
      </c>
      <c r="E268" s="197" t="str">
        <f>VLOOKUP(C268,'Retail Rates'!$B$7:$D$35,3,FALSE)</f>
        <v>AAGS-C-TS</v>
      </c>
      <c r="F268" s="222">
        <f>SUMIFS('Data-Retail'!$H$4:$H$269,'Data-Retail'!$A$4:$A$269,'GSC Support'!$B268,'Data-Retail'!$D$4:$D$269,'GSC Support'!$C268)</f>
        <v>0</v>
      </c>
      <c r="G268" s="222">
        <f>SUMIFS('Data-Retail'!$I$4:$I$269,'Data-Retail'!$A$4:$A$269,'GSC Support'!$B268,'Data-Retail'!$D$4:$D$269,'GSC Support'!$C268)</f>
        <v>0</v>
      </c>
      <c r="H268" s="222">
        <f t="shared" si="31"/>
        <v>0</v>
      </c>
      <c r="I268" s="286"/>
      <c r="J268" s="286"/>
      <c r="K268" s="286"/>
      <c r="L268" s="286">
        <f t="shared" si="29"/>
        <v>0</v>
      </c>
      <c r="M268" s="279">
        <f t="shared" ref="M268:M295" si="35">+H268-L268</f>
        <v>0</v>
      </c>
      <c r="N268" s="279"/>
      <c r="O268" s="323">
        <f>SUMIFS('Data-Retail'!$N$4:$N$238,'Data-Retail'!$A$4:$A$238,'GSC Support'!$B268,'Data-Retail'!$D$4:$D$238,'GSC Support'!$C268)</f>
        <v>0</v>
      </c>
      <c r="P268" s="323"/>
      <c r="Q268" s="323"/>
      <c r="R268" s="323"/>
      <c r="S268" s="281">
        <f>SUMIFS('Apr11-Mar12 Billed-RETAIL'!$BA$5:$BA$138,'Apr11-Mar12 Billed-RETAIL'!$B$5:$B$138,'GSC Support'!$B268,'Apr11-Mar12 Billed-RETAIL'!$C$5:$C$138,'GSC Support'!$C268)</f>
        <v>0</v>
      </c>
      <c r="T268" s="287"/>
      <c r="U268" s="287"/>
      <c r="V268" s="287">
        <f t="shared" si="32"/>
        <v>0</v>
      </c>
      <c r="W268" s="288">
        <f t="shared" si="33"/>
        <v>0</v>
      </c>
    </row>
    <row r="269" spans="1:23" x14ac:dyDescent="0.2">
      <c r="A269" s="196">
        <f t="shared" si="34"/>
        <v>264</v>
      </c>
      <c r="B269" s="211">
        <v>40909</v>
      </c>
      <c r="C269" s="211" t="str">
        <f>+'Retail Rates'!B9</f>
        <v>LGCMG891PM</v>
      </c>
      <c r="D269" s="197" t="str">
        <f t="shared" si="28"/>
        <v>891</v>
      </c>
      <c r="E269" s="197" t="str">
        <f>VLOOKUP(C269,'Retail Rates'!$B$7:$D$35,3,FALSE)</f>
        <v>AAGS-C-TS-PM</v>
      </c>
      <c r="F269" s="222">
        <f>SUMIFS('Data-Retail'!$H$4:$H$269,'Data-Retail'!$A$4:$A$269,'GSC Support'!$B269,'Data-Retail'!$D$4:$D$269,'GSC Support'!$C269)</f>
        <v>0</v>
      </c>
      <c r="G269" s="222">
        <f>SUMIFS('Data-Retail'!$I$4:$I$269,'Data-Retail'!$A$4:$A$269,'GSC Support'!$B269,'Data-Retail'!$D$4:$D$269,'GSC Support'!$C269)</f>
        <v>0</v>
      </c>
      <c r="H269" s="222">
        <f t="shared" si="31"/>
        <v>0</v>
      </c>
      <c r="I269" s="286"/>
      <c r="J269" s="286"/>
      <c r="K269" s="286"/>
      <c r="L269" s="286">
        <f t="shared" si="29"/>
        <v>0</v>
      </c>
      <c r="M269" s="279">
        <f t="shared" si="35"/>
        <v>0</v>
      </c>
      <c r="N269" s="279"/>
      <c r="O269" s="323">
        <f>SUMIFS('Data-Retail'!$N$4:$N$238,'Data-Retail'!$A$4:$A$238,'GSC Support'!$B269,'Data-Retail'!$D$4:$D$238,'GSC Support'!$C269)</f>
        <v>0</v>
      </c>
      <c r="P269" s="323"/>
      <c r="Q269" s="323"/>
      <c r="R269" s="323"/>
      <c r="S269" s="281">
        <f>SUMIFS('Apr11-Mar12 Billed-RETAIL'!$BA$5:$BA$138,'Apr11-Mar12 Billed-RETAIL'!$B$5:$B$138,'GSC Support'!$B269,'Apr11-Mar12 Billed-RETAIL'!$C$5:$C$138,'GSC Support'!$C269)</f>
        <v>0</v>
      </c>
      <c r="T269" s="287"/>
      <c r="U269" s="287"/>
      <c r="V269" s="287">
        <f t="shared" si="32"/>
        <v>0</v>
      </c>
      <c r="W269" s="288">
        <f t="shared" si="33"/>
        <v>0</v>
      </c>
    </row>
    <row r="270" spans="1:23" x14ac:dyDescent="0.2">
      <c r="A270" s="196">
        <f t="shared" si="34"/>
        <v>265</v>
      </c>
      <c r="B270" s="211">
        <v>40909</v>
      </c>
      <c r="C270" s="211" t="str">
        <f>+'Retail Rates'!B10</f>
        <v>LGING866</v>
      </c>
      <c r="D270" s="197" t="str">
        <f t="shared" si="28"/>
        <v>866</v>
      </c>
      <c r="E270" s="197" t="str">
        <f>VLOOKUP(C270,'Retail Rates'!$B$7:$D$35,3,FALSE)</f>
        <v>AAGS-I</v>
      </c>
      <c r="F270" s="222">
        <f>SUMIFS('Data-Retail'!$H$4:$H$269,'Data-Retail'!$A$4:$A$269,'GSC Support'!$B270,'Data-Retail'!$D$4:$D$269,'GSC Support'!$C270)</f>
        <v>187353</v>
      </c>
      <c r="G270" s="222">
        <f>SUMIFS('Data-Retail'!$I$4:$I$269,'Data-Retail'!$A$4:$A$269,'GSC Support'!$B270,'Data-Retail'!$D$4:$D$269,'GSC Support'!$C270)</f>
        <v>0</v>
      </c>
      <c r="H270" s="222">
        <f t="shared" si="31"/>
        <v>187353</v>
      </c>
      <c r="I270" s="286">
        <v>187353</v>
      </c>
      <c r="J270" s="286"/>
      <c r="K270" s="286"/>
      <c r="L270" s="286">
        <f t="shared" si="29"/>
        <v>187353</v>
      </c>
      <c r="M270" s="279">
        <f t="shared" si="35"/>
        <v>0</v>
      </c>
      <c r="N270" s="279"/>
      <c r="O270" s="323">
        <f>SUMIFS('Data-Retail'!$N$4:$N$238,'Data-Retail'!$A$4:$A$238,'GSC Support'!$B270,'Data-Retail'!$D$4:$D$238,'GSC Support'!$C270)</f>
        <v>96677.9</v>
      </c>
      <c r="P270" s="323"/>
      <c r="Q270" s="323"/>
      <c r="R270" s="323"/>
      <c r="S270" s="281">
        <f ca="1">SUMIFS('Apr11-Mar12 Billed-RETAIL'!$BA$5:$BA$138,'Apr11-Mar12 Billed-RETAIL'!$B$5:$B$138,'GSC Support'!$B270,'Apr11-Mar12 Billed-RETAIL'!$C$5:$C$138,'GSC Support'!$C270)</f>
        <v>96677.9</v>
      </c>
      <c r="T270" s="287">
        <v>96677.9</v>
      </c>
      <c r="U270" s="287"/>
      <c r="V270" s="287">
        <f t="shared" si="32"/>
        <v>96677.9</v>
      </c>
      <c r="W270" s="288">
        <f t="shared" ca="1" si="33"/>
        <v>0</v>
      </c>
    </row>
    <row r="271" spans="1:23" x14ac:dyDescent="0.2">
      <c r="A271" s="196">
        <f t="shared" si="34"/>
        <v>266</v>
      </c>
      <c r="B271" s="211">
        <v>40909</v>
      </c>
      <c r="C271" s="211" t="str">
        <f>+'Retail Rates'!B11</f>
        <v>LGING892</v>
      </c>
      <c r="D271" s="197" t="str">
        <f t="shared" si="28"/>
        <v>892</v>
      </c>
      <c r="E271" s="197" t="str">
        <f>VLOOKUP(C271,'Retail Rates'!$B$7:$D$35,3,FALSE)</f>
        <v>AAGS-I-TS</v>
      </c>
      <c r="F271" s="222">
        <f>SUMIFS('Data-Retail'!$H$4:$H$269,'Data-Retail'!$A$4:$A$269,'GSC Support'!$B271,'Data-Retail'!$D$4:$D$269,'GSC Support'!$C271)</f>
        <v>0</v>
      </c>
      <c r="G271" s="222">
        <f>SUMIFS('Data-Retail'!$I$4:$I$269,'Data-Retail'!$A$4:$A$269,'GSC Support'!$B271,'Data-Retail'!$D$4:$D$269,'GSC Support'!$C271)</f>
        <v>0</v>
      </c>
      <c r="H271" s="222">
        <f t="shared" si="31"/>
        <v>0</v>
      </c>
      <c r="I271" s="286"/>
      <c r="J271" s="286"/>
      <c r="K271" s="286"/>
      <c r="L271" s="286">
        <f t="shared" si="29"/>
        <v>0</v>
      </c>
      <c r="M271" s="279">
        <f t="shared" si="35"/>
        <v>0</v>
      </c>
      <c r="N271" s="279"/>
      <c r="O271" s="323">
        <f>SUMIFS('Data-Retail'!$N$4:$N$238,'Data-Retail'!$A$4:$A$238,'GSC Support'!$B271,'Data-Retail'!$D$4:$D$238,'GSC Support'!$C271)</f>
        <v>0</v>
      </c>
      <c r="P271" s="323"/>
      <c r="Q271" s="323"/>
      <c r="R271" s="323"/>
      <c r="S271" s="281">
        <f>SUMIFS('Apr11-Mar12 Billed-RETAIL'!$BA$5:$BA$138,'Apr11-Mar12 Billed-RETAIL'!$B$5:$B$138,'GSC Support'!$B271,'Apr11-Mar12 Billed-RETAIL'!$C$5:$C$138,'GSC Support'!$C271)</f>
        <v>0</v>
      </c>
      <c r="T271" s="287"/>
      <c r="U271" s="287"/>
      <c r="V271" s="287">
        <f t="shared" si="32"/>
        <v>0</v>
      </c>
      <c r="W271" s="288">
        <f t="shared" si="33"/>
        <v>0</v>
      </c>
    </row>
    <row r="272" spans="1:23" x14ac:dyDescent="0.2">
      <c r="A272" s="196">
        <f t="shared" si="34"/>
        <v>267</v>
      </c>
      <c r="B272" s="211">
        <v>40909</v>
      </c>
      <c r="C272" s="211" t="str">
        <f>+'Retail Rates'!B12</f>
        <v>LGING892PM</v>
      </c>
      <c r="D272" s="197" t="str">
        <f t="shared" si="28"/>
        <v>892</v>
      </c>
      <c r="E272" s="197" t="str">
        <f>VLOOKUP(C272,'Retail Rates'!$B$7:$D$35,3,FALSE)</f>
        <v>AAGS-I-TS-PM</v>
      </c>
      <c r="F272" s="222">
        <f>SUMIFS('Data-Retail'!$H$4:$H$269,'Data-Retail'!$A$4:$A$269,'GSC Support'!$B272,'Data-Retail'!$D$4:$D$269,'GSC Support'!$C272)</f>
        <v>0</v>
      </c>
      <c r="G272" s="222">
        <f>SUMIFS('Data-Retail'!$I$4:$I$269,'Data-Retail'!$A$4:$A$269,'GSC Support'!$B272,'Data-Retail'!$D$4:$D$269,'GSC Support'!$C272)</f>
        <v>0</v>
      </c>
      <c r="H272" s="222">
        <f t="shared" si="31"/>
        <v>0</v>
      </c>
      <c r="I272" s="286"/>
      <c r="J272" s="286"/>
      <c r="K272" s="286"/>
      <c r="L272" s="286">
        <f t="shared" si="29"/>
        <v>0</v>
      </c>
      <c r="M272" s="279">
        <f t="shared" si="35"/>
        <v>0</v>
      </c>
      <c r="N272" s="279"/>
      <c r="O272" s="323">
        <f>SUMIFS('Data-Retail'!$N$4:$N$238,'Data-Retail'!$A$4:$A$238,'GSC Support'!$B272,'Data-Retail'!$D$4:$D$238,'GSC Support'!$C272)</f>
        <v>0</v>
      </c>
      <c r="P272" s="323"/>
      <c r="Q272" s="323"/>
      <c r="R272" s="323"/>
      <c r="S272" s="281">
        <f>SUMIFS('Apr11-Mar12 Billed-RETAIL'!$BA$5:$BA$138,'Apr11-Mar12 Billed-RETAIL'!$B$5:$B$138,'GSC Support'!$B272,'Apr11-Mar12 Billed-RETAIL'!$C$5:$C$138,'GSC Support'!$C272)</f>
        <v>0</v>
      </c>
      <c r="T272" s="287"/>
      <c r="U272" s="287"/>
      <c r="V272" s="287">
        <f t="shared" si="32"/>
        <v>0</v>
      </c>
      <c r="W272" s="288">
        <f t="shared" si="33"/>
        <v>0</v>
      </c>
    </row>
    <row r="273" spans="1:23" x14ac:dyDescent="0.2">
      <c r="A273" s="196">
        <f t="shared" si="34"/>
        <v>268</v>
      </c>
      <c r="B273" s="211">
        <v>40909</v>
      </c>
      <c r="C273" s="211" t="str">
        <f>+'Retail Rates'!B13</f>
        <v>LGCMG851</v>
      </c>
      <c r="D273" s="197" t="str">
        <f t="shared" si="28"/>
        <v>851</v>
      </c>
      <c r="E273" s="197" t="str">
        <f>VLOOKUP(C273,'Retail Rates'!$B$7:$D$35,3,FALSE)</f>
        <v>CGS</v>
      </c>
      <c r="F273" s="222">
        <f>SUMIFS('Data-Retail'!$H$4:$H$269,'Data-Retail'!$A$4:$A$269,'GSC Support'!$B273,'Data-Retail'!$D$4:$D$269,'GSC Support'!$C273)</f>
        <v>16233214</v>
      </c>
      <c r="G273" s="222">
        <f>SUMIFS('Data-Retail'!$I$4:$I$269,'Data-Retail'!$A$4:$A$269,'GSC Support'!$B273,'Data-Retail'!$D$4:$D$269,'GSC Support'!$C273)</f>
        <v>0</v>
      </c>
      <c r="H273" s="222">
        <f t="shared" si="31"/>
        <v>16233214</v>
      </c>
      <c r="I273" s="286">
        <v>16233214</v>
      </c>
      <c r="J273" s="286"/>
      <c r="K273" s="286"/>
      <c r="L273" s="286">
        <f t="shared" si="29"/>
        <v>16233214</v>
      </c>
      <c r="M273" s="279">
        <f t="shared" si="35"/>
        <v>0</v>
      </c>
      <c r="N273" s="279"/>
      <c r="O273" s="323">
        <f>SUMIFS('Data-Retail'!$N$4:$N$238,'Data-Retail'!$A$4:$A$238,'GSC Support'!$B273,'Data-Retail'!$D$4:$D$238,'GSC Support'!$C273)</f>
        <v>8376631.1199999992</v>
      </c>
      <c r="P273" s="323"/>
      <c r="Q273" s="323"/>
      <c r="R273" s="323"/>
      <c r="S273" s="281">
        <f ca="1">SUMIFS('Apr11-Mar12 Billed-RETAIL'!$BA$5:$BA$138,'Apr11-Mar12 Billed-RETAIL'!$B$5:$B$138,'GSC Support'!$B273,'Apr11-Mar12 Billed-RETAIL'!$C$5:$C$138,'GSC Support'!$C273)</f>
        <v>8376631.1199999992</v>
      </c>
      <c r="T273" s="287">
        <v>8376631.1200000001</v>
      </c>
      <c r="U273" s="287"/>
      <c r="V273" s="287">
        <f t="shared" si="32"/>
        <v>8376631.1200000001</v>
      </c>
      <c r="W273" s="288">
        <f t="shared" ca="1" si="33"/>
        <v>0</v>
      </c>
    </row>
    <row r="274" spans="1:23" x14ac:dyDescent="0.2">
      <c r="A274" s="196">
        <f t="shared" si="34"/>
        <v>269</v>
      </c>
      <c r="B274" s="211">
        <v>40909</v>
      </c>
      <c r="C274" s="211" t="str">
        <f>+'Retail Rates'!B14</f>
        <v>LGUMG860</v>
      </c>
      <c r="D274" s="197" t="str">
        <f t="shared" si="28"/>
        <v>860</v>
      </c>
      <c r="E274" s="197" t="str">
        <f>VLOOKUP(C274,'Retail Rates'!$B$7:$D$35,3,FALSE)</f>
        <v>CGS</v>
      </c>
      <c r="F274" s="222">
        <f>SUMIFS('Data-Retail'!$H$4:$H$269,'Data-Retail'!$A$4:$A$269,'GSC Support'!$B274,'Data-Retail'!$D$4:$D$269,'GSC Support'!$C274)</f>
        <v>358</v>
      </c>
      <c r="G274" s="222">
        <f>SUMIFS('Data-Retail'!$I$4:$I$269,'Data-Retail'!$A$4:$A$269,'GSC Support'!$B274,'Data-Retail'!$D$4:$D$269,'GSC Support'!$C274)</f>
        <v>0</v>
      </c>
      <c r="H274" s="222">
        <f t="shared" si="31"/>
        <v>358</v>
      </c>
      <c r="I274" s="286">
        <v>358</v>
      </c>
      <c r="J274" s="286"/>
      <c r="K274" s="286"/>
      <c r="L274" s="286">
        <f t="shared" si="29"/>
        <v>358</v>
      </c>
      <c r="M274" s="279">
        <f t="shared" si="35"/>
        <v>0</v>
      </c>
      <c r="N274" s="279"/>
      <c r="O274" s="323">
        <f>SUMIFS('Data-Retail'!$N$4:$N$238,'Data-Retail'!$A$4:$A$238,'GSC Support'!$B274,'Data-Retail'!$D$4:$D$238,'GSC Support'!$C274)</f>
        <v>184.74</v>
      </c>
      <c r="P274" s="323"/>
      <c r="Q274" s="323"/>
      <c r="R274" s="323"/>
      <c r="S274" s="281">
        <f ca="1">SUMIFS('Apr11-Mar12 Billed-RETAIL'!$BA$5:$BA$138,'Apr11-Mar12 Billed-RETAIL'!$B$5:$B$138,'GSC Support'!$B274,'Apr11-Mar12 Billed-RETAIL'!$C$5:$C$138,'GSC Support'!$C274)</f>
        <v>184.74</v>
      </c>
      <c r="T274" s="287">
        <v>184.74</v>
      </c>
      <c r="U274" s="287"/>
      <c r="V274" s="287">
        <f t="shared" si="32"/>
        <v>184.74</v>
      </c>
      <c r="W274" s="288">
        <f t="shared" ca="1" si="33"/>
        <v>0</v>
      </c>
    </row>
    <row r="275" spans="1:23" x14ac:dyDescent="0.2">
      <c r="A275" s="196">
        <f t="shared" si="34"/>
        <v>270</v>
      </c>
      <c r="B275" s="211">
        <v>40909</v>
      </c>
      <c r="C275" s="211" t="str">
        <f>+'Retail Rates'!B15</f>
        <v>LGUMG861</v>
      </c>
      <c r="D275" s="197" t="str">
        <f t="shared" si="28"/>
        <v>861</v>
      </c>
      <c r="E275" s="197" t="str">
        <f>VLOOKUP(C275,'Retail Rates'!$B$7:$D$35,3,FALSE)</f>
        <v>CGS</v>
      </c>
      <c r="F275" s="222">
        <f>SUMIFS('Data-Retail'!$H$4:$H$269,'Data-Retail'!$A$4:$A$269,'GSC Support'!$B275,'Data-Retail'!$D$4:$D$269,'GSC Support'!$C275)</f>
        <v>615</v>
      </c>
      <c r="G275" s="222">
        <f>SUMIFS('Data-Retail'!$I$4:$I$269,'Data-Retail'!$A$4:$A$269,'GSC Support'!$B275,'Data-Retail'!$D$4:$D$269,'GSC Support'!$C275)</f>
        <v>0</v>
      </c>
      <c r="H275" s="222">
        <f t="shared" si="31"/>
        <v>615</v>
      </c>
      <c r="I275" s="286">
        <v>615</v>
      </c>
      <c r="J275" s="286"/>
      <c r="K275" s="286"/>
      <c r="L275" s="286">
        <f t="shared" si="29"/>
        <v>615</v>
      </c>
      <c r="M275" s="279">
        <f t="shared" si="35"/>
        <v>0</v>
      </c>
      <c r="N275" s="279"/>
      <c r="O275" s="323">
        <f>SUMIFS('Data-Retail'!$N$4:$N$238,'Data-Retail'!$A$4:$A$238,'GSC Support'!$B275,'Data-Retail'!$D$4:$D$238,'GSC Support'!$C275)</f>
        <v>319.70999999999998</v>
      </c>
      <c r="P275" s="323"/>
      <c r="Q275" s="323"/>
      <c r="R275" s="323"/>
      <c r="S275" s="281">
        <f ca="1">SUMIFS('Apr11-Mar12 Billed-RETAIL'!$BA$5:$BA$138,'Apr11-Mar12 Billed-RETAIL'!$B$5:$B$138,'GSC Support'!$B275,'Apr11-Mar12 Billed-RETAIL'!$C$5:$C$138,'GSC Support'!$C275)</f>
        <v>319.70999999999998</v>
      </c>
      <c r="T275" s="287">
        <v>319.70999999999998</v>
      </c>
      <c r="U275" s="287"/>
      <c r="V275" s="287">
        <f t="shared" si="32"/>
        <v>319.70999999999998</v>
      </c>
      <c r="W275" s="288">
        <f t="shared" ca="1" si="33"/>
        <v>0</v>
      </c>
    </row>
    <row r="276" spans="1:23" x14ac:dyDescent="0.2">
      <c r="A276" s="196">
        <f t="shared" si="34"/>
        <v>271</v>
      </c>
      <c r="B276" s="211">
        <v>40909</v>
      </c>
      <c r="C276" s="211" t="str">
        <f>+'Retail Rates'!B16</f>
        <v>LGCMG881</v>
      </c>
      <c r="D276" s="197" t="str">
        <f t="shared" si="28"/>
        <v>881</v>
      </c>
      <c r="E276" s="197" t="str">
        <f>VLOOKUP(C276,'Retail Rates'!$B$7:$D$35,3,FALSE)</f>
        <v>CGS-TS</v>
      </c>
      <c r="F276" s="329">
        <f>SUMIFS('Data-Retail'!$H$4:$H$269,'Data-Retail'!$A$4:$A$269,'GSC Support'!$B276,'Data-Retail'!$D$4:$D$269,'GSC Support'!$C276)</f>
        <v>0</v>
      </c>
      <c r="G276" s="329">
        <f>SUMIFS('Data-Retail'!$I$4:$I$269,'Data-Retail'!$A$4:$A$269,'GSC Support'!$B276,'Data-Retail'!$D$4:$D$269,'GSC Support'!$C276)</f>
        <v>0</v>
      </c>
      <c r="H276" s="329">
        <f t="shared" si="31"/>
        <v>0</v>
      </c>
      <c r="I276" s="286">
        <v>0</v>
      </c>
      <c r="J276" s="286"/>
      <c r="K276" s="286"/>
      <c r="L276" s="286">
        <f t="shared" si="29"/>
        <v>0</v>
      </c>
      <c r="M276" s="331">
        <f t="shared" si="35"/>
        <v>0</v>
      </c>
      <c r="N276" s="331"/>
      <c r="O276" s="323">
        <f>SUMIFS('Data-Retail'!$V$4:$V$238,'Data-Retail'!$A$4:$A$238,'GSC Support'!$B276,'Data-Retail'!$D$4:$D$238,'GSC Support'!$C276)</f>
        <v>0</v>
      </c>
      <c r="P276" s="327">
        <f>VLOOKUP($B276,'GSC-DSM Factors'!$A$18:$E$44,5,FALSE)</f>
        <v>1.16E-3</v>
      </c>
      <c r="Q276" s="326">
        <f>P276*H276</f>
        <v>0</v>
      </c>
      <c r="R276" s="323">
        <f>+O276-Q276</f>
        <v>0</v>
      </c>
      <c r="S276" s="281">
        <f>SUMIFS('Apr11-Mar12 Billed-RETAIL'!$BA$5:$BA$138,'Apr11-Mar12 Billed-RETAIL'!$B$5:$B$138,'GSC Support'!$B276,'Apr11-Mar12 Billed-RETAIL'!$C$5:$C$138,'GSC Support'!$C276)</f>
        <v>0</v>
      </c>
      <c r="T276" s="287">
        <v>0</v>
      </c>
      <c r="U276" s="287"/>
      <c r="V276" s="287">
        <f t="shared" si="32"/>
        <v>0</v>
      </c>
      <c r="W276" s="288">
        <f t="shared" si="33"/>
        <v>0</v>
      </c>
    </row>
    <row r="277" spans="1:23" x14ac:dyDescent="0.2">
      <c r="A277" s="196">
        <f t="shared" si="34"/>
        <v>272</v>
      </c>
      <c r="B277" s="211">
        <v>40909</v>
      </c>
      <c r="C277" s="211" t="str">
        <f>+'Retail Rates'!B17</f>
        <v>LGCMG881PM</v>
      </c>
      <c r="D277" s="197" t="str">
        <f t="shared" si="28"/>
        <v>881</v>
      </c>
      <c r="E277" s="197" t="str">
        <f>VLOOKUP(C277,'Retail Rates'!$B$7:$D$35,3,FALSE)</f>
        <v>CGS-TS-PM</v>
      </c>
      <c r="F277" s="222">
        <f>SUMIFS('Data-Retail'!$H$4:$H$269,'Data-Retail'!$A$4:$A$269,'GSC Support'!$B277,'Data-Retail'!$D$4:$D$269,'GSC Support'!$C277)</f>
        <v>0</v>
      </c>
      <c r="G277" s="222">
        <f>SUMIFS('Data-Retail'!$I$4:$I$269,'Data-Retail'!$A$4:$A$269,'GSC Support'!$B277,'Data-Retail'!$D$4:$D$269,'GSC Support'!$C277)</f>
        <v>0</v>
      </c>
      <c r="H277" s="222">
        <f t="shared" si="31"/>
        <v>0</v>
      </c>
      <c r="I277" s="286"/>
      <c r="J277" s="286"/>
      <c r="K277" s="286"/>
      <c r="L277" s="286">
        <f t="shared" si="29"/>
        <v>0</v>
      </c>
      <c r="M277" s="279">
        <f t="shared" si="35"/>
        <v>0</v>
      </c>
      <c r="N277" s="279"/>
      <c r="O277" s="323">
        <f>SUMIFS('Data-Retail'!$N$4:$N$238,'Data-Retail'!$A$4:$A$238,'GSC Support'!$B277,'Data-Retail'!$D$4:$D$238,'GSC Support'!$C277)</f>
        <v>0</v>
      </c>
      <c r="P277" s="323"/>
      <c r="Q277" s="323"/>
      <c r="R277" s="323"/>
      <c r="S277" s="281">
        <f>SUMIFS('Apr11-Mar12 Billed-RETAIL'!$BA$5:$BA$138,'Apr11-Mar12 Billed-RETAIL'!$B$5:$B$138,'GSC Support'!$B277,'Apr11-Mar12 Billed-RETAIL'!$C$5:$C$138,'GSC Support'!$C277)</f>
        <v>0</v>
      </c>
      <c r="T277" s="287"/>
      <c r="U277" s="287"/>
      <c r="V277" s="287">
        <f t="shared" si="32"/>
        <v>0</v>
      </c>
      <c r="W277" s="288">
        <f t="shared" si="33"/>
        <v>0</v>
      </c>
    </row>
    <row r="278" spans="1:23" x14ac:dyDescent="0.2">
      <c r="A278" s="196">
        <f t="shared" si="34"/>
        <v>273</v>
      </c>
      <c r="B278" s="211">
        <v>40909</v>
      </c>
      <c r="C278" s="211" t="str">
        <f>+'Retail Rates'!B18</f>
        <v>LGCMG875</v>
      </c>
      <c r="D278" s="197" t="str">
        <f t="shared" si="28"/>
        <v>875</v>
      </c>
      <c r="E278" s="197" t="str">
        <f>VLOOKUP(C278,'Retail Rates'!$B$7:$D$35,3,FALSE)</f>
        <v>DGGS-C</v>
      </c>
      <c r="F278" s="222">
        <f>SUMIFS('Data-Retail'!$H$4:$H$269,'Data-Retail'!$A$4:$A$269,'GSC Support'!$B278,'Data-Retail'!$D$4:$D$269,'GSC Support'!$C278)</f>
        <v>0</v>
      </c>
      <c r="G278" s="222">
        <f>SUMIFS('Data-Retail'!$I$4:$I$269,'Data-Retail'!$A$4:$A$269,'GSC Support'!$B278,'Data-Retail'!$D$4:$D$269,'GSC Support'!$C278)</f>
        <v>0</v>
      </c>
      <c r="H278" s="222">
        <f t="shared" si="31"/>
        <v>0</v>
      </c>
      <c r="I278" s="286"/>
      <c r="J278" s="286"/>
      <c r="K278" s="286"/>
      <c r="L278" s="286">
        <f t="shared" si="29"/>
        <v>0</v>
      </c>
      <c r="M278" s="279">
        <f t="shared" si="35"/>
        <v>0</v>
      </c>
      <c r="N278" s="279"/>
      <c r="O278" s="323">
        <f>SUMIFS('Data-Retail'!$N$4:$N$238,'Data-Retail'!$A$4:$A$238,'GSC Support'!$B278,'Data-Retail'!$D$4:$D$238,'GSC Support'!$C278)</f>
        <v>0</v>
      </c>
      <c r="P278" s="323"/>
      <c r="Q278" s="323"/>
      <c r="R278" s="323"/>
      <c r="S278" s="281">
        <f ca="1">SUMIFS('Apr11-Mar12 Billed-RETAIL'!$BA$5:$BA$138,'Apr11-Mar12 Billed-RETAIL'!$B$5:$B$138,'GSC Support'!$B278,'Apr11-Mar12 Billed-RETAIL'!$C$5:$C$138,'GSC Support'!$C278)</f>
        <v>0</v>
      </c>
      <c r="T278" s="287"/>
      <c r="U278" s="287"/>
      <c r="V278" s="287">
        <f t="shared" si="32"/>
        <v>0</v>
      </c>
      <c r="W278" s="288">
        <f t="shared" ca="1" si="33"/>
        <v>0</v>
      </c>
    </row>
    <row r="279" spans="1:23" x14ac:dyDescent="0.2">
      <c r="A279" s="196">
        <f t="shared" si="34"/>
        <v>274</v>
      </c>
      <c r="B279" s="211">
        <v>40909</v>
      </c>
      <c r="C279" s="211" t="str">
        <f>+'Retail Rates'!B19</f>
        <v>LGCMG895</v>
      </c>
      <c r="D279" s="197" t="str">
        <f t="shared" si="28"/>
        <v>895</v>
      </c>
      <c r="E279" s="197" t="str">
        <f>VLOOKUP(C279,'Retail Rates'!$B$7:$D$35,3,FALSE)</f>
        <v>FT-C</v>
      </c>
      <c r="F279" s="222">
        <f>SUMIFS('Data-Retail'!$H$4:$H$269,'Data-Retail'!$A$4:$A$269,'GSC Support'!$B279,'Data-Retail'!$D$4:$D$269,'GSC Support'!$C279)</f>
        <v>0</v>
      </c>
      <c r="G279" s="222">
        <f>SUMIFS('Data-Retail'!$I$4:$I$269,'Data-Retail'!$A$4:$A$269,'GSC Support'!$B279,'Data-Retail'!$D$4:$D$269,'GSC Support'!$C279)</f>
        <v>0</v>
      </c>
      <c r="H279" s="222">
        <f t="shared" si="31"/>
        <v>0</v>
      </c>
      <c r="I279" s="286"/>
      <c r="J279" s="286"/>
      <c r="K279" s="286"/>
      <c r="L279" s="286">
        <f t="shared" si="29"/>
        <v>0</v>
      </c>
      <c r="M279" s="279">
        <f t="shared" si="35"/>
        <v>0</v>
      </c>
      <c r="N279" s="279"/>
      <c r="O279" s="323">
        <f>SUMIFS('Data-Retail'!$N$4:$N$238,'Data-Retail'!$A$4:$A$238,'GSC Support'!$B279,'Data-Retail'!$D$4:$D$238,'GSC Support'!$C279)</f>
        <v>0</v>
      </c>
      <c r="P279" s="323"/>
      <c r="Q279" s="323"/>
      <c r="R279" s="323"/>
      <c r="S279" s="281">
        <f>SUMIFS('Apr11-Mar12 Billed-RETAIL'!$BA$5:$BA$138,'Apr11-Mar12 Billed-RETAIL'!$B$5:$B$138,'GSC Support'!$B279,'Apr11-Mar12 Billed-RETAIL'!$C$5:$C$138,'GSC Support'!$C279)</f>
        <v>0</v>
      </c>
      <c r="T279" s="287"/>
      <c r="U279" s="287"/>
      <c r="V279" s="287">
        <f t="shared" si="32"/>
        <v>0</v>
      </c>
      <c r="W279" s="288">
        <f t="shared" si="33"/>
        <v>0</v>
      </c>
    </row>
    <row r="280" spans="1:23" x14ac:dyDescent="0.2">
      <c r="A280" s="196">
        <f t="shared" si="34"/>
        <v>275</v>
      </c>
      <c r="B280" s="211">
        <v>40909</v>
      </c>
      <c r="C280" s="211" t="str">
        <f>+'Retail Rates'!B20</f>
        <v>LGCMG895PM</v>
      </c>
      <c r="D280" s="197" t="str">
        <f t="shared" si="28"/>
        <v>895</v>
      </c>
      <c r="E280" s="197" t="str">
        <f>VLOOKUP(C280,'Retail Rates'!$B$7:$D$35,3,FALSE)</f>
        <v>FT-C-PM</v>
      </c>
      <c r="F280" s="222">
        <f>SUMIFS('Data-Retail'!$H$4:$H$269,'Data-Retail'!$A$4:$A$269,'GSC Support'!$B280,'Data-Retail'!$D$4:$D$269,'GSC Support'!$C280)</f>
        <v>0</v>
      </c>
      <c r="G280" s="222">
        <f>SUMIFS('Data-Retail'!$I$4:$I$269,'Data-Retail'!$A$4:$A$269,'GSC Support'!$B280,'Data-Retail'!$D$4:$D$269,'GSC Support'!$C280)</f>
        <v>0</v>
      </c>
      <c r="H280" s="222">
        <f t="shared" si="31"/>
        <v>0</v>
      </c>
      <c r="I280" s="286"/>
      <c r="J280" s="286"/>
      <c r="K280" s="286"/>
      <c r="L280" s="286">
        <f t="shared" si="29"/>
        <v>0</v>
      </c>
      <c r="M280" s="279">
        <f t="shared" si="35"/>
        <v>0</v>
      </c>
      <c r="N280" s="279"/>
      <c r="O280" s="323">
        <f>SUMIFS('Data-Retail'!$N$4:$N$238,'Data-Retail'!$A$4:$A$238,'GSC Support'!$B280,'Data-Retail'!$D$4:$D$238,'GSC Support'!$C280)</f>
        <v>0</v>
      </c>
      <c r="P280" s="323"/>
      <c r="Q280" s="323"/>
      <c r="R280" s="323"/>
      <c r="S280" s="281">
        <f>SUMIFS('Apr11-Mar12 Billed-RETAIL'!$BA$5:$BA$138,'Apr11-Mar12 Billed-RETAIL'!$B$5:$B$138,'GSC Support'!$B280,'Apr11-Mar12 Billed-RETAIL'!$C$5:$C$138,'GSC Support'!$C280)</f>
        <v>0</v>
      </c>
      <c r="T280" s="287"/>
      <c r="U280" s="287"/>
      <c r="V280" s="287">
        <f t="shared" si="32"/>
        <v>0</v>
      </c>
      <c r="W280" s="288">
        <f t="shared" si="33"/>
        <v>0</v>
      </c>
    </row>
    <row r="281" spans="1:23" x14ac:dyDescent="0.2">
      <c r="A281" s="196">
        <f t="shared" si="34"/>
        <v>276</v>
      </c>
      <c r="B281" s="211">
        <v>40909</v>
      </c>
      <c r="C281" s="211" t="str">
        <f>+'Retail Rates'!B21</f>
        <v>LGING896</v>
      </c>
      <c r="D281" s="197" t="str">
        <f t="shared" si="28"/>
        <v>896</v>
      </c>
      <c r="E281" s="197" t="str">
        <f>VLOOKUP(C281,'Retail Rates'!$B$7:$D$35,3,FALSE)</f>
        <v>FT-I</v>
      </c>
      <c r="F281" s="222">
        <f>SUMIFS('Data-Retail'!$H$4:$H$269,'Data-Retail'!$A$4:$A$269,'GSC Support'!$B281,'Data-Retail'!$D$4:$D$269,'GSC Support'!$C281)</f>
        <v>0</v>
      </c>
      <c r="G281" s="222">
        <f>SUMIFS('Data-Retail'!$I$4:$I$269,'Data-Retail'!$A$4:$A$269,'GSC Support'!$B281,'Data-Retail'!$D$4:$D$269,'GSC Support'!$C281)</f>
        <v>0</v>
      </c>
      <c r="H281" s="222">
        <f t="shared" si="31"/>
        <v>0</v>
      </c>
      <c r="I281" s="286"/>
      <c r="J281" s="286"/>
      <c r="K281" s="286"/>
      <c r="L281" s="286">
        <f t="shared" si="29"/>
        <v>0</v>
      </c>
      <c r="M281" s="279">
        <f t="shared" si="35"/>
        <v>0</v>
      </c>
      <c r="N281" s="279"/>
      <c r="O281" s="323">
        <f>SUMIFS('Data-Retail'!$N$4:$N$238,'Data-Retail'!$A$4:$A$238,'GSC Support'!$B281,'Data-Retail'!$D$4:$D$238,'GSC Support'!$C281)</f>
        <v>0</v>
      </c>
      <c r="P281" s="323"/>
      <c r="Q281" s="323"/>
      <c r="R281" s="323"/>
      <c r="S281" s="281">
        <f>SUMIFS('Apr11-Mar12 Billed-RETAIL'!$BA$5:$BA$138,'Apr11-Mar12 Billed-RETAIL'!$B$5:$B$138,'GSC Support'!$B281,'Apr11-Mar12 Billed-RETAIL'!$C$5:$C$138,'GSC Support'!$C281)</f>
        <v>0</v>
      </c>
      <c r="T281" s="287"/>
      <c r="U281" s="287"/>
      <c r="V281" s="287">
        <f t="shared" si="32"/>
        <v>0</v>
      </c>
      <c r="W281" s="288">
        <f t="shared" si="33"/>
        <v>0</v>
      </c>
    </row>
    <row r="282" spans="1:23" x14ac:dyDescent="0.2">
      <c r="A282" s="196">
        <f t="shared" si="34"/>
        <v>277</v>
      </c>
      <c r="B282" s="211">
        <v>40909</v>
      </c>
      <c r="C282" s="211" t="str">
        <f>+'Retail Rates'!B22</f>
        <v>LGING896PM</v>
      </c>
      <c r="D282" s="197" t="str">
        <f t="shared" si="28"/>
        <v>896</v>
      </c>
      <c r="E282" s="197" t="str">
        <f>VLOOKUP(C282,'Retail Rates'!$B$7:$D$35,3,FALSE)</f>
        <v>FT-I-PM</v>
      </c>
      <c r="F282" s="222">
        <f>SUMIFS('Data-Retail'!$H$4:$H$269,'Data-Retail'!$A$4:$A$269,'GSC Support'!$B282,'Data-Retail'!$D$4:$D$269,'GSC Support'!$C282)</f>
        <v>0</v>
      </c>
      <c r="G282" s="222">
        <f>SUMIFS('Data-Retail'!$I$4:$I$269,'Data-Retail'!$A$4:$A$269,'GSC Support'!$B282,'Data-Retail'!$D$4:$D$269,'GSC Support'!$C282)</f>
        <v>0</v>
      </c>
      <c r="H282" s="222">
        <f t="shared" si="31"/>
        <v>0</v>
      </c>
      <c r="I282" s="286"/>
      <c r="J282" s="286"/>
      <c r="K282" s="286"/>
      <c r="L282" s="286">
        <f t="shared" si="29"/>
        <v>0</v>
      </c>
      <c r="M282" s="279">
        <f t="shared" si="35"/>
        <v>0</v>
      </c>
      <c r="N282" s="279"/>
      <c r="O282" s="323">
        <f>SUMIFS('Data-Retail'!$N$4:$N$238,'Data-Retail'!$A$4:$A$238,'GSC Support'!$B282,'Data-Retail'!$D$4:$D$238,'GSC Support'!$C282)</f>
        <v>0</v>
      </c>
      <c r="P282" s="323"/>
      <c r="Q282" s="323"/>
      <c r="R282" s="323"/>
      <c r="S282" s="281">
        <f>SUMIFS('Apr11-Mar12 Billed-RETAIL'!$BA$5:$BA$138,'Apr11-Mar12 Billed-RETAIL'!$B$5:$B$138,'GSC Support'!$B282,'Apr11-Mar12 Billed-RETAIL'!$C$5:$C$138,'GSC Support'!$C282)</f>
        <v>0</v>
      </c>
      <c r="T282" s="287"/>
      <c r="U282" s="287"/>
      <c r="V282" s="287">
        <f t="shared" si="32"/>
        <v>0</v>
      </c>
      <c r="W282" s="288">
        <f t="shared" si="33"/>
        <v>0</v>
      </c>
    </row>
    <row r="283" spans="1:23" x14ac:dyDescent="0.2">
      <c r="A283" s="196">
        <f t="shared" si="34"/>
        <v>278</v>
      </c>
      <c r="B283" s="211">
        <v>40909</v>
      </c>
      <c r="C283" s="211" t="str">
        <f>+'Retail Rates'!B23</f>
        <v>LGING855</v>
      </c>
      <c r="D283" s="197" t="str">
        <f t="shared" si="28"/>
        <v>855</v>
      </c>
      <c r="E283" s="197" t="str">
        <f>VLOOKUP(C283,'Retail Rates'!$B$7:$D$35,3,FALSE)</f>
        <v>IGS</v>
      </c>
      <c r="F283" s="222">
        <f>SUMIFS('Data-Retail'!$H$4:$H$269,'Data-Retail'!$A$4:$A$269,'GSC Support'!$B283,'Data-Retail'!$D$4:$D$269,'GSC Support'!$C283)</f>
        <v>1108923</v>
      </c>
      <c r="G283" s="222">
        <f>SUMIFS('Data-Retail'!$I$4:$I$269,'Data-Retail'!$A$4:$A$269,'GSC Support'!$B283,'Data-Retail'!$D$4:$D$269,'GSC Support'!$C283)</f>
        <v>0</v>
      </c>
      <c r="H283" s="222">
        <f t="shared" si="31"/>
        <v>1108923</v>
      </c>
      <c r="I283" s="286">
        <v>1108923</v>
      </c>
      <c r="J283" s="286"/>
      <c r="K283" s="286"/>
      <c r="L283" s="286">
        <f t="shared" si="29"/>
        <v>1108923</v>
      </c>
      <c r="M283" s="279">
        <f t="shared" si="35"/>
        <v>0</v>
      </c>
      <c r="N283" s="279"/>
      <c r="O283" s="323">
        <f>SUMIFS('Data-Retail'!$N$4:$N$238,'Data-Retail'!$A$4:$A$238,'GSC Support'!$B283,'Data-Retail'!$D$4:$D$238,'GSC Support'!$C283)</f>
        <v>572226.41999999993</v>
      </c>
      <c r="P283" s="323"/>
      <c r="Q283" s="323"/>
      <c r="R283" s="323"/>
      <c r="S283" s="281">
        <f ca="1">SUMIFS('Apr11-Mar12 Billed-RETAIL'!$BA$5:$BA$138,'Apr11-Mar12 Billed-RETAIL'!$B$5:$B$138,'GSC Support'!$B283,'Apr11-Mar12 Billed-RETAIL'!$C$5:$C$138,'GSC Support'!$C283)</f>
        <v>572226.41999999993</v>
      </c>
      <c r="T283" s="287">
        <v>572226.42000000004</v>
      </c>
      <c r="U283" s="287"/>
      <c r="V283" s="287">
        <f t="shared" si="32"/>
        <v>572226.42000000004</v>
      </c>
      <c r="W283" s="288">
        <f t="shared" ca="1" si="33"/>
        <v>0</v>
      </c>
    </row>
    <row r="284" spans="1:23" x14ac:dyDescent="0.2">
      <c r="A284" s="196">
        <f t="shared" si="34"/>
        <v>279</v>
      </c>
      <c r="B284" s="211">
        <v>40909</v>
      </c>
      <c r="C284" s="211" t="str">
        <f>+'Retail Rates'!B24</f>
        <v>LGING882</v>
      </c>
      <c r="D284" s="197" t="str">
        <f t="shared" si="28"/>
        <v>882</v>
      </c>
      <c r="E284" s="197" t="str">
        <f>VLOOKUP(C284,'Retail Rates'!$B$7:$D$35,3,FALSE)</f>
        <v>IGS-TS</v>
      </c>
      <c r="F284" s="329">
        <v>0</v>
      </c>
      <c r="G284" s="329"/>
      <c r="H284" s="329">
        <f t="shared" si="31"/>
        <v>0</v>
      </c>
      <c r="I284" s="286">
        <v>5163</v>
      </c>
      <c r="J284" s="286"/>
      <c r="K284" s="286"/>
      <c r="L284" s="286">
        <f t="shared" si="29"/>
        <v>5163</v>
      </c>
      <c r="M284" s="331">
        <f t="shared" si="35"/>
        <v>-5163</v>
      </c>
      <c r="N284" s="331"/>
      <c r="O284" s="323"/>
      <c r="P284" s="327"/>
      <c r="Q284" s="326"/>
      <c r="R284" s="323"/>
      <c r="S284" s="281">
        <f>SUMIFS('Apr11-Mar12 Billed-RETAIL'!$BA$5:$BA$138,'Apr11-Mar12 Billed-RETAIL'!$B$5:$B$138,'GSC Support'!$B284,'Apr11-Mar12 Billed-RETAIL'!$C$5:$C$138,'GSC Support'!$C284)</f>
        <v>0</v>
      </c>
      <c r="T284" s="287">
        <v>2664.21</v>
      </c>
      <c r="U284" s="287"/>
      <c r="V284" s="287">
        <f t="shared" si="32"/>
        <v>2664.21</v>
      </c>
      <c r="W284" s="288">
        <f t="shared" si="33"/>
        <v>-2664.21</v>
      </c>
    </row>
    <row r="285" spans="1:23" x14ac:dyDescent="0.2">
      <c r="A285" s="196">
        <f t="shared" si="34"/>
        <v>280</v>
      </c>
      <c r="B285" s="211">
        <v>40909</v>
      </c>
      <c r="C285" s="211" t="str">
        <f>+'Retail Rates'!B25</f>
        <v>LGING882PM</v>
      </c>
      <c r="D285" s="197" t="str">
        <f t="shared" si="28"/>
        <v>882</v>
      </c>
      <c r="E285" s="197" t="str">
        <f>VLOOKUP(C285,'Retail Rates'!$B$7:$D$35,3,FALSE)</f>
        <v>IGS-TS-PM</v>
      </c>
      <c r="F285" s="222">
        <f>SUMIFS('Data-Retail'!$H$4:$H$269,'Data-Retail'!$A$4:$A$269,'GSC Support'!$B285,'Data-Retail'!$D$4:$D$269,'GSC Support'!$C285)</f>
        <v>0</v>
      </c>
      <c r="G285" s="222">
        <f>SUMIFS('Data-Retail'!$I$4:$I$269,'Data-Retail'!$A$4:$A$269,'GSC Support'!$B285,'Data-Retail'!$D$4:$D$269,'GSC Support'!$C285)</f>
        <v>0</v>
      </c>
      <c r="H285" s="222">
        <f t="shared" si="31"/>
        <v>0</v>
      </c>
      <c r="I285" s="286"/>
      <c r="J285" s="286"/>
      <c r="K285" s="286"/>
      <c r="L285" s="286">
        <f t="shared" si="29"/>
        <v>0</v>
      </c>
      <c r="M285" s="279">
        <f t="shared" si="35"/>
        <v>0</v>
      </c>
      <c r="N285" s="279"/>
      <c r="O285" s="323">
        <f>SUMIFS('Data-Retail'!$N$4:$N$238,'Data-Retail'!$A$4:$A$238,'GSC Support'!$B285,'Data-Retail'!$D$4:$D$238,'GSC Support'!$C285)</f>
        <v>0</v>
      </c>
      <c r="P285" s="323"/>
      <c r="Q285" s="323"/>
      <c r="R285" s="323"/>
      <c r="S285" s="281">
        <f>SUMIFS('Apr11-Mar12 Billed-RETAIL'!$BA$5:$BA$138,'Apr11-Mar12 Billed-RETAIL'!$B$5:$B$138,'GSC Support'!$B285,'Apr11-Mar12 Billed-RETAIL'!$C$5:$C$138,'GSC Support'!$C285)</f>
        <v>0</v>
      </c>
      <c r="T285" s="287"/>
      <c r="U285" s="287"/>
      <c r="V285" s="287">
        <f t="shared" si="32"/>
        <v>0</v>
      </c>
      <c r="W285" s="288">
        <f t="shared" si="33"/>
        <v>0</v>
      </c>
    </row>
    <row r="286" spans="1:23" x14ac:dyDescent="0.2">
      <c r="A286" s="196">
        <f t="shared" si="34"/>
        <v>281</v>
      </c>
      <c r="B286" s="211">
        <v>40909</v>
      </c>
      <c r="C286" s="211" t="str">
        <f>+'Retail Rates'!B26</f>
        <v>LGRSG811</v>
      </c>
      <c r="D286" s="197" t="str">
        <f t="shared" si="28"/>
        <v>811</v>
      </c>
      <c r="E286" s="197" t="str">
        <f>VLOOKUP(C286,'Retail Rates'!$B$7:$D$35,3,FALSE)</f>
        <v>RGS</v>
      </c>
      <c r="F286" s="222">
        <f>SUMIFS('Data-Retail'!$H$4:$H$269,'Data-Retail'!$A$4:$A$269,'GSC Support'!$B286,'Data-Retail'!$D$4:$D$269,'GSC Support'!$C286)</f>
        <v>34461276</v>
      </c>
      <c r="G286" s="222">
        <f>SUMIFS('Data-Retail'!$I$4:$I$269,'Data-Retail'!$A$4:$A$269,'GSC Support'!$B286,'Data-Retail'!$D$4:$D$269,'GSC Support'!$C286)</f>
        <v>0</v>
      </c>
      <c r="H286" s="222">
        <f t="shared" si="31"/>
        <v>34461276</v>
      </c>
      <c r="I286" s="286">
        <v>34461276</v>
      </c>
      <c r="J286" s="286"/>
      <c r="K286" s="286"/>
      <c r="L286" s="286">
        <f t="shared" si="29"/>
        <v>34461276</v>
      </c>
      <c r="M286" s="279">
        <f t="shared" si="35"/>
        <v>0</v>
      </c>
      <c r="N286" s="279"/>
      <c r="O286" s="323">
        <f>SUMIFS('Data-Retail'!$N$4:$N$238,'Data-Retail'!$A$4:$A$238,'GSC Support'!$B286,'Data-Retail'!$D$4:$D$238,'GSC Support'!$C286)</f>
        <v>17783561.850000001</v>
      </c>
      <c r="P286" s="323"/>
      <c r="Q286" s="323"/>
      <c r="R286" s="323"/>
      <c r="S286" s="281">
        <f ca="1">SUMIFS('Apr11-Mar12 Billed-RETAIL'!$BA$5:$BA$138,'Apr11-Mar12 Billed-RETAIL'!$B$5:$B$138,'GSC Support'!$B286,'Apr11-Mar12 Billed-RETAIL'!$C$5:$C$138,'GSC Support'!$C286)</f>
        <v>17783561.850000001</v>
      </c>
      <c r="T286" s="287">
        <v>17783561.850000001</v>
      </c>
      <c r="U286" s="287"/>
      <c r="V286" s="287">
        <f t="shared" si="32"/>
        <v>17783561.850000001</v>
      </c>
      <c r="W286" s="288">
        <f t="shared" ca="1" si="33"/>
        <v>0</v>
      </c>
    </row>
    <row r="287" spans="1:23" x14ac:dyDescent="0.2">
      <c r="A287" s="196">
        <f t="shared" si="34"/>
        <v>282</v>
      </c>
      <c r="B287" s="211">
        <v>40909</v>
      </c>
      <c r="C287" s="211" t="str">
        <f>+'Retail Rates'!B27</f>
        <v>LGRSG811S1</v>
      </c>
      <c r="D287" s="197" t="str">
        <f t="shared" si="28"/>
        <v>811</v>
      </c>
      <c r="E287" s="197" t="str">
        <f>VLOOKUP(C287,'Retail Rates'!$B$7:$D$35,3,FALSE)</f>
        <v>RGS</v>
      </c>
      <c r="F287" s="222">
        <f>SUMIFS('Data-Retail'!$H$4:$H$269,'Data-Retail'!$A$4:$A$269,'GSC Support'!$B287,'Data-Retail'!$D$4:$D$269,'GSC Support'!$C287)</f>
        <v>3504</v>
      </c>
      <c r="G287" s="222">
        <f>SUMIFS('Data-Retail'!$I$4:$I$269,'Data-Retail'!$A$4:$A$269,'GSC Support'!$B287,'Data-Retail'!$D$4:$D$269,'GSC Support'!$C287)</f>
        <v>0</v>
      </c>
      <c r="H287" s="222">
        <f t="shared" si="31"/>
        <v>3504</v>
      </c>
      <c r="I287" s="286">
        <v>3504</v>
      </c>
      <c r="J287" s="286"/>
      <c r="K287" s="286"/>
      <c r="L287" s="286">
        <f t="shared" si="29"/>
        <v>3504</v>
      </c>
      <c r="M287" s="279">
        <f t="shared" si="35"/>
        <v>0</v>
      </c>
      <c r="N287" s="279"/>
      <c r="O287" s="323">
        <f>SUMIFS('Data-Retail'!$N$4:$N$238,'Data-Retail'!$A$4:$A$238,'GSC Support'!$B287,'Data-Retail'!$D$4:$D$238,'GSC Support'!$C287)</f>
        <v>1808.13</v>
      </c>
      <c r="P287" s="323"/>
      <c r="Q287" s="323"/>
      <c r="R287" s="323"/>
      <c r="S287" s="281">
        <f ca="1">SUMIFS('Apr11-Mar12 Billed-RETAIL'!$BA$5:$BA$138,'Apr11-Mar12 Billed-RETAIL'!$B$5:$B$138,'GSC Support'!$B287,'Apr11-Mar12 Billed-RETAIL'!$C$5:$C$138,'GSC Support'!$C287)</f>
        <v>1808.13</v>
      </c>
      <c r="T287" s="287">
        <v>1808.13</v>
      </c>
      <c r="U287" s="287"/>
      <c r="V287" s="287">
        <f t="shared" si="32"/>
        <v>1808.13</v>
      </c>
      <c r="W287" s="288">
        <f t="shared" ca="1" si="33"/>
        <v>0</v>
      </c>
    </row>
    <row r="288" spans="1:23" x14ac:dyDescent="0.2">
      <c r="A288" s="196">
        <f t="shared" si="34"/>
        <v>283</v>
      </c>
      <c r="B288" s="211">
        <v>40909</v>
      </c>
      <c r="C288" s="211" t="str">
        <f>+'Retail Rates'!B28</f>
        <v>LGRSG840</v>
      </c>
      <c r="D288" s="197" t="str">
        <f t="shared" si="28"/>
        <v>840</v>
      </c>
      <c r="E288" s="197" t="str">
        <f>VLOOKUP(C288,'Retail Rates'!$B$7:$D$35,3,FALSE)</f>
        <v>RGS</v>
      </c>
      <c r="F288" s="222">
        <f>SUMIFS('Data-Retail'!$H$4:$H$269,'Data-Retail'!$A$4:$A$269,'GSC Support'!$B288,'Data-Retail'!$D$4:$D$269,'GSC Support'!$C288)</f>
        <v>2824</v>
      </c>
      <c r="G288" s="222">
        <f>SUMIFS('Data-Retail'!$I$4:$I$269,'Data-Retail'!$A$4:$A$269,'GSC Support'!$B288,'Data-Retail'!$D$4:$D$269,'GSC Support'!$C288)</f>
        <v>0</v>
      </c>
      <c r="H288" s="222">
        <f t="shared" si="31"/>
        <v>2824</v>
      </c>
      <c r="I288" s="286">
        <v>2824</v>
      </c>
      <c r="J288" s="286"/>
      <c r="K288" s="286"/>
      <c r="L288" s="286">
        <f t="shared" si="29"/>
        <v>2824</v>
      </c>
      <c r="M288" s="279">
        <f t="shared" si="35"/>
        <v>0</v>
      </c>
      <c r="N288" s="279"/>
      <c r="O288" s="323">
        <f>SUMIFS('Data-Retail'!$N$4:$N$238,'Data-Retail'!$A$4:$A$238,'GSC Support'!$B288,'Data-Retail'!$D$4:$D$238,'GSC Support'!$C288)</f>
        <v>1457.23</v>
      </c>
      <c r="P288" s="323"/>
      <c r="Q288" s="323"/>
      <c r="R288" s="323"/>
      <c r="S288" s="281">
        <f ca="1">SUMIFS('Apr11-Mar12 Billed-RETAIL'!$BA$5:$BA$138,'Apr11-Mar12 Billed-RETAIL'!$B$5:$B$138,'GSC Support'!$B288,'Apr11-Mar12 Billed-RETAIL'!$C$5:$C$138,'GSC Support'!$C288)</f>
        <v>1457.23</v>
      </c>
      <c r="T288" s="287">
        <v>1457.23</v>
      </c>
      <c r="U288" s="287"/>
      <c r="V288" s="287">
        <f t="shared" si="32"/>
        <v>1457.23</v>
      </c>
      <c r="W288" s="288">
        <f t="shared" ca="1" si="33"/>
        <v>0</v>
      </c>
    </row>
    <row r="289" spans="1:23" x14ac:dyDescent="0.2">
      <c r="A289" s="196">
        <f t="shared" si="34"/>
        <v>284</v>
      </c>
      <c r="B289" s="211">
        <v>40909</v>
      </c>
      <c r="C289" s="211" t="str">
        <f>+'Retail Rates'!B29</f>
        <v>LGUMG830</v>
      </c>
      <c r="D289" s="197" t="str">
        <f t="shared" si="28"/>
        <v>830</v>
      </c>
      <c r="E289" s="197" t="str">
        <f>VLOOKUP(C289,'Retail Rates'!$B$7:$D$35,3,FALSE)</f>
        <v>RGS</v>
      </c>
      <c r="F289" s="222">
        <f>SUMIFS('Data-Retail'!$H$4:$H$269,'Data-Retail'!$A$4:$A$269,'GSC Support'!$B289,'Data-Retail'!$D$4:$D$269,'GSC Support'!$C289)</f>
        <v>32</v>
      </c>
      <c r="G289" s="222">
        <f>SUMIFS('Data-Retail'!$I$4:$I$269,'Data-Retail'!$A$4:$A$269,'GSC Support'!$B289,'Data-Retail'!$D$4:$D$269,'GSC Support'!$C289)</f>
        <v>0</v>
      </c>
      <c r="H289" s="222">
        <f t="shared" si="31"/>
        <v>32</v>
      </c>
      <c r="I289" s="286">
        <v>32</v>
      </c>
      <c r="J289" s="286"/>
      <c r="K289" s="286"/>
      <c r="L289" s="286">
        <f t="shared" si="29"/>
        <v>32</v>
      </c>
      <c r="M289" s="279">
        <f t="shared" si="35"/>
        <v>0</v>
      </c>
      <c r="N289" s="279"/>
      <c r="O289" s="323">
        <f>SUMIFS('Data-Retail'!$N$4:$N$238,'Data-Retail'!$A$4:$A$238,'GSC Support'!$B289,'Data-Retail'!$D$4:$D$238,'GSC Support'!$C289)</f>
        <v>16.510000000000002</v>
      </c>
      <c r="P289" s="323"/>
      <c r="Q289" s="323"/>
      <c r="R289" s="323"/>
      <c r="S289" s="281">
        <f ca="1">SUMIFS('Apr11-Mar12 Billed-RETAIL'!$BA$5:$BA$138,'Apr11-Mar12 Billed-RETAIL'!$B$5:$B$138,'GSC Support'!$B289,'Apr11-Mar12 Billed-RETAIL'!$C$5:$C$138,'GSC Support'!$C289)</f>
        <v>16.510000000000002</v>
      </c>
      <c r="T289" s="287">
        <v>16.510000000000002</v>
      </c>
      <c r="U289" s="287"/>
      <c r="V289" s="287">
        <f t="shared" si="32"/>
        <v>16.510000000000002</v>
      </c>
      <c r="W289" s="288">
        <f t="shared" ca="1" si="33"/>
        <v>0</v>
      </c>
    </row>
    <row r="290" spans="1:23" x14ac:dyDescent="0.2">
      <c r="A290" s="196">
        <f t="shared" si="34"/>
        <v>285</v>
      </c>
      <c r="B290" s="211">
        <v>40909</v>
      </c>
      <c r="C290" s="211" t="str">
        <f>+'Retail Rates'!B30</f>
        <v>LGING992</v>
      </c>
      <c r="D290" s="197" t="str">
        <f t="shared" si="28"/>
        <v>992</v>
      </c>
      <c r="E290" s="197" t="str">
        <f>VLOOKUP(C290,'Retail Rates'!$B$7:$D$35,3,FALSE)</f>
        <v>SPC-EIDuP</v>
      </c>
      <c r="F290" s="222">
        <f>SUMIFS('Data-Retail'!$H$4:$H$269,'Data-Retail'!$A$4:$A$269,'GSC Support'!$B290,'Data-Retail'!$D$4:$D$269,'GSC Support'!$C290)</f>
        <v>0</v>
      </c>
      <c r="G290" s="222">
        <f>SUMIFS('Data-Retail'!$I$4:$I$269,'Data-Retail'!$A$4:$A$269,'GSC Support'!$B290,'Data-Retail'!$D$4:$D$269,'GSC Support'!$C290)</f>
        <v>0</v>
      </c>
      <c r="H290" s="222">
        <f t="shared" si="31"/>
        <v>0</v>
      </c>
      <c r="I290" s="286"/>
      <c r="J290" s="286"/>
      <c r="K290" s="286"/>
      <c r="L290" s="286">
        <f t="shared" si="29"/>
        <v>0</v>
      </c>
      <c r="M290" s="279">
        <f t="shared" si="35"/>
        <v>0</v>
      </c>
      <c r="N290" s="279"/>
      <c r="O290" s="323">
        <f>SUMIFS('Data-Retail'!$N$4:$N$238,'Data-Retail'!$A$4:$A$238,'GSC Support'!$B290,'Data-Retail'!$D$4:$D$238,'GSC Support'!$C290)</f>
        <v>0</v>
      </c>
      <c r="P290" s="323"/>
      <c r="Q290" s="323"/>
      <c r="R290" s="323"/>
      <c r="S290" s="281">
        <f>SUMIFS('Apr11-Mar12 Billed-RETAIL'!$BA$5:$BA$138,'Apr11-Mar12 Billed-RETAIL'!$B$5:$B$138,'GSC Support'!$B290,'Apr11-Mar12 Billed-RETAIL'!$C$5:$C$138,'GSC Support'!$C290)</f>
        <v>0</v>
      </c>
      <c r="T290" s="287"/>
      <c r="U290" s="287"/>
      <c r="V290" s="287">
        <f t="shared" si="32"/>
        <v>0</v>
      </c>
      <c r="W290" s="288">
        <f t="shared" si="33"/>
        <v>0</v>
      </c>
    </row>
    <row r="291" spans="1:23" x14ac:dyDescent="0.2">
      <c r="A291" s="196">
        <f t="shared" si="34"/>
        <v>286</v>
      </c>
      <c r="B291" s="211">
        <v>40909</v>
      </c>
      <c r="C291" s="211" t="str">
        <f>+'Retail Rates'!B31</f>
        <v>LGING896FD</v>
      </c>
      <c r="D291" s="197" t="str">
        <f t="shared" si="28"/>
        <v>896</v>
      </c>
      <c r="E291" s="197" t="str">
        <f>VLOOKUP(C291,'Retail Rates'!$B$7:$D$35,3,FALSE)</f>
        <v>SPC-FORD</v>
      </c>
      <c r="F291" s="222">
        <f>SUMIFS('Data-Retail'!$H$4:$H$269,'Data-Retail'!$A$4:$A$269,'GSC Support'!$B291,'Data-Retail'!$D$4:$D$269,'GSC Support'!$C291)</f>
        <v>0</v>
      </c>
      <c r="G291" s="222">
        <f>SUMIFS('Data-Retail'!$I$4:$I$269,'Data-Retail'!$A$4:$A$269,'GSC Support'!$B291,'Data-Retail'!$D$4:$D$269,'GSC Support'!$C291)</f>
        <v>0</v>
      </c>
      <c r="H291" s="222">
        <f t="shared" si="31"/>
        <v>0</v>
      </c>
      <c r="I291" s="286"/>
      <c r="J291" s="286"/>
      <c r="K291" s="286"/>
      <c r="L291" s="286">
        <f t="shared" si="29"/>
        <v>0</v>
      </c>
      <c r="M291" s="279">
        <f t="shared" si="35"/>
        <v>0</v>
      </c>
      <c r="N291" s="279"/>
      <c r="O291" s="323">
        <f>SUMIFS('Data-Retail'!$N$4:$N$238,'Data-Retail'!$A$4:$A$238,'GSC Support'!$B291,'Data-Retail'!$D$4:$D$238,'GSC Support'!$C291)</f>
        <v>0</v>
      </c>
      <c r="P291" s="323"/>
      <c r="Q291" s="323"/>
      <c r="R291" s="323"/>
      <c r="S291" s="281">
        <f>SUMIFS('Apr11-Mar12 Billed-RETAIL'!$BA$5:$BA$138,'Apr11-Mar12 Billed-RETAIL'!$B$5:$B$138,'GSC Support'!$B291,'Apr11-Mar12 Billed-RETAIL'!$C$5:$C$138,'GSC Support'!$C291)</f>
        <v>0</v>
      </c>
      <c r="T291" s="287"/>
      <c r="U291" s="287"/>
      <c r="V291" s="287">
        <f t="shared" si="32"/>
        <v>0</v>
      </c>
      <c r="W291" s="288">
        <f t="shared" si="33"/>
        <v>0</v>
      </c>
    </row>
    <row r="292" spans="1:23" x14ac:dyDescent="0.2">
      <c r="A292" s="196">
        <f t="shared" si="34"/>
        <v>287</v>
      </c>
      <c r="B292" s="211">
        <v>40909</v>
      </c>
      <c r="C292" s="211" t="str">
        <f>+'Retail Rates'!B32</f>
        <v>LGING896FM</v>
      </c>
      <c r="D292" s="197" t="str">
        <f t="shared" si="28"/>
        <v>896</v>
      </c>
      <c r="E292" s="197" t="str">
        <f>VLOOKUP(C292,'Retail Rates'!$B$7:$D$35,3,FALSE)</f>
        <v>SPC-FORD-PM</v>
      </c>
      <c r="F292" s="222">
        <f>SUMIFS('Data-Retail'!$H$4:$H$269,'Data-Retail'!$A$4:$A$269,'GSC Support'!$B292,'Data-Retail'!$D$4:$D$269,'GSC Support'!$C292)</f>
        <v>0</v>
      </c>
      <c r="G292" s="222">
        <f>SUMIFS('Data-Retail'!$I$4:$I$269,'Data-Retail'!$A$4:$A$269,'GSC Support'!$B292,'Data-Retail'!$D$4:$D$269,'GSC Support'!$C292)</f>
        <v>0</v>
      </c>
      <c r="H292" s="222">
        <f t="shared" si="31"/>
        <v>0</v>
      </c>
      <c r="I292" s="286"/>
      <c r="J292" s="286"/>
      <c r="K292" s="286"/>
      <c r="L292" s="286">
        <f t="shared" si="29"/>
        <v>0</v>
      </c>
      <c r="M292" s="279">
        <f t="shared" si="35"/>
        <v>0</v>
      </c>
      <c r="N292" s="279"/>
      <c r="O292" s="323">
        <f>SUMIFS('Data-Retail'!$N$4:$N$238,'Data-Retail'!$A$4:$A$238,'GSC Support'!$B292,'Data-Retail'!$D$4:$D$238,'GSC Support'!$C292)</f>
        <v>0</v>
      </c>
      <c r="P292" s="323"/>
      <c r="Q292" s="323"/>
      <c r="R292" s="323"/>
      <c r="S292" s="281">
        <f>SUMIFS('Apr11-Mar12 Billed-RETAIL'!$BA$5:$BA$138,'Apr11-Mar12 Billed-RETAIL'!$B$5:$B$138,'GSC Support'!$B292,'Apr11-Mar12 Billed-RETAIL'!$C$5:$C$138,'GSC Support'!$C292)</f>
        <v>0</v>
      </c>
      <c r="T292" s="287"/>
      <c r="U292" s="287"/>
      <c r="V292" s="287">
        <f t="shared" si="32"/>
        <v>0</v>
      </c>
      <c r="W292" s="288">
        <f t="shared" si="33"/>
        <v>0</v>
      </c>
    </row>
    <row r="293" spans="1:23" x14ac:dyDescent="0.2">
      <c r="A293" s="196">
        <f t="shared" si="34"/>
        <v>288</v>
      </c>
      <c r="B293" s="211">
        <v>40909</v>
      </c>
      <c r="C293" s="211" t="str">
        <f>+'Retail Rates'!B33</f>
        <v>LGCMG991</v>
      </c>
      <c r="D293" s="197" t="str">
        <f t="shared" si="28"/>
        <v>991</v>
      </c>
      <c r="E293" s="197" t="str">
        <f>VLOOKUP(C293,'Retail Rates'!$B$7:$D$35,3,FALSE)</f>
        <v>SPC-FTKX</v>
      </c>
      <c r="F293" s="222">
        <f>SUMIFS('Data-Retail'!$H$4:$H$269,'Data-Retail'!$A$4:$A$269,'GSC Support'!$B293,'Data-Retail'!$D$4:$D$269,'GSC Support'!$C293)</f>
        <v>0</v>
      </c>
      <c r="G293" s="222">
        <f>SUMIFS('Data-Retail'!$I$4:$I$269,'Data-Retail'!$A$4:$A$269,'GSC Support'!$B293,'Data-Retail'!$D$4:$D$269,'GSC Support'!$C293)</f>
        <v>0</v>
      </c>
      <c r="H293" s="222">
        <f t="shared" si="31"/>
        <v>0</v>
      </c>
      <c r="I293" s="286"/>
      <c r="J293" s="286"/>
      <c r="K293" s="286"/>
      <c r="L293" s="286">
        <f t="shared" si="29"/>
        <v>0</v>
      </c>
      <c r="M293" s="279">
        <f t="shared" si="35"/>
        <v>0</v>
      </c>
      <c r="N293" s="279"/>
      <c r="O293" s="323">
        <f>SUMIFS('Data-Retail'!$N$4:$N$238,'Data-Retail'!$A$4:$A$238,'GSC Support'!$B293,'Data-Retail'!$D$4:$D$238,'GSC Support'!$C293)</f>
        <v>0</v>
      </c>
      <c r="P293" s="323"/>
      <c r="Q293" s="323"/>
      <c r="R293" s="323"/>
      <c r="S293" s="281">
        <f>SUMIFS('Apr11-Mar12 Billed-RETAIL'!$BA$5:$BA$138,'Apr11-Mar12 Billed-RETAIL'!$B$5:$B$138,'GSC Support'!$B293,'Apr11-Mar12 Billed-RETAIL'!$C$5:$C$138,'GSC Support'!$C293)</f>
        <v>0</v>
      </c>
      <c r="T293" s="287"/>
      <c r="U293" s="287"/>
      <c r="V293" s="287">
        <f t="shared" si="32"/>
        <v>0</v>
      </c>
      <c r="W293" s="288">
        <f t="shared" si="33"/>
        <v>0</v>
      </c>
    </row>
    <row r="294" spans="1:23" x14ac:dyDescent="0.2">
      <c r="A294" s="196">
        <f t="shared" si="34"/>
        <v>289</v>
      </c>
      <c r="B294" s="211">
        <v>40909</v>
      </c>
      <c r="C294" s="211" t="str">
        <f>+'Retail Rates'!B34</f>
        <v>LGING996</v>
      </c>
      <c r="D294" s="197" t="str">
        <f t="shared" si="28"/>
        <v>996</v>
      </c>
      <c r="E294" s="197" t="str">
        <f>VLOOKUP(C294,'Retail Rates'!$B$7:$D$35,3,FALSE)</f>
        <v>SPC-LGE</v>
      </c>
      <c r="F294" s="222">
        <f>SUMIFS('Data-Retail'!$H$4:$H$269,'Data-Retail'!$A$4:$A$269,'GSC Support'!$B294,'Data-Retail'!$D$4:$D$269,'GSC Support'!$C294)</f>
        <v>390284</v>
      </c>
      <c r="G294" s="222">
        <f>SUMIFS('Data-Retail'!$I$4:$I$269,'Data-Retail'!$A$4:$A$269,'GSC Support'!$B294,'Data-Retail'!$D$4:$D$269,'GSC Support'!$C294)</f>
        <v>0</v>
      </c>
      <c r="H294" s="222">
        <f t="shared" si="31"/>
        <v>390284</v>
      </c>
      <c r="I294" s="286">
        <v>390284</v>
      </c>
      <c r="J294" s="286"/>
      <c r="K294" s="286"/>
      <c r="L294" s="286">
        <f t="shared" si="29"/>
        <v>390284</v>
      </c>
      <c r="M294" s="279">
        <f t="shared" si="35"/>
        <v>0</v>
      </c>
      <c r="N294" s="279"/>
      <c r="O294" s="323">
        <f>SUMIFS('Data-Retail'!$N$4:$N$238,'Data-Retail'!$A$4:$A$238,'GSC Support'!$B294,'Data-Retail'!$D$4:$D$238,'GSC Support'!$C294)</f>
        <v>201394.35</v>
      </c>
      <c r="P294" s="323"/>
      <c r="Q294" s="323"/>
      <c r="R294" s="323"/>
      <c r="S294" s="281">
        <f>SUMIFS('Apr11-Mar12 Billed-RETAIL'!$BA$5:$BA$138,'Apr11-Mar12 Billed-RETAIL'!$B$5:$B$138,'GSC Support'!$B294,'Apr11-Mar12 Billed-RETAIL'!$C$5:$C$138,'GSC Support'!$C294)</f>
        <v>0</v>
      </c>
      <c r="T294" s="287">
        <v>201394.35</v>
      </c>
      <c r="U294" s="287"/>
      <c r="V294" s="287">
        <f t="shared" si="32"/>
        <v>201394.35</v>
      </c>
      <c r="W294" s="288">
        <f t="shared" si="33"/>
        <v>-201394.35</v>
      </c>
    </row>
    <row r="295" spans="1:23" x14ac:dyDescent="0.2">
      <c r="A295" s="196">
        <f t="shared" si="34"/>
        <v>290</v>
      </c>
      <c r="B295" s="211">
        <v>40909</v>
      </c>
      <c r="C295" s="211" t="str">
        <f>+'Retail Rates'!B35</f>
        <v>LGING997</v>
      </c>
      <c r="D295" s="197" t="str">
        <f t="shared" si="28"/>
        <v>997</v>
      </c>
      <c r="E295" s="197" t="str">
        <f>VLOOKUP(C295,'Retail Rates'!$B$7:$D$35,3,FALSE)</f>
        <v>SPC-PADDY</v>
      </c>
      <c r="F295" s="222">
        <f>SUMIFS('Data-Retail'!$H$4:$H$269,'Data-Retail'!$A$4:$A$269,'GSC Support'!$B295,'Data-Retail'!$D$4:$D$269,'GSC Support'!$C295)</f>
        <v>0</v>
      </c>
      <c r="G295" s="222">
        <f>SUMIFS('Data-Retail'!$I$4:$I$269,'Data-Retail'!$A$4:$A$269,'GSC Support'!$B295,'Data-Retail'!$D$4:$D$269,'GSC Support'!$C295)</f>
        <v>0</v>
      </c>
      <c r="H295" s="222">
        <f t="shared" si="31"/>
        <v>0</v>
      </c>
      <c r="I295" s="286"/>
      <c r="J295" s="286"/>
      <c r="K295" s="286"/>
      <c r="L295" s="286">
        <f t="shared" si="29"/>
        <v>0</v>
      </c>
      <c r="M295" s="279">
        <f t="shared" si="35"/>
        <v>0</v>
      </c>
      <c r="N295" s="279"/>
      <c r="O295" s="323">
        <f>SUMIFS('Data-Retail'!$N$4:$N$238,'Data-Retail'!$A$4:$A$238,'GSC Support'!$B295,'Data-Retail'!$D$4:$D$238,'GSC Support'!$C295)</f>
        <v>0</v>
      </c>
      <c r="P295" s="323"/>
      <c r="Q295" s="323"/>
      <c r="R295" s="323"/>
      <c r="S295" s="281">
        <f>SUMIFS('Apr11-Mar12 Billed-RETAIL'!$BA$5:$BA$138,'Apr11-Mar12 Billed-RETAIL'!$B$5:$B$138,'GSC Support'!$B295,'Apr11-Mar12 Billed-RETAIL'!$C$5:$C$138,'GSC Support'!$C295)</f>
        <v>0</v>
      </c>
      <c r="T295" s="287"/>
      <c r="U295" s="287"/>
      <c r="V295" s="287">
        <f t="shared" si="32"/>
        <v>0</v>
      </c>
      <c r="W295" s="288">
        <f t="shared" si="33"/>
        <v>0</v>
      </c>
    </row>
    <row r="296" spans="1:23" x14ac:dyDescent="0.2">
      <c r="A296" s="196">
        <f t="shared" si="34"/>
        <v>291</v>
      </c>
      <c r="B296" s="211">
        <v>40940</v>
      </c>
      <c r="C296" s="211" t="str">
        <f>+'Retail Rates'!B7</f>
        <v>LGCMG865</v>
      </c>
      <c r="D296" s="197" t="str">
        <f t="shared" si="28"/>
        <v>865</v>
      </c>
      <c r="E296" s="197" t="str">
        <f>VLOOKUP(C296,'Retail Rates'!$B$7:$D$35,3,FALSE)</f>
        <v>AAGS-C</v>
      </c>
      <c r="F296" s="222">
        <f>SUMIFS('Data-Retail'!$H$4:$H$269,'Data-Retail'!$A$4:$A$269,'GSC Support'!$B296,'Data-Retail'!$D$4:$D$269,'GSC Support'!$C296)</f>
        <v>131261</v>
      </c>
      <c r="G296" s="222">
        <f>SUMIFS('Data-Retail'!$I$4:$I$269,'Data-Retail'!$A$4:$A$269,'GSC Support'!$B296,'Data-Retail'!$D$4:$D$269,'GSC Support'!$C296)</f>
        <v>0</v>
      </c>
      <c r="H296" s="222">
        <f t="shared" si="31"/>
        <v>131261</v>
      </c>
      <c r="I296" s="286">
        <v>77107</v>
      </c>
      <c r="J296" s="286">
        <v>54154</v>
      </c>
      <c r="K296" s="286"/>
      <c r="L296" s="286">
        <f>SUM(I296:K296)</f>
        <v>131261</v>
      </c>
      <c r="M296" s="279">
        <f t="shared" ref="M296:M324" si="36">+H296-L296</f>
        <v>0</v>
      </c>
      <c r="N296" s="279"/>
      <c r="O296" s="323">
        <f>SUMIFS('Data-Retail'!$N$4:$N$238,'Data-Retail'!$A$4:$A$238,'GSC Support'!$B296,'Data-Retail'!$D$4:$D$238,'GSC Support'!$C296)</f>
        <v>64510.990000000005</v>
      </c>
      <c r="P296" s="323"/>
      <c r="Q296" s="323"/>
      <c r="R296" s="323"/>
      <c r="S296" s="281">
        <f ca="1">SUMIFS('Apr11-Mar12 Billed-RETAIL'!$BA$5:$BA$138,'Apr11-Mar12 Billed-RETAIL'!$B$5:$B$138,'GSC Support'!$B296,'Apr11-Mar12 Billed-RETAIL'!$C$5:$C$138,'GSC Support'!$C296)</f>
        <v>64510.990000000005</v>
      </c>
      <c r="T296" s="287">
        <v>36566.44</v>
      </c>
      <c r="U296" s="287">
        <v>27944.55</v>
      </c>
      <c r="V296" s="287">
        <f t="shared" si="32"/>
        <v>64510.990000000005</v>
      </c>
      <c r="W296" s="288">
        <f t="shared" ca="1" si="33"/>
        <v>0</v>
      </c>
    </row>
    <row r="297" spans="1:23" x14ac:dyDescent="0.2">
      <c r="A297" s="196">
        <f t="shared" si="34"/>
        <v>292</v>
      </c>
      <c r="B297" s="211">
        <v>40940</v>
      </c>
      <c r="C297" s="211" t="str">
        <f>+'Retail Rates'!B8</f>
        <v>LGCMG891</v>
      </c>
      <c r="D297" s="197" t="str">
        <f t="shared" si="28"/>
        <v>891</v>
      </c>
      <c r="E297" s="197" t="str">
        <f>VLOOKUP(C297,'Retail Rates'!$B$7:$D$35,3,FALSE)</f>
        <v>AAGS-C-TS</v>
      </c>
      <c r="F297" s="222">
        <f>SUMIFS('Data-Retail'!$H$4:$H$269,'Data-Retail'!$A$4:$A$269,'GSC Support'!$B297,'Data-Retail'!$D$4:$D$269,'GSC Support'!$C297)</f>
        <v>0</v>
      </c>
      <c r="G297" s="222">
        <f>SUMIFS('Data-Retail'!$I$4:$I$269,'Data-Retail'!$A$4:$A$269,'GSC Support'!$B297,'Data-Retail'!$D$4:$D$269,'GSC Support'!$C297)</f>
        <v>0</v>
      </c>
      <c r="H297" s="222">
        <f t="shared" si="31"/>
        <v>0</v>
      </c>
      <c r="I297" s="286"/>
      <c r="J297" s="286"/>
      <c r="K297" s="286"/>
      <c r="L297" s="286">
        <f t="shared" ref="L297:L353" si="37">SUM(I297:K297)</f>
        <v>0</v>
      </c>
      <c r="M297" s="279">
        <f t="shared" si="36"/>
        <v>0</v>
      </c>
      <c r="N297" s="279"/>
      <c r="O297" s="323">
        <f>SUMIFS('Data-Retail'!$N$4:$N$238,'Data-Retail'!$A$4:$A$238,'GSC Support'!$B297,'Data-Retail'!$D$4:$D$238,'GSC Support'!$C297)</f>
        <v>0</v>
      </c>
      <c r="P297" s="323"/>
      <c r="Q297" s="323"/>
      <c r="R297" s="323"/>
      <c r="S297" s="281">
        <f>SUMIFS('Apr11-Mar12 Billed-RETAIL'!$BA$5:$BA$138,'Apr11-Mar12 Billed-RETAIL'!$B$5:$B$138,'GSC Support'!$B297,'Apr11-Mar12 Billed-RETAIL'!$C$5:$C$138,'GSC Support'!$C297)</f>
        <v>0</v>
      </c>
      <c r="T297" s="287"/>
      <c r="U297" s="287"/>
      <c r="V297" s="287">
        <f t="shared" si="32"/>
        <v>0</v>
      </c>
      <c r="W297" s="288">
        <f t="shared" si="33"/>
        <v>0</v>
      </c>
    </row>
    <row r="298" spans="1:23" x14ac:dyDescent="0.2">
      <c r="A298" s="196">
        <f t="shared" si="34"/>
        <v>293</v>
      </c>
      <c r="B298" s="211">
        <v>40940</v>
      </c>
      <c r="C298" s="211" t="str">
        <f>+'Retail Rates'!B9</f>
        <v>LGCMG891PM</v>
      </c>
      <c r="D298" s="197" t="str">
        <f t="shared" si="28"/>
        <v>891</v>
      </c>
      <c r="E298" s="197" t="str">
        <f>VLOOKUP(C298,'Retail Rates'!$B$7:$D$35,3,FALSE)</f>
        <v>AAGS-C-TS-PM</v>
      </c>
      <c r="F298" s="222">
        <f>SUMIFS('Data-Retail'!$H$4:$H$269,'Data-Retail'!$A$4:$A$269,'GSC Support'!$B298,'Data-Retail'!$D$4:$D$269,'GSC Support'!$C298)</f>
        <v>0</v>
      </c>
      <c r="G298" s="222">
        <f>SUMIFS('Data-Retail'!$I$4:$I$269,'Data-Retail'!$A$4:$A$269,'GSC Support'!$B298,'Data-Retail'!$D$4:$D$269,'GSC Support'!$C298)</f>
        <v>0</v>
      </c>
      <c r="H298" s="222">
        <f t="shared" si="31"/>
        <v>0</v>
      </c>
      <c r="I298" s="286"/>
      <c r="J298" s="286"/>
      <c r="K298" s="286"/>
      <c r="L298" s="286">
        <f t="shared" si="37"/>
        <v>0</v>
      </c>
      <c r="M298" s="279">
        <f t="shared" si="36"/>
        <v>0</v>
      </c>
      <c r="N298" s="279"/>
      <c r="O298" s="323">
        <f>SUMIFS('Data-Retail'!$N$4:$N$238,'Data-Retail'!$A$4:$A$238,'GSC Support'!$B298,'Data-Retail'!$D$4:$D$238,'GSC Support'!$C298)</f>
        <v>0</v>
      </c>
      <c r="P298" s="323"/>
      <c r="Q298" s="323"/>
      <c r="R298" s="323"/>
      <c r="S298" s="281">
        <f>SUMIFS('Apr11-Mar12 Billed-RETAIL'!$BA$5:$BA$138,'Apr11-Mar12 Billed-RETAIL'!$B$5:$B$138,'GSC Support'!$B298,'Apr11-Mar12 Billed-RETAIL'!$C$5:$C$138,'GSC Support'!$C298)</f>
        <v>0</v>
      </c>
      <c r="T298" s="287"/>
      <c r="U298" s="287"/>
      <c r="V298" s="287">
        <f t="shared" si="32"/>
        <v>0</v>
      </c>
      <c r="W298" s="288">
        <f t="shared" si="33"/>
        <v>0</v>
      </c>
    </row>
    <row r="299" spans="1:23" x14ac:dyDescent="0.2">
      <c r="A299" s="196">
        <f t="shared" si="34"/>
        <v>294</v>
      </c>
      <c r="B299" s="211">
        <v>40940</v>
      </c>
      <c r="C299" s="211" t="str">
        <f>+'Retail Rates'!B10</f>
        <v>LGING866</v>
      </c>
      <c r="D299" s="197" t="str">
        <f t="shared" si="28"/>
        <v>866</v>
      </c>
      <c r="E299" s="197" t="str">
        <f>VLOOKUP(C299,'Retail Rates'!$B$7:$D$35,3,FALSE)</f>
        <v>AAGS-I</v>
      </c>
      <c r="F299" s="222">
        <f>SUMIFS('Data-Retail'!$H$4:$H$269,'Data-Retail'!$A$4:$A$269,'GSC Support'!$B299,'Data-Retail'!$D$4:$D$269,'GSC Support'!$C299)</f>
        <v>186861</v>
      </c>
      <c r="G299" s="222">
        <f>SUMIFS('Data-Retail'!$I$4:$I$269,'Data-Retail'!$A$4:$A$269,'GSC Support'!$B299,'Data-Retail'!$D$4:$D$269,'GSC Support'!$C299)</f>
        <v>0</v>
      </c>
      <c r="H299" s="222">
        <f t="shared" si="31"/>
        <v>186861</v>
      </c>
      <c r="I299" s="286">
        <v>148755</v>
      </c>
      <c r="J299" s="286">
        <v>38106</v>
      </c>
      <c r="K299" s="286"/>
      <c r="L299" s="286">
        <f t="shared" si="37"/>
        <v>186861</v>
      </c>
      <c r="M299" s="279">
        <f t="shared" si="36"/>
        <v>0</v>
      </c>
      <c r="N299" s="279"/>
      <c r="O299" s="323">
        <f>SUMIFS('Data-Retail'!$N$4:$N$238,'Data-Retail'!$A$4:$A$238,'GSC Support'!$B299,'Data-Retail'!$D$4:$D$238,'GSC Support'!$C299)</f>
        <v>90207.54</v>
      </c>
      <c r="P299" s="323"/>
      <c r="Q299" s="323"/>
      <c r="R299" s="323"/>
      <c r="S299" s="281">
        <f ca="1">SUMIFS('Apr11-Mar12 Billed-RETAIL'!$BA$5:$BA$138,'Apr11-Mar12 Billed-RETAIL'!$B$5:$B$138,'GSC Support'!$B299,'Apr11-Mar12 Billed-RETAIL'!$C$5:$C$138,'GSC Support'!$C299)</f>
        <v>90207.54</v>
      </c>
      <c r="T299" s="287">
        <v>70544.08</v>
      </c>
      <c r="U299" s="287">
        <v>19663.46</v>
      </c>
      <c r="V299" s="287">
        <f t="shared" si="32"/>
        <v>90207.540000000008</v>
      </c>
      <c r="W299" s="288">
        <f t="shared" ca="1" si="33"/>
        <v>0</v>
      </c>
    </row>
    <row r="300" spans="1:23" x14ac:dyDescent="0.2">
      <c r="A300" s="196">
        <f t="shared" si="34"/>
        <v>295</v>
      </c>
      <c r="B300" s="211">
        <v>40940</v>
      </c>
      <c r="C300" s="211" t="str">
        <f>+'Retail Rates'!B11</f>
        <v>LGING892</v>
      </c>
      <c r="D300" s="197" t="str">
        <f t="shared" si="28"/>
        <v>892</v>
      </c>
      <c r="E300" s="197" t="str">
        <f>VLOOKUP(C300,'Retail Rates'!$B$7:$D$35,3,FALSE)</f>
        <v>AAGS-I-TS</v>
      </c>
      <c r="F300" s="222">
        <f>SUMIFS('Data-Retail'!$H$4:$H$269,'Data-Retail'!$A$4:$A$269,'GSC Support'!$B300,'Data-Retail'!$D$4:$D$269,'GSC Support'!$C300)</f>
        <v>0</v>
      </c>
      <c r="G300" s="222">
        <f>SUMIFS('Data-Retail'!$I$4:$I$269,'Data-Retail'!$A$4:$A$269,'GSC Support'!$B300,'Data-Retail'!$D$4:$D$269,'GSC Support'!$C300)</f>
        <v>0</v>
      </c>
      <c r="H300" s="222">
        <f t="shared" si="31"/>
        <v>0</v>
      </c>
      <c r="I300" s="286"/>
      <c r="J300" s="286"/>
      <c r="K300" s="286"/>
      <c r="L300" s="286">
        <f t="shared" si="37"/>
        <v>0</v>
      </c>
      <c r="M300" s="279">
        <f t="shared" si="36"/>
        <v>0</v>
      </c>
      <c r="N300" s="279"/>
      <c r="O300" s="323">
        <f>SUMIFS('Data-Retail'!$N$4:$N$238,'Data-Retail'!$A$4:$A$238,'GSC Support'!$B300,'Data-Retail'!$D$4:$D$238,'GSC Support'!$C300)</f>
        <v>0</v>
      </c>
      <c r="P300" s="323"/>
      <c r="Q300" s="323"/>
      <c r="R300" s="323"/>
      <c r="S300" s="281">
        <f>SUMIFS('Apr11-Mar12 Billed-RETAIL'!$BA$5:$BA$138,'Apr11-Mar12 Billed-RETAIL'!$B$5:$B$138,'GSC Support'!$B300,'Apr11-Mar12 Billed-RETAIL'!$C$5:$C$138,'GSC Support'!$C300)</f>
        <v>0</v>
      </c>
      <c r="T300" s="287"/>
      <c r="U300" s="287"/>
      <c r="V300" s="287">
        <f t="shared" si="32"/>
        <v>0</v>
      </c>
      <c r="W300" s="288">
        <f t="shared" si="33"/>
        <v>0</v>
      </c>
    </row>
    <row r="301" spans="1:23" x14ac:dyDescent="0.2">
      <c r="A301" s="196">
        <f t="shared" si="34"/>
        <v>296</v>
      </c>
      <c r="B301" s="211">
        <v>40940</v>
      </c>
      <c r="C301" s="211" t="str">
        <f>+'Retail Rates'!B12</f>
        <v>LGING892PM</v>
      </c>
      <c r="D301" s="197" t="str">
        <f t="shared" si="28"/>
        <v>892</v>
      </c>
      <c r="E301" s="197" t="str">
        <f>VLOOKUP(C301,'Retail Rates'!$B$7:$D$35,3,FALSE)</f>
        <v>AAGS-I-TS-PM</v>
      </c>
      <c r="F301" s="222">
        <f>SUMIFS('Data-Retail'!$H$4:$H$269,'Data-Retail'!$A$4:$A$269,'GSC Support'!$B301,'Data-Retail'!$D$4:$D$269,'GSC Support'!$C301)</f>
        <v>0</v>
      </c>
      <c r="G301" s="222">
        <f>SUMIFS('Data-Retail'!$I$4:$I$269,'Data-Retail'!$A$4:$A$269,'GSC Support'!$B301,'Data-Retail'!$D$4:$D$269,'GSC Support'!$C301)</f>
        <v>0</v>
      </c>
      <c r="H301" s="222">
        <f t="shared" si="31"/>
        <v>0</v>
      </c>
      <c r="I301" s="286"/>
      <c r="J301" s="286"/>
      <c r="K301" s="286"/>
      <c r="L301" s="286">
        <f t="shared" si="37"/>
        <v>0</v>
      </c>
      <c r="M301" s="279">
        <f t="shared" si="36"/>
        <v>0</v>
      </c>
      <c r="N301" s="279"/>
      <c r="O301" s="323">
        <f>SUMIFS('Data-Retail'!$N$4:$N$238,'Data-Retail'!$A$4:$A$238,'GSC Support'!$B301,'Data-Retail'!$D$4:$D$238,'GSC Support'!$C301)</f>
        <v>0</v>
      </c>
      <c r="P301" s="323"/>
      <c r="Q301" s="323"/>
      <c r="R301" s="323"/>
      <c r="S301" s="281">
        <f>SUMIFS('Apr11-Mar12 Billed-RETAIL'!$BA$5:$BA$138,'Apr11-Mar12 Billed-RETAIL'!$B$5:$B$138,'GSC Support'!$B301,'Apr11-Mar12 Billed-RETAIL'!$C$5:$C$138,'GSC Support'!$C301)</f>
        <v>0</v>
      </c>
      <c r="T301" s="287"/>
      <c r="U301" s="287"/>
      <c r="V301" s="287">
        <f t="shared" si="32"/>
        <v>0</v>
      </c>
      <c r="W301" s="288">
        <f t="shared" si="33"/>
        <v>0</v>
      </c>
    </row>
    <row r="302" spans="1:23" x14ac:dyDescent="0.2">
      <c r="A302" s="196">
        <f t="shared" si="34"/>
        <v>297</v>
      </c>
      <c r="B302" s="211">
        <v>40940</v>
      </c>
      <c r="C302" s="211" t="str">
        <f>+'Retail Rates'!B13</f>
        <v>LGCMG851</v>
      </c>
      <c r="D302" s="197" t="str">
        <f t="shared" si="28"/>
        <v>851</v>
      </c>
      <c r="E302" s="197" t="str">
        <f>VLOOKUP(C302,'Retail Rates'!$B$7:$D$35,3,FALSE)</f>
        <v>CGS</v>
      </c>
      <c r="F302" s="222">
        <f>SUMIFS('Data-Retail'!$H$4:$H$269,'Data-Retail'!$A$4:$A$269,'GSC Support'!$B302,'Data-Retail'!$D$4:$D$269,'GSC Support'!$C302)</f>
        <v>15185815</v>
      </c>
      <c r="G302" s="222">
        <f>SUMIFS('Data-Retail'!$I$4:$I$269,'Data-Retail'!$A$4:$A$269,'GSC Support'!$B302,'Data-Retail'!$D$4:$D$269,'GSC Support'!$C302)</f>
        <v>333</v>
      </c>
      <c r="H302" s="222">
        <f t="shared" si="31"/>
        <v>15186148</v>
      </c>
      <c r="I302" s="286">
        <v>7018315</v>
      </c>
      <c r="J302" s="286">
        <v>8167833</v>
      </c>
      <c r="K302" s="286"/>
      <c r="L302" s="286">
        <f t="shared" si="37"/>
        <v>15186148</v>
      </c>
      <c r="M302" s="279">
        <f t="shared" si="36"/>
        <v>0</v>
      </c>
      <c r="N302" s="279"/>
      <c r="O302" s="323">
        <f>SUMIFS('Data-Retail'!$N$4:$N$238,'Data-Retail'!$A$4:$A$238,'GSC Support'!$B302,'Data-Retail'!$D$4:$D$238,'GSC Support'!$C302)</f>
        <v>7541793.5899999999</v>
      </c>
      <c r="P302" s="323"/>
      <c r="Q302" s="323"/>
      <c r="R302" s="323"/>
      <c r="S302" s="281">
        <f ca="1">SUMIFS('Apr11-Mar12 Billed-RETAIL'!$BA$5:$BA$138,'Apr11-Mar12 Billed-RETAIL'!$B$5:$B$138,'GSC Support'!$B302,'Apr11-Mar12 Billed-RETAIL'!$C$5:$C$138,'GSC Support'!$C302)</f>
        <v>7541793.5899999999</v>
      </c>
      <c r="T302" s="287">
        <v>3328567.09</v>
      </c>
      <c r="U302" s="287">
        <v>4213226.5</v>
      </c>
      <c r="V302" s="287">
        <f t="shared" si="32"/>
        <v>7541793.5899999999</v>
      </c>
      <c r="W302" s="288">
        <f t="shared" ca="1" si="33"/>
        <v>0</v>
      </c>
    </row>
    <row r="303" spans="1:23" x14ac:dyDescent="0.2">
      <c r="A303" s="196">
        <f t="shared" si="34"/>
        <v>298</v>
      </c>
      <c r="B303" s="211">
        <v>40940</v>
      </c>
      <c r="C303" s="211" t="str">
        <f>+'Retail Rates'!B14</f>
        <v>LGUMG860</v>
      </c>
      <c r="D303" s="197" t="str">
        <f t="shared" si="28"/>
        <v>860</v>
      </c>
      <c r="E303" s="197" t="str">
        <f>VLOOKUP(C303,'Retail Rates'!$B$7:$D$35,3,FALSE)</f>
        <v>CGS</v>
      </c>
      <c r="F303" s="222">
        <f>SUMIFS('Data-Retail'!$H$4:$H$269,'Data-Retail'!$A$4:$A$269,'GSC Support'!$B303,'Data-Retail'!$D$4:$D$269,'GSC Support'!$C303)</f>
        <v>358</v>
      </c>
      <c r="G303" s="222">
        <f>SUMIFS('Data-Retail'!$I$4:$I$269,'Data-Retail'!$A$4:$A$269,'GSC Support'!$B303,'Data-Retail'!$D$4:$D$269,'GSC Support'!$C303)</f>
        <v>0</v>
      </c>
      <c r="H303" s="222">
        <f t="shared" si="31"/>
        <v>358</v>
      </c>
      <c r="I303" s="286">
        <v>271</v>
      </c>
      <c r="J303" s="286">
        <v>87</v>
      </c>
      <c r="K303" s="286"/>
      <c r="L303" s="286">
        <f t="shared" si="37"/>
        <v>358</v>
      </c>
      <c r="M303" s="279">
        <f t="shared" si="36"/>
        <v>0</v>
      </c>
      <c r="N303" s="279"/>
      <c r="O303" s="323">
        <f>SUMIFS('Data-Retail'!$N$4:$N$238,'Data-Retail'!$A$4:$A$238,'GSC Support'!$B303,'Data-Retail'!$D$4:$D$238,'GSC Support'!$C303)</f>
        <v>173.41000000000003</v>
      </c>
      <c r="P303" s="323"/>
      <c r="Q303" s="323"/>
      <c r="R303" s="323"/>
      <c r="S303" s="281">
        <f ca="1">SUMIFS('Apr11-Mar12 Billed-RETAIL'!$BA$5:$BA$138,'Apr11-Mar12 Billed-RETAIL'!$B$5:$B$138,'GSC Support'!$B303,'Apr11-Mar12 Billed-RETAIL'!$C$5:$C$138,'GSC Support'!$C303)</f>
        <v>173.41000000000003</v>
      </c>
      <c r="T303" s="287">
        <v>128.51</v>
      </c>
      <c r="U303" s="287">
        <v>44.9</v>
      </c>
      <c r="V303" s="287">
        <f t="shared" si="32"/>
        <v>173.41</v>
      </c>
      <c r="W303" s="288">
        <f t="shared" ca="1" si="33"/>
        <v>0</v>
      </c>
    </row>
    <row r="304" spans="1:23" x14ac:dyDescent="0.2">
      <c r="A304" s="196">
        <f t="shared" si="34"/>
        <v>299</v>
      </c>
      <c r="B304" s="211">
        <v>40940</v>
      </c>
      <c r="C304" s="211" t="str">
        <f>+'Retail Rates'!B15</f>
        <v>LGUMG861</v>
      </c>
      <c r="D304" s="197" t="str">
        <f t="shared" si="28"/>
        <v>861</v>
      </c>
      <c r="E304" s="197" t="str">
        <f>VLOOKUP(C304,'Retail Rates'!$B$7:$D$35,3,FALSE)</f>
        <v>CGS</v>
      </c>
      <c r="F304" s="222">
        <f>SUMIFS('Data-Retail'!$H$4:$H$269,'Data-Retail'!$A$4:$A$269,'GSC Support'!$B304,'Data-Retail'!$D$4:$D$269,'GSC Support'!$C304)</f>
        <v>613</v>
      </c>
      <c r="G304" s="222">
        <f>SUMIFS('Data-Retail'!$I$4:$I$269,'Data-Retail'!$A$4:$A$269,'GSC Support'!$B304,'Data-Retail'!$D$4:$D$269,'GSC Support'!$C304)</f>
        <v>0</v>
      </c>
      <c r="H304" s="222">
        <f t="shared" si="31"/>
        <v>613</v>
      </c>
      <c r="I304" s="286">
        <v>274</v>
      </c>
      <c r="J304" s="286">
        <v>339</v>
      </c>
      <c r="K304" s="286"/>
      <c r="L304" s="286">
        <f t="shared" si="37"/>
        <v>613</v>
      </c>
      <c r="M304" s="279">
        <f t="shared" si="36"/>
        <v>0</v>
      </c>
      <c r="N304" s="279"/>
      <c r="O304" s="323">
        <f>SUMIFS('Data-Retail'!$N$4:$N$238,'Data-Retail'!$A$4:$A$238,'GSC Support'!$B304,'Data-Retail'!$D$4:$D$238,'GSC Support'!$C304)</f>
        <v>305.07</v>
      </c>
      <c r="P304" s="323"/>
      <c r="Q304" s="323"/>
      <c r="R304" s="323"/>
      <c r="S304" s="281">
        <f ca="1">SUMIFS('Apr11-Mar12 Billed-RETAIL'!$BA$5:$BA$138,'Apr11-Mar12 Billed-RETAIL'!$B$5:$B$138,'GSC Support'!$B304,'Apr11-Mar12 Billed-RETAIL'!$C$5:$C$138,'GSC Support'!$C304)</f>
        <v>305.07</v>
      </c>
      <c r="T304" s="287">
        <v>128.81</v>
      </c>
      <c r="U304" s="287">
        <v>176.26</v>
      </c>
      <c r="V304" s="287">
        <f t="shared" si="32"/>
        <v>305.07</v>
      </c>
      <c r="W304" s="288">
        <f t="shared" ca="1" si="33"/>
        <v>0</v>
      </c>
    </row>
    <row r="305" spans="1:23" x14ac:dyDescent="0.2">
      <c r="A305" s="196">
        <f t="shared" si="34"/>
        <v>300</v>
      </c>
      <c r="B305" s="211">
        <v>40940</v>
      </c>
      <c r="C305" s="211" t="str">
        <f>+'Retail Rates'!B16</f>
        <v>LGCMG881</v>
      </c>
      <c r="D305" s="197" t="str">
        <f t="shared" si="28"/>
        <v>881</v>
      </c>
      <c r="E305" s="197" t="str">
        <f>VLOOKUP(C305,'Retail Rates'!$B$7:$D$35,3,FALSE)</f>
        <v>CGS-TS</v>
      </c>
      <c r="F305" s="329">
        <f>SUMIFS('Data-Retail'!$H$4:$H$269,'Data-Retail'!$A$4:$A$269,'GSC Support'!$B305,'Data-Retail'!$D$4:$D$269,'GSC Support'!$C305)</f>
        <v>0</v>
      </c>
      <c r="G305" s="329">
        <f>SUMIFS('Data-Retail'!$I$4:$I$269,'Data-Retail'!$A$4:$A$269,'GSC Support'!$B305,'Data-Retail'!$D$4:$D$269,'GSC Support'!$C305)</f>
        <v>0</v>
      </c>
      <c r="H305" s="329">
        <f t="shared" si="31"/>
        <v>0</v>
      </c>
      <c r="I305" s="330">
        <v>0</v>
      </c>
      <c r="J305" s="330">
        <v>0</v>
      </c>
      <c r="K305" s="330"/>
      <c r="L305" s="286">
        <f t="shared" si="37"/>
        <v>0</v>
      </c>
      <c r="M305" s="331">
        <f t="shared" si="36"/>
        <v>0</v>
      </c>
      <c r="N305" s="331"/>
      <c r="O305" s="323">
        <f>SUMIFS('Data-Retail'!$V$4:$V$238,'Data-Retail'!$A$4:$A$238,'GSC Support'!$B305,'Data-Retail'!$D$4:$D$238,'GSC Support'!$C305)</f>
        <v>0</v>
      </c>
      <c r="P305" s="327">
        <f>VLOOKUP($B305,'GSC-DSM Factors'!$A$14:$E$44,5,FALSE)</f>
        <v>1.16E-3</v>
      </c>
      <c r="Q305" s="326">
        <f>P305*H305</f>
        <v>0</v>
      </c>
      <c r="R305" s="323">
        <f>+O305-Q305</f>
        <v>0</v>
      </c>
      <c r="S305" s="281">
        <f>SUMIFS('Apr11-Mar12 Billed-RETAIL'!$BA$5:$BA$138,'Apr11-Mar12 Billed-RETAIL'!$B$5:$B$138,'GSC Support'!$B305,'Apr11-Mar12 Billed-RETAIL'!$C$5:$C$138,'GSC Support'!$C305)</f>
        <v>0</v>
      </c>
      <c r="T305" s="287">
        <v>0</v>
      </c>
      <c r="U305" s="287">
        <v>0</v>
      </c>
      <c r="V305" s="287">
        <f t="shared" si="32"/>
        <v>0</v>
      </c>
      <c r="W305" s="288">
        <f t="shared" si="33"/>
        <v>0</v>
      </c>
    </row>
    <row r="306" spans="1:23" x14ac:dyDescent="0.2">
      <c r="A306" s="196">
        <f t="shared" si="34"/>
        <v>301</v>
      </c>
      <c r="B306" s="211">
        <v>40940</v>
      </c>
      <c r="C306" s="211" t="str">
        <f>+'Retail Rates'!B17</f>
        <v>LGCMG881PM</v>
      </c>
      <c r="D306" s="197" t="str">
        <f t="shared" si="28"/>
        <v>881</v>
      </c>
      <c r="E306" s="197" t="str">
        <f>VLOOKUP(C306,'Retail Rates'!$B$7:$D$35,3,FALSE)</f>
        <v>CGS-TS-PM</v>
      </c>
      <c r="F306" s="222">
        <f>SUMIFS('Data-Retail'!$H$4:$H$269,'Data-Retail'!$A$4:$A$269,'GSC Support'!$B306,'Data-Retail'!$D$4:$D$269,'GSC Support'!$C306)</f>
        <v>0</v>
      </c>
      <c r="G306" s="222">
        <f>SUMIFS('Data-Retail'!$I$4:$I$269,'Data-Retail'!$A$4:$A$269,'GSC Support'!$B306,'Data-Retail'!$D$4:$D$269,'GSC Support'!$C306)</f>
        <v>0</v>
      </c>
      <c r="H306" s="222">
        <f t="shared" si="31"/>
        <v>0</v>
      </c>
      <c r="I306" s="286"/>
      <c r="J306" s="286"/>
      <c r="K306" s="286"/>
      <c r="L306" s="286">
        <f t="shared" si="37"/>
        <v>0</v>
      </c>
      <c r="M306" s="279">
        <f t="shared" si="36"/>
        <v>0</v>
      </c>
      <c r="N306" s="279"/>
      <c r="O306" s="323">
        <f>SUMIFS('Data-Retail'!$N$4:$N$238,'Data-Retail'!$A$4:$A$238,'GSC Support'!$B306,'Data-Retail'!$D$4:$D$238,'GSC Support'!$C306)</f>
        <v>0</v>
      </c>
      <c r="P306" s="323"/>
      <c r="Q306" s="323"/>
      <c r="R306" s="323"/>
      <c r="S306" s="281">
        <f>SUMIFS('Apr11-Mar12 Billed-RETAIL'!$BA$5:$BA$138,'Apr11-Mar12 Billed-RETAIL'!$B$5:$B$138,'GSC Support'!$B306,'Apr11-Mar12 Billed-RETAIL'!$C$5:$C$138,'GSC Support'!$C306)</f>
        <v>0</v>
      </c>
      <c r="T306" s="287"/>
      <c r="U306" s="287"/>
      <c r="V306" s="287">
        <f t="shared" si="32"/>
        <v>0</v>
      </c>
      <c r="W306" s="288">
        <f t="shared" si="33"/>
        <v>0</v>
      </c>
    </row>
    <row r="307" spans="1:23" x14ac:dyDescent="0.2">
      <c r="A307" s="196">
        <f t="shared" si="34"/>
        <v>302</v>
      </c>
      <c r="B307" s="211">
        <v>40940</v>
      </c>
      <c r="C307" s="211" t="str">
        <f>+'Retail Rates'!B18</f>
        <v>LGCMG875</v>
      </c>
      <c r="D307" s="197" t="str">
        <f t="shared" si="28"/>
        <v>875</v>
      </c>
      <c r="E307" s="197" t="str">
        <f>VLOOKUP(C307,'Retail Rates'!$B$7:$D$35,3,FALSE)</f>
        <v>DGGS-C</v>
      </c>
      <c r="F307" s="222">
        <f>SUMIFS('Data-Retail'!$H$4:$H$269,'Data-Retail'!$A$4:$A$269,'GSC Support'!$B307,'Data-Retail'!$D$4:$D$269,'GSC Support'!$C307)</f>
        <v>0</v>
      </c>
      <c r="G307" s="222">
        <f>SUMIFS('Data-Retail'!$I$4:$I$269,'Data-Retail'!$A$4:$A$269,'GSC Support'!$B307,'Data-Retail'!$D$4:$D$269,'GSC Support'!$C307)</f>
        <v>0</v>
      </c>
      <c r="H307" s="222">
        <f t="shared" si="31"/>
        <v>0</v>
      </c>
      <c r="I307" s="286"/>
      <c r="J307" s="286"/>
      <c r="K307" s="286"/>
      <c r="L307" s="286">
        <f t="shared" si="37"/>
        <v>0</v>
      </c>
      <c r="M307" s="279">
        <f t="shared" si="36"/>
        <v>0</v>
      </c>
      <c r="N307" s="279"/>
      <c r="O307" s="323">
        <f>SUMIFS('Data-Retail'!$N$4:$N$238,'Data-Retail'!$A$4:$A$238,'GSC Support'!$B307,'Data-Retail'!$D$4:$D$238,'GSC Support'!$C307)</f>
        <v>0</v>
      </c>
      <c r="P307" s="323"/>
      <c r="Q307" s="323"/>
      <c r="R307" s="323"/>
      <c r="S307" s="281">
        <f ca="1">SUMIFS('Apr11-Mar12 Billed-RETAIL'!$BA$5:$BA$138,'Apr11-Mar12 Billed-RETAIL'!$B$5:$B$138,'GSC Support'!$B307,'Apr11-Mar12 Billed-RETAIL'!$C$5:$C$138,'GSC Support'!$C307)</f>
        <v>0</v>
      </c>
      <c r="T307" s="287"/>
      <c r="U307" s="287"/>
      <c r="V307" s="287">
        <f t="shared" si="32"/>
        <v>0</v>
      </c>
      <c r="W307" s="288">
        <f t="shared" ca="1" si="33"/>
        <v>0</v>
      </c>
    </row>
    <row r="308" spans="1:23" x14ac:dyDescent="0.2">
      <c r="A308" s="196">
        <f t="shared" si="34"/>
        <v>303</v>
      </c>
      <c r="B308" s="211">
        <v>40940</v>
      </c>
      <c r="C308" s="211" t="str">
        <f>+'Retail Rates'!B19</f>
        <v>LGCMG895</v>
      </c>
      <c r="D308" s="197" t="str">
        <f t="shared" si="28"/>
        <v>895</v>
      </c>
      <c r="E308" s="197" t="str">
        <f>VLOOKUP(C308,'Retail Rates'!$B$7:$D$35,3,FALSE)</f>
        <v>FT-C</v>
      </c>
      <c r="F308" s="222">
        <f>SUMIFS('Data-Retail'!$H$4:$H$269,'Data-Retail'!$A$4:$A$269,'GSC Support'!$B308,'Data-Retail'!$D$4:$D$269,'GSC Support'!$C308)</f>
        <v>0</v>
      </c>
      <c r="G308" s="222">
        <f>SUMIFS('Data-Retail'!$I$4:$I$269,'Data-Retail'!$A$4:$A$269,'GSC Support'!$B308,'Data-Retail'!$D$4:$D$269,'GSC Support'!$C308)</f>
        <v>0</v>
      </c>
      <c r="H308" s="222">
        <f t="shared" si="31"/>
        <v>0</v>
      </c>
      <c r="I308" s="286"/>
      <c r="J308" s="286"/>
      <c r="K308" s="286"/>
      <c r="L308" s="286">
        <f t="shared" si="37"/>
        <v>0</v>
      </c>
      <c r="M308" s="279">
        <f t="shared" si="36"/>
        <v>0</v>
      </c>
      <c r="N308" s="279"/>
      <c r="O308" s="323">
        <f>SUMIFS('Data-Retail'!$N$4:$N$238,'Data-Retail'!$A$4:$A$238,'GSC Support'!$B308,'Data-Retail'!$D$4:$D$238,'GSC Support'!$C308)</f>
        <v>0</v>
      </c>
      <c r="P308" s="323"/>
      <c r="Q308" s="323"/>
      <c r="R308" s="323"/>
      <c r="S308" s="281">
        <f>SUMIFS('Apr11-Mar12 Billed-RETAIL'!$BA$5:$BA$138,'Apr11-Mar12 Billed-RETAIL'!$B$5:$B$138,'GSC Support'!$B308,'Apr11-Mar12 Billed-RETAIL'!$C$5:$C$138,'GSC Support'!$C308)</f>
        <v>0</v>
      </c>
      <c r="T308" s="287"/>
      <c r="U308" s="287"/>
      <c r="V308" s="287">
        <f t="shared" si="32"/>
        <v>0</v>
      </c>
      <c r="W308" s="288">
        <f t="shared" si="33"/>
        <v>0</v>
      </c>
    </row>
    <row r="309" spans="1:23" x14ac:dyDescent="0.2">
      <c r="A309" s="196">
        <f t="shared" si="34"/>
        <v>304</v>
      </c>
      <c r="B309" s="211">
        <v>40940</v>
      </c>
      <c r="C309" s="211" t="str">
        <f>+'Retail Rates'!B20</f>
        <v>LGCMG895PM</v>
      </c>
      <c r="D309" s="197" t="str">
        <f t="shared" si="28"/>
        <v>895</v>
      </c>
      <c r="E309" s="197" t="str">
        <f>VLOOKUP(C309,'Retail Rates'!$B$7:$D$35,3,FALSE)</f>
        <v>FT-C-PM</v>
      </c>
      <c r="F309" s="222">
        <f>SUMIFS('Data-Retail'!$H$4:$H$269,'Data-Retail'!$A$4:$A$269,'GSC Support'!$B309,'Data-Retail'!$D$4:$D$269,'GSC Support'!$C309)</f>
        <v>0</v>
      </c>
      <c r="G309" s="222">
        <f>SUMIFS('Data-Retail'!$I$4:$I$269,'Data-Retail'!$A$4:$A$269,'GSC Support'!$B309,'Data-Retail'!$D$4:$D$269,'GSC Support'!$C309)</f>
        <v>0</v>
      </c>
      <c r="H309" s="222">
        <f t="shared" si="31"/>
        <v>0</v>
      </c>
      <c r="I309" s="286"/>
      <c r="J309" s="286"/>
      <c r="K309" s="286"/>
      <c r="L309" s="286">
        <f t="shared" si="37"/>
        <v>0</v>
      </c>
      <c r="M309" s="279">
        <f t="shared" si="36"/>
        <v>0</v>
      </c>
      <c r="N309" s="279"/>
      <c r="O309" s="323">
        <f>SUMIFS('Data-Retail'!$N$4:$N$238,'Data-Retail'!$A$4:$A$238,'GSC Support'!$B309,'Data-Retail'!$D$4:$D$238,'GSC Support'!$C309)</f>
        <v>0</v>
      </c>
      <c r="P309" s="323"/>
      <c r="Q309" s="323"/>
      <c r="R309" s="323"/>
      <c r="S309" s="281">
        <f>SUMIFS('Apr11-Mar12 Billed-RETAIL'!$BA$5:$BA$138,'Apr11-Mar12 Billed-RETAIL'!$B$5:$B$138,'GSC Support'!$B309,'Apr11-Mar12 Billed-RETAIL'!$C$5:$C$138,'GSC Support'!$C309)</f>
        <v>0</v>
      </c>
      <c r="T309" s="287"/>
      <c r="U309" s="287"/>
      <c r="V309" s="287">
        <f t="shared" si="32"/>
        <v>0</v>
      </c>
      <c r="W309" s="288">
        <f t="shared" si="33"/>
        <v>0</v>
      </c>
    </row>
    <row r="310" spans="1:23" x14ac:dyDescent="0.2">
      <c r="A310" s="196">
        <f t="shared" si="34"/>
        <v>305</v>
      </c>
      <c r="B310" s="211">
        <v>40940</v>
      </c>
      <c r="C310" s="211" t="str">
        <f>+'Retail Rates'!B21</f>
        <v>LGING896</v>
      </c>
      <c r="D310" s="197" t="str">
        <f t="shared" si="28"/>
        <v>896</v>
      </c>
      <c r="E310" s="197" t="str">
        <f>VLOOKUP(C310,'Retail Rates'!$B$7:$D$35,3,FALSE)</f>
        <v>FT-I</v>
      </c>
      <c r="F310" s="222">
        <f>SUMIFS('Data-Retail'!$H$4:$H$269,'Data-Retail'!$A$4:$A$269,'GSC Support'!$B310,'Data-Retail'!$D$4:$D$269,'GSC Support'!$C310)</f>
        <v>0</v>
      </c>
      <c r="G310" s="222">
        <f>SUMIFS('Data-Retail'!$I$4:$I$269,'Data-Retail'!$A$4:$A$269,'GSC Support'!$B310,'Data-Retail'!$D$4:$D$269,'GSC Support'!$C310)</f>
        <v>0</v>
      </c>
      <c r="H310" s="222">
        <f t="shared" si="31"/>
        <v>0</v>
      </c>
      <c r="I310" s="286"/>
      <c r="J310" s="286"/>
      <c r="K310" s="286"/>
      <c r="L310" s="286">
        <f t="shared" si="37"/>
        <v>0</v>
      </c>
      <c r="M310" s="279">
        <f t="shared" si="36"/>
        <v>0</v>
      </c>
      <c r="N310" s="279"/>
      <c r="O310" s="323">
        <f>SUMIFS('Data-Retail'!$N$4:$N$238,'Data-Retail'!$A$4:$A$238,'GSC Support'!$B310,'Data-Retail'!$D$4:$D$238,'GSC Support'!$C310)</f>
        <v>0</v>
      </c>
      <c r="P310" s="323"/>
      <c r="Q310" s="323"/>
      <c r="R310" s="323"/>
      <c r="S310" s="281">
        <f>SUMIFS('Apr11-Mar12 Billed-RETAIL'!$BA$5:$BA$138,'Apr11-Mar12 Billed-RETAIL'!$B$5:$B$138,'GSC Support'!$B310,'Apr11-Mar12 Billed-RETAIL'!$C$5:$C$138,'GSC Support'!$C310)</f>
        <v>0</v>
      </c>
      <c r="T310" s="287"/>
      <c r="U310" s="287"/>
      <c r="V310" s="287">
        <f t="shared" si="32"/>
        <v>0</v>
      </c>
      <c r="W310" s="288">
        <f t="shared" si="33"/>
        <v>0</v>
      </c>
    </row>
    <row r="311" spans="1:23" x14ac:dyDescent="0.2">
      <c r="A311" s="196">
        <f t="shared" si="34"/>
        <v>306</v>
      </c>
      <c r="B311" s="211">
        <v>40940</v>
      </c>
      <c r="C311" s="211" t="str">
        <f>+'Retail Rates'!B22</f>
        <v>LGING896PM</v>
      </c>
      <c r="D311" s="197" t="str">
        <f t="shared" si="28"/>
        <v>896</v>
      </c>
      <c r="E311" s="197" t="str">
        <f>VLOOKUP(C311,'Retail Rates'!$B$7:$D$35,3,FALSE)</f>
        <v>FT-I-PM</v>
      </c>
      <c r="F311" s="222">
        <f>SUMIFS('Data-Retail'!$H$4:$H$269,'Data-Retail'!$A$4:$A$269,'GSC Support'!$B311,'Data-Retail'!$D$4:$D$269,'GSC Support'!$C311)</f>
        <v>0</v>
      </c>
      <c r="G311" s="222">
        <f>SUMIFS('Data-Retail'!$I$4:$I$269,'Data-Retail'!$A$4:$A$269,'GSC Support'!$B311,'Data-Retail'!$D$4:$D$269,'GSC Support'!$C311)</f>
        <v>0</v>
      </c>
      <c r="H311" s="222">
        <f t="shared" si="31"/>
        <v>0</v>
      </c>
      <c r="I311" s="286"/>
      <c r="J311" s="286"/>
      <c r="K311" s="286"/>
      <c r="L311" s="286">
        <f t="shared" si="37"/>
        <v>0</v>
      </c>
      <c r="M311" s="279">
        <f t="shared" si="36"/>
        <v>0</v>
      </c>
      <c r="N311" s="279"/>
      <c r="O311" s="323">
        <f>SUMIFS('Data-Retail'!$N$4:$N$238,'Data-Retail'!$A$4:$A$238,'GSC Support'!$B311,'Data-Retail'!$D$4:$D$238,'GSC Support'!$C311)</f>
        <v>0</v>
      </c>
      <c r="P311" s="323"/>
      <c r="Q311" s="323"/>
      <c r="R311" s="323"/>
      <c r="S311" s="281">
        <f>SUMIFS('Apr11-Mar12 Billed-RETAIL'!$BA$5:$BA$138,'Apr11-Mar12 Billed-RETAIL'!$B$5:$B$138,'GSC Support'!$B311,'Apr11-Mar12 Billed-RETAIL'!$C$5:$C$138,'GSC Support'!$C311)</f>
        <v>0</v>
      </c>
      <c r="T311" s="287"/>
      <c r="U311" s="287"/>
      <c r="V311" s="287">
        <f t="shared" si="32"/>
        <v>0</v>
      </c>
      <c r="W311" s="288">
        <f t="shared" si="33"/>
        <v>0</v>
      </c>
    </row>
    <row r="312" spans="1:23" x14ac:dyDescent="0.2">
      <c r="A312" s="196">
        <f t="shared" si="34"/>
        <v>307</v>
      </c>
      <c r="B312" s="211">
        <v>40940</v>
      </c>
      <c r="C312" s="211" t="str">
        <f>+'Retail Rates'!B23</f>
        <v>LGING855</v>
      </c>
      <c r="D312" s="197" t="str">
        <f t="shared" si="28"/>
        <v>855</v>
      </c>
      <c r="E312" s="197" t="str">
        <f>VLOOKUP(C312,'Retail Rates'!$B$7:$D$35,3,FALSE)</f>
        <v>IGS</v>
      </c>
      <c r="F312" s="222">
        <f>SUMIFS('Data-Retail'!$H$4:$H$269,'Data-Retail'!$A$4:$A$269,'GSC Support'!$B312,'Data-Retail'!$D$4:$D$269,'GSC Support'!$C312)</f>
        <v>1083763</v>
      </c>
      <c r="G312" s="222">
        <f>SUMIFS('Data-Retail'!$I$4:$I$269,'Data-Retail'!$A$4:$A$269,'GSC Support'!$B312,'Data-Retail'!$D$4:$D$269,'GSC Support'!$C312)</f>
        <v>0</v>
      </c>
      <c r="H312" s="222">
        <f t="shared" si="31"/>
        <v>1083763</v>
      </c>
      <c r="I312" s="286">
        <v>651394</v>
      </c>
      <c r="J312" s="286">
        <v>432369</v>
      </c>
      <c r="K312" s="286"/>
      <c r="L312" s="286">
        <f t="shared" si="37"/>
        <v>1083763</v>
      </c>
      <c r="M312" s="279">
        <f t="shared" si="36"/>
        <v>0</v>
      </c>
      <c r="N312" s="279"/>
      <c r="O312" s="323">
        <f>SUMIFS('Data-Retail'!$N$4:$N$238,'Data-Retail'!$A$4:$A$238,'GSC Support'!$B312,'Data-Retail'!$D$4:$D$238,'GSC Support'!$C312)</f>
        <v>532021.57999999996</v>
      </c>
      <c r="P312" s="323"/>
      <c r="Q312" s="323"/>
      <c r="R312" s="323"/>
      <c r="S312" s="281">
        <f ca="1">SUMIFS('Apr11-Mar12 Billed-RETAIL'!$BA$5:$BA$138,'Apr11-Mar12 Billed-RETAIL'!$B$5:$B$138,'GSC Support'!$B312,'Apr11-Mar12 Billed-RETAIL'!$C$5:$C$138,'GSC Support'!$C312)</f>
        <v>532021.57999999996</v>
      </c>
      <c r="T312" s="287">
        <v>308910.63</v>
      </c>
      <c r="U312" s="287">
        <v>223110.95</v>
      </c>
      <c r="V312" s="287">
        <f t="shared" si="32"/>
        <v>532021.58000000007</v>
      </c>
      <c r="W312" s="288">
        <f t="shared" ca="1" si="33"/>
        <v>0</v>
      </c>
    </row>
    <row r="313" spans="1:23" x14ac:dyDescent="0.2">
      <c r="A313" s="196">
        <f t="shared" si="34"/>
        <v>308</v>
      </c>
      <c r="B313" s="211">
        <v>40940</v>
      </c>
      <c r="C313" s="211" t="str">
        <f>+'Retail Rates'!B24</f>
        <v>LGING882</v>
      </c>
      <c r="D313" s="197" t="str">
        <f t="shared" si="28"/>
        <v>882</v>
      </c>
      <c r="E313" s="197" t="str">
        <f>VLOOKUP(C313,'Retail Rates'!$B$7:$D$35,3,FALSE)</f>
        <v>IGS-TS</v>
      </c>
      <c r="F313" s="222">
        <f>SUMIFS('Data-Retail'!$H$4:$H$269,'Data-Retail'!$A$4:$A$269,'GSC Support'!$B313,'Data-Retail'!$D$4:$D$269,'GSC Support'!$C313)</f>
        <v>0</v>
      </c>
      <c r="G313" s="329"/>
      <c r="H313" s="329">
        <f t="shared" si="31"/>
        <v>0</v>
      </c>
      <c r="I313" s="330">
        <v>1131</v>
      </c>
      <c r="J313" s="330">
        <v>0</v>
      </c>
      <c r="K313" s="330"/>
      <c r="L313" s="286">
        <f t="shared" si="37"/>
        <v>1131</v>
      </c>
      <c r="M313" s="331">
        <f t="shared" si="36"/>
        <v>-1131</v>
      </c>
      <c r="N313" s="331"/>
      <c r="O313" s="323"/>
      <c r="P313" s="327"/>
      <c r="Q313" s="326"/>
      <c r="R313" s="323"/>
      <c r="S313" s="281">
        <f>SUMIFS('Apr11-Mar12 Billed-RETAIL'!$BA$5:$BA$138,'Apr11-Mar12 Billed-RETAIL'!$B$5:$B$138,'GSC Support'!$B313,'Apr11-Mar12 Billed-RETAIL'!$C$5:$C$138,'GSC Support'!$C313)</f>
        <v>0</v>
      </c>
      <c r="T313" s="287">
        <v>536.35</v>
      </c>
      <c r="U313" s="287">
        <v>0</v>
      </c>
      <c r="V313" s="287">
        <f t="shared" si="32"/>
        <v>536.35</v>
      </c>
      <c r="W313" s="288">
        <f t="shared" si="33"/>
        <v>-536.35</v>
      </c>
    </row>
    <row r="314" spans="1:23" x14ac:dyDescent="0.2">
      <c r="A314" s="196">
        <f t="shared" si="34"/>
        <v>309</v>
      </c>
      <c r="B314" s="211">
        <v>40940</v>
      </c>
      <c r="C314" s="211" t="str">
        <f>+'Retail Rates'!B25</f>
        <v>LGING882PM</v>
      </c>
      <c r="D314" s="197" t="str">
        <f t="shared" si="28"/>
        <v>882</v>
      </c>
      <c r="E314" s="197" t="str">
        <f>VLOOKUP(C314,'Retail Rates'!$B$7:$D$35,3,FALSE)</f>
        <v>IGS-TS-PM</v>
      </c>
      <c r="F314" s="222">
        <f>SUMIFS('Data-Retail'!$H$4:$H$269,'Data-Retail'!$A$4:$A$269,'GSC Support'!$B314,'Data-Retail'!$D$4:$D$269,'GSC Support'!$C314)</f>
        <v>0</v>
      </c>
      <c r="G314" s="222">
        <f>SUMIFS('Data-Retail'!$I$4:$I$269,'Data-Retail'!$A$4:$A$269,'GSC Support'!$B314,'Data-Retail'!$D$4:$D$269,'GSC Support'!$C314)</f>
        <v>0</v>
      </c>
      <c r="H314" s="222">
        <f t="shared" si="31"/>
        <v>0</v>
      </c>
      <c r="I314" s="286"/>
      <c r="J314" s="286"/>
      <c r="K314" s="286"/>
      <c r="L314" s="286">
        <f t="shared" si="37"/>
        <v>0</v>
      </c>
      <c r="M314" s="279">
        <f t="shared" si="36"/>
        <v>0</v>
      </c>
      <c r="N314" s="279"/>
      <c r="O314" s="323">
        <f>SUMIFS('Data-Retail'!$N$4:$N$238,'Data-Retail'!$A$4:$A$238,'GSC Support'!$B314,'Data-Retail'!$D$4:$D$238,'GSC Support'!$C314)</f>
        <v>0</v>
      </c>
      <c r="P314" s="323"/>
      <c r="Q314" s="323"/>
      <c r="R314" s="323"/>
      <c r="S314" s="281">
        <f>SUMIFS('Apr11-Mar12 Billed-RETAIL'!$BA$5:$BA$138,'Apr11-Mar12 Billed-RETAIL'!$B$5:$B$138,'GSC Support'!$B314,'Apr11-Mar12 Billed-RETAIL'!$C$5:$C$138,'GSC Support'!$C314)</f>
        <v>0</v>
      </c>
      <c r="T314" s="287"/>
      <c r="U314" s="287"/>
      <c r="V314" s="287">
        <f t="shared" si="32"/>
        <v>0</v>
      </c>
      <c r="W314" s="288">
        <f t="shared" si="33"/>
        <v>0</v>
      </c>
    </row>
    <row r="315" spans="1:23" x14ac:dyDescent="0.2">
      <c r="A315" s="196">
        <f t="shared" si="34"/>
        <v>310</v>
      </c>
      <c r="B315" s="211">
        <v>40940</v>
      </c>
      <c r="C315" s="211" t="str">
        <f>+'Retail Rates'!B26</f>
        <v>LGRSG811</v>
      </c>
      <c r="D315" s="197" t="str">
        <f t="shared" si="28"/>
        <v>811</v>
      </c>
      <c r="E315" s="197" t="str">
        <f>VLOOKUP(C315,'Retail Rates'!$B$7:$D$35,3,FALSE)</f>
        <v>RGS</v>
      </c>
      <c r="F315" s="222">
        <f>SUMIFS('Data-Retail'!$H$4:$H$269,'Data-Retail'!$A$4:$A$269,'GSC Support'!$B315,'Data-Retail'!$D$4:$D$269,'GSC Support'!$C315)</f>
        <v>32952339</v>
      </c>
      <c r="G315" s="222">
        <f>SUMIFS('Data-Retail'!$I$4:$I$269,'Data-Retail'!$A$4:$A$269,'GSC Support'!$B315,'Data-Retail'!$D$4:$D$269,'GSC Support'!$C315)</f>
        <v>0</v>
      </c>
      <c r="H315" s="222">
        <f t="shared" si="31"/>
        <v>32952339</v>
      </c>
      <c r="I315" s="286">
        <v>15242812</v>
      </c>
      <c r="J315" s="286">
        <v>17709527</v>
      </c>
      <c r="K315" s="286"/>
      <c r="L315" s="286">
        <f t="shared" si="37"/>
        <v>32952339</v>
      </c>
      <c r="M315" s="279">
        <f t="shared" si="36"/>
        <v>0</v>
      </c>
      <c r="N315" s="279"/>
      <c r="O315" s="323">
        <f>SUMIFS('Data-Retail'!$N$4:$N$238,'Data-Retail'!$A$4:$A$238,'GSC Support'!$B315,'Data-Retail'!$D$4:$D$238,'GSC Support'!$C315)</f>
        <v>16349868.439999999</v>
      </c>
      <c r="P315" s="323"/>
      <c r="Q315" s="323"/>
      <c r="R315" s="323"/>
      <c r="S315" s="281">
        <f ca="1">SUMIFS('Apr11-Mar12 Billed-RETAIL'!$BA$5:$BA$138,'Apr11-Mar12 Billed-RETAIL'!$B$5:$B$138,'GSC Support'!$B315,'Apr11-Mar12 Billed-RETAIL'!$C$5:$C$138,'GSC Support'!$C315)</f>
        <v>16349868.439999999</v>
      </c>
      <c r="T315" s="287">
        <v>7228824.8499999996</v>
      </c>
      <c r="U315" s="287">
        <v>9121043.5899999999</v>
      </c>
      <c r="V315" s="287">
        <f t="shared" si="32"/>
        <v>16349868.439999999</v>
      </c>
      <c r="W315" s="288">
        <f t="shared" ca="1" si="33"/>
        <v>0</v>
      </c>
    </row>
    <row r="316" spans="1:23" x14ac:dyDescent="0.2">
      <c r="A316" s="196">
        <f t="shared" si="34"/>
        <v>311</v>
      </c>
      <c r="B316" s="211">
        <v>40940</v>
      </c>
      <c r="C316" s="211" t="str">
        <f>+'Retail Rates'!B27</f>
        <v>LGRSG811S1</v>
      </c>
      <c r="D316" s="197" t="str">
        <f t="shared" si="28"/>
        <v>811</v>
      </c>
      <c r="E316" s="197" t="str">
        <f>VLOOKUP(C316,'Retail Rates'!$B$7:$D$35,3,FALSE)</f>
        <v>RGS</v>
      </c>
      <c r="F316" s="222">
        <f>SUMIFS('Data-Retail'!$H$4:$H$269,'Data-Retail'!$A$4:$A$269,'GSC Support'!$B316,'Data-Retail'!$D$4:$D$269,'GSC Support'!$C316)</f>
        <v>0</v>
      </c>
      <c r="G316" s="222">
        <f>SUMIFS('Data-Retail'!$I$4:$I$269,'Data-Retail'!$A$4:$A$269,'GSC Support'!$B316,'Data-Retail'!$D$4:$D$269,'GSC Support'!$C316)</f>
        <v>0</v>
      </c>
      <c r="H316" s="222">
        <f t="shared" si="31"/>
        <v>0</v>
      </c>
      <c r="I316" s="286">
        <v>0</v>
      </c>
      <c r="J316" s="286">
        <v>0</v>
      </c>
      <c r="K316" s="286"/>
      <c r="L316" s="286">
        <f t="shared" si="37"/>
        <v>0</v>
      </c>
      <c r="M316" s="279">
        <f t="shared" si="36"/>
        <v>0</v>
      </c>
      <c r="N316" s="279"/>
      <c r="O316" s="323">
        <f>SUMIFS('Data-Retail'!$N$4:$N$238,'Data-Retail'!$A$4:$A$238,'GSC Support'!$B316,'Data-Retail'!$D$4:$D$238,'GSC Support'!$C316)</f>
        <v>0</v>
      </c>
      <c r="P316" s="323"/>
      <c r="Q316" s="323"/>
      <c r="R316" s="323"/>
      <c r="S316" s="281">
        <f ca="1">SUMIFS('Apr11-Mar12 Billed-RETAIL'!$BA$5:$BA$138,'Apr11-Mar12 Billed-RETAIL'!$B$5:$B$138,'GSC Support'!$B316,'Apr11-Mar12 Billed-RETAIL'!$C$5:$C$138,'GSC Support'!$C316)</f>
        <v>0</v>
      </c>
      <c r="T316" s="287">
        <v>0</v>
      </c>
      <c r="U316" s="287">
        <v>0</v>
      </c>
      <c r="V316" s="287">
        <f t="shared" si="32"/>
        <v>0</v>
      </c>
      <c r="W316" s="288">
        <f t="shared" ca="1" si="33"/>
        <v>0</v>
      </c>
    </row>
    <row r="317" spans="1:23" x14ac:dyDescent="0.2">
      <c r="A317" s="196">
        <f t="shared" si="34"/>
        <v>312</v>
      </c>
      <c r="B317" s="211">
        <v>40940</v>
      </c>
      <c r="C317" s="211" t="str">
        <f>+'Retail Rates'!B28</f>
        <v>LGRSG840</v>
      </c>
      <c r="D317" s="197" t="str">
        <f t="shared" si="28"/>
        <v>840</v>
      </c>
      <c r="E317" s="197" t="str">
        <f>VLOOKUP(C317,'Retail Rates'!$B$7:$D$35,3,FALSE)</f>
        <v>RGS</v>
      </c>
      <c r="F317" s="222">
        <f>SUMIFS('Data-Retail'!$H$4:$H$269,'Data-Retail'!$A$4:$A$269,'GSC Support'!$B317,'Data-Retail'!$D$4:$D$269,'GSC Support'!$C317)</f>
        <v>2659</v>
      </c>
      <c r="G317" s="222">
        <f>SUMIFS('Data-Retail'!$I$4:$I$269,'Data-Retail'!$A$4:$A$269,'GSC Support'!$B317,'Data-Retail'!$D$4:$D$269,'GSC Support'!$C317)</f>
        <v>0</v>
      </c>
      <c r="H317" s="222">
        <f t="shared" si="31"/>
        <v>2659</v>
      </c>
      <c r="I317" s="286">
        <v>1440</v>
      </c>
      <c r="J317" s="286">
        <v>1219</v>
      </c>
      <c r="K317" s="286"/>
      <c r="L317" s="286">
        <f t="shared" si="37"/>
        <v>2659</v>
      </c>
      <c r="M317" s="279">
        <f t="shared" si="36"/>
        <v>0</v>
      </c>
      <c r="N317" s="279"/>
      <c r="O317" s="323">
        <f>SUMIFS('Data-Retail'!$N$4:$N$238,'Data-Retail'!$A$4:$A$238,'GSC Support'!$B317,'Data-Retail'!$D$4:$D$238,'GSC Support'!$C317)</f>
        <v>1311.9</v>
      </c>
      <c r="P317" s="323"/>
      <c r="Q317" s="323"/>
      <c r="R317" s="323"/>
      <c r="S317" s="281">
        <f ca="1">SUMIFS('Apr11-Mar12 Billed-RETAIL'!$BA$5:$BA$138,'Apr11-Mar12 Billed-RETAIL'!$B$5:$B$138,'GSC Support'!$B317,'Apr11-Mar12 Billed-RETAIL'!$C$5:$C$138,'GSC Support'!$C317)</f>
        <v>1311.9</v>
      </c>
      <c r="T317" s="287">
        <v>682.88</v>
      </c>
      <c r="U317" s="287">
        <v>629.02</v>
      </c>
      <c r="V317" s="287">
        <f t="shared" si="32"/>
        <v>1311.9</v>
      </c>
      <c r="W317" s="288">
        <f t="shared" ca="1" si="33"/>
        <v>0</v>
      </c>
    </row>
    <row r="318" spans="1:23" x14ac:dyDescent="0.2">
      <c r="A318" s="196">
        <f t="shared" si="34"/>
        <v>313</v>
      </c>
      <c r="B318" s="211">
        <v>40940</v>
      </c>
      <c r="C318" s="211" t="str">
        <f>+'Retail Rates'!B29</f>
        <v>LGUMG830</v>
      </c>
      <c r="D318" s="197" t="str">
        <f t="shared" si="28"/>
        <v>830</v>
      </c>
      <c r="E318" s="197" t="str">
        <f>VLOOKUP(C318,'Retail Rates'!$B$7:$D$35,3,FALSE)</f>
        <v>RGS</v>
      </c>
      <c r="F318" s="222">
        <f>SUMIFS('Data-Retail'!$H$4:$H$269,'Data-Retail'!$A$4:$A$269,'GSC Support'!$B318,'Data-Retail'!$D$4:$D$269,'GSC Support'!$C318)</f>
        <v>32</v>
      </c>
      <c r="G318" s="222">
        <f>SUMIFS('Data-Retail'!$I$4:$I$269,'Data-Retail'!$A$4:$A$269,'GSC Support'!$B318,'Data-Retail'!$D$4:$D$269,'GSC Support'!$C318)</f>
        <v>0</v>
      </c>
      <c r="H318" s="222">
        <f t="shared" si="31"/>
        <v>32</v>
      </c>
      <c r="I318" s="286">
        <v>24</v>
      </c>
      <c r="J318" s="286">
        <v>8</v>
      </c>
      <c r="K318" s="286"/>
      <c r="L318" s="286">
        <f t="shared" si="37"/>
        <v>32</v>
      </c>
      <c r="M318" s="279">
        <f t="shared" si="36"/>
        <v>0</v>
      </c>
      <c r="N318" s="279"/>
      <c r="O318" s="323">
        <f>SUMIFS('Data-Retail'!$N$4:$N$238,'Data-Retail'!$A$4:$A$238,'GSC Support'!$B318,'Data-Retail'!$D$4:$D$238,'GSC Support'!$C318)</f>
        <v>15.51</v>
      </c>
      <c r="P318" s="323"/>
      <c r="Q318" s="323"/>
      <c r="R318" s="323"/>
      <c r="S318" s="281">
        <f ca="1">SUMIFS('Apr11-Mar12 Billed-RETAIL'!$BA$5:$BA$138,'Apr11-Mar12 Billed-RETAIL'!$B$5:$B$138,'GSC Support'!$B318,'Apr11-Mar12 Billed-RETAIL'!$C$5:$C$138,'GSC Support'!$C318)</f>
        <v>15.51</v>
      </c>
      <c r="T318" s="287">
        <v>11.38</v>
      </c>
      <c r="U318" s="287">
        <v>4.13</v>
      </c>
      <c r="V318" s="287">
        <f t="shared" si="32"/>
        <v>15.510000000000002</v>
      </c>
      <c r="W318" s="288">
        <f t="shared" ca="1" si="33"/>
        <v>0</v>
      </c>
    </row>
    <row r="319" spans="1:23" x14ac:dyDescent="0.2">
      <c r="A319" s="196">
        <f t="shared" si="34"/>
        <v>314</v>
      </c>
      <c r="B319" s="211">
        <v>40940</v>
      </c>
      <c r="C319" s="211" t="str">
        <f>+'Retail Rates'!B30</f>
        <v>LGING992</v>
      </c>
      <c r="D319" s="197" t="str">
        <f t="shared" si="28"/>
        <v>992</v>
      </c>
      <c r="E319" s="197" t="str">
        <f>VLOOKUP(C319,'Retail Rates'!$B$7:$D$35,3,FALSE)</f>
        <v>SPC-EIDuP</v>
      </c>
      <c r="F319" s="222">
        <f>SUMIFS('Data-Retail'!$H$4:$H$269,'Data-Retail'!$A$4:$A$269,'GSC Support'!$B319,'Data-Retail'!$D$4:$D$269,'GSC Support'!$C319)</f>
        <v>0</v>
      </c>
      <c r="G319" s="222">
        <f>SUMIFS('Data-Retail'!$I$4:$I$269,'Data-Retail'!$A$4:$A$269,'GSC Support'!$B319,'Data-Retail'!$D$4:$D$269,'GSC Support'!$C319)</f>
        <v>0</v>
      </c>
      <c r="H319" s="222">
        <f t="shared" si="31"/>
        <v>0</v>
      </c>
      <c r="I319" s="286"/>
      <c r="J319" s="286"/>
      <c r="K319" s="286"/>
      <c r="L319" s="286">
        <f t="shared" si="37"/>
        <v>0</v>
      </c>
      <c r="M319" s="279">
        <f t="shared" si="36"/>
        <v>0</v>
      </c>
      <c r="N319" s="279"/>
      <c r="O319" s="323">
        <f>SUMIFS('Data-Retail'!$N$4:$N$238,'Data-Retail'!$A$4:$A$238,'GSC Support'!$B319,'Data-Retail'!$D$4:$D$238,'GSC Support'!$C319)</f>
        <v>0</v>
      </c>
      <c r="P319" s="323"/>
      <c r="Q319" s="323"/>
      <c r="R319" s="323"/>
      <c r="S319" s="281">
        <f>SUMIFS('Apr11-Mar12 Billed-RETAIL'!$BA$5:$BA$138,'Apr11-Mar12 Billed-RETAIL'!$B$5:$B$138,'GSC Support'!$B319,'Apr11-Mar12 Billed-RETAIL'!$C$5:$C$138,'GSC Support'!$C319)</f>
        <v>0</v>
      </c>
      <c r="T319" s="287"/>
      <c r="U319" s="287"/>
      <c r="V319" s="287">
        <f t="shared" si="32"/>
        <v>0</v>
      </c>
      <c r="W319" s="288">
        <f t="shared" si="33"/>
        <v>0</v>
      </c>
    </row>
    <row r="320" spans="1:23" x14ac:dyDescent="0.2">
      <c r="A320" s="196">
        <f t="shared" si="34"/>
        <v>315</v>
      </c>
      <c r="B320" s="211">
        <v>40940</v>
      </c>
      <c r="C320" s="211" t="str">
        <f>+'Retail Rates'!B31</f>
        <v>LGING896FD</v>
      </c>
      <c r="D320" s="197" t="str">
        <f t="shared" si="28"/>
        <v>896</v>
      </c>
      <c r="E320" s="197" t="str">
        <f>VLOOKUP(C320,'Retail Rates'!$B$7:$D$35,3,FALSE)</f>
        <v>SPC-FORD</v>
      </c>
      <c r="F320" s="222">
        <f>SUMIFS('Data-Retail'!$H$4:$H$269,'Data-Retail'!$A$4:$A$269,'GSC Support'!$B320,'Data-Retail'!$D$4:$D$269,'GSC Support'!$C320)</f>
        <v>0</v>
      </c>
      <c r="G320" s="222">
        <f>SUMIFS('Data-Retail'!$I$4:$I$269,'Data-Retail'!$A$4:$A$269,'GSC Support'!$B320,'Data-Retail'!$D$4:$D$269,'GSC Support'!$C320)</f>
        <v>0</v>
      </c>
      <c r="H320" s="222">
        <f t="shared" si="31"/>
        <v>0</v>
      </c>
      <c r="I320" s="286"/>
      <c r="J320" s="286"/>
      <c r="K320" s="286"/>
      <c r="L320" s="286">
        <f t="shared" si="37"/>
        <v>0</v>
      </c>
      <c r="M320" s="279">
        <f t="shared" si="36"/>
        <v>0</v>
      </c>
      <c r="N320" s="279"/>
      <c r="O320" s="323">
        <f>SUMIFS('Data-Retail'!$N$4:$N$238,'Data-Retail'!$A$4:$A$238,'GSC Support'!$B320,'Data-Retail'!$D$4:$D$238,'GSC Support'!$C320)</f>
        <v>0</v>
      </c>
      <c r="P320" s="323"/>
      <c r="Q320" s="323"/>
      <c r="R320" s="323"/>
      <c r="S320" s="281">
        <f>SUMIFS('Apr11-Mar12 Billed-RETAIL'!$BA$5:$BA$138,'Apr11-Mar12 Billed-RETAIL'!$B$5:$B$138,'GSC Support'!$B320,'Apr11-Mar12 Billed-RETAIL'!$C$5:$C$138,'GSC Support'!$C320)</f>
        <v>0</v>
      </c>
      <c r="T320" s="287"/>
      <c r="U320" s="287"/>
      <c r="V320" s="287">
        <f t="shared" si="32"/>
        <v>0</v>
      </c>
      <c r="W320" s="288">
        <f t="shared" si="33"/>
        <v>0</v>
      </c>
    </row>
    <row r="321" spans="1:23" x14ac:dyDescent="0.2">
      <c r="A321" s="196">
        <f t="shared" si="34"/>
        <v>316</v>
      </c>
      <c r="B321" s="211">
        <v>40940</v>
      </c>
      <c r="C321" s="211" t="str">
        <f>+'Retail Rates'!B32</f>
        <v>LGING896FM</v>
      </c>
      <c r="D321" s="197" t="str">
        <f t="shared" si="28"/>
        <v>896</v>
      </c>
      <c r="E321" s="197" t="str">
        <f>VLOOKUP(C321,'Retail Rates'!$B$7:$D$35,3,FALSE)</f>
        <v>SPC-FORD-PM</v>
      </c>
      <c r="F321" s="222">
        <f>SUMIFS('Data-Retail'!$H$4:$H$269,'Data-Retail'!$A$4:$A$269,'GSC Support'!$B321,'Data-Retail'!$D$4:$D$269,'GSC Support'!$C321)</f>
        <v>0</v>
      </c>
      <c r="G321" s="222">
        <f>SUMIFS('Data-Retail'!$I$4:$I$269,'Data-Retail'!$A$4:$A$269,'GSC Support'!$B321,'Data-Retail'!$D$4:$D$269,'GSC Support'!$C321)</f>
        <v>0</v>
      </c>
      <c r="H321" s="222">
        <f t="shared" si="31"/>
        <v>0</v>
      </c>
      <c r="I321" s="286"/>
      <c r="J321" s="286"/>
      <c r="K321" s="286"/>
      <c r="L321" s="286">
        <f t="shared" si="37"/>
        <v>0</v>
      </c>
      <c r="M321" s="279">
        <f t="shared" si="36"/>
        <v>0</v>
      </c>
      <c r="N321" s="279"/>
      <c r="O321" s="323">
        <f>SUMIFS('Data-Retail'!$N$4:$N$238,'Data-Retail'!$A$4:$A$238,'GSC Support'!$B321,'Data-Retail'!$D$4:$D$238,'GSC Support'!$C321)</f>
        <v>0</v>
      </c>
      <c r="P321" s="323"/>
      <c r="Q321" s="323"/>
      <c r="R321" s="323"/>
      <c r="S321" s="281">
        <f>SUMIFS('Apr11-Mar12 Billed-RETAIL'!$BA$5:$BA$138,'Apr11-Mar12 Billed-RETAIL'!$B$5:$B$138,'GSC Support'!$B321,'Apr11-Mar12 Billed-RETAIL'!$C$5:$C$138,'GSC Support'!$C321)</f>
        <v>0</v>
      </c>
      <c r="T321" s="287"/>
      <c r="U321" s="287"/>
      <c r="V321" s="287">
        <f t="shared" si="32"/>
        <v>0</v>
      </c>
      <c r="W321" s="288">
        <f t="shared" si="33"/>
        <v>0</v>
      </c>
    </row>
    <row r="322" spans="1:23" x14ac:dyDescent="0.2">
      <c r="A322" s="196">
        <f t="shared" si="34"/>
        <v>317</v>
      </c>
      <c r="B322" s="211">
        <v>40940</v>
      </c>
      <c r="C322" s="211" t="str">
        <f>+'Retail Rates'!B33</f>
        <v>LGCMG991</v>
      </c>
      <c r="D322" s="197" t="str">
        <f t="shared" si="28"/>
        <v>991</v>
      </c>
      <c r="E322" s="197" t="str">
        <f>VLOOKUP(C322,'Retail Rates'!$B$7:$D$35,3,FALSE)</f>
        <v>SPC-FTKX</v>
      </c>
      <c r="F322" s="222">
        <f>SUMIFS('Data-Retail'!$H$4:$H$269,'Data-Retail'!$A$4:$A$269,'GSC Support'!$B322,'Data-Retail'!$D$4:$D$269,'GSC Support'!$C322)</f>
        <v>0</v>
      </c>
      <c r="G322" s="222">
        <f>SUMIFS('Data-Retail'!$I$4:$I$269,'Data-Retail'!$A$4:$A$269,'GSC Support'!$B322,'Data-Retail'!$D$4:$D$269,'GSC Support'!$C322)</f>
        <v>0</v>
      </c>
      <c r="H322" s="222">
        <f t="shared" si="31"/>
        <v>0</v>
      </c>
      <c r="I322" s="286"/>
      <c r="J322" s="286"/>
      <c r="K322" s="286"/>
      <c r="L322" s="286">
        <f t="shared" si="37"/>
        <v>0</v>
      </c>
      <c r="M322" s="279">
        <f t="shared" si="36"/>
        <v>0</v>
      </c>
      <c r="N322" s="279"/>
      <c r="O322" s="323">
        <f>SUMIFS('Data-Retail'!$N$4:$N$238,'Data-Retail'!$A$4:$A$238,'GSC Support'!$B322,'Data-Retail'!$D$4:$D$238,'GSC Support'!$C322)</f>
        <v>0</v>
      </c>
      <c r="P322" s="323"/>
      <c r="Q322" s="323"/>
      <c r="R322" s="323"/>
      <c r="S322" s="281">
        <f>SUMIFS('Apr11-Mar12 Billed-RETAIL'!$BA$5:$BA$138,'Apr11-Mar12 Billed-RETAIL'!$B$5:$B$138,'GSC Support'!$B322,'Apr11-Mar12 Billed-RETAIL'!$C$5:$C$138,'GSC Support'!$C322)</f>
        <v>0</v>
      </c>
      <c r="T322" s="287"/>
      <c r="U322" s="287"/>
      <c r="V322" s="287">
        <f t="shared" si="32"/>
        <v>0</v>
      </c>
      <c r="W322" s="288">
        <f t="shared" si="33"/>
        <v>0</v>
      </c>
    </row>
    <row r="323" spans="1:23" x14ac:dyDescent="0.2">
      <c r="A323" s="196">
        <f t="shared" si="34"/>
        <v>318</v>
      </c>
      <c r="B323" s="211">
        <v>40940</v>
      </c>
      <c r="C323" s="211" t="str">
        <f>+'Retail Rates'!B34</f>
        <v>LGING996</v>
      </c>
      <c r="D323" s="197" t="str">
        <f t="shared" si="28"/>
        <v>996</v>
      </c>
      <c r="E323" s="197" t="str">
        <f>VLOOKUP(C323,'Retail Rates'!$B$7:$D$35,3,FALSE)</f>
        <v>SPC-LGE</v>
      </c>
      <c r="F323" s="222">
        <f>SUMIFS('Data-Retail'!$H$4:$H$269,'Data-Retail'!$A$4:$A$269,'GSC Support'!$B323,'Data-Retail'!$D$4:$D$269,'GSC Support'!$C323)</f>
        <v>298558</v>
      </c>
      <c r="G323" s="222">
        <f>SUMIFS('Data-Retail'!$I$4:$I$269,'Data-Retail'!$A$4:$A$269,'GSC Support'!$B323,'Data-Retail'!$D$4:$D$269,'GSC Support'!$C323)</f>
        <v>0</v>
      </c>
      <c r="H323" s="222">
        <f t="shared" si="31"/>
        <v>298558</v>
      </c>
      <c r="I323" s="286">
        <v>298558</v>
      </c>
      <c r="J323" s="286"/>
      <c r="K323" s="286"/>
      <c r="L323" s="286">
        <f t="shared" si="37"/>
        <v>298558</v>
      </c>
      <c r="M323" s="279">
        <f t="shared" si="36"/>
        <v>0</v>
      </c>
      <c r="N323" s="279"/>
      <c r="O323" s="323">
        <f>SUMIFS('Data-Retail'!$N$4:$N$238,'Data-Retail'!$A$4:$A$238,'GSC Support'!$B323,'Data-Retail'!$D$4:$D$238,'GSC Support'!$C323)</f>
        <v>141585.16</v>
      </c>
      <c r="P323" s="323"/>
      <c r="Q323" s="323"/>
      <c r="R323" s="323"/>
      <c r="S323" s="281">
        <f>SUMIFS('Apr11-Mar12 Billed-RETAIL'!$BA$5:$BA$138,'Apr11-Mar12 Billed-RETAIL'!$B$5:$B$138,'GSC Support'!$B323,'Apr11-Mar12 Billed-RETAIL'!$C$5:$C$138,'GSC Support'!$C323)</f>
        <v>0</v>
      </c>
      <c r="T323" s="287">
        <v>141585.16</v>
      </c>
      <c r="U323" s="287"/>
      <c r="V323" s="287">
        <f t="shared" si="32"/>
        <v>141585.16</v>
      </c>
      <c r="W323" s="288">
        <f t="shared" si="33"/>
        <v>-141585.16</v>
      </c>
    </row>
    <row r="324" spans="1:23" x14ac:dyDescent="0.2">
      <c r="A324" s="196">
        <f t="shared" si="34"/>
        <v>319</v>
      </c>
      <c r="B324" s="211">
        <v>40940</v>
      </c>
      <c r="C324" s="211" t="str">
        <f>+'Retail Rates'!B35</f>
        <v>LGING997</v>
      </c>
      <c r="D324" s="197" t="str">
        <f t="shared" si="28"/>
        <v>997</v>
      </c>
      <c r="E324" s="197" t="str">
        <f>VLOOKUP(C324,'Retail Rates'!$B$7:$D$35,3,FALSE)</f>
        <v>SPC-PADDY</v>
      </c>
      <c r="F324" s="222">
        <f>SUMIFS('Data-Retail'!$H$4:$H$269,'Data-Retail'!$A$4:$A$269,'GSC Support'!$B324,'Data-Retail'!$D$4:$D$269,'GSC Support'!$C324)</f>
        <v>0</v>
      </c>
      <c r="G324" s="222">
        <f>SUMIFS('Data-Retail'!$I$4:$I$269,'Data-Retail'!$A$4:$A$269,'GSC Support'!$B324,'Data-Retail'!$D$4:$D$269,'GSC Support'!$C324)</f>
        <v>0</v>
      </c>
      <c r="H324" s="222">
        <f t="shared" si="31"/>
        <v>0</v>
      </c>
      <c r="I324" s="286"/>
      <c r="J324" s="286"/>
      <c r="K324" s="286"/>
      <c r="L324" s="286">
        <f t="shared" si="37"/>
        <v>0</v>
      </c>
      <c r="M324" s="279">
        <f t="shared" si="36"/>
        <v>0</v>
      </c>
      <c r="N324" s="279"/>
      <c r="O324" s="323">
        <f>SUMIFS('Data-Retail'!$N$4:$N$238,'Data-Retail'!$A$4:$A$238,'GSC Support'!$B324,'Data-Retail'!$D$4:$D$238,'GSC Support'!$C324)</f>
        <v>0</v>
      </c>
      <c r="P324" s="323"/>
      <c r="Q324" s="323"/>
      <c r="R324" s="323"/>
      <c r="S324" s="281">
        <f>SUMIFS('Apr11-Mar12 Billed-RETAIL'!$BA$5:$BA$138,'Apr11-Mar12 Billed-RETAIL'!$B$5:$B$138,'GSC Support'!$B324,'Apr11-Mar12 Billed-RETAIL'!$C$5:$C$138,'GSC Support'!$C324)</f>
        <v>0</v>
      </c>
      <c r="T324" s="287"/>
      <c r="U324" s="287"/>
      <c r="V324" s="287">
        <f t="shared" si="32"/>
        <v>0</v>
      </c>
      <c r="W324" s="288">
        <f t="shared" si="33"/>
        <v>0</v>
      </c>
    </row>
    <row r="325" spans="1:23" x14ac:dyDescent="0.2">
      <c r="A325" s="196">
        <f t="shared" si="34"/>
        <v>320</v>
      </c>
      <c r="B325" s="211">
        <v>40969</v>
      </c>
      <c r="C325" s="211" t="str">
        <f>+'Retail Rates'!B7</f>
        <v>LGCMG865</v>
      </c>
      <c r="D325" s="197" t="str">
        <f t="shared" si="28"/>
        <v>865</v>
      </c>
      <c r="E325" s="197" t="str">
        <f>VLOOKUP(C325,'Retail Rates'!$B$7:$D$35,3,FALSE)</f>
        <v>AAGS-C</v>
      </c>
      <c r="F325" s="222">
        <f>SUMIFS('Data-Retail'!$H$4:$H$269,'Data-Retail'!$A$4:$A$269,'GSC Support'!$B325,'Data-Retail'!$D$4:$D$269,'GSC Support'!$C325)</f>
        <v>104356</v>
      </c>
      <c r="G325" s="222">
        <f>SUMIFS('Data-Retail'!$I$4:$I$269,'Data-Retail'!$A$4:$A$269,'GSC Support'!$B325,'Data-Retail'!$D$4:$D$269,'GSC Support'!$C325)</f>
        <v>0</v>
      </c>
      <c r="H325" s="222">
        <f t="shared" si="31"/>
        <v>104356</v>
      </c>
      <c r="I325" s="286">
        <v>104356</v>
      </c>
      <c r="J325" s="286"/>
      <c r="K325" s="286"/>
      <c r="L325" s="286">
        <f t="shared" si="37"/>
        <v>104356</v>
      </c>
      <c r="M325" s="279">
        <f t="shared" ref="M325:M353" si="38">+H325-L325</f>
        <v>0</v>
      </c>
      <c r="N325" s="279"/>
      <c r="O325" s="323">
        <f>SUMIFS('Data-Retail'!$N$4:$N$238,'Data-Retail'!$A$4:$A$238,'GSC Support'!$B325,'Data-Retail'!$D$4:$D$238,'GSC Support'!$C325)</f>
        <v>49488.74</v>
      </c>
      <c r="P325" s="323"/>
      <c r="Q325" s="323"/>
      <c r="R325" s="323"/>
      <c r="S325" s="281">
        <f ca="1">SUMIFS('Apr11-Mar12 Billed-RETAIL'!$BA$5:$BA$138,'Apr11-Mar12 Billed-RETAIL'!$B$5:$B$138,'GSC Support'!$B325,'Apr11-Mar12 Billed-RETAIL'!$C$5:$C$138,'GSC Support'!$C325)</f>
        <v>49488.74</v>
      </c>
      <c r="T325" s="599">
        <v>49488.74</v>
      </c>
      <c r="U325" s="287"/>
      <c r="V325" s="287">
        <f t="shared" si="32"/>
        <v>49488.74</v>
      </c>
      <c r="W325" s="288">
        <f t="shared" ca="1" si="33"/>
        <v>0</v>
      </c>
    </row>
    <row r="326" spans="1:23" x14ac:dyDescent="0.2">
      <c r="A326" s="196">
        <f t="shared" si="34"/>
        <v>321</v>
      </c>
      <c r="B326" s="211">
        <v>40969</v>
      </c>
      <c r="C326" s="211" t="str">
        <f>+'Retail Rates'!B8</f>
        <v>LGCMG891</v>
      </c>
      <c r="D326" s="197" t="str">
        <f t="shared" ref="D326:D353" si="39">MID(C326,6,3)</f>
        <v>891</v>
      </c>
      <c r="E326" s="197" t="str">
        <f>VLOOKUP(C326,'Retail Rates'!$B$7:$D$35,3,FALSE)</f>
        <v>AAGS-C-TS</v>
      </c>
      <c r="F326" s="222">
        <f>SUMIFS('Data-Retail'!$H$4:$H$269,'Data-Retail'!$A$4:$A$269,'GSC Support'!$B326,'Data-Retail'!$D$4:$D$269,'GSC Support'!$C326)</f>
        <v>0</v>
      </c>
      <c r="G326" s="222">
        <f>SUMIFS('Data-Retail'!$I$4:$I$269,'Data-Retail'!$A$4:$A$269,'GSC Support'!$B326,'Data-Retail'!$D$4:$D$269,'GSC Support'!$C326)</f>
        <v>0</v>
      </c>
      <c r="H326" s="222">
        <f t="shared" si="31"/>
        <v>0</v>
      </c>
      <c r="I326" s="286"/>
      <c r="J326" s="286"/>
      <c r="K326" s="286"/>
      <c r="L326" s="286">
        <f t="shared" si="37"/>
        <v>0</v>
      </c>
      <c r="M326" s="279">
        <f t="shared" si="38"/>
        <v>0</v>
      </c>
      <c r="N326" s="279"/>
      <c r="O326" s="323">
        <f>SUMIFS('Data-Retail'!$N$4:$N$238,'Data-Retail'!$A$4:$A$238,'GSC Support'!$B326,'Data-Retail'!$D$4:$D$238,'GSC Support'!$C326)</f>
        <v>0</v>
      </c>
      <c r="P326" s="323"/>
      <c r="Q326" s="323"/>
      <c r="R326" s="323"/>
      <c r="S326" s="281">
        <f>SUMIFS('Apr11-Mar12 Billed-RETAIL'!$BA$5:$BA$138,'Apr11-Mar12 Billed-RETAIL'!$B$5:$B$138,'GSC Support'!$B326,'Apr11-Mar12 Billed-RETAIL'!$C$5:$C$138,'GSC Support'!$C326)</f>
        <v>0</v>
      </c>
      <c r="T326" s="287"/>
      <c r="U326" s="287"/>
      <c r="V326" s="287">
        <f t="shared" si="32"/>
        <v>0</v>
      </c>
      <c r="W326" s="288">
        <f t="shared" si="33"/>
        <v>0</v>
      </c>
    </row>
    <row r="327" spans="1:23" x14ac:dyDescent="0.2">
      <c r="A327" s="196">
        <f t="shared" si="34"/>
        <v>322</v>
      </c>
      <c r="B327" s="211">
        <v>40969</v>
      </c>
      <c r="C327" s="211" t="str">
        <f>+'Retail Rates'!B9</f>
        <v>LGCMG891PM</v>
      </c>
      <c r="D327" s="197" t="str">
        <f t="shared" si="39"/>
        <v>891</v>
      </c>
      <c r="E327" s="197" t="str">
        <f>VLOOKUP(C327,'Retail Rates'!$B$7:$D$35,3,FALSE)</f>
        <v>AAGS-C-TS-PM</v>
      </c>
      <c r="F327" s="222">
        <f>SUMIFS('Data-Retail'!$H$4:$H$269,'Data-Retail'!$A$4:$A$269,'GSC Support'!$B327,'Data-Retail'!$D$4:$D$269,'GSC Support'!$C327)</f>
        <v>0</v>
      </c>
      <c r="G327" s="222">
        <f>SUMIFS('Data-Retail'!$I$4:$I$269,'Data-Retail'!$A$4:$A$269,'GSC Support'!$B327,'Data-Retail'!$D$4:$D$269,'GSC Support'!$C327)</f>
        <v>0</v>
      </c>
      <c r="H327" s="222">
        <f t="shared" ref="H327:H353" si="40">+F327+G327</f>
        <v>0</v>
      </c>
      <c r="I327" s="286"/>
      <c r="J327" s="286"/>
      <c r="K327" s="286"/>
      <c r="L327" s="286">
        <f t="shared" si="37"/>
        <v>0</v>
      </c>
      <c r="M327" s="279">
        <f t="shared" si="38"/>
        <v>0</v>
      </c>
      <c r="N327" s="279"/>
      <c r="O327" s="323">
        <f>SUMIFS('Data-Retail'!$N$4:$N$238,'Data-Retail'!$A$4:$A$238,'GSC Support'!$B327,'Data-Retail'!$D$4:$D$238,'GSC Support'!$C327)</f>
        <v>0</v>
      </c>
      <c r="P327" s="323"/>
      <c r="Q327" s="323"/>
      <c r="R327" s="323"/>
      <c r="S327" s="281">
        <f>SUMIFS('Apr11-Mar12 Billed-RETAIL'!$BA$5:$BA$138,'Apr11-Mar12 Billed-RETAIL'!$B$5:$B$138,'GSC Support'!$B327,'Apr11-Mar12 Billed-RETAIL'!$C$5:$C$138,'GSC Support'!$C327)</f>
        <v>0</v>
      </c>
      <c r="T327" s="287"/>
      <c r="U327" s="287"/>
      <c r="V327" s="287">
        <f t="shared" ref="V327:V353" si="41">SUM(T327:U327)</f>
        <v>0</v>
      </c>
      <c r="W327" s="288">
        <f t="shared" ref="W327:W353" si="42">+S327-V327</f>
        <v>0</v>
      </c>
    </row>
    <row r="328" spans="1:23" x14ac:dyDescent="0.2">
      <c r="A328" s="196">
        <f t="shared" ref="A328:A353" si="43">+A327+1</f>
        <v>323</v>
      </c>
      <c r="B328" s="211">
        <v>40969</v>
      </c>
      <c r="C328" s="211" t="str">
        <f>+'Retail Rates'!B10</f>
        <v>LGING866</v>
      </c>
      <c r="D328" s="197" t="str">
        <f t="shared" si="39"/>
        <v>866</v>
      </c>
      <c r="E328" s="197" t="str">
        <f>VLOOKUP(C328,'Retail Rates'!$B$7:$D$35,3,FALSE)</f>
        <v>AAGS-I</v>
      </c>
      <c r="F328" s="222">
        <f>SUMIFS('Data-Retail'!$H$4:$H$269,'Data-Retail'!$A$4:$A$269,'GSC Support'!$B328,'Data-Retail'!$D$4:$D$269,'GSC Support'!$C328)</f>
        <v>189840</v>
      </c>
      <c r="G328" s="222">
        <f>SUMIFS('Data-Retail'!$I$4:$I$269,'Data-Retail'!$A$4:$A$269,'GSC Support'!$B328,'Data-Retail'!$D$4:$D$269,'GSC Support'!$C328)</f>
        <v>0</v>
      </c>
      <c r="H328" s="222">
        <f t="shared" si="40"/>
        <v>189840</v>
      </c>
      <c r="I328" s="330">
        <v>189840</v>
      </c>
      <c r="J328" s="286"/>
      <c r="K328" s="286"/>
      <c r="L328" s="286">
        <f t="shared" si="37"/>
        <v>189840</v>
      </c>
      <c r="M328" s="279">
        <f t="shared" si="38"/>
        <v>0</v>
      </c>
      <c r="N328" s="279"/>
      <c r="O328" s="323">
        <f>SUMIFS('Data-Retail'!$N$4:$N$238,'Data-Retail'!$A$4:$A$238,'GSC Support'!$B328,'Data-Retail'!$D$4:$D$238,'GSC Support'!$C328)</f>
        <v>90027.82</v>
      </c>
      <c r="P328" s="323"/>
      <c r="Q328" s="323"/>
      <c r="R328" s="323"/>
      <c r="S328" s="281">
        <f ca="1">SUMIFS('Apr11-Mar12 Billed-RETAIL'!$BA$5:$BA$138,'Apr11-Mar12 Billed-RETAIL'!$B$5:$B$138,'GSC Support'!$B328,'Apr11-Mar12 Billed-RETAIL'!$C$5:$C$138,'GSC Support'!$C328)</f>
        <v>90027.82</v>
      </c>
      <c r="T328" s="599">
        <v>90027.82</v>
      </c>
      <c r="U328" s="287"/>
      <c r="V328" s="287">
        <f t="shared" si="41"/>
        <v>90027.82</v>
      </c>
      <c r="W328" s="288">
        <f t="shared" ca="1" si="42"/>
        <v>0</v>
      </c>
    </row>
    <row r="329" spans="1:23" x14ac:dyDescent="0.2">
      <c r="A329" s="196">
        <f t="shared" si="43"/>
        <v>324</v>
      </c>
      <c r="B329" s="211">
        <v>40969</v>
      </c>
      <c r="C329" s="211" t="str">
        <f>+'Retail Rates'!B11</f>
        <v>LGING892</v>
      </c>
      <c r="D329" s="197" t="str">
        <f t="shared" si="39"/>
        <v>892</v>
      </c>
      <c r="E329" s="197" t="str">
        <f>VLOOKUP(C329,'Retail Rates'!$B$7:$D$35,3,FALSE)</f>
        <v>AAGS-I-TS</v>
      </c>
      <c r="F329" s="222">
        <f>SUMIFS('Data-Retail'!$H$4:$H$269,'Data-Retail'!$A$4:$A$269,'GSC Support'!$B329,'Data-Retail'!$D$4:$D$269,'GSC Support'!$C329)</f>
        <v>0</v>
      </c>
      <c r="G329" s="222">
        <f>SUMIFS('Data-Retail'!$I$4:$I$269,'Data-Retail'!$A$4:$A$269,'GSC Support'!$B329,'Data-Retail'!$D$4:$D$269,'GSC Support'!$C329)</f>
        <v>0</v>
      </c>
      <c r="H329" s="222">
        <f t="shared" si="40"/>
        <v>0</v>
      </c>
      <c r="I329" s="286"/>
      <c r="J329" s="286"/>
      <c r="K329" s="286"/>
      <c r="L329" s="286">
        <f t="shared" si="37"/>
        <v>0</v>
      </c>
      <c r="M329" s="279">
        <f t="shared" si="38"/>
        <v>0</v>
      </c>
      <c r="N329" s="279"/>
      <c r="O329" s="323">
        <f>SUMIFS('Data-Retail'!$N$4:$N$238,'Data-Retail'!$A$4:$A$238,'GSC Support'!$B329,'Data-Retail'!$D$4:$D$238,'GSC Support'!$C329)</f>
        <v>0</v>
      </c>
      <c r="P329" s="323"/>
      <c r="Q329" s="323"/>
      <c r="R329" s="323"/>
      <c r="S329" s="281">
        <f>SUMIFS('Apr11-Mar12 Billed-RETAIL'!$BA$5:$BA$138,'Apr11-Mar12 Billed-RETAIL'!$B$5:$B$138,'GSC Support'!$B329,'Apr11-Mar12 Billed-RETAIL'!$C$5:$C$138,'GSC Support'!$C329)</f>
        <v>0</v>
      </c>
      <c r="T329" s="287"/>
      <c r="U329" s="287"/>
      <c r="V329" s="287">
        <f t="shared" si="41"/>
        <v>0</v>
      </c>
      <c r="W329" s="288">
        <f t="shared" si="42"/>
        <v>0</v>
      </c>
    </row>
    <row r="330" spans="1:23" x14ac:dyDescent="0.2">
      <c r="A330" s="196">
        <f t="shared" si="43"/>
        <v>325</v>
      </c>
      <c r="B330" s="211">
        <v>40969</v>
      </c>
      <c r="C330" s="211" t="str">
        <f>+'Retail Rates'!B12</f>
        <v>LGING892PM</v>
      </c>
      <c r="D330" s="197" t="str">
        <f t="shared" si="39"/>
        <v>892</v>
      </c>
      <c r="E330" s="197" t="str">
        <f>VLOOKUP(C330,'Retail Rates'!$B$7:$D$35,3,FALSE)</f>
        <v>AAGS-I-TS-PM</v>
      </c>
      <c r="F330" s="222">
        <f>SUMIFS('Data-Retail'!$H$4:$H$269,'Data-Retail'!$A$4:$A$269,'GSC Support'!$B330,'Data-Retail'!$D$4:$D$269,'GSC Support'!$C330)</f>
        <v>0</v>
      </c>
      <c r="G330" s="222">
        <f>SUMIFS('Data-Retail'!$I$4:$I$269,'Data-Retail'!$A$4:$A$269,'GSC Support'!$B330,'Data-Retail'!$D$4:$D$269,'GSC Support'!$C330)</f>
        <v>0</v>
      </c>
      <c r="H330" s="222">
        <f t="shared" si="40"/>
        <v>0</v>
      </c>
      <c r="I330" s="286"/>
      <c r="J330" s="286"/>
      <c r="K330" s="286"/>
      <c r="L330" s="286">
        <f t="shared" si="37"/>
        <v>0</v>
      </c>
      <c r="M330" s="279">
        <f t="shared" si="38"/>
        <v>0</v>
      </c>
      <c r="N330" s="279"/>
      <c r="O330" s="323">
        <f>SUMIFS('Data-Retail'!$N$4:$N$238,'Data-Retail'!$A$4:$A$238,'GSC Support'!$B330,'Data-Retail'!$D$4:$D$238,'GSC Support'!$C330)</f>
        <v>0</v>
      </c>
      <c r="P330" s="323"/>
      <c r="Q330" s="323"/>
      <c r="R330" s="323"/>
      <c r="S330" s="281">
        <f>SUMIFS('Apr11-Mar12 Billed-RETAIL'!$BA$5:$BA$138,'Apr11-Mar12 Billed-RETAIL'!$B$5:$B$138,'GSC Support'!$B330,'Apr11-Mar12 Billed-RETAIL'!$C$5:$C$138,'GSC Support'!$C330)</f>
        <v>0</v>
      </c>
      <c r="T330" s="287"/>
      <c r="U330" s="287"/>
      <c r="V330" s="287">
        <f t="shared" si="41"/>
        <v>0</v>
      </c>
      <c r="W330" s="288">
        <f t="shared" si="42"/>
        <v>0</v>
      </c>
    </row>
    <row r="331" spans="1:23" x14ac:dyDescent="0.2">
      <c r="A331" s="196">
        <f>+A330+1</f>
        <v>326</v>
      </c>
      <c r="B331" s="211">
        <v>40969</v>
      </c>
      <c r="C331" s="211" t="str">
        <f>+'Retail Rates'!B13</f>
        <v>LGCMG851</v>
      </c>
      <c r="D331" s="197" t="str">
        <f t="shared" si="39"/>
        <v>851</v>
      </c>
      <c r="E331" s="197" t="str">
        <f>VLOOKUP(C331,'Retail Rates'!$B$7:$D$35,3,FALSE)</f>
        <v>CGS</v>
      </c>
      <c r="F331" s="222">
        <f>SUMIFS('Data-Retail'!$H$4:$H$269,'Data-Retail'!$A$4:$A$269,'GSC Support'!$B331,'Data-Retail'!$D$4:$D$269,'GSC Support'!$C331)</f>
        <v>11177944</v>
      </c>
      <c r="G331" s="222">
        <f>SUMIFS('Data-Retail'!$I$4:$I$269,'Data-Retail'!$A$4:$A$269,'GSC Support'!$B331,'Data-Retail'!$D$4:$D$269,'GSC Support'!$C331)</f>
        <v>0</v>
      </c>
      <c r="H331" s="222">
        <f t="shared" si="40"/>
        <v>11177944</v>
      </c>
      <c r="I331" s="598">
        <v>10538742</v>
      </c>
      <c r="J331" s="286">
        <v>639202</v>
      </c>
      <c r="K331" s="286"/>
      <c r="L331" s="286">
        <f t="shared" si="37"/>
        <v>11177944</v>
      </c>
      <c r="M331" s="279">
        <f t="shared" si="38"/>
        <v>0</v>
      </c>
      <c r="N331" s="279"/>
      <c r="O331" s="323">
        <f>SUMIFS('Data-Retail'!$N$4:$N$238,'Data-Retail'!$A$4:$A$238,'GSC Support'!$B331,'Data-Retail'!$D$4:$D$238,'GSC Support'!$C331)</f>
        <v>5305205.26</v>
      </c>
      <c r="P331" s="323"/>
      <c r="Q331" s="323"/>
      <c r="R331" s="323"/>
      <c r="S331" s="281">
        <f ca="1">SUMIFS('Apr11-Mar12 Billed-RETAIL'!$BA$5:$BA$138,'Apr11-Mar12 Billed-RETAIL'!$B$5:$B$138,'GSC Support'!$B331,'Apr11-Mar12 Billed-RETAIL'!$C$5:$C$138,'GSC Support'!$C331)</f>
        <v>5305205.26</v>
      </c>
      <c r="T331" s="599">
        <v>4997817.7699999996</v>
      </c>
      <c r="U331" s="599">
        <v>307387.49000000022</v>
      </c>
      <c r="V331" s="287">
        <f t="shared" si="41"/>
        <v>5305205.26</v>
      </c>
      <c r="W331" s="288">
        <f t="shared" ca="1" si="42"/>
        <v>0</v>
      </c>
    </row>
    <row r="332" spans="1:23" x14ac:dyDescent="0.2">
      <c r="A332" s="196">
        <f t="shared" si="43"/>
        <v>327</v>
      </c>
      <c r="B332" s="211">
        <v>40969</v>
      </c>
      <c r="C332" s="211" t="str">
        <f>+'Retail Rates'!B14</f>
        <v>LGUMG860</v>
      </c>
      <c r="D332" s="197" t="str">
        <f t="shared" si="39"/>
        <v>860</v>
      </c>
      <c r="E332" s="197" t="str">
        <f>VLOOKUP(C332,'Retail Rates'!$B$7:$D$35,3,FALSE)</f>
        <v>CGS</v>
      </c>
      <c r="F332" s="222">
        <f>SUMIFS('Data-Retail'!$H$4:$H$269,'Data-Retail'!$A$4:$A$269,'GSC Support'!$B332,'Data-Retail'!$D$4:$D$269,'GSC Support'!$C332)</f>
        <v>358</v>
      </c>
      <c r="G332" s="222">
        <f>SUMIFS('Data-Retail'!$I$4:$I$269,'Data-Retail'!$A$4:$A$269,'GSC Support'!$B332,'Data-Retail'!$D$4:$D$269,'GSC Support'!$C332)</f>
        <v>0</v>
      </c>
      <c r="H332" s="222">
        <f t="shared" si="40"/>
        <v>358</v>
      </c>
      <c r="I332" s="286">
        <v>358</v>
      </c>
      <c r="J332" s="286"/>
      <c r="K332" s="286"/>
      <c r="L332" s="286">
        <f t="shared" si="37"/>
        <v>358</v>
      </c>
      <c r="M332" s="279">
        <f t="shared" si="38"/>
        <v>0</v>
      </c>
      <c r="N332" s="279"/>
      <c r="O332" s="323">
        <f>SUMIFS('Data-Retail'!$N$4:$N$238,'Data-Retail'!$A$4:$A$238,'GSC Support'!$B332,'Data-Retail'!$D$4:$D$238,'GSC Support'!$C332)</f>
        <v>0</v>
      </c>
      <c r="P332" s="323"/>
      <c r="Q332" s="323"/>
      <c r="R332" s="323"/>
      <c r="S332" s="281">
        <f ca="1">SUMIFS('Apr11-Mar12 Billed-RETAIL'!$BA$5:$BA$138,'Apr11-Mar12 Billed-RETAIL'!$B$5:$B$138,'GSC Support'!$B332,'Apr11-Mar12 Billed-RETAIL'!$C$5:$C$138,'GSC Support'!$C332)</f>
        <v>169.77999999999997</v>
      </c>
      <c r="T332" s="599">
        <v>169.78</v>
      </c>
      <c r="U332" s="287"/>
      <c r="V332" s="287">
        <f t="shared" si="41"/>
        <v>169.78</v>
      </c>
      <c r="W332" s="288">
        <f t="shared" ca="1" si="42"/>
        <v>0</v>
      </c>
    </row>
    <row r="333" spans="1:23" x14ac:dyDescent="0.2">
      <c r="A333" s="196">
        <f t="shared" si="43"/>
        <v>328</v>
      </c>
      <c r="B333" s="211">
        <v>40969</v>
      </c>
      <c r="C333" s="211" t="str">
        <f>+'Retail Rates'!B15</f>
        <v>LGUMG861</v>
      </c>
      <c r="D333" s="197" t="str">
        <f t="shared" si="39"/>
        <v>861</v>
      </c>
      <c r="E333" s="197" t="str">
        <f>VLOOKUP(C333,'Retail Rates'!$B$7:$D$35,3,FALSE)</f>
        <v>CGS</v>
      </c>
      <c r="F333" s="222">
        <f>SUMIFS('Data-Retail'!$H$4:$H$269,'Data-Retail'!$A$4:$A$269,'GSC Support'!$B333,'Data-Retail'!$D$4:$D$269,'GSC Support'!$C333)</f>
        <v>613</v>
      </c>
      <c r="G333" s="222">
        <f>SUMIFS('Data-Retail'!$I$4:$I$269,'Data-Retail'!$A$4:$A$269,'GSC Support'!$B333,'Data-Retail'!$D$4:$D$269,'GSC Support'!$C333)</f>
        <v>0</v>
      </c>
      <c r="H333" s="222">
        <f t="shared" si="40"/>
        <v>613</v>
      </c>
      <c r="I333" s="286">
        <v>613</v>
      </c>
      <c r="J333" s="286"/>
      <c r="K333" s="286"/>
      <c r="L333" s="286">
        <f t="shared" si="37"/>
        <v>613</v>
      </c>
      <c r="M333" s="279">
        <f t="shared" si="38"/>
        <v>0</v>
      </c>
      <c r="N333" s="279"/>
      <c r="O333" s="323">
        <f>SUMIFS('Data-Retail'!$N$4:$N$238,'Data-Retail'!$A$4:$A$238,'GSC Support'!$B333,'Data-Retail'!$D$4:$D$238,'GSC Support'!$C333)</f>
        <v>0</v>
      </c>
      <c r="P333" s="323"/>
      <c r="Q333" s="323"/>
      <c r="R333" s="323"/>
      <c r="S333" s="281">
        <f ca="1">SUMIFS('Apr11-Mar12 Billed-RETAIL'!$BA$5:$BA$138,'Apr11-Mar12 Billed-RETAIL'!$B$5:$B$138,'GSC Support'!$B333,'Apr11-Mar12 Billed-RETAIL'!$C$5:$C$138,'GSC Support'!$C333)</f>
        <v>288.2</v>
      </c>
      <c r="T333" s="599">
        <v>288.2</v>
      </c>
      <c r="U333" s="287"/>
      <c r="V333" s="287">
        <f t="shared" si="41"/>
        <v>288.2</v>
      </c>
      <c r="W333" s="288">
        <f t="shared" ca="1" si="42"/>
        <v>0</v>
      </c>
    </row>
    <row r="334" spans="1:23" x14ac:dyDescent="0.2">
      <c r="A334" s="196">
        <f t="shared" si="43"/>
        <v>329</v>
      </c>
      <c r="B334" s="211">
        <v>40969</v>
      </c>
      <c r="C334" s="211" t="str">
        <f>+'Retail Rates'!B16</f>
        <v>LGCMG881</v>
      </c>
      <c r="D334" s="197" t="str">
        <f t="shared" si="39"/>
        <v>881</v>
      </c>
      <c r="E334" s="197" t="str">
        <f>VLOOKUP(C334,'Retail Rates'!$B$7:$D$35,3,FALSE)</f>
        <v>CGS-TS</v>
      </c>
      <c r="F334" s="329">
        <f>SUMIFS('Data-Retail'!$H$4:$H$269,'Data-Retail'!$A$4:$A$269,'GSC Support'!$B334,'Data-Retail'!$D$4:$D$269,'GSC Support'!$C334)</f>
        <v>0</v>
      </c>
      <c r="G334" s="329">
        <f>SUMIFS('Data-Retail'!$I$4:$I$269,'Data-Retail'!$A$4:$A$269,'GSC Support'!$B334,'Data-Retail'!$D$4:$D$269,'GSC Support'!$C334)</f>
        <v>0</v>
      </c>
      <c r="H334" s="329">
        <f t="shared" si="40"/>
        <v>0</v>
      </c>
      <c r="I334" s="330"/>
      <c r="J334" s="330"/>
      <c r="K334" s="330"/>
      <c r="L334" s="286">
        <f t="shared" si="37"/>
        <v>0</v>
      </c>
      <c r="M334" s="331">
        <f t="shared" si="38"/>
        <v>0</v>
      </c>
      <c r="N334" s="331"/>
      <c r="O334" s="323">
        <f>SUMIFS('Data-Retail'!$V$4:$V$238,'Data-Retail'!$A$4:$A$238,'GSC Support'!$B334,'Data-Retail'!$D$4:$D$238,'GSC Support'!$C334)</f>
        <v>0</v>
      </c>
      <c r="P334" s="327" t="e">
        <f>VLOOKUP($B334,'GSC-DSM Factors'!$A$18:$E$44,5,FALSE)</f>
        <v>#N/A</v>
      </c>
      <c r="Q334" s="326" t="e">
        <f>P334*H334</f>
        <v>#N/A</v>
      </c>
      <c r="R334" s="323" t="e">
        <f>+O334-Q334</f>
        <v>#N/A</v>
      </c>
      <c r="S334" s="281">
        <f>SUMIFS('Apr11-Mar12 Billed-RETAIL'!$BA$5:$BA$138,'Apr11-Mar12 Billed-RETAIL'!$B$5:$B$138,'GSC Support'!$B334,'Apr11-Mar12 Billed-RETAIL'!$C$5:$C$138,'GSC Support'!$C334)</f>
        <v>0</v>
      </c>
      <c r="T334" s="287"/>
      <c r="U334" s="287"/>
      <c r="V334" s="287">
        <f t="shared" si="41"/>
        <v>0</v>
      </c>
      <c r="W334" s="288">
        <f t="shared" si="42"/>
        <v>0</v>
      </c>
    </row>
    <row r="335" spans="1:23" x14ac:dyDescent="0.2">
      <c r="A335" s="196">
        <f t="shared" si="43"/>
        <v>330</v>
      </c>
      <c r="B335" s="211">
        <v>40969</v>
      </c>
      <c r="C335" s="211" t="str">
        <f>+'Retail Rates'!B17</f>
        <v>LGCMG881PM</v>
      </c>
      <c r="D335" s="197" t="str">
        <f t="shared" si="39"/>
        <v>881</v>
      </c>
      <c r="E335" s="197" t="str">
        <f>VLOOKUP(C335,'Retail Rates'!$B$7:$D$35,3,FALSE)</f>
        <v>CGS-TS-PM</v>
      </c>
      <c r="F335" s="222">
        <f>SUMIFS('Data-Retail'!$H$4:$H$269,'Data-Retail'!$A$4:$A$269,'GSC Support'!$B335,'Data-Retail'!$D$4:$D$269,'GSC Support'!$C335)</f>
        <v>0</v>
      </c>
      <c r="G335" s="222">
        <f>SUMIFS('Data-Retail'!$I$4:$I$269,'Data-Retail'!$A$4:$A$269,'GSC Support'!$B335,'Data-Retail'!$D$4:$D$269,'GSC Support'!$C335)</f>
        <v>0</v>
      </c>
      <c r="H335" s="222">
        <f t="shared" si="40"/>
        <v>0</v>
      </c>
      <c r="I335" s="286"/>
      <c r="J335" s="286"/>
      <c r="K335" s="286"/>
      <c r="L335" s="286">
        <f t="shared" si="37"/>
        <v>0</v>
      </c>
      <c r="M335" s="279">
        <f t="shared" si="38"/>
        <v>0</v>
      </c>
      <c r="N335" s="279"/>
      <c r="O335" s="323">
        <f>SUMIFS('Data-Retail'!$N$4:$N$238,'Data-Retail'!$A$4:$A$238,'GSC Support'!$B335,'Data-Retail'!$D$4:$D$238,'GSC Support'!$C335)</f>
        <v>0</v>
      </c>
      <c r="P335" s="323"/>
      <c r="Q335" s="323"/>
      <c r="R335" s="323"/>
      <c r="S335" s="281">
        <f>SUMIFS('Apr11-Mar12 Billed-RETAIL'!$BA$5:$BA$138,'Apr11-Mar12 Billed-RETAIL'!$B$5:$B$138,'GSC Support'!$B335,'Apr11-Mar12 Billed-RETAIL'!$C$5:$C$138,'GSC Support'!$C335)</f>
        <v>0</v>
      </c>
      <c r="T335" s="287"/>
      <c r="U335" s="287"/>
      <c r="V335" s="287">
        <f t="shared" si="41"/>
        <v>0</v>
      </c>
      <c r="W335" s="288">
        <f t="shared" si="42"/>
        <v>0</v>
      </c>
    </row>
    <row r="336" spans="1:23" x14ac:dyDescent="0.2">
      <c r="A336" s="196">
        <f t="shared" si="43"/>
        <v>331</v>
      </c>
      <c r="B336" s="211">
        <v>40969</v>
      </c>
      <c r="C336" s="211" t="str">
        <f>+'Retail Rates'!B18</f>
        <v>LGCMG875</v>
      </c>
      <c r="D336" s="197" t="str">
        <f t="shared" si="39"/>
        <v>875</v>
      </c>
      <c r="E336" s="197" t="str">
        <f>VLOOKUP(C336,'Retail Rates'!$B$7:$D$35,3,FALSE)</f>
        <v>DGGS-C</v>
      </c>
      <c r="F336" s="222">
        <f>SUMIFS('Data-Retail'!$H$4:$H$269,'Data-Retail'!$A$4:$A$269,'GSC Support'!$B336,'Data-Retail'!$D$4:$D$269,'GSC Support'!$C336)</f>
        <v>2</v>
      </c>
      <c r="G336" s="222">
        <f>SUMIFS('Data-Retail'!$I$4:$I$269,'Data-Retail'!$A$4:$A$269,'GSC Support'!$B336,'Data-Retail'!$D$4:$D$269,'GSC Support'!$C336)</f>
        <v>0</v>
      </c>
      <c r="H336" s="222">
        <f t="shared" si="40"/>
        <v>2</v>
      </c>
      <c r="I336" s="286"/>
      <c r="J336" s="286"/>
      <c r="K336" s="286"/>
      <c r="L336" s="286">
        <f t="shared" si="37"/>
        <v>0</v>
      </c>
      <c r="M336" s="279">
        <f t="shared" si="38"/>
        <v>2</v>
      </c>
      <c r="N336" s="279"/>
      <c r="O336" s="323">
        <f>SUMIFS('Data-Retail'!$N$4:$N$238,'Data-Retail'!$A$4:$A$238,'GSC Support'!$B336,'Data-Retail'!$D$4:$D$238,'GSC Support'!$C336)</f>
        <v>0.95</v>
      </c>
      <c r="P336" s="323"/>
      <c r="Q336" s="323"/>
      <c r="R336" s="323"/>
      <c r="S336" s="281">
        <f ca="1">SUMIFS('Apr11-Mar12 Billed-RETAIL'!$BA$5:$BA$138,'Apr11-Mar12 Billed-RETAIL'!$B$5:$B$138,'GSC Support'!$B336,'Apr11-Mar12 Billed-RETAIL'!$C$5:$C$138,'GSC Support'!$C336)</f>
        <v>0.95</v>
      </c>
      <c r="T336" s="287"/>
      <c r="U336" s="287"/>
      <c r="V336" s="287">
        <f t="shared" si="41"/>
        <v>0</v>
      </c>
      <c r="W336" s="288">
        <f t="shared" ca="1" si="42"/>
        <v>0.95</v>
      </c>
    </row>
    <row r="337" spans="1:23" x14ac:dyDescent="0.2">
      <c r="A337" s="196">
        <f t="shared" si="43"/>
        <v>332</v>
      </c>
      <c r="B337" s="211">
        <v>40969</v>
      </c>
      <c r="C337" s="211" t="str">
        <f>+'Retail Rates'!B19</f>
        <v>LGCMG895</v>
      </c>
      <c r="D337" s="197" t="str">
        <f t="shared" si="39"/>
        <v>895</v>
      </c>
      <c r="E337" s="197" t="str">
        <f>VLOOKUP(C337,'Retail Rates'!$B$7:$D$35,3,FALSE)</f>
        <v>FT-C</v>
      </c>
      <c r="F337" s="222">
        <f>SUMIFS('Data-Retail'!$H$4:$H$269,'Data-Retail'!$A$4:$A$269,'GSC Support'!$B337,'Data-Retail'!$D$4:$D$269,'GSC Support'!$C337)</f>
        <v>0</v>
      </c>
      <c r="G337" s="222">
        <f>SUMIFS('Data-Retail'!$I$4:$I$269,'Data-Retail'!$A$4:$A$269,'GSC Support'!$B337,'Data-Retail'!$D$4:$D$269,'GSC Support'!$C337)</f>
        <v>0</v>
      </c>
      <c r="H337" s="222">
        <f t="shared" si="40"/>
        <v>0</v>
      </c>
      <c r="I337" s="286"/>
      <c r="J337" s="286"/>
      <c r="K337" s="286"/>
      <c r="L337" s="286">
        <f t="shared" si="37"/>
        <v>0</v>
      </c>
      <c r="M337" s="279">
        <f t="shared" si="38"/>
        <v>0</v>
      </c>
      <c r="N337" s="279"/>
      <c r="O337" s="323">
        <f>SUMIFS('Data-Retail'!$N$4:$N$238,'Data-Retail'!$A$4:$A$238,'GSC Support'!$B337,'Data-Retail'!$D$4:$D$238,'GSC Support'!$C337)</f>
        <v>0</v>
      </c>
      <c r="P337" s="323"/>
      <c r="Q337" s="323"/>
      <c r="R337" s="323"/>
      <c r="S337" s="281">
        <f>SUMIFS('Apr11-Mar12 Billed-RETAIL'!$BA$5:$BA$138,'Apr11-Mar12 Billed-RETAIL'!$B$5:$B$138,'GSC Support'!$B337,'Apr11-Mar12 Billed-RETAIL'!$C$5:$C$138,'GSC Support'!$C337)</f>
        <v>0</v>
      </c>
      <c r="T337" s="287"/>
      <c r="U337" s="287"/>
      <c r="V337" s="287">
        <f t="shared" si="41"/>
        <v>0</v>
      </c>
      <c r="W337" s="288">
        <f t="shared" si="42"/>
        <v>0</v>
      </c>
    </row>
    <row r="338" spans="1:23" x14ac:dyDescent="0.2">
      <c r="A338" s="196">
        <f t="shared" si="43"/>
        <v>333</v>
      </c>
      <c r="B338" s="211">
        <v>40969</v>
      </c>
      <c r="C338" s="211" t="str">
        <f>+'Retail Rates'!B20</f>
        <v>LGCMG895PM</v>
      </c>
      <c r="D338" s="197" t="str">
        <f t="shared" si="39"/>
        <v>895</v>
      </c>
      <c r="E338" s="197" t="str">
        <f>VLOOKUP(C338,'Retail Rates'!$B$7:$D$35,3,FALSE)</f>
        <v>FT-C-PM</v>
      </c>
      <c r="F338" s="222">
        <f>SUMIFS('Data-Retail'!$H$4:$H$269,'Data-Retail'!$A$4:$A$269,'GSC Support'!$B338,'Data-Retail'!$D$4:$D$269,'GSC Support'!$C338)</f>
        <v>0</v>
      </c>
      <c r="G338" s="222">
        <f>SUMIFS('Data-Retail'!$I$4:$I$269,'Data-Retail'!$A$4:$A$269,'GSC Support'!$B338,'Data-Retail'!$D$4:$D$269,'GSC Support'!$C338)</f>
        <v>0</v>
      </c>
      <c r="H338" s="222">
        <f t="shared" si="40"/>
        <v>0</v>
      </c>
      <c r="I338" s="286"/>
      <c r="J338" s="286"/>
      <c r="K338" s="286"/>
      <c r="L338" s="286">
        <f t="shared" si="37"/>
        <v>0</v>
      </c>
      <c r="M338" s="279">
        <f t="shared" si="38"/>
        <v>0</v>
      </c>
      <c r="N338" s="279"/>
      <c r="O338" s="323">
        <f>SUMIFS('Data-Retail'!$N$4:$N$238,'Data-Retail'!$A$4:$A$238,'GSC Support'!$B338,'Data-Retail'!$D$4:$D$238,'GSC Support'!$C338)</f>
        <v>0</v>
      </c>
      <c r="P338" s="323"/>
      <c r="Q338" s="323"/>
      <c r="R338" s="323"/>
      <c r="S338" s="281">
        <f>SUMIFS('Apr11-Mar12 Billed-RETAIL'!$BA$5:$BA$138,'Apr11-Mar12 Billed-RETAIL'!$B$5:$B$138,'GSC Support'!$B338,'Apr11-Mar12 Billed-RETAIL'!$C$5:$C$138,'GSC Support'!$C338)</f>
        <v>0</v>
      </c>
      <c r="T338" s="287"/>
      <c r="U338" s="287"/>
      <c r="V338" s="287">
        <f t="shared" si="41"/>
        <v>0</v>
      </c>
      <c r="W338" s="288">
        <f t="shared" si="42"/>
        <v>0</v>
      </c>
    </row>
    <row r="339" spans="1:23" x14ac:dyDescent="0.2">
      <c r="A339" s="196">
        <f t="shared" si="43"/>
        <v>334</v>
      </c>
      <c r="B339" s="211">
        <v>40969</v>
      </c>
      <c r="C339" s="211" t="str">
        <f>+'Retail Rates'!B21</f>
        <v>LGING896</v>
      </c>
      <c r="D339" s="197" t="str">
        <f t="shared" si="39"/>
        <v>896</v>
      </c>
      <c r="E339" s="197" t="str">
        <f>VLOOKUP(C339,'Retail Rates'!$B$7:$D$35,3,FALSE)</f>
        <v>FT-I</v>
      </c>
      <c r="F339" s="222">
        <f>SUMIFS('Data-Retail'!$H$4:$H$269,'Data-Retail'!$A$4:$A$269,'GSC Support'!$B339,'Data-Retail'!$D$4:$D$269,'GSC Support'!$C339)</f>
        <v>0</v>
      </c>
      <c r="G339" s="222">
        <f>SUMIFS('Data-Retail'!$I$4:$I$269,'Data-Retail'!$A$4:$A$269,'GSC Support'!$B339,'Data-Retail'!$D$4:$D$269,'GSC Support'!$C339)</f>
        <v>0</v>
      </c>
      <c r="H339" s="222">
        <f t="shared" si="40"/>
        <v>0</v>
      </c>
      <c r="I339" s="286"/>
      <c r="J339" s="286"/>
      <c r="K339" s="286"/>
      <c r="L339" s="286">
        <f t="shared" si="37"/>
        <v>0</v>
      </c>
      <c r="M339" s="279">
        <f t="shared" si="38"/>
        <v>0</v>
      </c>
      <c r="N339" s="279"/>
      <c r="O339" s="323">
        <f>SUMIFS('Data-Retail'!$N$4:$N$238,'Data-Retail'!$A$4:$A$238,'GSC Support'!$B339,'Data-Retail'!$D$4:$D$238,'GSC Support'!$C339)</f>
        <v>0</v>
      </c>
      <c r="P339" s="323"/>
      <c r="Q339" s="323"/>
      <c r="R339" s="323"/>
      <c r="S339" s="281">
        <f>SUMIFS('Apr11-Mar12 Billed-RETAIL'!$BA$5:$BA$138,'Apr11-Mar12 Billed-RETAIL'!$B$5:$B$138,'GSC Support'!$B339,'Apr11-Mar12 Billed-RETAIL'!$C$5:$C$138,'GSC Support'!$C339)</f>
        <v>0</v>
      </c>
      <c r="T339" s="287"/>
      <c r="U339" s="287"/>
      <c r="V339" s="287">
        <f t="shared" si="41"/>
        <v>0</v>
      </c>
      <c r="W339" s="288">
        <f t="shared" si="42"/>
        <v>0</v>
      </c>
    </row>
    <row r="340" spans="1:23" x14ac:dyDescent="0.2">
      <c r="A340" s="196">
        <f t="shared" si="43"/>
        <v>335</v>
      </c>
      <c r="B340" s="211">
        <v>40969</v>
      </c>
      <c r="C340" s="211" t="str">
        <f>+'Retail Rates'!B22</f>
        <v>LGING896PM</v>
      </c>
      <c r="D340" s="197" t="str">
        <f t="shared" si="39"/>
        <v>896</v>
      </c>
      <c r="E340" s="197" t="str">
        <f>VLOOKUP(C340,'Retail Rates'!$B$7:$D$35,3,FALSE)</f>
        <v>FT-I-PM</v>
      </c>
      <c r="F340" s="222">
        <f>SUMIFS('Data-Retail'!$H$4:$H$269,'Data-Retail'!$A$4:$A$269,'GSC Support'!$B340,'Data-Retail'!$D$4:$D$269,'GSC Support'!$C340)</f>
        <v>0</v>
      </c>
      <c r="G340" s="222">
        <f>SUMIFS('Data-Retail'!$I$4:$I$269,'Data-Retail'!$A$4:$A$269,'GSC Support'!$B340,'Data-Retail'!$D$4:$D$269,'GSC Support'!$C340)</f>
        <v>0</v>
      </c>
      <c r="H340" s="222">
        <f t="shared" si="40"/>
        <v>0</v>
      </c>
      <c r="I340" s="286"/>
      <c r="J340" s="286"/>
      <c r="K340" s="286"/>
      <c r="L340" s="286">
        <f t="shared" si="37"/>
        <v>0</v>
      </c>
      <c r="M340" s="279">
        <f t="shared" si="38"/>
        <v>0</v>
      </c>
      <c r="N340" s="279"/>
      <c r="O340" s="323">
        <f>SUMIFS('Data-Retail'!$N$4:$N$238,'Data-Retail'!$A$4:$A$238,'GSC Support'!$B340,'Data-Retail'!$D$4:$D$238,'GSC Support'!$C340)</f>
        <v>0</v>
      </c>
      <c r="P340" s="323"/>
      <c r="Q340" s="323"/>
      <c r="R340" s="323"/>
      <c r="S340" s="281">
        <f>SUMIFS('Apr11-Mar12 Billed-RETAIL'!$BA$5:$BA$138,'Apr11-Mar12 Billed-RETAIL'!$B$5:$B$138,'GSC Support'!$B340,'Apr11-Mar12 Billed-RETAIL'!$C$5:$C$138,'GSC Support'!$C340)</f>
        <v>0</v>
      </c>
      <c r="T340" s="287"/>
      <c r="U340" s="287"/>
      <c r="V340" s="287">
        <f t="shared" si="41"/>
        <v>0</v>
      </c>
      <c r="W340" s="288">
        <f t="shared" si="42"/>
        <v>0</v>
      </c>
    </row>
    <row r="341" spans="1:23" x14ac:dyDescent="0.2">
      <c r="A341" s="196">
        <f t="shared" si="43"/>
        <v>336</v>
      </c>
      <c r="B341" s="211">
        <v>40969</v>
      </c>
      <c r="C341" s="211" t="str">
        <f>+'Retail Rates'!B23</f>
        <v>LGING855</v>
      </c>
      <c r="D341" s="197" t="str">
        <f t="shared" si="39"/>
        <v>855</v>
      </c>
      <c r="E341" s="197" t="str">
        <f>VLOOKUP(C341,'Retail Rates'!$B$7:$D$35,3,FALSE)</f>
        <v>IGS</v>
      </c>
      <c r="F341" s="222">
        <f>SUMIFS('Data-Retail'!$H$4:$H$269,'Data-Retail'!$A$4:$A$269,'GSC Support'!$B341,'Data-Retail'!$D$4:$D$269,'GSC Support'!$C341)</f>
        <v>804262</v>
      </c>
      <c r="G341" s="222">
        <f>SUMIFS('Data-Retail'!$I$4:$I$269,'Data-Retail'!$A$4:$A$269,'GSC Support'!$B341,'Data-Retail'!$D$4:$D$269,'GSC Support'!$C341)</f>
        <v>0</v>
      </c>
      <c r="H341" s="222">
        <f t="shared" si="40"/>
        <v>804262</v>
      </c>
      <c r="I341" s="286">
        <v>806197</v>
      </c>
      <c r="J341" s="286">
        <v>-1935</v>
      </c>
      <c r="K341" s="286"/>
      <c r="L341" s="286">
        <f t="shared" si="37"/>
        <v>804262</v>
      </c>
      <c r="M341" s="279">
        <f t="shared" si="38"/>
        <v>0</v>
      </c>
      <c r="N341" s="279"/>
      <c r="O341" s="323">
        <f>SUMIFS('Data-Retail'!$N$4:$N$238,'Data-Retail'!$A$4:$A$238,'GSC Support'!$B341,'Data-Retail'!$D$4:$D$238,'GSC Support'!$C341)</f>
        <v>380961.15</v>
      </c>
      <c r="P341" s="323"/>
      <c r="Q341" s="323"/>
      <c r="R341" s="323"/>
      <c r="S341" s="281">
        <f ca="1">SUMIFS('Apr11-Mar12 Billed-RETAIL'!$BA$5:$BA$138,'Apr11-Mar12 Billed-RETAIL'!$B$5:$B$138,'GSC Support'!$B341,'Apr11-Mar12 Billed-RETAIL'!$C$5:$C$138,'GSC Support'!$C341)</f>
        <v>380961.15</v>
      </c>
      <c r="T341" s="599">
        <v>382322.84</v>
      </c>
      <c r="U341" s="599">
        <v>-1361.6900000000023</v>
      </c>
      <c r="V341" s="287">
        <f t="shared" si="41"/>
        <v>380961.15</v>
      </c>
      <c r="W341" s="288">
        <f t="shared" ca="1" si="42"/>
        <v>0</v>
      </c>
    </row>
    <row r="342" spans="1:23" x14ac:dyDescent="0.2">
      <c r="A342" s="196">
        <f t="shared" si="43"/>
        <v>337</v>
      </c>
      <c r="B342" s="211">
        <v>40969</v>
      </c>
      <c r="C342" s="211" t="str">
        <f>+'Retail Rates'!B24</f>
        <v>LGING882</v>
      </c>
      <c r="D342" s="197" t="str">
        <f t="shared" si="39"/>
        <v>882</v>
      </c>
      <c r="E342" s="197" t="str">
        <f>VLOOKUP(C342,'Retail Rates'!$B$7:$D$35,3,FALSE)</f>
        <v>IGS-TS</v>
      </c>
      <c r="F342" s="222">
        <f>SUMIFS('Data-Retail'!$H$4:$H$269,'Data-Retail'!$A$4:$A$269,'GSC Support'!$B342,'Data-Retail'!$D$4:$D$269,'GSC Support'!$C342)</f>
        <v>0</v>
      </c>
      <c r="G342" s="222">
        <f>SUMIFS('Data-Retail'!$I$4:$I$269,'Data-Retail'!$A$4:$A$269,'GSC Support'!$B342,'Data-Retail'!$D$4:$D$269,'GSC Support'!$C342)</f>
        <v>0</v>
      </c>
      <c r="H342" s="329">
        <f t="shared" si="40"/>
        <v>0</v>
      </c>
      <c r="I342" s="330">
        <v>27451</v>
      </c>
      <c r="J342" s="330"/>
      <c r="K342" s="330"/>
      <c r="L342" s="286">
        <f t="shared" si="37"/>
        <v>27451</v>
      </c>
      <c r="M342" s="331">
        <f t="shared" si="38"/>
        <v>-27451</v>
      </c>
      <c r="N342" s="331"/>
      <c r="O342" s="323"/>
      <c r="P342" s="323"/>
      <c r="Q342" s="323"/>
      <c r="R342" s="323"/>
      <c r="S342" s="281">
        <f>SUMIFS('Apr11-Mar12 Billed-RETAIL'!$BA$5:$BA$138,'Apr11-Mar12 Billed-RETAIL'!$B$5:$B$138,'GSC Support'!$B342,'Apr11-Mar12 Billed-RETAIL'!$C$5:$C$138,'GSC Support'!$C342)</f>
        <v>0</v>
      </c>
      <c r="T342" s="599">
        <v>13018.08</v>
      </c>
      <c r="U342" s="287"/>
      <c r="V342" s="287">
        <f t="shared" si="41"/>
        <v>13018.08</v>
      </c>
      <c r="W342" s="288">
        <f t="shared" si="42"/>
        <v>-13018.08</v>
      </c>
    </row>
    <row r="343" spans="1:23" x14ac:dyDescent="0.2">
      <c r="A343" s="196">
        <f t="shared" si="43"/>
        <v>338</v>
      </c>
      <c r="B343" s="211">
        <v>40969</v>
      </c>
      <c r="C343" s="211" t="str">
        <f>+'Retail Rates'!B25</f>
        <v>LGING882PM</v>
      </c>
      <c r="D343" s="197" t="str">
        <f t="shared" si="39"/>
        <v>882</v>
      </c>
      <c r="E343" s="197" t="str">
        <f>VLOOKUP(C343,'Retail Rates'!$B$7:$D$35,3,FALSE)</f>
        <v>IGS-TS-PM</v>
      </c>
      <c r="F343" s="222">
        <f>SUMIFS('Data-Retail'!$H$4:$H$269,'Data-Retail'!$A$4:$A$269,'GSC Support'!$B343,'Data-Retail'!$D$4:$D$269,'GSC Support'!$C343)</f>
        <v>0</v>
      </c>
      <c r="G343" s="222">
        <f>SUMIFS('Data-Retail'!$I$4:$I$269,'Data-Retail'!$A$4:$A$269,'GSC Support'!$B343,'Data-Retail'!$D$4:$D$269,'GSC Support'!$C343)</f>
        <v>0</v>
      </c>
      <c r="H343" s="222">
        <f t="shared" si="40"/>
        <v>0</v>
      </c>
      <c r="I343" s="286"/>
      <c r="J343" s="286"/>
      <c r="K343" s="286"/>
      <c r="L343" s="286">
        <f t="shared" si="37"/>
        <v>0</v>
      </c>
      <c r="M343" s="279">
        <f t="shared" si="38"/>
        <v>0</v>
      </c>
      <c r="N343" s="279"/>
      <c r="O343" s="323">
        <f>SUMIFS('Data-Retail'!$N$4:$N$238,'Data-Retail'!$A$4:$A$238,'GSC Support'!$B343,'Data-Retail'!$D$4:$D$238,'GSC Support'!$C343)</f>
        <v>0</v>
      </c>
      <c r="P343" s="323"/>
      <c r="Q343" s="323"/>
      <c r="R343" s="323"/>
      <c r="S343" s="281">
        <f>SUMIFS('Apr11-Mar12 Billed-RETAIL'!$BA$5:$BA$138,'Apr11-Mar12 Billed-RETAIL'!$B$5:$B$138,'GSC Support'!$B343,'Apr11-Mar12 Billed-RETAIL'!$C$5:$C$138,'GSC Support'!$C343)</f>
        <v>0</v>
      </c>
      <c r="T343" s="287"/>
      <c r="U343" s="287"/>
      <c r="V343" s="287">
        <f t="shared" si="41"/>
        <v>0</v>
      </c>
      <c r="W343" s="288">
        <f t="shared" si="42"/>
        <v>0</v>
      </c>
    </row>
    <row r="344" spans="1:23" x14ac:dyDescent="0.2">
      <c r="A344" s="196">
        <f t="shared" si="43"/>
        <v>339</v>
      </c>
      <c r="B344" s="211">
        <v>40969</v>
      </c>
      <c r="C344" s="211" t="str">
        <f>+'Retail Rates'!B26</f>
        <v>LGRSG811</v>
      </c>
      <c r="D344" s="197" t="str">
        <f t="shared" si="39"/>
        <v>811</v>
      </c>
      <c r="E344" s="197" t="str">
        <f>VLOOKUP(C344,'Retail Rates'!$B$7:$D$35,3,FALSE)</f>
        <v>RGS</v>
      </c>
      <c r="F344" s="222">
        <f>SUMIFS('Data-Retail'!$H$4:$H$269,'Data-Retail'!$A$4:$A$269,'GSC Support'!$B344,'Data-Retail'!$D$4:$D$269,'GSC Support'!$C344)</f>
        <v>22365514</v>
      </c>
      <c r="G344" s="222">
        <f>SUMIFS('Data-Retail'!$I$4:$I$269,'Data-Retail'!$A$4:$A$269,'GSC Support'!$B344,'Data-Retail'!$D$4:$D$269,'GSC Support'!$C344)</f>
        <v>0</v>
      </c>
      <c r="H344" s="222">
        <f t="shared" si="40"/>
        <v>22365514</v>
      </c>
      <c r="I344" s="598">
        <v>22353787</v>
      </c>
      <c r="J344" s="286">
        <v>11727</v>
      </c>
      <c r="K344" s="286"/>
      <c r="L344" s="286">
        <f t="shared" si="37"/>
        <v>22365514</v>
      </c>
      <c r="M344" s="279">
        <f t="shared" si="38"/>
        <v>0</v>
      </c>
      <c r="N344" s="279"/>
      <c r="O344" s="323">
        <f>SUMIFS('Data-Retail'!$N$4:$N$238,'Data-Retail'!$A$4:$A$238,'GSC Support'!$B344,'Data-Retail'!$D$4:$D$238,'GSC Support'!$C344)</f>
        <v>158.87</v>
      </c>
      <c r="P344" s="323"/>
      <c r="Q344" s="323"/>
      <c r="R344" s="323"/>
      <c r="S344" s="281">
        <f ca="1">SUMIFS('Apr11-Mar12 Billed-RETAIL'!$BA$5:$BA$138,'Apr11-Mar12 Billed-RETAIL'!$B$5:$B$138,'GSC Support'!$B344,'Apr11-Mar12 Billed-RETAIL'!$C$5:$C$138,'GSC Support'!$C344)</f>
        <v>10606677.719999999</v>
      </c>
      <c r="T344" s="599">
        <v>10601142.74</v>
      </c>
      <c r="U344" s="599">
        <v>5534.980000000447</v>
      </c>
      <c r="V344" s="287">
        <f t="shared" si="41"/>
        <v>10606677.720000001</v>
      </c>
      <c r="W344" s="288">
        <f t="shared" ca="1" si="42"/>
        <v>0</v>
      </c>
    </row>
    <row r="345" spans="1:23" x14ac:dyDescent="0.2">
      <c r="A345" s="196">
        <f t="shared" si="43"/>
        <v>340</v>
      </c>
      <c r="B345" s="211">
        <v>40969</v>
      </c>
      <c r="C345" s="211" t="str">
        <f>+'Retail Rates'!B27</f>
        <v>LGRSG811S1</v>
      </c>
      <c r="D345" s="197" t="str">
        <f t="shared" si="39"/>
        <v>811</v>
      </c>
      <c r="E345" s="197" t="str">
        <f>VLOOKUP(C345,'Retail Rates'!$B$7:$D$35,3,FALSE)</f>
        <v>RGS</v>
      </c>
      <c r="F345" s="222">
        <f>SUMIFS('Data-Retail'!$H$4:$H$269,'Data-Retail'!$A$4:$A$269,'GSC Support'!$B345,'Data-Retail'!$D$4:$D$269,'GSC Support'!$C345)</f>
        <v>0</v>
      </c>
      <c r="G345" s="222">
        <f>SUMIFS('Data-Retail'!$I$4:$I$269,'Data-Retail'!$A$4:$A$269,'GSC Support'!$B345,'Data-Retail'!$D$4:$D$269,'GSC Support'!$C345)</f>
        <v>0</v>
      </c>
      <c r="H345" s="222">
        <f t="shared" si="40"/>
        <v>0</v>
      </c>
      <c r="I345" s="286"/>
      <c r="J345" s="286"/>
      <c r="K345" s="286"/>
      <c r="L345" s="286">
        <f t="shared" si="37"/>
        <v>0</v>
      </c>
      <c r="M345" s="279">
        <f t="shared" si="38"/>
        <v>0</v>
      </c>
      <c r="N345" s="279"/>
      <c r="O345" s="323">
        <f>SUMIFS('Data-Retail'!$N$4:$N$238,'Data-Retail'!$A$4:$A$238,'GSC Support'!$B345,'Data-Retail'!$D$4:$D$238,'GSC Support'!$C345)</f>
        <v>0</v>
      </c>
      <c r="P345" s="323"/>
      <c r="Q345" s="323"/>
      <c r="R345" s="323"/>
      <c r="S345" s="281">
        <f ca="1">SUMIFS('Apr11-Mar12 Billed-RETAIL'!$BA$5:$BA$138,'Apr11-Mar12 Billed-RETAIL'!$B$5:$B$138,'GSC Support'!$B345,'Apr11-Mar12 Billed-RETAIL'!$C$5:$C$138,'GSC Support'!$C345)</f>
        <v>0</v>
      </c>
      <c r="T345" s="599">
        <v>0</v>
      </c>
      <c r="U345" s="287"/>
      <c r="V345" s="287">
        <f t="shared" si="41"/>
        <v>0</v>
      </c>
      <c r="W345" s="288">
        <f t="shared" ca="1" si="42"/>
        <v>0</v>
      </c>
    </row>
    <row r="346" spans="1:23" x14ac:dyDescent="0.2">
      <c r="A346" s="196">
        <f t="shared" si="43"/>
        <v>341</v>
      </c>
      <c r="B346" s="211">
        <v>40969</v>
      </c>
      <c r="C346" s="211" t="str">
        <f>+'Retail Rates'!B28</f>
        <v>LGRSG840</v>
      </c>
      <c r="D346" s="197" t="str">
        <f t="shared" si="39"/>
        <v>840</v>
      </c>
      <c r="E346" s="197" t="str">
        <f>VLOOKUP(C346,'Retail Rates'!$B$7:$D$35,3,FALSE)</f>
        <v>RGS</v>
      </c>
      <c r="F346" s="222">
        <f>SUMIFS('Data-Retail'!$H$4:$H$269,'Data-Retail'!$A$4:$A$269,'GSC Support'!$B346,'Data-Retail'!$D$4:$D$269,'GSC Support'!$C346)</f>
        <v>1566</v>
      </c>
      <c r="G346" s="222">
        <f>SUMIFS('Data-Retail'!$I$4:$I$269,'Data-Retail'!$A$4:$A$269,'GSC Support'!$B346,'Data-Retail'!$D$4:$D$269,'GSC Support'!$C346)</f>
        <v>0</v>
      </c>
      <c r="H346" s="222">
        <f t="shared" si="40"/>
        <v>1566</v>
      </c>
      <c r="I346" s="286">
        <v>1566</v>
      </c>
      <c r="J346" s="286"/>
      <c r="K346" s="286"/>
      <c r="L346" s="286">
        <f t="shared" si="37"/>
        <v>1566</v>
      </c>
      <c r="M346" s="279">
        <f t="shared" si="38"/>
        <v>0</v>
      </c>
      <c r="N346" s="279"/>
      <c r="O346" s="323">
        <f>SUMIFS('Data-Retail'!$N$4:$N$238,'Data-Retail'!$A$4:$A$238,'GSC Support'!$B346,'Data-Retail'!$D$4:$D$238,'GSC Support'!$C346)</f>
        <v>0</v>
      </c>
      <c r="P346" s="323"/>
      <c r="Q346" s="323"/>
      <c r="R346" s="323"/>
      <c r="S346" s="281">
        <f ca="1">SUMIFS('Apr11-Mar12 Billed-RETAIL'!$BA$5:$BA$138,'Apr11-Mar12 Billed-RETAIL'!$B$5:$B$138,'GSC Support'!$B346,'Apr11-Mar12 Billed-RETAIL'!$C$5:$C$138,'GSC Support'!$C346)</f>
        <v>742.65000000000009</v>
      </c>
      <c r="T346" s="599">
        <v>742.65</v>
      </c>
      <c r="U346" s="287"/>
      <c r="V346" s="287">
        <f t="shared" si="41"/>
        <v>742.65</v>
      </c>
      <c r="W346" s="288">
        <f t="shared" ca="1" si="42"/>
        <v>0</v>
      </c>
    </row>
    <row r="347" spans="1:23" x14ac:dyDescent="0.2">
      <c r="A347" s="196">
        <f t="shared" si="43"/>
        <v>342</v>
      </c>
      <c r="B347" s="211">
        <v>40969</v>
      </c>
      <c r="C347" s="211" t="str">
        <f>+'Retail Rates'!B29</f>
        <v>LGUMG830</v>
      </c>
      <c r="D347" s="197" t="str">
        <f t="shared" si="39"/>
        <v>830</v>
      </c>
      <c r="E347" s="197" t="str">
        <f>VLOOKUP(C347,'Retail Rates'!$B$7:$D$35,3,FALSE)</f>
        <v>RGS</v>
      </c>
      <c r="F347" s="222">
        <f>SUMIFS('Data-Retail'!$H$4:$H$269,'Data-Retail'!$A$4:$A$269,'GSC Support'!$B347,'Data-Retail'!$D$4:$D$269,'GSC Support'!$C347)</f>
        <v>32</v>
      </c>
      <c r="G347" s="222">
        <f>SUMIFS('Data-Retail'!$I$4:$I$269,'Data-Retail'!$A$4:$A$269,'GSC Support'!$B347,'Data-Retail'!$D$4:$D$269,'GSC Support'!$C347)</f>
        <v>0</v>
      </c>
      <c r="H347" s="222">
        <f t="shared" si="40"/>
        <v>32</v>
      </c>
      <c r="I347" s="286">
        <v>32</v>
      </c>
      <c r="J347" s="286"/>
      <c r="K347" s="286"/>
      <c r="L347" s="286">
        <f t="shared" si="37"/>
        <v>32</v>
      </c>
      <c r="M347" s="279">
        <f t="shared" si="38"/>
        <v>0</v>
      </c>
      <c r="N347" s="279"/>
      <c r="O347" s="323">
        <f>SUMIFS('Data-Retail'!$N$4:$N$238,'Data-Retail'!$A$4:$A$238,'GSC Support'!$B347,'Data-Retail'!$D$4:$D$238,'GSC Support'!$C347)</f>
        <v>0</v>
      </c>
      <c r="P347" s="323"/>
      <c r="Q347" s="323"/>
      <c r="R347" s="323"/>
      <c r="S347" s="281">
        <f ca="1">SUMIFS('Apr11-Mar12 Billed-RETAIL'!$BA$5:$BA$138,'Apr11-Mar12 Billed-RETAIL'!$B$5:$B$138,'GSC Support'!$B347,'Apr11-Mar12 Billed-RETAIL'!$C$5:$C$138,'GSC Support'!$C347)</f>
        <v>15.18</v>
      </c>
      <c r="T347" s="599">
        <v>15.18</v>
      </c>
      <c r="U347" s="287"/>
      <c r="V347" s="287">
        <f t="shared" si="41"/>
        <v>15.18</v>
      </c>
      <c r="W347" s="288">
        <f t="shared" ca="1" si="42"/>
        <v>0</v>
      </c>
    </row>
    <row r="348" spans="1:23" x14ac:dyDescent="0.2">
      <c r="A348" s="196">
        <f t="shared" si="43"/>
        <v>343</v>
      </c>
      <c r="B348" s="211">
        <v>40969</v>
      </c>
      <c r="C348" s="211" t="str">
        <f>+'Retail Rates'!B30</f>
        <v>LGING992</v>
      </c>
      <c r="D348" s="197" t="str">
        <f t="shared" si="39"/>
        <v>992</v>
      </c>
      <c r="E348" s="197" t="str">
        <f>VLOOKUP(C348,'Retail Rates'!$B$7:$D$35,3,FALSE)</f>
        <v>SPC-EIDuP</v>
      </c>
      <c r="F348" s="222">
        <f>SUMIFS('Data-Retail'!$H$4:$H$269,'Data-Retail'!$A$4:$A$269,'GSC Support'!$B348,'Data-Retail'!$D$4:$D$269,'GSC Support'!$C348)</f>
        <v>0</v>
      </c>
      <c r="G348" s="222">
        <f>SUMIFS('Data-Retail'!$I$4:$I$269,'Data-Retail'!$A$4:$A$269,'GSC Support'!$B348,'Data-Retail'!$D$4:$D$269,'GSC Support'!$C348)</f>
        <v>0</v>
      </c>
      <c r="H348" s="222">
        <f t="shared" si="40"/>
        <v>0</v>
      </c>
      <c r="I348" s="286"/>
      <c r="J348" s="286"/>
      <c r="K348" s="286"/>
      <c r="L348" s="286">
        <f t="shared" si="37"/>
        <v>0</v>
      </c>
      <c r="M348" s="279">
        <f t="shared" si="38"/>
        <v>0</v>
      </c>
      <c r="N348" s="279"/>
      <c r="O348" s="323">
        <f>SUMIFS('Data-Retail'!$N$4:$N$238,'Data-Retail'!$A$4:$A$238,'GSC Support'!$B348,'Data-Retail'!$D$4:$D$238,'GSC Support'!$C348)</f>
        <v>0</v>
      </c>
      <c r="P348" s="323"/>
      <c r="Q348" s="323"/>
      <c r="R348" s="323"/>
      <c r="S348" s="281">
        <f>SUMIFS('Apr11-Mar12 Billed-RETAIL'!$BA$5:$BA$138,'Apr11-Mar12 Billed-RETAIL'!$B$5:$B$138,'GSC Support'!$B348,'Apr11-Mar12 Billed-RETAIL'!$C$5:$C$138,'GSC Support'!$C348)</f>
        <v>0</v>
      </c>
      <c r="T348" s="287"/>
      <c r="U348" s="287"/>
      <c r="V348" s="287">
        <f t="shared" si="41"/>
        <v>0</v>
      </c>
      <c r="W348" s="288">
        <f t="shared" si="42"/>
        <v>0</v>
      </c>
    </row>
    <row r="349" spans="1:23" x14ac:dyDescent="0.2">
      <c r="A349" s="196">
        <f t="shared" si="43"/>
        <v>344</v>
      </c>
      <c r="B349" s="211">
        <v>40969</v>
      </c>
      <c r="C349" s="211" t="str">
        <f>+'Retail Rates'!B31</f>
        <v>LGING896FD</v>
      </c>
      <c r="D349" s="197" t="str">
        <f t="shared" si="39"/>
        <v>896</v>
      </c>
      <c r="E349" s="197" t="str">
        <f>VLOOKUP(C349,'Retail Rates'!$B$7:$D$35,3,FALSE)</f>
        <v>SPC-FORD</v>
      </c>
      <c r="F349" s="222">
        <f>SUMIFS('Data-Retail'!$H$4:$H$269,'Data-Retail'!$A$4:$A$269,'GSC Support'!$B349,'Data-Retail'!$D$4:$D$269,'GSC Support'!$C349)</f>
        <v>0</v>
      </c>
      <c r="G349" s="222">
        <f>SUMIFS('Data-Retail'!$I$4:$I$269,'Data-Retail'!$A$4:$A$269,'GSC Support'!$B349,'Data-Retail'!$D$4:$D$269,'GSC Support'!$C349)</f>
        <v>0</v>
      </c>
      <c r="H349" s="222">
        <f t="shared" si="40"/>
        <v>0</v>
      </c>
      <c r="I349" s="286"/>
      <c r="J349" s="286"/>
      <c r="K349" s="286"/>
      <c r="L349" s="286">
        <f t="shared" si="37"/>
        <v>0</v>
      </c>
      <c r="M349" s="279">
        <f t="shared" si="38"/>
        <v>0</v>
      </c>
      <c r="N349" s="279"/>
      <c r="O349" s="323">
        <f>SUMIFS('Data-Retail'!$N$4:$N$238,'Data-Retail'!$A$4:$A$238,'GSC Support'!$B349,'Data-Retail'!$D$4:$D$238,'GSC Support'!$C349)</f>
        <v>0</v>
      </c>
      <c r="P349" s="323"/>
      <c r="Q349" s="323"/>
      <c r="R349" s="323"/>
      <c r="S349" s="281">
        <f>SUMIFS('Apr11-Mar12 Billed-RETAIL'!$BA$5:$BA$138,'Apr11-Mar12 Billed-RETAIL'!$B$5:$B$138,'GSC Support'!$B349,'Apr11-Mar12 Billed-RETAIL'!$C$5:$C$138,'GSC Support'!$C349)</f>
        <v>0</v>
      </c>
      <c r="T349" s="287"/>
      <c r="U349" s="287"/>
      <c r="V349" s="287">
        <f t="shared" si="41"/>
        <v>0</v>
      </c>
      <c r="W349" s="288">
        <f t="shared" si="42"/>
        <v>0</v>
      </c>
    </row>
    <row r="350" spans="1:23" x14ac:dyDescent="0.2">
      <c r="A350" s="196">
        <f t="shared" si="43"/>
        <v>345</v>
      </c>
      <c r="B350" s="211">
        <v>40969</v>
      </c>
      <c r="C350" s="211" t="str">
        <f>+'Retail Rates'!B32</f>
        <v>LGING896FM</v>
      </c>
      <c r="D350" s="197" t="str">
        <f t="shared" si="39"/>
        <v>896</v>
      </c>
      <c r="E350" s="197" t="str">
        <f>VLOOKUP(C350,'Retail Rates'!$B$7:$D$35,3,FALSE)</f>
        <v>SPC-FORD-PM</v>
      </c>
      <c r="F350" s="222">
        <f>SUMIFS('Data-Retail'!$H$4:$H$269,'Data-Retail'!$A$4:$A$269,'GSC Support'!$B350,'Data-Retail'!$D$4:$D$269,'GSC Support'!$C350)</f>
        <v>0</v>
      </c>
      <c r="G350" s="222">
        <f>SUMIFS('Data-Retail'!$I$4:$I$269,'Data-Retail'!$A$4:$A$269,'GSC Support'!$B350,'Data-Retail'!$D$4:$D$269,'GSC Support'!$C350)</f>
        <v>0</v>
      </c>
      <c r="H350" s="222">
        <f t="shared" si="40"/>
        <v>0</v>
      </c>
      <c r="I350" s="286"/>
      <c r="J350" s="286"/>
      <c r="K350" s="286"/>
      <c r="L350" s="286">
        <f t="shared" si="37"/>
        <v>0</v>
      </c>
      <c r="M350" s="279">
        <f t="shared" si="38"/>
        <v>0</v>
      </c>
      <c r="N350" s="279"/>
      <c r="O350" s="323">
        <f>SUMIFS('Data-Retail'!$N$4:$N$238,'Data-Retail'!$A$4:$A$238,'GSC Support'!$B350,'Data-Retail'!$D$4:$D$238,'GSC Support'!$C350)</f>
        <v>0</v>
      </c>
      <c r="P350" s="323"/>
      <c r="Q350" s="323"/>
      <c r="R350" s="323"/>
      <c r="S350" s="281">
        <f>SUMIFS('Apr11-Mar12 Billed-RETAIL'!$BA$5:$BA$138,'Apr11-Mar12 Billed-RETAIL'!$B$5:$B$138,'GSC Support'!$B350,'Apr11-Mar12 Billed-RETAIL'!$C$5:$C$138,'GSC Support'!$C350)</f>
        <v>0</v>
      </c>
      <c r="T350" s="287"/>
      <c r="U350" s="287"/>
      <c r="V350" s="287">
        <f t="shared" si="41"/>
        <v>0</v>
      </c>
      <c r="W350" s="288">
        <f t="shared" si="42"/>
        <v>0</v>
      </c>
    </row>
    <row r="351" spans="1:23" x14ac:dyDescent="0.2">
      <c r="A351" s="196">
        <f t="shared" si="43"/>
        <v>346</v>
      </c>
      <c r="B351" s="211">
        <v>40969</v>
      </c>
      <c r="C351" s="211" t="str">
        <f>+'Retail Rates'!B33</f>
        <v>LGCMG991</v>
      </c>
      <c r="D351" s="197" t="str">
        <f t="shared" si="39"/>
        <v>991</v>
      </c>
      <c r="E351" s="197" t="str">
        <f>VLOOKUP(C351,'Retail Rates'!$B$7:$D$35,3,FALSE)</f>
        <v>SPC-FTKX</v>
      </c>
      <c r="F351" s="222">
        <f>SUMIFS('Data-Retail'!$H$4:$H$269,'Data-Retail'!$A$4:$A$269,'GSC Support'!$B351,'Data-Retail'!$D$4:$D$269,'GSC Support'!$C351)</f>
        <v>0</v>
      </c>
      <c r="G351" s="222">
        <f>SUMIFS('Data-Retail'!$I$4:$I$269,'Data-Retail'!$A$4:$A$269,'GSC Support'!$B351,'Data-Retail'!$D$4:$D$269,'GSC Support'!$C351)</f>
        <v>0</v>
      </c>
      <c r="H351" s="222">
        <f t="shared" si="40"/>
        <v>0</v>
      </c>
      <c r="I351" s="286"/>
      <c r="J351" s="286"/>
      <c r="K351" s="286"/>
      <c r="L351" s="286">
        <f t="shared" si="37"/>
        <v>0</v>
      </c>
      <c r="M351" s="279">
        <f t="shared" si="38"/>
        <v>0</v>
      </c>
      <c r="N351" s="279"/>
      <c r="O351" s="323">
        <f>SUMIFS('Data-Retail'!$N$4:$N$238,'Data-Retail'!$A$4:$A$238,'GSC Support'!$B351,'Data-Retail'!$D$4:$D$238,'GSC Support'!$C351)</f>
        <v>0</v>
      </c>
      <c r="P351" s="323"/>
      <c r="Q351" s="323"/>
      <c r="R351" s="323"/>
      <c r="S351" s="281">
        <f>SUMIFS('Apr11-Mar12 Billed-RETAIL'!$BA$5:$BA$138,'Apr11-Mar12 Billed-RETAIL'!$B$5:$B$138,'GSC Support'!$B351,'Apr11-Mar12 Billed-RETAIL'!$C$5:$C$138,'GSC Support'!$C351)</f>
        <v>0</v>
      </c>
      <c r="T351" s="287"/>
      <c r="U351" s="287"/>
      <c r="V351" s="287">
        <f t="shared" si="41"/>
        <v>0</v>
      </c>
      <c r="W351" s="288">
        <f t="shared" si="42"/>
        <v>0</v>
      </c>
    </row>
    <row r="352" spans="1:23" x14ac:dyDescent="0.2">
      <c r="A352" s="196">
        <f t="shared" si="43"/>
        <v>347</v>
      </c>
      <c r="B352" s="211">
        <v>40969</v>
      </c>
      <c r="C352" s="211" t="str">
        <f>+'Retail Rates'!B34</f>
        <v>LGING996</v>
      </c>
      <c r="D352" s="197" t="str">
        <f t="shared" si="39"/>
        <v>996</v>
      </c>
      <c r="E352" s="197" t="str">
        <f>VLOOKUP(C352,'Retail Rates'!$B$7:$D$35,3,FALSE)</f>
        <v>SPC-LGE</v>
      </c>
      <c r="F352" s="222">
        <f>SUMIFS('Data-Retail'!$H$4:$H$269,'Data-Retail'!$A$4:$A$269,'GSC Support'!$B352,'Data-Retail'!$D$4:$D$269,'GSC Support'!$C352)</f>
        <v>574372</v>
      </c>
      <c r="G352" s="222">
        <f>SUMIFS('Data-Retail'!$I$4:$I$269,'Data-Retail'!$A$4:$A$269,'GSC Support'!$B352,'Data-Retail'!$D$4:$D$269,'GSC Support'!$C352)</f>
        <v>0</v>
      </c>
      <c r="H352" s="222">
        <f t="shared" si="40"/>
        <v>574372</v>
      </c>
      <c r="I352" s="286">
        <v>574372</v>
      </c>
      <c r="J352" s="286"/>
      <c r="K352" s="286"/>
      <c r="L352" s="286">
        <f t="shared" si="37"/>
        <v>574372</v>
      </c>
      <c r="M352" s="279">
        <f t="shared" si="38"/>
        <v>0</v>
      </c>
      <c r="N352" s="279"/>
      <c r="O352" s="323">
        <f>SUMIFS('Data-Retail'!$N$4:$N$238,'Data-Retail'!$A$4:$A$238,'GSC Support'!$B352,'Data-Retail'!$D$4:$D$238,'GSC Support'!$C352)</f>
        <v>272384.43</v>
      </c>
      <c r="P352" s="323"/>
      <c r="Q352" s="323"/>
      <c r="R352" s="323"/>
      <c r="S352" s="281">
        <f>SUMIFS('Apr11-Mar12 Billed-RETAIL'!$BA$5:$BA$138,'Apr11-Mar12 Billed-RETAIL'!$B$5:$B$138,'GSC Support'!$B352,'Apr11-Mar12 Billed-RETAIL'!$C$5:$C$138,'GSC Support'!$C352)</f>
        <v>0</v>
      </c>
      <c r="T352" s="599">
        <v>272384.43</v>
      </c>
      <c r="U352" s="287"/>
      <c r="V352" s="287">
        <f t="shared" si="41"/>
        <v>272384.43</v>
      </c>
      <c r="W352" s="288">
        <f t="shared" si="42"/>
        <v>-272384.43</v>
      </c>
    </row>
    <row r="353" spans="1:29" x14ac:dyDescent="0.2">
      <c r="A353" s="196">
        <f t="shared" si="43"/>
        <v>348</v>
      </c>
      <c r="B353" s="211">
        <v>40969</v>
      </c>
      <c r="C353" s="211" t="str">
        <f>+'Retail Rates'!B35</f>
        <v>LGING997</v>
      </c>
      <c r="D353" s="197" t="str">
        <f t="shared" si="39"/>
        <v>997</v>
      </c>
      <c r="E353" s="197" t="str">
        <f>VLOOKUP(C353,'Retail Rates'!$B$7:$D$35,3,FALSE)</f>
        <v>SPC-PADDY</v>
      </c>
      <c r="F353" s="222">
        <f>SUMIFS('Data-Retail'!$H$4:$H$269,'Data-Retail'!$A$4:$A$269,'GSC Support'!$B353,'Data-Retail'!$D$4:$D$269,'GSC Support'!$C353)</f>
        <v>0</v>
      </c>
      <c r="G353" s="222">
        <f>SUMIFS('Data-Retail'!$I$4:$I$269,'Data-Retail'!$A$4:$A$269,'GSC Support'!$B353,'Data-Retail'!$D$4:$D$269,'GSC Support'!$C353)</f>
        <v>0</v>
      </c>
      <c r="H353" s="222">
        <f t="shared" si="40"/>
        <v>0</v>
      </c>
      <c r="I353" s="286"/>
      <c r="J353" s="286"/>
      <c r="K353" s="286"/>
      <c r="L353" s="286">
        <f t="shared" si="37"/>
        <v>0</v>
      </c>
      <c r="M353" s="279">
        <f t="shared" si="38"/>
        <v>0</v>
      </c>
      <c r="N353" s="279"/>
      <c r="O353" s="323">
        <f>SUMIFS('Data-Retail'!$N$4:$N$238,'Data-Retail'!$A$4:$A$238,'GSC Support'!$B353,'Data-Retail'!$D$4:$D$238,'GSC Support'!$C353)</f>
        <v>0</v>
      </c>
      <c r="P353" s="323"/>
      <c r="Q353" s="323"/>
      <c r="R353" s="323"/>
      <c r="S353" s="281">
        <f>SUMIFS('Apr11-Mar12 Billed-RETAIL'!$BA$5:$BA$138,'Apr11-Mar12 Billed-RETAIL'!$B$5:$B$138,'GSC Support'!$B353,'Apr11-Mar12 Billed-RETAIL'!$C$5:$C$138,'GSC Support'!$C353)</f>
        <v>0</v>
      </c>
      <c r="T353" s="287"/>
      <c r="U353" s="287"/>
      <c r="V353" s="287">
        <f t="shared" si="41"/>
        <v>0</v>
      </c>
      <c r="W353" s="288">
        <f t="shared" si="42"/>
        <v>0</v>
      </c>
    </row>
    <row r="354" spans="1:29" x14ac:dyDescent="0.2">
      <c r="F354" s="333"/>
      <c r="G354" s="333"/>
      <c r="H354" s="333"/>
      <c r="I354" s="330"/>
      <c r="J354" s="330"/>
      <c r="K354" s="330"/>
      <c r="L354" s="286"/>
      <c r="M354" s="331"/>
      <c r="N354" s="331"/>
      <c r="O354" s="320"/>
      <c r="P354" s="320"/>
      <c r="Q354" s="320"/>
      <c r="R354" s="320"/>
      <c r="T354" s="286"/>
      <c r="U354" s="286"/>
      <c r="V354" s="286"/>
      <c r="W354" s="279"/>
    </row>
    <row r="355" spans="1:29" x14ac:dyDescent="0.2">
      <c r="R355" s="320"/>
      <c r="X355" s="312"/>
      <c r="Y355" s="242"/>
      <c r="Z355" s="242"/>
      <c r="AA355" s="242"/>
      <c r="AB355" s="242"/>
    </row>
    <row r="356" spans="1:29" x14ac:dyDescent="0.2">
      <c r="N356" s="309"/>
      <c r="O356" s="321"/>
      <c r="P356" s="321"/>
      <c r="Q356" s="321"/>
      <c r="R356" s="320"/>
      <c r="S356" s="281"/>
      <c r="X356" s="312"/>
      <c r="Y356" s="242"/>
      <c r="Z356" s="242"/>
      <c r="AA356" s="242"/>
      <c r="AB356" s="242"/>
      <c r="AC356" s="242"/>
    </row>
    <row r="357" spans="1:29" x14ac:dyDescent="0.2">
      <c r="N357" s="309"/>
      <c r="O357" s="321"/>
      <c r="P357" s="321"/>
      <c r="Q357" s="321"/>
      <c r="R357" s="320"/>
      <c r="S357" s="281"/>
      <c r="X357" s="312"/>
      <c r="Y357" s="242"/>
      <c r="Z357" s="242"/>
      <c r="AA357" s="242"/>
      <c r="AB357" s="242"/>
    </row>
    <row r="358" spans="1:29" x14ac:dyDescent="0.2">
      <c r="N358" s="309"/>
      <c r="O358" s="321"/>
      <c r="P358" s="321"/>
      <c r="Q358" s="321"/>
      <c r="R358" s="320"/>
      <c r="S358" s="310"/>
      <c r="X358" s="312"/>
      <c r="Y358" s="242"/>
      <c r="Z358" s="242"/>
      <c r="AA358" s="242"/>
      <c r="AB358" s="242"/>
      <c r="AC358" s="242"/>
    </row>
    <row r="359" spans="1:29" x14ac:dyDescent="0.2">
      <c r="R359" s="320"/>
      <c r="S359" s="310"/>
      <c r="X359" s="312"/>
      <c r="Y359" s="242"/>
      <c r="Z359" s="242"/>
      <c r="AA359" s="242"/>
      <c r="AB359" s="242"/>
      <c r="AC359" s="242"/>
    </row>
    <row r="360" spans="1:29" x14ac:dyDescent="0.2">
      <c r="N360" s="309"/>
      <c r="O360" s="321"/>
      <c r="P360" s="321"/>
      <c r="Q360" s="321"/>
      <c r="R360" s="320"/>
      <c r="S360" s="310"/>
      <c r="X360" s="312"/>
      <c r="Y360" s="242"/>
      <c r="Z360" s="242"/>
      <c r="AA360" s="242"/>
      <c r="AB360" s="242"/>
      <c r="AC360" s="242"/>
    </row>
    <row r="361" spans="1:29" x14ac:dyDescent="0.2">
      <c r="R361" s="320"/>
      <c r="S361" s="310"/>
      <c r="X361" s="312"/>
      <c r="Y361" s="242"/>
      <c r="Z361" s="242"/>
      <c r="AA361" s="242"/>
      <c r="AB361" s="242"/>
      <c r="AC361" s="242"/>
    </row>
    <row r="362" spans="1:29" x14ac:dyDescent="0.2">
      <c r="N362" s="309"/>
      <c r="O362" s="321"/>
      <c r="P362" s="321"/>
      <c r="Q362" s="321"/>
      <c r="R362" s="320"/>
      <c r="S362" s="310"/>
      <c r="X362" s="312"/>
      <c r="Y362" s="242"/>
      <c r="Z362" s="242"/>
      <c r="AA362" s="242"/>
      <c r="AB362" s="242"/>
      <c r="AC362" s="242"/>
    </row>
    <row r="363" spans="1:29" x14ac:dyDescent="0.2">
      <c r="S363" s="310"/>
      <c r="X363" s="312"/>
      <c r="Y363" s="242"/>
      <c r="Z363" s="242"/>
      <c r="AA363" s="242"/>
      <c r="AB363" s="242"/>
      <c r="AC363" s="242"/>
    </row>
    <row r="364" spans="1:29" x14ac:dyDescent="0.2">
      <c r="S364" s="310"/>
      <c r="X364" s="312"/>
      <c r="Y364" s="242"/>
      <c r="Z364" s="242"/>
      <c r="AA364" s="242"/>
      <c r="AB364" s="242"/>
      <c r="AC364" s="242"/>
    </row>
    <row r="365" spans="1:29" x14ac:dyDescent="0.2">
      <c r="X365" s="312"/>
      <c r="Y365" s="242"/>
      <c r="Z365" s="242"/>
      <c r="AA365" s="242"/>
      <c r="AB365" s="242"/>
      <c r="AC365" s="242"/>
    </row>
    <row r="366" spans="1:29" x14ac:dyDescent="0.2">
      <c r="F366" s="275"/>
      <c r="G366" s="275"/>
      <c r="H366" s="275"/>
      <c r="S366" s="275"/>
      <c r="X366" s="312"/>
      <c r="Y366" s="242"/>
      <c r="Z366" s="242"/>
      <c r="AA366" s="242"/>
      <c r="AB366" s="242"/>
      <c r="AC366" s="242"/>
    </row>
    <row r="367" spans="1:29" x14ac:dyDescent="0.2">
      <c r="F367" s="275"/>
      <c r="S367" s="275"/>
    </row>
    <row r="368" spans="1:29" x14ac:dyDescent="0.2">
      <c r="F368" s="275"/>
      <c r="G368" s="276"/>
      <c r="H368" s="276"/>
      <c r="S368" s="275"/>
      <c r="Y368" s="242"/>
      <c r="Z368" s="242"/>
      <c r="AA368" s="242"/>
      <c r="AB368" s="242"/>
    </row>
  </sheetData>
  <sortState ref="X355:Y366">
    <sortCondition ref="X355:X366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9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 tint="0.39997558519241921"/>
  </sheetPr>
  <dimension ref="A2:AD249"/>
  <sheetViews>
    <sheetView zoomScale="80" zoomScaleNormal="80" workbookViewId="0"/>
  </sheetViews>
  <sheetFormatPr defaultRowHeight="11.25" x14ac:dyDescent="0.2"/>
  <cols>
    <col min="1" max="1" width="11.85546875" style="60" bestFit="1" customWidth="1"/>
    <col min="2" max="2" width="8.42578125" style="60" customWidth="1"/>
    <col min="3" max="3" width="18.140625" style="60" customWidth="1"/>
    <col min="4" max="4" width="10.85546875" style="60" bestFit="1" customWidth="1"/>
    <col min="5" max="5" width="30.5703125" style="60" bestFit="1" customWidth="1"/>
    <col min="6" max="6" width="24.140625" style="59" bestFit="1" customWidth="1"/>
    <col min="7" max="7" width="9" style="59" bestFit="1" customWidth="1"/>
    <col min="8" max="8" width="11.42578125" style="59" customWidth="1"/>
    <col min="9" max="9" width="10.28515625" style="59" bestFit="1" customWidth="1"/>
    <col min="10" max="10" width="11.28515625" style="59" customWidth="1"/>
    <col min="11" max="11" width="10.7109375" style="59" customWidth="1"/>
    <col min="12" max="12" width="12.42578125" style="59" customWidth="1"/>
    <col min="13" max="13" width="8.7109375" style="59" customWidth="1"/>
    <col min="14" max="14" width="10.85546875" style="59" bestFit="1" customWidth="1"/>
    <col min="15" max="15" width="8.7109375" style="59" bestFit="1" customWidth="1"/>
    <col min="16" max="16" width="12.140625" style="59" customWidth="1"/>
    <col min="17" max="17" width="7.85546875" style="59" bestFit="1" customWidth="1"/>
    <col min="18" max="18" width="4" style="59" bestFit="1" customWidth="1"/>
    <col min="19" max="19" width="6.5703125" style="59" bestFit="1" customWidth="1"/>
    <col min="20" max="20" width="10.7109375" style="59" bestFit="1" customWidth="1"/>
    <col min="21" max="21" width="12.85546875" style="59" bestFit="1" customWidth="1"/>
    <col min="22" max="22" width="11.28515625" style="59" customWidth="1"/>
    <col min="23" max="23" width="15.42578125" style="59" bestFit="1" customWidth="1"/>
    <col min="24" max="24" width="11.5703125" style="59" customWidth="1"/>
    <col min="25" max="25" width="10.7109375" style="59" customWidth="1"/>
    <col min="26" max="26" width="11.5703125" style="59" customWidth="1"/>
    <col min="27" max="27" width="8.7109375" style="59" bestFit="1" customWidth="1"/>
    <col min="28" max="28" width="10" style="59" bestFit="1" customWidth="1"/>
    <col min="29" max="29" width="14.42578125" style="59" bestFit="1" customWidth="1"/>
    <col min="30" max="30" width="4.85546875" style="59" bestFit="1" customWidth="1"/>
    <col min="31" max="16384" width="9.140625" style="59"/>
  </cols>
  <sheetData>
    <row r="2" spans="1:30" ht="12" thickBot="1" x14ac:dyDescent="0.25"/>
    <row r="3" spans="1:30" s="65" customFormat="1" ht="45.75" thickBot="1" x14ac:dyDescent="0.25">
      <c r="A3" s="62"/>
      <c r="B3" s="63"/>
      <c r="C3" s="63"/>
      <c r="D3" s="63"/>
      <c r="E3" s="64"/>
      <c r="F3" s="73"/>
      <c r="G3" s="66" t="s">
        <v>2</v>
      </c>
      <c r="H3" s="66" t="s">
        <v>227</v>
      </c>
      <c r="I3" s="66" t="s">
        <v>228</v>
      </c>
      <c r="J3" s="66" t="s">
        <v>229</v>
      </c>
      <c r="K3" s="66" t="s">
        <v>230</v>
      </c>
      <c r="L3" s="66" t="s">
        <v>231</v>
      </c>
      <c r="M3" s="66" t="s">
        <v>13</v>
      </c>
      <c r="N3" s="66" t="s">
        <v>8</v>
      </c>
      <c r="O3" s="66" t="s">
        <v>7</v>
      </c>
      <c r="P3" s="66" t="s">
        <v>9</v>
      </c>
      <c r="Q3" s="66" t="s">
        <v>11</v>
      </c>
      <c r="R3" s="66" t="s">
        <v>10</v>
      </c>
      <c r="S3" s="66"/>
      <c r="T3" s="66" t="s">
        <v>12</v>
      </c>
      <c r="U3" s="66" t="s">
        <v>4</v>
      </c>
      <c r="V3" s="247" t="s">
        <v>317</v>
      </c>
      <c r="W3" s="247" t="s">
        <v>316</v>
      </c>
      <c r="X3" s="66" t="s">
        <v>232</v>
      </c>
      <c r="Y3" s="66" t="s">
        <v>233</v>
      </c>
      <c r="Z3" s="66" t="s">
        <v>234</v>
      </c>
      <c r="AA3" s="66" t="s">
        <v>235</v>
      </c>
      <c r="AB3" s="66" t="s">
        <v>236</v>
      </c>
      <c r="AC3" s="66" t="s">
        <v>237</v>
      </c>
      <c r="AD3" s="66" t="s">
        <v>238</v>
      </c>
    </row>
    <row r="4" spans="1:30" s="60" customFormat="1" ht="21.75" customHeight="1" thickBot="1" x14ac:dyDescent="0.25">
      <c r="A4" s="74" t="s">
        <v>239</v>
      </c>
      <c r="B4" s="448" t="s">
        <v>260</v>
      </c>
      <c r="C4" s="448" t="s">
        <v>261</v>
      </c>
      <c r="D4" s="75" t="s">
        <v>17</v>
      </c>
      <c r="E4" s="76"/>
      <c r="F4" s="74" t="s">
        <v>16</v>
      </c>
      <c r="G4" s="77"/>
      <c r="H4" s="77" t="s">
        <v>19</v>
      </c>
      <c r="I4" s="77" t="s">
        <v>19</v>
      </c>
      <c r="J4" s="77" t="s">
        <v>20</v>
      </c>
      <c r="K4" s="77" t="s">
        <v>20</v>
      </c>
      <c r="L4" s="77" t="s">
        <v>20</v>
      </c>
      <c r="M4" s="77" t="s">
        <v>20</v>
      </c>
      <c r="N4" s="77" t="s">
        <v>20</v>
      </c>
      <c r="O4" s="77" t="s">
        <v>20</v>
      </c>
      <c r="P4" s="77" t="s">
        <v>20</v>
      </c>
      <c r="Q4" s="77" t="s">
        <v>20</v>
      </c>
      <c r="R4" s="77" t="s">
        <v>20</v>
      </c>
      <c r="S4" s="61"/>
      <c r="T4" s="77" t="s">
        <v>20</v>
      </c>
      <c r="U4" s="77" t="s">
        <v>20</v>
      </c>
      <c r="V4" s="77" t="s">
        <v>20</v>
      </c>
      <c r="W4" s="77" t="s">
        <v>20</v>
      </c>
      <c r="X4" s="77" t="s">
        <v>20</v>
      </c>
      <c r="Y4" s="77" t="s">
        <v>20</v>
      </c>
      <c r="Z4" s="77" t="s">
        <v>20</v>
      </c>
      <c r="AA4" s="77" t="s">
        <v>20</v>
      </c>
      <c r="AB4" s="61"/>
      <c r="AC4" s="77" t="s">
        <v>20</v>
      </c>
      <c r="AD4" s="77" t="s">
        <v>20</v>
      </c>
    </row>
    <row r="5" spans="1:30" ht="12" thickBot="1" x14ac:dyDescent="0.25">
      <c r="A5" s="66" t="s">
        <v>240</v>
      </c>
      <c r="B5" s="447" t="str">
        <f>VLOOKUP($D5,'Retail Rates'!$B$7:$D$35,2,FALSE)</f>
        <v>851</v>
      </c>
      <c r="C5" s="447" t="str">
        <f>VLOOKUP($D5,'Retail Rates'!$B$7:$D$35,3,FALSE)</f>
        <v>CGS</v>
      </c>
      <c r="D5" s="66" t="s">
        <v>37</v>
      </c>
      <c r="E5" s="66" t="s">
        <v>38</v>
      </c>
      <c r="F5" s="66" t="s">
        <v>22</v>
      </c>
      <c r="G5" s="67">
        <v>24061</v>
      </c>
      <c r="H5" s="68">
        <v>5212416</v>
      </c>
      <c r="I5" s="68">
        <v>2108159</v>
      </c>
      <c r="J5" s="68">
        <v>696257.04</v>
      </c>
      <c r="K5" s="68">
        <v>130699.28</v>
      </c>
      <c r="L5" s="68">
        <v>1265110.52</v>
      </c>
      <c r="M5" s="68">
        <v>2536.91</v>
      </c>
      <c r="N5" s="68">
        <v>3859280.13</v>
      </c>
      <c r="O5" s="68">
        <v>6501.34</v>
      </c>
      <c r="P5" s="68">
        <v>177447.32</v>
      </c>
      <c r="Q5" s="69"/>
      <c r="R5" s="68">
        <v>0</v>
      </c>
      <c r="S5" s="69"/>
      <c r="T5" s="69"/>
      <c r="U5" s="68">
        <v>6135295.6299999999</v>
      </c>
      <c r="V5" s="69"/>
      <c r="W5" s="69"/>
      <c r="X5" s="69"/>
      <c r="Y5" s="69"/>
      <c r="Z5" s="69"/>
      <c r="AA5" s="68">
        <v>333945.88</v>
      </c>
      <c r="AB5" s="69"/>
      <c r="AC5" s="68">
        <v>6471778.4199999999</v>
      </c>
      <c r="AD5" s="68">
        <v>0</v>
      </c>
    </row>
    <row r="6" spans="1:30" ht="12" thickBot="1" x14ac:dyDescent="0.25">
      <c r="A6" s="66" t="s">
        <v>240</v>
      </c>
      <c r="B6" s="447" t="str">
        <f>VLOOKUP($D6,'Retail Rates'!$B$7:$D$35,2,FALSE)</f>
        <v>851</v>
      </c>
      <c r="C6" s="447" t="str">
        <f>VLOOKUP($D6,'Retail Rates'!$B$7:$D$35,3,FALSE)</f>
        <v>CGS</v>
      </c>
      <c r="D6" s="66" t="s">
        <v>37</v>
      </c>
      <c r="E6" s="66" t="s">
        <v>38</v>
      </c>
      <c r="F6" s="66" t="s">
        <v>26</v>
      </c>
      <c r="G6" s="70">
        <v>1175</v>
      </c>
      <c r="H6" s="71">
        <v>651549</v>
      </c>
      <c r="I6" s="71">
        <v>767030</v>
      </c>
      <c r="J6" s="71">
        <v>26789.01</v>
      </c>
      <c r="K6" s="71">
        <v>48110.01</v>
      </c>
      <c r="L6" s="71">
        <v>227234.87</v>
      </c>
      <c r="M6" s="71">
        <v>264.95999999999998</v>
      </c>
      <c r="N6" s="71">
        <v>747878.19</v>
      </c>
      <c r="O6" s="71">
        <v>1251.57</v>
      </c>
      <c r="P6" s="71">
        <v>45611.85</v>
      </c>
      <c r="Q6" s="72"/>
      <c r="R6" s="71">
        <v>0</v>
      </c>
      <c r="S6" s="72"/>
      <c r="T6" s="72"/>
      <c r="U6" s="71">
        <v>1096875.5</v>
      </c>
      <c r="V6" s="72"/>
      <c r="W6" s="72"/>
      <c r="X6" s="72"/>
      <c r="Y6" s="72"/>
      <c r="Z6" s="72"/>
      <c r="AA6" s="71">
        <v>4764.95</v>
      </c>
      <c r="AB6" s="72"/>
      <c r="AC6" s="71">
        <v>1101905.4099999999</v>
      </c>
      <c r="AD6" s="71">
        <v>0</v>
      </c>
    </row>
    <row r="7" spans="1:30" ht="12" thickBot="1" x14ac:dyDescent="0.25">
      <c r="A7" s="66" t="s">
        <v>240</v>
      </c>
      <c r="B7" s="447" t="str">
        <f>VLOOKUP($D7,'Retail Rates'!$B$7:$D$35,2,FALSE)</f>
        <v>851</v>
      </c>
      <c r="C7" s="447" t="str">
        <f>VLOOKUP($D7,'Retail Rates'!$B$7:$D$35,3,FALSE)</f>
        <v>CGS</v>
      </c>
      <c r="D7" s="66" t="s">
        <v>37</v>
      </c>
      <c r="E7" s="66" t="s">
        <v>38</v>
      </c>
      <c r="F7" s="66" t="s">
        <v>40</v>
      </c>
      <c r="G7" s="67">
        <v>12</v>
      </c>
      <c r="H7" s="68">
        <v>2206</v>
      </c>
      <c r="I7" s="68">
        <v>114</v>
      </c>
      <c r="J7" s="68">
        <v>330</v>
      </c>
      <c r="K7" s="68">
        <v>170</v>
      </c>
      <c r="L7" s="68">
        <v>428.64</v>
      </c>
      <c r="M7" s="68">
        <v>0</v>
      </c>
      <c r="N7" s="68">
        <v>1223.0999999999999</v>
      </c>
      <c r="O7" s="68">
        <v>2.0499999999999998</v>
      </c>
      <c r="P7" s="68">
        <v>43.86</v>
      </c>
      <c r="Q7" s="69"/>
      <c r="R7" s="68">
        <v>0</v>
      </c>
      <c r="S7" s="69"/>
      <c r="T7" s="69"/>
      <c r="U7" s="68">
        <v>2197.65</v>
      </c>
      <c r="V7" s="69"/>
      <c r="W7" s="69"/>
      <c r="X7" s="69"/>
      <c r="Y7" s="69"/>
      <c r="Z7" s="69"/>
      <c r="AA7" s="68">
        <v>9.94</v>
      </c>
      <c r="AB7" s="69"/>
      <c r="AC7" s="68">
        <v>2207.59</v>
      </c>
      <c r="AD7" s="68">
        <v>0</v>
      </c>
    </row>
    <row r="8" spans="1:30" ht="12" thickBot="1" x14ac:dyDescent="0.25">
      <c r="A8" s="66" t="s">
        <v>240</v>
      </c>
      <c r="B8" s="447" t="str">
        <f>VLOOKUP($D8,'Retail Rates'!$B$7:$D$35,2,FALSE)</f>
        <v>865</v>
      </c>
      <c r="C8" s="447" t="str">
        <f>VLOOKUP($D8,'Retail Rates'!$B$7:$D$35,3,FALSE)</f>
        <v>AAGS-C</v>
      </c>
      <c r="D8" s="66" t="s">
        <v>23</v>
      </c>
      <c r="E8" s="66" t="s">
        <v>24</v>
      </c>
      <c r="F8" s="66" t="s">
        <v>22</v>
      </c>
      <c r="G8" s="70">
        <v>6</v>
      </c>
      <c r="H8" s="71">
        <v>37686</v>
      </c>
      <c r="I8" s="71"/>
      <c r="J8" s="71">
        <v>-962.5</v>
      </c>
      <c r="K8" s="71"/>
      <c r="L8" s="71">
        <v>1979.27</v>
      </c>
      <c r="M8" s="71">
        <v>0</v>
      </c>
      <c r="N8" s="71">
        <v>19834.04</v>
      </c>
      <c r="O8" s="71">
        <v>34.71</v>
      </c>
      <c r="P8" s="71"/>
      <c r="Q8" s="72"/>
      <c r="R8" s="71">
        <v>0</v>
      </c>
      <c r="S8" s="72"/>
      <c r="T8" s="72"/>
      <c r="U8" s="71">
        <v>20885.52</v>
      </c>
      <c r="V8" s="72"/>
      <c r="W8" s="72"/>
      <c r="X8" s="72"/>
      <c r="Y8" s="72"/>
      <c r="Z8" s="72"/>
      <c r="AA8" s="71">
        <v>722.2</v>
      </c>
      <c r="AB8" s="72"/>
      <c r="AC8" s="71">
        <v>21607.72</v>
      </c>
      <c r="AD8" s="71">
        <v>0</v>
      </c>
    </row>
    <row r="9" spans="1:30" ht="12" thickBot="1" x14ac:dyDescent="0.25">
      <c r="A9" s="66" t="s">
        <v>240</v>
      </c>
      <c r="B9" s="447" t="str">
        <f>VLOOKUP($D9,'Retail Rates'!$B$7:$D$35,2,FALSE)</f>
        <v>865</v>
      </c>
      <c r="C9" s="447" t="str">
        <f>VLOOKUP($D9,'Retail Rates'!$B$7:$D$35,3,FALSE)</f>
        <v>AAGS-C</v>
      </c>
      <c r="D9" s="66" t="s">
        <v>23</v>
      </c>
      <c r="E9" s="66" t="s">
        <v>24</v>
      </c>
      <c r="F9" s="66" t="s">
        <v>26</v>
      </c>
      <c r="G9" s="67">
        <v>1</v>
      </c>
      <c r="H9" s="68">
        <v>62522</v>
      </c>
      <c r="I9" s="68"/>
      <c r="J9" s="68">
        <v>275</v>
      </c>
      <c r="K9" s="68"/>
      <c r="L9" s="68">
        <v>3283.66</v>
      </c>
      <c r="M9" s="68">
        <v>0</v>
      </c>
      <c r="N9" s="68">
        <v>32961.599999999999</v>
      </c>
      <c r="O9" s="68">
        <v>55.64</v>
      </c>
      <c r="P9" s="68"/>
      <c r="Q9" s="69"/>
      <c r="R9" s="68">
        <v>0</v>
      </c>
      <c r="S9" s="69"/>
      <c r="T9" s="69"/>
      <c r="U9" s="68">
        <v>36575.9</v>
      </c>
      <c r="V9" s="69"/>
      <c r="W9" s="69"/>
      <c r="X9" s="69"/>
      <c r="Y9" s="69"/>
      <c r="Z9" s="69"/>
      <c r="AA9" s="68">
        <v>0</v>
      </c>
      <c r="AB9" s="69"/>
      <c r="AC9" s="68">
        <v>36575.9</v>
      </c>
      <c r="AD9" s="68">
        <v>0</v>
      </c>
    </row>
    <row r="10" spans="1:30" ht="12" thickBot="1" x14ac:dyDescent="0.25">
      <c r="A10" s="66" t="s">
        <v>240</v>
      </c>
      <c r="B10" s="447" t="str">
        <f>VLOOKUP($D10,'Retail Rates'!$B$7:$D$35,2,FALSE)</f>
        <v>855</v>
      </c>
      <c r="C10" s="447" t="str">
        <f>VLOOKUP($D10,'Retail Rates'!$B$7:$D$35,3,FALSE)</f>
        <v>IGS</v>
      </c>
      <c r="D10" s="66" t="s">
        <v>45</v>
      </c>
      <c r="E10" s="66" t="s">
        <v>46</v>
      </c>
      <c r="F10" s="66" t="s">
        <v>28</v>
      </c>
      <c r="G10" s="70">
        <v>192</v>
      </c>
      <c r="H10" s="71">
        <v>158663</v>
      </c>
      <c r="I10" s="71">
        <v>466001</v>
      </c>
      <c r="J10" s="71">
        <v>3030</v>
      </c>
      <c r="K10" s="71">
        <v>15980</v>
      </c>
      <c r="L10" s="71">
        <v>95523.6</v>
      </c>
      <c r="M10" s="71">
        <v>0</v>
      </c>
      <c r="N10" s="71">
        <v>329198.46999999997</v>
      </c>
      <c r="O10" s="71"/>
      <c r="P10" s="71"/>
      <c r="Q10" s="72"/>
      <c r="R10" s="71">
        <v>0</v>
      </c>
      <c r="S10" s="72"/>
      <c r="T10" s="72"/>
      <c r="U10" s="71">
        <v>443732.07</v>
      </c>
      <c r="V10" s="72"/>
      <c r="W10" s="72"/>
      <c r="X10" s="72"/>
      <c r="Y10" s="72"/>
      <c r="Z10" s="72"/>
      <c r="AA10" s="71">
        <v>21571.96</v>
      </c>
      <c r="AB10" s="72"/>
      <c r="AC10" s="71">
        <v>465304.03</v>
      </c>
      <c r="AD10" s="71">
        <v>0</v>
      </c>
    </row>
    <row r="11" spans="1:30" ht="12" thickBot="1" x14ac:dyDescent="0.25">
      <c r="A11" s="66" t="s">
        <v>240</v>
      </c>
      <c r="B11" s="447" t="str">
        <f>VLOOKUP($D11,'Retail Rates'!$B$7:$D$35,2,FALSE)</f>
        <v>855</v>
      </c>
      <c r="C11" s="447" t="str">
        <f>VLOOKUP($D11,'Retail Rates'!$B$7:$D$35,3,FALSE)</f>
        <v>IGS</v>
      </c>
      <c r="D11" s="66" t="s">
        <v>45</v>
      </c>
      <c r="E11" s="66" t="s">
        <v>46</v>
      </c>
      <c r="F11" s="66" t="s">
        <v>22</v>
      </c>
      <c r="G11" s="67">
        <v>1</v>
      </c>
      <c r="H11" s="68">
        <v>2000</v>
      </c>
      <c r="I11" s="68">
        <v>1705</v>
      </c>
      <c r="J11" s="68"/>
      <c r="K11" s="68">
        <v>170</v>
      </c>
      <c r="L11" s="68">
        <v>619.52</v>
      </c>
      <c r="M11" s="68">
        <v>0</v>
      </c>
      <c r="N11" s="68">
        <v>1953.28</v>
      </c>
      <c r="O11" s="68"/>
      <c r="P11" s="68"/>
      <c r="Q11" s="69"/>
      <c r="R11" s="68">
        <v>0</v>
      </c>
      <c r="S11" s="69"/>
      <c r="T11" s="69"/>
      <c r="U11" s="68">
        <v>2742.8</v>
      </c>
      <c r="V11" s="69"/>
      <c r="W11" s="69"/>
      <c r="X11" s="69"/>
      <c r="Y11" s="69"/>
      <c r="Z11" s="69"/>
      <c r="AA11" s="68">
        <v>164.57</v>
      </c>
      <c r="AB11" s="69"/>
      <c r="AC11" s="68">
        <v>2907.37</v>
      </c>
      <c r="AD11" s="68">
        <v>0</v>
      </c>
    </row>
    <row r="12" spans="1:30" ht="12" thickBot="1" x14ac:dyDescent="0.25">
      <c r="A12" s="66" t="s">
        <v>240</v>
      </c>
      <c r="B12" s="447" t="str">
        <f>VLOOKUP($D12,'Retail Rates'!$B$7:$D$35,2,FALSE)</f>
        <v>855</v>
      </c>
      <c r="C12" s="447" t="str">
        <f>VLOOKUP($D12,'Retail Rates'!$B$7:$D$35,3,FALSE)</f>
        <v>IGS</v>
      </c>
      <c r="D12" s="66" t="s">
        <v>45</v>
      </c>
      <c r="E12" s="66" t="s">
        <v>46</v>
      </c>
      <c r="F12" s="66" t="s">
        <v>26</v>
      </c>
      <c r="G12" s="70">
        <v>6</v>
      </c>
      <c r="H12" s="71">
        <v>4373</v>
      </c>
      <c r="I12" s="71">
        <v>67521</v>
      </c>
      <c r="J12" s="71">
        <v>120</v>
      </c>
      <c r="K12" s="71">
        <v>340</v>
      </c>
      <c r="L12" s="71">
        <v>10299.629999999999</v>
      </c>
      <c r="M12" s="71">
        <v>0</v>
      </c>
      <c r="N12" s="71">
        <v>37902.53</v>
      </c>
      <c r="O12" s="71"/>
      <c r="P12" s="71"/>
      <c r="Q12" s="72"/>
      <c r="R12" s="71">
        <v>0</v>
      </c>
      <c r="S12" s="72"/>
      <c r="T12" s="72"/>
      <c r="U12" s="71">
        <v>48662.16</v>
      </c>
      <c r="V12" s="72"/>
      <c r="W12" s="72"/>
      <c r="X12" s="72"/>
      <c r="Y12" s="72"/>
      <c r="Z12" s="72"/>
      <c r="AA12" s="71">
        <v>0</v>
      </c>
      <c r="AB12" s="72"/>
      <c r="AC12" s="71">
        <v>48662.16</v>
      </c>
      <c r="AD12" s="71">
        <v>0</v>
      </c>
    </row>
    <row r="13" spans="1:30" ht="12" thickBot="1" x14ac:dyDescent="0.25">
      <c r="A13" s="66" t="s">
        <v>240</v>
      </c>
      <c r="B13" s="447" t="str">
        <f>VLOOKUP($D13,'Retail Rates'!$B$7:$D$35,2,FALSE)</f>
        <v>866</v>
      </c>
      <c r="C13" s="447" t="str">
        <f>VLOOKUP($D13,'Retail Rates'!$B$7:$D$35,3,FALSE)</f>
        <v>AAGS-I</v>
      </c>
      <c r="D13" s="66" t="s">
        <v>29</v>
      </c>
      <c r="E13" s="66" t="s">
        <v>30</v>
      </c>
      <c r="F13" s="66" t="s">
        <v>28</v>
      </c>
      <c r="G13" s="67">
        <v>6</v>
      </c>
      <c r="H13" s="68">
        <v>85547</v>
      </c>
      <c r="I13" s="68"/>
      <c r="J13" s="68">
        <v>1650</v>
      </c>
      <c r="K13" s="68"/>
      <c r="L13" s="68">
        <v>4492.9399999999996</v>
      </c>
      <c r="M13" s="68">
        <v>0</v>
      </c>
      <c r="N13" s="68">
        <v>45100.38</v>
      </c>
      <c r="O13" s="68"/>
      <c r="P13" s="68"/>
      <c r="Q13" s="69"/>
      <c r="R13" s="68">
        <v>0</v>
      </c>
      <c r="S13" s="69"/>
      <c r="T13" s="69"/>
      <c r="U13" s="68">
        <v>51243.32</v>
      </c>
      <c r="V13" s="69"/>
      <c r="W13" s="69"/>
      <c r="X13" s="69"/>
      <c r="Y13" s="69"/>
      <c r="Z13" s="69"/>
      <c r="AA13" s="68">
        <v>1106</v>
      </c>
      <c r="AB13" s="69"/>
      <c r="AC13" s="68">
        <v>52349.32</v>
      </c>
      <c r="AD13" s="68">
        <v>0</v>
      </c>
    </row>
    <row r="14" spans="1:30" ht="12" thickBot="1" x14ac:dyDescent="0.25">
      <c r="A14" s="66" t="s">
        <v>240</v>
      </c>
      <c r="B14" s="447" t="str">
        <f>VLOOKUP($D14,'Retail Rates'!$B$7:$D$35,2,FALSE)</f>
        <v>866</v>
      </c>
      <c r="C14" s="447" t="str">
        <f>VLOOKUP($D14,'Retail Rates'!$B$7:$D$35,3,FALSE)</f>
        <v>AAGS-I</v>
      </c>
      <c r="D14" s="66" t="s">
        <v>29</v>
      </c>
      <c r="E14" s="66" t="s">
        <v>30</v>
      </c>
      <c r="F14" s="66" t="s">
        <v>26</v>
      </c>
      <c r="G14" s="70">
        <v>2</v>
      </c>
      <c r="H14" s="71">
        <v>87023</v>
      </c>
      <c r="I14" s="71"/>
      <c r="J14" s="71">
        <v>550</v>
      </c>
      <c r="K14" s="71"/>
      <c r="L14" s="71">
        <v>4570.45</v>
      </c>
      <c r="M14" s="71">
        <v>0</v>
      </c>
      <c r="N14" s="71">
        <v>45878.52</v>
      </c>
      <c r="O14" s="71"/>
      <c r="P14" s="71"/>
      <c r="Q14" s="72"/>
      <c r="R14" s="71">
        <v>0</v>
      </c>
      <c r="S14" s="72"/>
      <c r="T14" s="72"/>
      <c r="U14" s="71">
        <v>50998.97</v>
      </c>
      <c r="V14" s="72"/>
      <c r="W14" s="72"/>
      <c r="X14" s="72"/>
      <c r="Y14" s="72"/>
      <c r="Z14" s="72"/>
      <c r="AA14" s="71">
        <v>0</v>
      </c>
      <c r="AB14" s="72"/>
      <c r="AC14" s="71">
        <v>50998.97</v>
      </c>
      <c r="AD14" s="71">
        <v>0</v>
      </c>
    </row>
    <row r="15" spans="1:30" ht="12" thickBot="1" x14ac:dyDescent="0.25">
      <c r="A15" s="66" t="s">
        <v>240</v>
      </c>
      <c r="B15" s="447" t="str">
        <f>VLOOKUP($D15,'Retail Rates'!$B$7:$D$35,2,FALSE)</f>
        <v>811</v>
      </c>
      <c r="C15" s="447" t="str">
        <f>VLOOKUP($D15,'Retail Rates'!$B$7:$D$35,3,FALSE)</f>
        <v>RGS</v>
      </c>
      <c r="D15" s="66" t="s">
        <v>52</v>
      </c>
      <c r="E15" s="66" t="s">
        <v>53</v>
      </c>
      <c r="F15" s="66" t="s">
        <v>22</v>
      </c>
      <c r="G15" s="67">
        <v>2</v>
      </c>
      <c r="H15" s="68">
        <v>106</v>
      </c>
      <c r="I15" s="68"/>
      <c r="J15" s="68">
        <v>25</v>
      </c>
      <c r="K15" s="68"/>
      <c r="L15" s="68">
        <v>23.74</v>
      </c>
      <c r="M15" s="68">
        <v>0</v>
      </c>
      <c r="N15" s="68">
        <v>55.88</v>
      </c>
      <c r="O15" s="68">
        <v>1.87</v>
      </c>
      <c r="P15" s="68">
        <v>-1.04</v>
      </c>
      <c r="Q15" s="69">
        <v>0.3</v>
      </c>
      <c r="R15" s="68">
        <v>0</v>
      </c>
      <c r="S15" s="69"/>
      <c r="T15" s="69"/>
      <c r="U15" s="68">
        <v>105.45</v>
      </c>
      <c r="V15" s="69"/>
      <c r="W15" s="69"/>
      <c r="X15" s="69"/>
      <c r="Y15" s="69"/>
      <c r="Z15" s="69"/>
      <c r="AA15" s="68">
        <v>6.33</v>
      </c>
      <c r="AB15" s="69"/>
      <c r="AC15" s="68">
        <v>112.08</v>
      </c>
      <c r="AD15" s="68">
        <v>0</v>
      </c>
    </row>
    <row r="16" spans="1:30" ht="12" thickBot="1" x14ac:dyDescent="0.25">
      <c r="A16" s="66" t="s">
        <v>240</v>
      </c>
      <c r="B16" s="447" t="str">
        <f>VLOOKUP($D16,'Retail Rates'!$B$7:$D$35,2,FALSE)</f>
        <v>811</v>
      </c>
      <c r="C16" s="447" t="str">
        <f>VLOOKUP($D16,'Retail Rates'!$B$7:$D$35,3,FALSE)</f>
        <v>RGS</v>
      </c>
      <c r="D16" s="66" t="s">
        <v>52</v>
      </c>
      <c r="E16" s="66" t="s">
        <v>53</v>
      </c>
      <c r="F16" s="66" t="s">
        <v>26</v>
      </c>
      <c r="G16" s="70">
        <v>37</v>
      </c>
      <c r="H16" s="71">
        <v>1189</v>
      </c>
      <c r="I16" s="71"/>
      <c r="J16" s="71">
        <v>462.5</v>
      </c>
      <c r="K16" s="71"/>
      <c r="L16" s="71">
        <v>266.27999999999997</v>
      </c>
      <c r="M16" s="71">
        <v>0</v>
      </c>
      <c r="N16" s="71">
        <v>626.86</v>
      </c>
      <c r="O16" s="71">
        <v>20.9</v>
      </c>
      <c r="P16" s="71">
        <v>44.6</v>
      </c>
      <c r="Q16" s="72">
        <v>5.55</v>
      </c>
      <c r="R16" s="71">
        <v>0</v>
      </c>
      <c r="S16" s="72"/>
      <c r="T16" s="72"/>
      <c r="U16" s="71">
        <v>1421.14</v>
      </c>
      <c r="V16" s="72"/>
      <c r="W16" s="72"/>
      <c r="X16" s="72"/>
      <c r="Y16" s="72"/>
      <c r="Z16" s="72"/>
      <c r="AA16" s="71">
        <v>4.7</v>
      </c>
      <c r="AB16" s="72"/>
      <c r="AC16" s="71">
        <v>1431.39</v>
      </c>
      <c r="AD16" s="71">
        <v>0</v>
      </c>
    </row>
    <row r="17" spans="1:30" ht="12" thickBot="1" x14ac:dyDescent="0.25">
      <c r="A17" s="66" t="s">
        <v>240</v>
      </c>
      <c r="B17" s="447" t="str">
        <f>VLOOKUP($D17,'Retail Rates'!$B$7:$D$35,2,FALSE)</f>
        <v>811</v>
      </c>
      <c r="C17" s="447" t="str">
        <f>VLOOKUP($D17,'Retail Rates'!$B$7:$D$35,3,FALSE)</f>
        <v>RGS</v>
      </c>
      <c r="D17" s="66" t="s">
        <v>52</v>
      </c>
      <c r="E17" s="66" t="s">
        <v>53</v>
      </c>
      <c r="F17" s="66" t="s">
        <v>40</v>
      </c>
      <c r="G17" s="67">
        <v>292247</v>
      </c>
      <c r="H17" s="68">
        <v>17616992</v>
      </c>
      <c r="I17" s="68"/>
      <c r="J17" s="68">
        <v>3646537.52</v>
      </c>
      <c r="K17" s="68"/>
      <c r="L17" s="68">
        <v>3945474.7</v>
      </c>
      <c r="M17" s="68">
        <v>5057.55</v>
      </c>
      <c r="N17" s="68">
        <v>9288359.9700000007</v>
      </c>
      <c r="O17" s="68">
        <v>309625.28000000003</v>
      </c>
      <c r="P17" s="68">
        <v>619998.85</v>
      </c>
      <c r="Q17" s="69">
        <v>44164.5</v>
      </c>
      <c r="R17" s="68">
        <v>0</v>
      </c>
      <c r="S17" s="69"/>
      <c r="T17" s="69"/>
      <c r="U17" s="68">
        <v>17809996.32</v>
      </c>
      <c r="V17" s="69"/>
      <c r="W17" s="69"/>
      <c r="X17" s="69"/>
      <c r="Y17" s="69"/>
      <c r="Z17" s="69"/>
      <c r="AA17" s="68">
        <v>73041.58</v>
      </c>
      <c r="AB17" s="69"/>
      <c r="AC17" s="68">
        <v>17932259.949999999</v>
      </c>
      <c r="AD17" s="68">
        <v>0</v>
      </c>
    </row>
    <row r="18" spans="1:30" ht="12" thickBot="1" x14ac:dyDescent="0.25">
      <c r="A18" s="66" t="s">
        <v>240</v>
      </c>
      <c r="B18" s="447" t="str">
        <f>VLOOKUP($D18,'Retail Rates'!$B$7:$D$35,2,FALSE)</f>
        <v>811</v>
      </c>
      <c r="C18" s="447" t="str">
        <f>VLOOKUP($D18,'Retail Rates'!$B$7:$D$35,3,FALSE)</f>
        <v>RGS</v>
      </c>
      <c r="D18" s="66" t="s">
        <v>55</v>
      </c>
      <c r="E18" s="66" t="s">
        <v>56</v>
      </c>
      <c r="F18" s="66" t="s">
        <v>40</v>
      </c>
      <c r="G18" s="70">
        <v>1</v>
      </c>
      <c r="H18" s="71">
        <v>1479</v>
      </c>
      <c r="I18" s="71"/>
      <c r="J18" s="71">
        <v>0.5</v>
      </c>
      <c r="K18" s="71"/>
      <c r="L18" s="71">
        <v>-66.73</v>
      </c>
      <c r="M18" s="71"/>
      <c r="N18" s="71">
        <v>779.73</v>
      </c>
      <c r="O18" s="71"/>
      <c r="P18" s="71"/>
      <c r="Q18" s="72"/>
      <c r="R18" s="71"/>
      <c r="S18" s="72"/>
      <c r="T18" s="72"/>
      <c r="U18" s="71">
        <v>713.5</v>
      </c>
      <c r="V18" s="72"/>
      <c r="W18" s="72"/>
      <c r="X18" s="72"/>
      <c r="Y18" s="72"/>
      <c r="Z18" s="72"/>
      <c r="AA18" s="71">
        <v>0</v>
      </c>
      <c r="AB18" s="72"/>
      <c r="AC18" s="71">
        <v>713.5</v>
      </c>
      <c r="AD18" s="71">
        <v>0</v>
      </c>
    </row>
    <row r="19" spans="1:30" ht="12" thickBot="1" x14ac:dyDescent="0.25">
      <c r="A19" s="66" t="s">
        <v>240</v>
      </c>
      <c r="B19" s="447" t="str">
        <f>VLOOKUP($D19,'Retail Rates'!$B$7:$D$35,2,FALSE)</f>
        <v>840</v>
      </c>
      <c r="C19" s="447" t="str">
        <f>VLOOKUP($D19,'Retail Rates'!$B$7:$D$35,3,FALSE)</f>
        <v>RGS</v>
      </c>
      <c r="D19" s="66" t="s">
        <v>59</v>
      </c>
      <c r="E19" s="66" t="s">
        <v>60</v>
      </c>
      <c r="F19" s="66" t="s">
        <v>26</v>
      </c>
      <c r="G19" s="67">
        <v>1</v>
      </c>
      <c r="H19" s="68">
        <v>488</v>
      </c>
      <c r="I19" s="68"/>
      <c r="J19" s="68">
        <v>12.5</v>
      </c>
      <c r="K19" s="68"/>
      <c r="L19" s="68">
        <v>109.29</v>
      </c>
      <c r="M19" s="68">
        <v>0</v>
      </c>
      <c r="N19" s="68">
        <v>257.27</v>
      </c>
      <c r="O19" s="68">
        <v>8.59</v>
      </c>
      <c r="P19" s="68">
        <v>20.84</v>
      </c>
      <c r="Q19" s="69"/>
      <c r="R19" s="68">
        <v>0</v>
      </c>
      <c r="S19" s="69"/>
      <c r="T19" s="69"/>
      <c r="U19" s="68">
        <v>408.49</v>
      </c>
      <c r="V19" s="69"/>
      <c r="W19" s="69"/>
      <c r="X19" s="69"/>
      <c r="Y19" s="69"/>
      <c r="Z19" s="69"/>
      <c r="AA19" s="68">
        <v>0</v>
      </c>
      <c r="AB19" s="69"/>
      <c r="AC19" s="68">
        <v>408.49</v>
      </c>
      <c r="AD19" s="68">
        <v>0</v>
      </c>
    </row>
    <row r="20" spans="1:30" ht="12" thickBot="1" x14ac:dyDescent="0.25">
      <c r="A20" s="66" t="s">
        <v>240</v>
      </c>
      <c r="B20" s="447" t="str">
        <f>VLOOKUP($D20,'Retail Rates'!$B$7:$D$35,2,FALSE)</f>
        <v>840</v>
      </c>
      <c r="C20" s="447" t="str">
        <f>VLOOKUP($D20,'Retail Rates'!$B$7:$D$35,3,FALSE)</f>
        <v>RGS</v>
      </c>
      <c r="D20" s="66" t="s">
        <v>59</v>
      </c>
      <c r="E20" s="66" t="s">
        <v>60</v>
      </c>
      <c r="F20" s="66" t="s">
        <v>40</v>
      </c>
      <c r="G20" s="70">
        <v>3</v>
      </c>
      <c r="H20" s="71">
        <v>516</v>
      </c>
      <c r="I20" s="71"/>
      <c r="J20" s="71">
        <v>37.5</v>
      </c>
      <c r="K20" s="71"/>
      <c r="L20" s="71">
        <v>115.56</v>
      </c>
      <c r="M20" s="71">
        <v>0</v>
      </c>
      <c r="N20" s="71">
        <v>272.02999999999997</v>
      </c>
      <c r="O20" s="71">
        <v>9.08</v>
      </c>
      <c r="P20" s="71">
        <v>9.43</v>
      </c>
      <c r="Q20" s="72"/>
      <c r="R20" s="71">
        <v>0</v>
      </c>
      <c r="S20" s="72"/>
      <c r="T20" s="72"/>
      <c r="U20" s="71">
        <v>443.6</v>
      </c>
      <c r="V20" s="72"/>
      <c r="W20" s="72"/>
      <c r="X20" s="72"/>
      <c r="Y20" s="72"/>
      <c r="Z20" s="72"/>
      <c r="AA20" s="71">
        <v>0.86</v>
      </c>
      <c r="AB20" s="72"/>
      <c r="AC20" s="71">
        <v>444.46</v>
      </c>
      <c r="AD20" s="71">
        <v>0</v>
      </c>
    </row>
    <row r="21" spans="1:30" ht="12" thickBot="1" x14ac:dyDescent="0.25">
      <c r="A21" s="66" t="s">
        <v>240</v>
      </c>
      <c r="B21" s="447" t="str">
        <f>VLOOKUP($D21,'Retail Rates'!$B$7:$D$35,2,FALSE)</f>
        <v>830</v>
      </c>
      <c r="C21" s="447" t="str">
        <f>VLOOKUP($D21,'Retail Rates'!$B$7:$D$35,3,FALSE)</f>
        <v>RGS</v>
      </c>
      <c r="D21" s="66" t="s">
        <v>49</v>
      </c>
      <c r="E21" s="66" t="s">
        <v>50</v>
      </c>
      <c r="F21" s="66" t="s">
        <v>40</v>
      </c>
      <c r="G21" s="67">
        <v>1</v>
      </c>
      <c r="H21" s="68">
        <v>32</v>
      </c>
      <c r="I21" s="68"/>
      <c r="J21" s="68">
        <v>25</v>
      </c>
      <c r="K21" s="68"/>
      <c r="L21" s="68">
        <v>7.17</v>
      </c>
      <c r="M21" s="68">
        <v>0</v>
      </c>
      <c r="N21" s="68">
        <v>16.87</v>
      </c>
      <c r="O21" s="68">
        <v>0.56000000000000005</v>
      </c>
      <c r="P21" s="68"/>
      <c r="Q21" s="69"/>
      <c r="R21" s="68">
        <v>0</v>
      </c>
      <c r="S21" s="69"/>
      <c r="T21" s="69"/>
      <c r="U21" s="68">
        <v>49.6</v>
      </c>
      <c r="V21" s="69"/>
      <c r="W21" s="69"/>
      <c r="X21" s="69"/>
      <c r="Y21" s="69"/>
      <c r="Z21" s="69"/>
      <c r="AA21" s="68">
        <v>0</v>
      </c>
      <c r="AB21" s="69"/>
      <c r="AC21" s="68">
        <v>49.6</v>
      </c>
      <c r="AD21" s="68">
        <v>0</v>
      </c>
    </row>
    <row r="22" spans="1:30" ht="12" thickBot="1" x14ac:dyDescent="0.25">
      <c r="A22" s="66" t="s">
        <v>240</v>
      </c>
      <c r="B22" s="447" t="str">
        <f>VLOOKUP($D22,'Retail Rates'!$B$7:$D$35,2,FALSE)</f>
        <v>860</v>
      </c>
      <c r="C22" s="447" t="str">
        <f>VLOOKUP($D22,'Retail Rates'!$B$7:$D$35,3,FALSE)</f>
        <v>CGS</v>
      </c>
      <c r="D22" s="66" t="s">
        <v>34</v>
      </c>
      <c r="E22" s="66" t="s">
        <v>35</v>
      </c>
      <c r="F22" s="66" t="s">
        <v>22</v>
      </c>
      <c r="G22" s="70">
        <v>1</v>
      </c>
      <c r="H22" s="71">
        <v>304</v>
      </c>
      <c r="I22" s="71"/>
      <c r="J22" s="71">
        <v>480</v>
      </c>
      <c r="K22" s="71"/>
      <c r="L22" s="71">
        <v>56.91</v>
      </c>
      <c r="M22" s="71">
        <v>0</v>
      </c>
      <c r="N22" s="71">
        <v>160.27000000000001</v>
      </c>
      <c r="O22" s="71">
        <v>0.27</v>
      </c>
      <c r="P22" s="71"/>
      <c r="Q22" s="72"/>
      <c r="R22" s="71">
        <v>0</v>
      </c>
      <c r="S22" s="72"/>
      <c r="T22" s="72"/>
      <c r="U22" s="71">
        <v>697.45</v>
      </c>
      <c r="V22" s="72"/>
      <c r="W22" s="72"/>
      <c r="X22" s="72"/>
      <c r="Y22" s="72"/>
      <c r="Z22" s="72"/>
      <c r="AA22" s="71">
        <v>0</v>
      </c>
      <c r="AB22" s="72"/>
      <c r="AC22" s="71">
        <v>697.45</v>
      </c>
      <c r="AD22" s="71">
        <v>0</v>
      </c>
    </row>
    <row r="23" spans="1:30" ht="12" thickBot="1" x14ac:dyDescent="0.25">
      <c r="A23" s="66" t="s">
        <v>240</v>
      </c>
      <c r="B23" s="447" t="str">
        <f>VLOOKUP($D23,'Retail Rates'!$B$7:$D$35,2,FALSE)</f>
        <v>860</v>
      </c>
      <c r="C23" s="447" t="str">
        <f>VLOOKUP($D23,'Retail Rates'!$B$7:$D$35,3,FALSE)</f>
        <v>CGS</v>
      </c>
      <c r="D23" s="66" t="s">
        <v>34</v>
      </c>
      <c r="E23" s="66" t="s">
        <v>35</v>
      </c>
      <c r="F23" s="66" t="s">
        <v>26</v>
      </c>
      <c r="G23" s="67">
        <v>2</v>
      </c>
      <c r="H23" s="68">
        <v>54</v>
      </c>
      <c r="I23" s="68"/>
      <c r="J23" s="68">
        <v>90</v>
      </c>
      <c r="K23" s="68"/>
      <c r="L23" s="68">
        <v>10.11</v>
      </c>
      <c r="M23" s="68">
        <v>0</v>
      </c>
      <c r="N23" s="68">
        <v>28.47</v>
      </c>
      <c r="O23" s="68">
        <v>0.05</v>
      </c>
      <c r="P23" s="68"/>
      <c r="Q23" s="69"/>
      <c r="R23" s="68">
        <v>0</v>
      </c>
      <c r="S23" s="69"/>
      <c r="T23" s="69"/>
      <c r="U23" s="68">
        <v>128.63</v>
      </c>
      <c r="V23" s="69"/>
      <c r="W23" s="69"/>
      <c r="X23" s="69"/>
      <c r="Y23" s="69"/>
      <c r="Z23" s="69"/>
      <c r="AA23" s="68">
        <v>0</v>
      </c>
      <c r="AB23" s="69"/>
      <c r="AC23" s="68">
        <v>128.63</v>
      </c>
      <c r="AD23" s="68">
        <v>0</v>
      </c>
    </row>
    <row r="24" spans="1:30" ht="12" thickBot="1" x14ac:dyDescent="0.25">
      <c r="A24" s="66" t="s">
        <v>240</v>
      </c>
      <c r="B24" s="447" t="str">
        <f>VLOOKUP($D24,'Retail Rates'!$B$7:$D$35,2,FALSE)</f>
        <v>861</v>
      </c>
      <c r="C24" s="447" t="str">
        <f>VLOOKUP($D24,'Retail Rates'!$B$7:$D$35,3,FALSE)</f>
        <v>CGS</v>
      </c>
      <c r="D24" s="66" t="s">
        <v>41</v>
      </c>
      <c r="E24" s="66" t="s">
        <v>42</v>
      </c>
      <c r="F24" s="66" t="s">
        <v>22</v>
      </c>
      <c r="G24" s="70">
        <v>607</v>
      </c>
      <c r="H24" s="71">
        <v>610</v>
      </c>
      <c r="I24" s="71"/>
      <c r="J24" s="71">
        <v>18510</v>
      </c>
      <c r="K24" s="71"/>
      <c r="L24" s="71">
        <v>115.81</v>
      </c>
      <c r="M24" s="71">
        <v>1.84</v>
      </c>
      <c r="N24" s="71">
        <v>323.20999999999998</v>
      </c>
      <c r="O24" s="71">
        <v>0</v>
      </c>
      <c r="P24" s="71"/>
      <c r="Q24" s="72"/>
      <c r="R24" s="71">
        <v>0</v>
      </c>
      <c r="S24" s="72"/>
      <c r="T24" s="72"/>
      <c r="U24" s="71">
        <v>18949.02</v>
      </c>
      <c r="V24" s="72"/>
      <c r="W24" s="72"/>
      <c r="X24" s="72"/>
      <c r="Y24" s="72"/>
      <c r="Z24" s="72"/>
      <c r="AA24" s="71">
        <v>1198.8800000000001</v>
      </c>
      <c r="AB24" s="72"/>
      <c r="AC24" s="71">
        <v>20149.740000000002</v>
      </c>
      <c r="AD24" s="71">
        <v>0</v>
      </c>
    </row>
    <row r="25" spans="1:30" ht="12" thickBot="1" x14ac:dyDescent="0.25">
      <c r="A25" s="66" t="s">
        <v>241</v>
      </c>
      <c r="B25" s="447" t="str">
        <f>VLOOKUP($D25,'Retail Rates'!$B$7:$D$35,2,FALSE)</f>
        <v>851</v>
      </c>
      <c r="C25" s="447" t="str">
        <f>VLOOKUP($D25,'Retail Rates'!$B$7:$D$35,3,FALSE)</f>
        <v>CGS</v>
      </c>
      <c r="D25" s="66" t="s">
        <v>37</v>
      </c>
      <c r="E25" s="66" t="s">
        <v>38</v>
      </c>
      <c r="F25" s="66" t="s">
        <v>22</v>
      </c>
      <c r="G25" s="67">
        <v>23777</v>
      </c>
      <c r="H25" s="68">
        <v>2781611</v>
      </c>
      <c r="I25" s="68">
        <v>1439895</v>
      </c>
      <c r="J25" s="68">
        <v>691915.29</v>
      </c>
      <c r="K25" s="68">
        <v>130854.67</v>
      </c>
      <c r="L25" s="68">
        <v>718339.53</v>
      </c>
      <c r="M25" s="68">
        <v>1496.43</v>
      </c>
      <c r="N25" s="68">
        <v>2290228.34</v>
      </c>
      <c r="O25" s="68">
        <v>3757.37</v>
      </c>
      <c r="P25" s="68">
        <v>3696.19</v>
      </c>
      <c r="Q25" s="69"/>
      <c r="R25" s="68">
        <v>0</v>
      </c>
      <c r="S25" s="69"/>
      <c r="T25" s="69"/>
      <c r="U25" s="68">
        <v>3838791.39</v>
      </c>
      <c r="V25" s="69"/>
      <c r="W25" s="69"/>
      <c r="X25" s="69"/>
      <c r="Y25" s="69"/>
      <c r="Z25" s="69"/>
      <c r="AA25" s="68">
        <v>210193.16</v>
      </c>
      <c r="AB25" s="69"/>
      <c r="AC25" s="68">
        <v>4050480.98</v>
      </c>
      <c r="AD25" s="68">
        <v>0</v>
      </c>
    </row>
    <row r="26" spans="1:30" ht="12" thickBot="1" x14ac:dyDescent="0.25">
      <c r="A26" s="66" t="s">
        <v>241</v>
      </c>
      <c r="B26" s="447" t="str">
        <f>VLOOKUP($D26,'Retail Rates'!$B$7:$D$35,2,FALSE)</f>
        <v>851</v>
      </c>
      <c r="C26" s="447" t="str">
        <f>VLOOKUP($D26,'Retail Rates'!$B$7:$D$35,3,FALSE)</f>
        <v>CGS</v>
      </c>
      <c r="D26" s="66" t="s">
        <v>37</v>
      </c>
      <c r="E26" s="66" t="s">
        <v>38</v>
      </c>
      <c r="F26" s="66" t="s">
        <v>26</v>
      </c>
      <c r="G26" s="70">
        <v>1163</v>
      </c>
      <c r="H26" s="71">
        <v>310705</v>
      </c>
      <c r="I26" s="71">
        <v>253578</v>
      </c>
      <c r="J26" s="71">
        <v>26075.75</v>
      </c>
      <c r="K26" s="71">
        <v>47090</v>
      </c>
      <c r="L26" s="71">
        <v>92966.9</v>
      </c>
      <c r="M26" s="71">
        <v>179.01</v>
      </c>
      <c r="N26" s="71">
        <v>305467.31</v>
      </c>
      <c r="O26" s="71">
        <v>502.12</v>
      </c>
      <c r="P26" s="71">
        <v>376.02</v>
      </c>
      <c r="Q26" s="72"/>
      <c r="R26" s="71">
        <v>0</v>
      </c>
      <c r="S26" s="72"/>
      <c r="T26" s="72"/>
      <c r="U26" s="71">
        <v>472478.1</v>
      </c>
      <c r="V26" s="72"/>
      <c r="W26" s="72"/>
      <c r="X26" s="72"/>
      <c r="Y26" s="72"/>
      <c r="Z26" s="72"/>
      <c r="AA26" s="71">
        <v>2472.94</v>
      </c>
      <c r="AB26" s="72"/>
      <c r="AC26" s="71">
        <v>475130.05</v>
      </c>
      <c r="AD26" s="71">
        <v>0</v>
      </c>
    </row>
    <row r="27" spans="1:30" ht="12" thickBot="1" x14ac:dyDescent="0.25">
      <c r="A27" s="66" t="s">
        <v>241</v>
      </c>
      <c r="B27" s="447" t="str">
        <f>VLOOKUP($D27,'Retail Rates'!$B$7:$D$35,2,FALSE)</f>
        <v>851</v>
      </c>
      <c r="C27" s="447" t="str">
        <f>VLOOKUP($D27,'Retail Rates'!$B$7:$D$35,3,FALSE)</f>
        <v>CGS</v>
      </c>
      <c r="D27" s="66" t="s">
        <v>37</v>
      </c>
      <c r="E27" s="66" t="s">
        <v>38</v>
      </c>
      <c r="F27" s="66" t="s">
        <v>40</v>
      </c>
      <c r="G27" s="67">
        <v>13</v>
      </c>
      <c r="H27" s="68">
        <v>1268</v>
      </c>
      <c r="I27" s="68">
        <v>389</v>
      </c>
      <c r="J27" s="68">
        <v>403</v>
      </c>
      <c r="K27" s="68">
        <v>170</v>
      </c>
      <c r="L27" s="68">
        <v>290.77</v>
      </c>
      <c r="M27" s="68">
        <v>0</v>
      </c>
      <c r="N27" s="68">
        <v>897.01</v>
      </c>
      <c r="O27" s="68">
        <v>1.46</v>
      </c>
      <c r="P27" s="68">
        <v>1.2</v>
      </c>
      <c r="Q27" s="69"/>
      <c r="R27" s="68">
        <v>0</v>
      </c>
      <c r="S27" s="69"/>
      <c r="T27" s="69"/>
      <c r="U27" s="68">
        <v>1763.44</v>
      </c>
      <c r="V27" s="69"/>
      <c r="W27" s="69"/>
      <c r="X27" s="69"/>
      <c r="Y27" s="69"/>
      <c r="Z27" s="69"/>
      <c r="AA27" s="68">
        <v>7.14</v>
      </c>
      <c r="AB27" s="69"/>
      <c r="AC27" s="68">
        <v>1770.58</v>
      </c>
      <c r="AD27" s="68">
        <v>0</v>
      </c>
    </row>
    <row r="28" spans="1:30" ht="12" thickBot="1" x14ac:dyDescent="0.25">
      <c r="A28" s="66" t="s">
        <v>241</v>
      </c>
      <c r="B28" s="447" t="str">
        <f>VLOOKUP($D28,'Retail Rates'!$B$7:$D$35,2,FALSE)</f>
        <v>865</v>
      </c>
      <c r="C28" s="447" t="str">
        <f>VLOOKUP($D28,'Retail Rates'!$B$7:$D$35,3,FALSE)</f>
        <v>AAGS-C</v>
      </c>
      <c r="D28" s="66" t="s">
        <v>23</v>
      </c>
      <c r="E28" s="66" t="s">
        <v>24</v>
      </c>
      <c r="F28" s="66" t="s">
        <v>22</v>
      </c>
      <c r="G28" s="70">
        <v>4</v>
      </c>
      <c r="H28" s="71">
        <v>29527</v>
      </c>
      <c r="I28" s="71"/>
      <c r="J28" s="71">
        <v>1100</v>
      </c>
      <c r="K28" s="71"/>
      <c r="L28" s="71">
        <v>1550.76</v>
      </c>
      <c r="M28" s="71">
        <v>0</v>
      </c>
      <c r="N28" s="71">
        <v>15893.22</v>
      </c>
      <c r="O28" s="71">
        <v>26.29</v>
      </c>
      <c r="P28" s="71"/>
      <c r="Q28" s="72"/>
      <c r="R28" s="71">
        <v>0</v>
      </c>
      <c r="S28" s="72"/>
      <c r="T28" s="72"/>
      <c r="U28" s="71">
        <v>18570.27</v>
      </c>
      <c r="V28" s="72"/>
      <c r="W28" s="72"/>
      <c r="X28" s="72"/>
      <c r="Y28" s="72"/>
      <c r="Z28" s="72"/>
      <c r="AA28" s="71">
        <v>683.53</v>
      </c>
      <c r="AB28" s="72"/>
      <c r="AC28" s="71">
        <v>19253.8</v>
      </c>
      <c r="AD28" s="71">
        <v>0</v>
      </c>
    </row>
    <row r="29" spans="1:30" ht="12" thickBot="1" x14ac:dyDescent="0.25">
      <c r="A29" s="66" t="s">
        <v>241</v>
      </c>
      <c r="B29" s="447" t="str">
        <f>VLOOKUP($D29,'Retail Rates'!$B$7:$D$35,2,FALSE)</f>
        <v>855</v>
      </c>
      <c r="C29" s="447" t="str">
        <f>VLOOKUP($D29,'Retail Rates'!$B$7:$D$35,3,FALSE)</f>
        <v>IGS</v>
      </c>
      <c r="D29" s="66" t="s">
        <v>45</v>
      </c>
      <c r="E29" s="66" t="s">
        <v>46</v>
      </c>
      <c r="F29" s="66" t="s">
        <v>28</v>
      </c>
      <c r="G29" s="67">
        <v>202</v>
      </c>
      <c r="H29" s="68">
        <v>88049</v>
      </c>
      <c r="I29" s="68">
        <v>388340</v>
      </c>
      <c r="J29" s="68">
        <v>3433</v>
      </c>
      <c r="K29" s="68">
        <v>16733.669999999998</v>
      </c>
      <c r="L29" s="68">
        <v>71201.72</v>
      </c>
      <c r="M29" s="68">
        <v>0</v>
      </c>
      <c r="N29" s="68">
        <v>260393.33</v>
      </c>
      <c r="O29" s="68"/>
      <c r="P29" s="68"/>
      <c r="Q29" s="69"/>
      <c r="R29" s="68">
        <v>0</v>
      </c>
      <c r="S29" s="69"/>
      <c r="T29" s="69"/>
      <c r="U29" s="68">
        <v>351761.72</v>
      </c>
      <c r="V29" s="69"/>
      <c r="W29" s="69"/>
      <c r="X29" s="69"/>
      <c r="Y29" s="69"/>
      <c r="Z29" s="69"/>
      <c r="AA29" s="68">
        <v>17383.150000000001</v>
      </c>
      <c r="AB29" s="69"/>
      <c r="AC29" s="68">
        <v>369144.87</v>
      </c>
      <c r="AD29" s="68">
        <v>0</v>
      </c>
    </row>
    <row r="30" spans="1:30" ht="12" thickBot="1" x14ac:dyDescent="0.25">
      <c r="A30" s="66" t="s">
        <v>241</v>
      </c>
      <c r="B30" s="447" t="str">
        <f>VLOOKUP($D30,'Retail Rates'!$B$7:$D$35,2,FALSE)</f>
        <v>855</v>
      </c>
      <c r="C30" s="447" t="str">
        <f>VLOOKUP($D30,'Retail Rates'!$B$7:$D$35,3,FALSE)</f>
        <v>IGS</v>
      </c>
      <c r="D30" s="66" t="s">
        <v>45</v>
      </c>
      <c r="E30" s="66" t="s">
        <v>46</v>
      </c>
      <c r="F30" s="66" t="s">
        <v>22</v>
      </c>
      <c r="G30" s="70">
        <v>1</v>
      </c>
      <c r="H30" s="71">
        <v>1000</v>
      </c>
      <c r="I30" s="71">
        <v>2310</v>
      </c>
      <c r="J30" s="71"/>
      <c r="K30" s="71">
        <v>170</v>
      </c>
      <c r="L30" s="71">
        <v>514.13</v>
      </c>
      <c r="M30" s="71">
        <v>0</v>
      </c>
      <c r="N30" s="71">
        <v>1807.33</v>
      </c>
      <c r="O30" s="71"/>
      <c r="P30" s="71"/>
      <c r="Q30" s="72"/>
      <c r="R30" s="71">
        <v>0</v>
      </c>
      <c r="S30" s="72"/>
      <c r="T30" s="72"/>
      <c r="U30" s="71">
        <v>2491.46</v>
      </c>
      <c r="V30" s="72"/>
      <c r="W30" s="72"/>
      <c r="X30" s="72"/>
      <c r="Y30" s="72"/>
      <c r="Z30" s="72"/>
      <c r="AA30" s="71">
        <v>149.49</v>
      </c>
      <c r="AB30" s="72"/>
      <c r="AC30" s="71">
        <v>2640.95</v>
      </c>
      <c r="AD30" s="71">
        <v>0</v>
      </c>
    </row>
    <row r="31" spans="1:30" ht="12" thickBot="1" x14ac:dyDescent="0.25">
      <c r="A31" s="66" t="s">
        <v>241</v>
      </c>
      <c r="B31" s="447" t="str">
        <f>VLOOKUP($D31,'Retail Rates'!$B$7:$D$35,2,FALSE)</f>
        <v>855</v>
      </c>
      <c r="C31" s="447" t="str">
        <f>VLOOKUP($D31,'Retail Rates'!$B$7:$D$35,3,FALSE)</f>
        <v>IGS</v>
      </c>
      <c r="D31" s="66" t="s">
        <v>45</v>
      </c>
      <c r="E31" s="66" t="s">
        <v>46</v>
      </c>
      <c r="F31" s="66" t="s">
        <v>26</v>
      </c>
      <c r="G31" s="67">
        <v>5</v>
      </c>
      <c r="H31" s="68">
        <v>757</v>
      </c>
      <c r="I31" s="68"/>
      <c r="J31" s="68">
        <v>120</v>
      </c>
      <c r="K31" s="68">
        <v>170</v>
      </c>
      <c r="L31" s="68">
        <v>143.99</v>
      </c>
      <c r="M31" s="68">
        <v>0</v>
      </c>
      <c r="N31" s="68">
        <v>411.85</v>
      </c>
      <c r="O31" s="68"/>
      <c r="P31" s="68"/>
      <c r="Q31" s="69"/>
      <c r="R31" s="68">
        <v>0</v>
      </c>
      <c r="S31" s="69"/>
      <c r="T31" s="69"/>
      <c r="U31" s="68">
        <v>845.84</v>
      </c>
      <c r="V31" s="69"/>
      <c r="W31" s="69"/>
      <c r="X31" s="69"/>
      <c r="Y31" s="69"/>
      <c r="Z31" s="69"/>
      <c r="AA31" s="68">
        <v>0</v>
      </c>
      <c r="AB31" s="69"/>
      <c r="AC31" s="68">
        <v>845.84</v>
      </c>
      <c r="AD31" s="68">
        <v>0</v>
      </c>
    </row>
    <row r="32" spans="1:30" ht="12" thickBot="1" x14ac:dyDescent="0.25">
      <c r="A32" s="66" t="s">
        <v>241</v>
      </c>
      <c r="B32" s="447" t="str">
        <f>VLOOKUP($D32,'Retail Rates'!$B$7:$D$35,2,FALSE)</f>
        <v>866</v>
      </c>
      <c r="C32" s="447" t="str">
        <f>VLOOKUP($D32,'Retail Rates'!$B$7:$D$35,3,FALSE)</f>
        <v>AAGS-I</v>
      </c>
      <c r="D32" s="66" t="s">
        <v>29</v>
      </c>
      <c r="E32" s="66" t="s">
        <v>30</v>
      </c>
      <c r="F32" s="66" t="s">
        <v>28</v>
      </c>
      <c r="G32" s="70">
        <v>6</v>
      </c>
      <c r="H32" s="71">
        <v>206371</v>
      </c>
      <c r="I32" s="71"/>
      <c r="J32" s="71">
        <v>1650</v>
      </c>
      <c r="K32" s="71"/>
      <c r="L32" s="71">
        <v>10838.61</v>
      </c>
      <c r="M32" s="71">
        <v>0</v>
      </c>
      <c r="N32" s="71">
        <v>113653.4</v>
      </c>
      <c r="O32" s="71"/>
      <c r="P32" s="71"/>
      <c r="Q32" s="72"/>
      <c r="R32" s="71">
        <v>0</v>
      </c>
      <c r="S32" s="72"/>
      <c r="T32" s="72"/>
      <c r="U32" s="71">
        <v>126142.01</v>
      </c>
      <c r="V32" s="72"/>
      <c r="W32" s="72"/>
      <c r="X32" s="72"/>
      <c r="Y32" s="72"/>
      <c r="Z32" s="72"/>
      <c r="AA32" s="71">
        <v>2082.37</v>
      </c>
      <c r="AB32" s="72"/>
      <c r="AC32" s="71">
        <v>128224.38</v>
      </c>
      <c r="AD32" s="71">
        <v>0</v>
      </c>
    </row>
    <row r="33" spans="1:30" ht="12" thickBot="1" x14ac:dyDescent="0.25">
      <c r="A33" s="66" t="s">
        <v>241</v>
      </c>
      <c r="B33" s="447" t="str">
        <f>VLOOKUP($D33,'Retail Rates'!$B$7:$D$35,2,FALSE)</f>
        <v>866</v>
      </c>
      <c r="C33" s="447" t="str">
        <f>VLOOKUP($D33,'Retail Rates'!$B$7:$D$35,3,FALSE)</f>
        <v>AAGS-I</v>
      </c>
      <c r="D33" s="66" t="s">
        <v>29</v>
      </c>
      <c r="E33" s="66" t="s">
        <v>30</v>
      </c>
      <c r="F33" s="66" t="s">
        <v>26</v>
      </c>
      <c r="G33" s="67">
        <v>1</v>
      </c>
      <c r="H33" s="68">
        <v>11191</v>
      </c>
      <c r="I33" s="68"/>
      <c r="J33" s="68">
        <v>275</v>
      </c>
      <c r="K33" s="68"/>
      <c r="L33" s="68">
        <v>587.75</v>
      </c>
      <c r="M33" s="68">
        <v>0</v>
      </c>
      <c r="N33" s="68">
        <v>6221.96</v>
      </c>
      <c r="O33" s="68"/>
      <c r="P33" s="68"/>
      <c r="Q33" s="69"/>
      <c r="R33" s="68">
        <v>0</v>
      </c>
      <c r="S33" s="69"/>
      <c r="T33" s="69"/>
      <c r="U33" s="68">
        <v>7084.71</v>
      </c>
      <c r="V33" s="69"/>
      <c r="W33" s="69"/>
      <c r="X33" s="69"/>
      <c r="Y33" s="69"/>
      <c r="Z33" s="69"/>
      <c r="AA33" s="68">
        <v>0</v>
      </c>
      <c r="AB33" s="69"/>
      <c r="AC33" s="68">
        <v>7084.71</v>
      </c>
      <c r="AD33" s="68">
        <v>0</v>
      </c>
    </row>
    <row r="34" spans="1:30" ht="12" thickBot="1" x14ac:dyDescent="0.25">
      <c r="A34" s="66" t="s">
        <v>241</v>
      </c>
      <c r="B34" s="447" t="str">
        <f>VLOOKUP($D34,'Retail Rates'!$B$7:$D$35,2,FALSE)</f>
        <v>811</v>
      </c>
      <c r="C34" s="447" t="str">
        <f>VLOOKUP($D34,'Retail Rates'!$B$7:$D$35,3,FALSE)</f>
        <v>RGS</v>
      </c>
      <c r="D34" s="66" t="s">
        <v>52</v>
      </c>
      <c r="E34" s="66" t="s">
        <v>53</v>
      </c>
      <c r="F34" s="66" t="s">
        <v>22</v>
      </c>
      <c r="G34" s="67">
        <v>3</v>
      </c>
      <c r="H34" s="68">
        <v>54</v>
      </c>
      <c r="I34" s="68"/>
      <c r="J34" s="68">
        <v>37.5</v>
      </c>
      <c r="K34" s="68"/>
      <c r="L34" s="68">
        <v>12.09</v>
      </c>
      <c r="M34" s="68">
        <v>0</v>
      </c>
      <c r="N34" s="68">
        <v>29.77</v>
      </c>
      <c r="O34" s="68">
        <v>0.95</v>
      </c>
      <c r="P34" s="68"/>
      <c r="Q34" s="69">
        <v>0.45</v>
      </c>
      <c r="R34" s="68">
        <v>0</v>
      </c>
      <c r="S34" s="69"/>
      <c r="T34" s="69"/>
      <c r="U34" s="68">
        <v>80.31</v>
      </c>
      <c r="V34" s="69"/>
      <c r="W34" s="69"/>
      <c r="X34" s="69"/>
      <c r="Y34" s="69"/>
      <c r="Z34" s="69"/>
      <c r="AA34" s="68">
        <v>4.82</v>
      </c>
      <c r="AB34" s="69"/>
      <c r="AC34" s="68">
        <v>85.58</v>
      </c>
      <c r="AD34" s="68">
        <v>0</v>
      </c>
    </row>
    <row r="35" spans="1:30" ht="12" thickBot="1" x14ac:dyDescent="0.25">
      <c r="A35" s="66" t="s">
        <v>241</v>
      </c>
      <c r="B35" s="447" t="str">
        <f>VLOOKUP($D35,'Retail Rates'!$B$7:$D$35,2,FALSE)</f>
        <v>811</v>
      </c>
      <c r="C35" s="447" t="str">
        <f>VLOOKUP($D35,'Retail Rates'!$B$7:$D$35,3,FALSE)</f>
        <v>RGS</v>
      </c>
      <c r="D35" s="66" t="s">
        <v>52</v>
      </c>
      <c r="E35" s="66" t="s">
        <v>53</v>
      </c>
      <c r="F35" s="66" t="s">
        <v>26</v>
      </c>
      <c r="G35" s="70">
        <v>39</v>
      </c>
      <c r="H35" s="71">
        <v>471</v>
      </c>
      <c r="I35" s="71"/>
      <c r="J35" s="71">
        <v>465.41</v>
      </c>
      <c r="K35" s="71"/>
      <c r="L35" s="71">
        <v>105.47</v>
      </c>
      <c r="M35" s="71">
        <v>0</v>
      </c>
      <c r="N35" s="71">
        <v>256.01</v>
      </c>
      <c r="O35" s="71">
        <v>8.2899999999999991</v>
      </c>
      <c r="P35" s="71"/>
      <c r="Q35" s="72">
        <v>5.85</v>
      </c>
      <c r="R35" s="71">
        <v>0</v>
      </c>
      <c r="S35" s="72"/>
      <c r="T35" s="72"/>
      <c r="U35" s="71">
        <v>835.18</v>
      </c>
      <c r="V35" s="72"/>
      <c r="W35" s="72"/>
      <c r="X35" s="72"/>
      <c r="Y35" s="72"/>
      <c r="Z35" s="72"/>
      <c r="AA35" s="71">
        <v>1.47</v>
      </c>
      <c r="AB35" s="72"/>
      <c r="AC35" s="71">
        <v>842.5</v>
      </c>
      <c r="AD35" s="71">
        <v>0</v>
      </c>
    </row>
    <row r="36" spans="1:30" ht="12" thickBot="1" x14ac:dyDescent="0.25">
      <c r="A36" s="66" t="s">
        <v>241</v>
      </c>
      <c r="B36" s="447" t="str">
        <f>VLOOKUP($D36,'Retail Rates'!$B$7:$D$35,2,FALSE)</f>
        <v>811</v>
      </c>
      <c r="C36" s="447" t="str">
        <f>VLOOKUP($D36,'Retail Rates'!$B$7:$D$35,3,FALSE)</f>
        <v>RGS</v>
      </c>
      <c r="D36" s="66" t="s">
        <v>52</v>
      </c>
      <c r="E36" s="66" t="s">
        <v>53</v>
      </c>
      <c r="F36" s="66" t="s">
        <v>40</v>
      </c>
      <c r="G36" s="67">
        <v>292373</v>
      </c>
      <c r="H36" s="68">
        <v>8621477</v>
      </c>
      <c r="I36" s="68"/>
      <c r="J36" s="68">
        <v>3638779.28</v>
      </c>
      <c r="K36" s="68"/>
      <c r="L36" s="68">
        <v>1930835.97</v>
      </c>
      <c r="M36" s="68">
        <v>2764.38</v>
      </c>
      <c r="N36" s="68">
        <v>4683065.22</v>
      </c>
      <c r="O36" s="68">
        <v>151489.95000000001</v>
      </c>
      <c r="P36" s="68">
        <v>-315.42</v>
      </c>
      <c r="Q36" s="69">
        <v>44106.3</v>
      </c>
      <c r="R36" s="68">
        <v>0</v>
      </c>
      <c r="S36" s="69"/>
      <c r="T36" s="69"/>
      <c r="U36" s="68">
        <v>10403855</v>
      </c>
      <c r="V36" s="69"/>
      <c r="W36" s="69"/>
      <c r="X36" s="69"/>
      <c r="Y36" s="69"/>
      <c r="Z36" s="69"/>
      <c r="AA36" s="68">
        <v>41027.26</v>
      </c>
      <c r="AB36" s="69"/>
      <c r="AC36" s="68">
        <v>10491752.939999999</v>
      </c>
      <c r="AD36" s="68">
        <v>0</v>
      </c>
    </row>
    <row r="37" spans="1:30" ht="12" thickBot="1" x14ac:dyDescent="0.25">
      <c r="A37" s="66" t="s">
        <v>241</v>
      </c>
      <c r="B37" s="447" t="str">
        <f>VLOOKUP($D37,'Retail Rates'!$B$7:$D$35,2,FALSE)</f>
        <v>811</v>
      </c>
      <c r="C37" s="447" t="str">
        <f>VLOOKUP($D37,'Retail Rates'!$B$7:$D$35,3,FALSE)</f>
        <v>RGS</v>
      </c>
      <c r="D37" s="66" t="s">
        <v>55</v>
      </c>
      <c r="E37" s="66" t="s">
        <v>56</v>
      </c>
      <c r="F37" s="66" t="s">
        <v>40</v>
      </c>
      <c r="G37" s="70">
        <v>1</v>
      </c>
      <c r="H37" s="71">
        <v>528</v>
      </c>
      <c r="I37" s="71"/>
      <c r="J37" s="71">
        <v>0.5</v>
      </c>
      <c r="K37" s="71"/>
      <c r="L37" s="71">
        <v>-23.82</v>
      </c>
      <c r="M37" s="71"/>
      <c r="N37" s="71">
        <v>293.66000000000003</v>
      </c>
      <c r="O37" s="71"/>
      <c r="P37" s="71"/>
      <c r="Q37" s="72"/>
      <c r="R37" s="71"/>
      <c r="S37" s="72"/>
      <c r="T37" s="72"/>
      <c r="U37" s="71">
        <v>270.33999999999997</v>
      </c>
      <c r="V37" s="72"/>
      <c r="W37" s="72"/>
      <c r="X37" s="72"/>
      <c r="Y37" s="72"/>
      <c r="Z37" s="72"/>
      <c r="AA37" s="71">
        <v>0</v>
      </c>
      <c r="AB37" s="72"/>
      <c r="AC37" s="71">
        <v>270.33999999999997</v>
      </c>
      <c r="AD37" s="71">
        <v>0</v>
      </c>
    </row>
    <row r="38" spans="1:30" ht="12" thickBot="1" x14ac:dyDescent="0.25">
      <c r="A38" s="66" t="s">
        <v>241</v>
      </c>
      <c r="B38" s="447" t="str">
        <f>VLOOKUP($D38,'Retail Rates'!$B$7:$D$35,2,FALSE)</f>
        <v>840</v>
      </c>
      <c r="C38" s="447" t="str">
        <f>VLOOKUP($D38,'Retail Rates'!$B$7:$D$35,3,FALSE)</f>
        <v>RGS</v>
      </c>
      <c r="D38" s="66" t="s">
        <v>59</v>
      </c>
      <c r="E38" s="66" t="s">
        <v>60</v>
      </c>
      <c r="F38" s="66" t="s">
        <v>26</v>
      </c>
      <c r="G38" s="67">
        <v>1</v>
      </c>
      <c r="H38" s="68">
        <v>166</v>
      </c>
      <c r="I38" s="68"/>
      <c r="J38" s="68">
        <v>12.5</v>
      </c>
      <c r="K38" s="68"/>
      <c r="L38" s="68">
        <v>37.18</v>
      </c>
      <c r="M38" s="68">
        <v>0</v>
      </c>
      <c r="N38" s="68">
        <v>89.74</v>
      </c>
      <c r="O38" s="68">
        <v>2.92</v>
      </c>
      <c r="P38" s="68"/>
      <c r="Q38" s="69"/>
      <c r="R38" s="68">
        <v>0</v>
      </c>
      <c r="S38" s="69"/>
      <c r="T38" s="69"/>
      <c r="U38" s="68">
        <v>142.34</v>
      </c>
      <c r="V38" s="69"/>
      <c r="W38" s="69"/>
      <c r="X38" s="69"/>
      <c r="Y38" s="69"/>
      <c r="Z38" s="69"/>
      <c r="AA38" s="68">
        <v>0</v>
      </c>
      <c r="AB38" s="69"/>
      <c r="AC38" s="68">
        <v>142.34</v>
      </c>
      <c r="AD38" s="68">
        <v>0</v>
      </c>
    </row>
    <row r="39" spans="1:30" ht="12" thickBot="1" x14ac:dyDescent="0.25">
      <c r="A39" s="66" t="s">
        <v>241</v>
      </c>
      <c r="B39" s="447" t="str">
        <f>VLOOKUP($D39,'Retail Rates'!$B$7:$D$35,2,FALSE)</f>
        <v>840</v>
      </c>
      <c r="C39" s="447" t="str">
        <f>VLOOKUP($D39,'Retail Rates'!$B$7:$D$35,3,FALSE)</f>
        <v>RGS</v>
      </c>
      <c r="D39" s="66" t="s">
        <v>59</v>
      </c>
      <c r="E39" s="66" t="s">
        <v>60</v>
      </c>
      <c r="F39" s="66" t="s">
        <v>40</v>
      </c>
      <c r="G39" s="70">
        <v>3</v>
      </c>
      <c r="H39" s="71">
        <v>261</v>
      </c>
      <c r="I39" s="71"/>
      <c r="J39" s="71">
        <v>37.5</v>
      </c>
      <c r="K39" s="71"/>
      <c r="L39" s="71">
        <v>58.45</v>
      </c>
      <c r="M39" s="71">
        <v>0</v>
      </c>
      <c r="N39" s="71">
        <v>143.52000000000001</v>
      </c>
      <c r="O39" s="71">
        <v>4.59</v>
      </c>
      <c r="P39" s="71"/>
      <c r="Q39" s="72"/>
      <c r="R39" s="71">
        <v>0</v>
      </c>
      <c r="S39" s="72"/>
      <c r="T39" s="72"/>
      <c r="U39" s="71">
        <v>244.06</v>
      </c>
      <c r="V39" s="72"/>
      <c r="W39" s="72"/>
      <c r="X39" s="72"/>
      <c r="Y39" s="72"/>
      <c r="Z39" s="72"/>
      <c r="AA39" s="71">
        <v>0.64</v>
      </c>
      <c r="AB39" s="72"/>
      <c r="AC39" s="71">
        <v>244.7</v>
      </c>
      <c r="AD39" s="71">
        <v>0</v>
      </c>
    </row>
    <row r="40" spans="1:30" ht="12" thickBot="1" x14ac:dyDescent="0.25">
      <c r="A40" s="66" t="s">
        <v>241</v>
      </c>
      <c r="B40" s="447" t="str">
        <f>VLOOKUP($D40,'Retail Rates'!$B$7:$D$35,2,FALSE)</f>
        <v>830</v>
      </c>
      <c r="C40" s="447" t="str">
        <f>VLOOKUP($D40,'Retail Rates'!$B$7:$D$35,3,FALSE)</f>
        <v>RGS</v>
      </c>
      <c r="D40" s="66" t="s">
        <v>49</v>
      </c>
      <c r="E40" s="66" t="s">
        <v>50</v>
      </c>
      <c r="F40" s="66" t="s">
        <v>40</v>
      </c>
      <c r="G40" s="67">
        <v>1</v>
      </c>
      <c r="H40" s="68">
        <v>32</v>
      </c>
      <c r="I40" s="68"/>
      <c r="J40" s="68">
        <v>25</v>
      </c>
      <c r="K40" s="68"/>
      <c r="L40" s="68">
        <v>7.17</v>
      </c>
      <c r="M40" s="68">
        <v>0</v>
      </c>
      <c r="N40" s="68">
        <v>17.62</v>
      </c>
      <c r="O40" s="68">
        <v>0.56000000000000005</v>
      </c>
      <c r="P40" s="68"/>
      <c r="Q40" s="69"/>
      <c r="R40" s="68">
        <v>0</v>
      </c>
      <c r="S40" s="69"/>
      <c r="T40" s="69"/>
      <c r="U40" s="68">
        <v>50.35</v>
      </c>
      <c r="V40" s="69"/>
      <c r="W40" s="69"/>
      <c r="X40" s="69"/>
      <c r="Y40" s="69"/>
      <c r="Z40" s="69"/>
      <c r="AA40" s="68">
        <v>0</v>
      </c>
      <c r="AB40" s="69"/>
      <c r="AC40" s="68">
        <v>50.35</v>
      </c>
      <c r="AD40" s="68">
        <v>0</v>
      </c>
    </row>
    <row r="41" spans="1:30" ht="12" thickBot="1" x14ac:dyDescent="0.25">
      <c r="A41" s="66" t="s">
        <v>241</v>
      </c>
      <c r="B41" s="447" t="str">
        <f>VLOOKUP($D41,'Retail Rates'!$B$7:$D$35,2,FALSE)</f>
        <v>860</v>
      </c>
      <c r="C41" s="447" t="str">
        <f>VLOOKUP($D41,'Retail Rates'!$B$7:$D$35,3,FALSE)</f>
        <v>CGS</v>
      </c>
      <c r="D41" s="66" t="s">
        <v>34</v>
      </c>
      <c r="E41" s="66" t="s">
        <v>35</v>
      </c>
      <c r="F41" s="66" t="s">
        <v>22</v>
      </c>
      <c r="G41" s="70">
        <v>1</v>
      </c>
      <c r="H41" s="71">
        <v>304</v>
      </c>
      <c r="I41" s="71"/>
      <c r="J41" s="71">
        <v>480</v>
      </c>
      <c r="K41" s="71"/>
      <c r="L41" s="71">
        <v>56.91</v>
      </c>
      <c r="M41" s="71">
        <v>0</v>
      </c>
      <c r="N41" s="71">
        <v>167.97</v>
      </c>
      <c r="O41" s="71">
        <v>0.27</v>
      </c>
      <c r="P41" s="71"/>
      <c r="Q41" s="72"/>
      <c r="R41" s="71">
        <v>0</v>
      </c>
      <c r="S41" s="72"/>
      <c r="T41" s="72"/>
      <c r="U41" s="71">
        <v>705.15</v>
      </c>
      <c r="V41" s="72"/>
      <c r="W41" s="72"/>
      <c r="X41" s="72"/>
      <c r="Y41" s="72"/>
      <c r="Z41" s="72"/>
      <c r="AA41" s="71">
        <v>0</v>
      </c>
      <c r="AB41" s="72"/>
      <c r="AC41" s="71">
        <v>705.15</v>
      </c>
      <c r="AD41" s="71">
        <v>0</v>
      </c>
    </row>
    <row r="42" spans="1:30" ht="12" thickBot="1" x14ac:dyDescent="0.25">
      <c r="A42" s="66" t="s">
        <v>241</v>
      </c>
      <c r="B42" s="447" t="str">
        <f>VLOOKUP($D42,'Retail Rates'!$B$7:$D$35,2,FALSE)</f>
        <v>860</v>
      </c>
      <c r="C42" s="447" t="str">
        <f>VLOOKUP($D42,'Retail Rates'!$B$7:$D$35,3,FALSE)</f>
        <v>CGS</v>
      </c>
      <c r="D42" s="66" t="s">
        <v>34</v>
      </c>
      <c r="E42" s="66" t="s">
        <v>35</v>
      </c>
      <c r="F42" s="66" t="s">
        <v>26</v>
      </c>
      <c r="G42" s="67">
        <v>2</v>
      </c>
      <c r="H42" s="68">
        <v>54</v>
      </c>
      <c r="I42" s="68"/>
      <c r="J42" s="68">
        <v>90</v>
      </c>
      <c r="K42" s="68"/>
      <c r="L42" s="68">
        <v>10.11</v>
      </c>
      <c r="M42" s="68">
        <v>0</v>
      </c>
      <c r="N42" s="68">
        <v>29.66</v>
      </c>
      <c r="O42" s="68">
        <v>0.05</v>
      </c>
      <c r="P42" s="68"/>
      <c r="Q42" s="69"/>
      <c r="R42" s="68">
        <v>0</v>
      </c>
      <c r="S42" s="69"/>
      <c r="T42" s="69"/>
      <c r="U42" s="68">
        <v>129.82</v>
      </c>
      <c r="V42" s="69"/>
      <c r="W42" s="69"/>
      <c r="X42" s="69"/>
      <c r="Y42" s="69"/>
      <c r="Z42" s="69"/>
      <c r="AA42" s="68">
        <v>0</v>
      </c>
      <c r="AB42" s="69"/>
      <c r="AC42" s="68">
        <v>129.82</v>
      </c>
      <c r="AD42" s="68">
        <v>0</v>
      </c>
    </row>
    <row r="43" spans="1:30" ht="12" thickBot="1" x14ac:dyDescent="0.25">
      <c r="A43" s="66" t="s">
        <v>241</v>
      </c>
      <c r="B43" s="447" t="str">
        <f>VLOOKUP($D43,'Retail Rates'!$B$7:$D$35,2,FALSE)</f>
        <v>861</v>
      </c>
      <c r="C43" s="447" t="str">
        <f>VLOOKUP($D43,'Retail Rates'!$B$7:$D$35,3,FALSE)</f>
        <v>CGS</v>
      </c>
      <c r="D43" s="66" t="s">
        <v>41</v>
      </c>
      <c r="E43" s="66" t="s">
        <v>42</v>
      </c>
      <c r="F43" s="66" t="s">
        <v>22</v>
      </c>
      <c r="G43" s="70">
        <v>607</v>
      </c>
      <c r="H43" s="71">
        <v>610</v>
      </c>
      <c r="I43" s="71"/>
      <c r="J43" s="71">
        <v>18510</v>
      </c>
      <c r="K43" s="71"/>
      <c r="L43" s="71">
        <v>115.81</v>
      </c>
      <c r="M43" s="71">
        <v>1.84</v>
      </c>
      <c r="N43" s="71">
        <v>331.47</v>
      </c>
      <c r="O43" s="71">
        <v>0</v>
      </c>
      <c r="P43" s="71"/>
      <c r="Q43" s="72"/>
      <c r="R43" s="71">
        <v>0</v>
      </c>
      <c r="S43" s="72"/>
      <c r="T43" s="72"/>
      <c r="U43" s="71">
        <v>18957.28</v>
      </c>
      <c r="V43" s="72"/>
      <c r="W43" s="72"/>
      <c r="X43" s="72"/>
      <c r="Y43" s="72"/>
      <c r="Z43" s="72"/>
      <c r="AA43" s="71">
        <v>1201.29</v>
      </c>
      <c r="AB43" s="72"/>
      <c r="AC43" s="71">
        <v>20160.41</v>
      </c>
      <c r="AD43" s="71">
        <v>0</v>
      </c>
    </row>
    <row r="44" spans="1:30" ht="12" thickBot="1" x14ac:dyDescent="0.25">
      <c r="A44" s="66" t="s">
        <v>246</v>
      </c>
      <c r="B44" s="447" t="str">
        <f>VLOOKUP($D44,'Retail Rates'!$B$7:$D$35,2,FALSE)</f>
        <v>851</v>
      </c>
      <c r="C44" s="447" t="str">
        <f>VLOOKUP($D44,'Retail Rates'!$B$7:$D$35,3,FALSE)</f>
        <v>CGS</v>
      </c>
      <c r="D44" s="66" t="s">
        <v>37</v>
      </c>
      <c r="E44" s="66" t="s">
        <v>38</v>
      </c>
      <c r="F44" s="66" t="s">
        <v>22</v>
      </c>
      <c r="G44" s="67">
        <v>23636</v>
      </c>
      <c r="H44" s="68">
        <v>2056035</v>
      </c>
      <c r="I44" s="68">
        <v>979342</v>
      </c>
      <c r="J44" s="68">
        <v>693907.16</v>
      </c>
      <c r="K44" s="68">
        <v>131449.68</v>
      </c>
      <c r="L44" s="68">
        <v>519339.95</v>
      </c>
      <c r="M44" s="68">
        <v>959.43</v>
      </c>
      <c r="N44" s="68">
        <v>1704071.4</v>
      </c>
      <c r="O44" s="68">
        <v>2907.03</v>
      </c>
      <c r="P44" s="68">
        <v>15.23</v>
      </c>
      <c r="Q44" s="69"/>
      <c r="R44" s="68">
        <v>0</v>
      </c>
      <c r="S44" s="69"/>
      <c r="T44" s="69"/>
      <c r="U44" s="68">
        <v>3051690.45</v>
      </c>
      <c r="V44" s="69"/>
      <c r="W44" s="69"/>
      <c r="X44" s="69"/>
      <c r="Y44" s="69"/>
      <c r="Z44" s="69"/>
      <c r="AA44" s="68">
        <v>169563.89</v>
      </c>
      <c r="AB44" s="69"/>
      <c r="AC44" s="68">
        <v>3222213.77</v>
      </c>
      <c r="AD44" s="68">
        <v>0</v>
      </c>
    </row>
    <row r="45" spans="1:30" ht="12" thickBot="1" x14ac:dyDescent="0.25">
      <c r="A45" s="66" t="s">
        <v>246</v>
      </c>
      <c r="B45" s="447" t="str">
        <f>VLOOKUP($D45,'Retail Rates'!$B$7:$D$35,2,FALSE)</f>
        <v>851</v>
      </c>
      <c r="C45" s="447" t="str">
        <f>VLOOKUP($D45,'Retail Rates'!$B$7:$D$35,3,FALSE)</f>
        <v>CGS</v>
      </c>
      <c r="D45" s="66" t="s">
        <v>37</v>
      </c>
      <c r="E45" s="66" t="s">
        <v>38</v>
      </c>
      <c r="F45" s="66" t="s">
        <v>26</v>
      </c>
      <c r="G45" s="70">
        <v>1175</v>
      </c>
      <c r="H45" s="71">
        <v>206840</v>
      </c>
      <c r="I45" s="71">
        <v>154808</v>
      </c>
      <c r="J45" s="71">
        <v>24995.67</v>
      </c>
      <c r="K45" s="71">
        <v>48676.67</v>
      </c>
      <c r="L45" s="71">
        <v>59967.41</v>
      </c>
      <c r="M45" s="71">
        <v>121.1</v>
      </c>
      <c r="N45" s="71">
        <v>202737.16</v>
      </c>
      <c r="O45" s="71">
        <v>345.46</v>
      </c>
      <c r="P45" s="71"/>
      <c r="Q45" s="72"/>
      <c r="R45" s="71">
        <v>0</v>
      </c>
      <c r="S45" s="72"/>
      <c r="T45" s="72"/>
      <c r="U45" s="71">
        <v>336722.37</v>
      </c>
      <c r="V45" s="72"/>
      <c r="W45" s="72"/>
      <c r="X45" s="72"/>
      <c r="Y45" s="72"/>
      <c r="Z45" s="72"/>
      <c r="AA45" s="71">
        <v>2038.12</v>
      </c>
      <c r="AB45" s="72"/>
      <c r="AC45" s="71">
        <v>338881.59</v>
      </c>
      <c r="AD45" s="71">
        <v>0</v>
      </c>
    </row>
    <row r="46" spans="1:30" ht="12" thickBot="1" x14ac:dyDescent="0.25">
      <c r="A46" s="66" t="s">
        <v>246</v>
      </c>
      <c r="B46" s="447" t="str">
        <f>VLOOKUP($D46,'Retail Rates'!$B$7:$D$35,2,FALSE)</f>
        <v>851</v>
      </c>
      <c r="C46" s="447" t="str">
        <f>VLOOKUP($D46,'Retail Rates'!$B$7:$D$35,3,FALSE)</f>
        <v>CGS</v>
      </c>
      <c r="D46" s="66" t="s">
        <v>37</v>
      </c>
      <c r="E46" s="66" t="s">
        <v>38</v>
      </c>
      <c r="F46" s="66" t="s">
        <v>40</v>
      </c>
      <c r="G46" s="67">
        <v>11</v>
      </c>
      <c r="H46" s="68">
        <v>1120</v>
      </c>
      <c r="I46" s="68">
        <v>312</v>
      </c>
      <c r="J46" s="68">
        <v>300</v>
      </c>
      <c r="K46" s="68">
        <v>170</v>
      </c>
      <c r="L46" s="68">
        <v>252.5</v>
      </c>
      <c r="M46" s="68">
        <v>0</v>
      </c>
      <c r="N46" s="68">
        <v>803.98</v>
      </c>
      <c r="O46" s="68">
        <v>1.37</v>
      </c>
      <c r="P46" s="68"/>
      <c r="Q46" s="69"/>
      <c r="R46" s="68">
        <v>0</v>
      </c>
      <c r="S46" s="69"/>
      <c r="T46" s="69"/>
      <c r="U46" s="68">
        <v>1527.85</v>
      </c>
      <c r="V46" s="69"/>
      <c r="W46" s="69"/>
      <c r="X46" s="69"/>
      <c r="Y46" s="69"/>
      <c r="Z46" s="69"/>
      <c r="AA46" s="68">
        <v>4.12</v>
      </c>
      <c r="AB46" s="69"/>
      <c r="AC46" s="68">
        <v>1531.97</v>
      </c>
      <c r="AD46" s="68">
        <v>0</v>
      </c>
    </row>
    <row r="47" spans="1:30" ht="12" thickBot="1" x14ac:dyDescent="0.25">
      <c r="A47" s="66" t="s">
        <v>246</v>
      </c>
      <c r="B47" s="447" t="str">
        <f>VLOOKUP($D47,'Retail Rates'!$B$7:$D$35,2,FALSE)</f>
        <v>865</v>
      </c>
      <c r="C47" s="447" t="str">
        <f>VLOOKUP($D47,'Retail Rates'!$B$7:$D$35,3,FALSE)</f>
        <v>AAGS-C</v>
      </c>
      <c r="D47" s="66" t="s">
        <v>23</v>
      </c>
      <c r="E47" s="66" t="s">
        <v>24</v>
      </c>
      <c r="F47" s="66" t="s">
        <v>22</v>
      </c>
      <c r="G47" s="70">
        <v>4</v>
      </c>
      <c r="H47" s="71">
        <v>29422</v>
      </c>
      <c r="I47" s="71"/>
      <c r="J47" s="71">
        <v>1100</v>
      </c>
      <c r="K47" s="71"/>
      <c r="L47" s="71">
        <v>1545.25</v>
      </c>
      <c r="M47" s="71">
        <v>0</v>
      </c>
      <c r="N47" s="71">
        <v>16518.39</v>
      </c>
      <c r="O47" s="71">
        <v>28.24</v>
      </c>
      <c r="P47" s="71"/>
      <c r="Q47" s="72"/>
      <c r="R47" s="71">
        <v>0</v>
      </c>
      <c r="S47" s="72"/>
      <c r="T47" s="72"/>
      <c r="U47" s="71">
        <v>19191.88</v>
      </c>
      <c r="V47" s="72"/>
      <c r="W47" s="72"/>
      <c r="X47" s="72"/>
      <c r="Y47" s="72"/>
      <c r="Z47" s="72"/>
      <c r="AA47" s="71">
        <v>752.56</v>
      </c>
      <c r="AB47" s="72"/>
      <c r="AC47" s="71">
        <v>19944.439999999999</v>
      </c>
      <c r="AD47" s="71">
        <v>0</v>
      </c>
    </row>
    <row r="48" spans="1:30" ht="12" thickBot="1" x14ac:dyDescent="0.25">
      <c r="A48" s="66" t="s">
        <v>246</v>
      </c>
      <c r="B48" s="447" t="str">
        <f>VLOOKUP($D48,'Retail Rates'!$B$7:$D$35,2,FALSE)</f>
        <v>865</v>
      </c>
      <c r="C48" s="447" t="str">
        <f>VLOOKUP($D48,'Retail Rates'!$B$7:$D$35,3,FALSE)</f>
        <v>AAGS-C</v>
      </c>
      <c r="D48" s="66" t="s">
        <v>23</v>
      </c>
      <c r="E48" s="66" t="s">
        <v>24</v>
      </c>
      <c r="F48" s="66" t="s">
        <v>26</v>
      </c>
      <c r="G48" s="67">
        <v>1</v>
      </c>
      <c r="H48" s="68">
        <v>115085</v>
      </c>
      <c r="I48" s="68"/>
      <c r="J48" s="68">
        <v>550</v>
      </c>
      <c r="K48" s="68"/>
      <c r="L48" s="68">
        <v>6044.26</v>
      </c>
      <c r="M48" s="68">
        <v>0</v>
      </c>
      <c r="N48" s="68">
        <v>64286.48</v>
      </c>
      <c r="O48" s="68">
        <v>106.39</v>
      </c>
      <c r="P48" s="68"/>
      <c r="Q48" s="69"/>
      <c r="R48" s="68">
        <v>0</v>
      </c>
      <c r="S48" s="69"/>
      <c r="T48" s="69"/>
      <c r="U48" s="68">
        <v>70987.13</v>
      </c>
      <c r="V48" s="69"/>
      <c r="W48" s="69"/>
      <c r="X48" s="69"/>
      <c r="Y48" s="69"/>
      <c r="Z48" s="69"/>
      <c r="AA48" s="68">
        <v>0</v>
      </c>
      <c r="AB48" s="69"/>
      <c r="AC48" s="68">
        <v>70987.13</v>
      </c>
      <c r="AD48" s="68">
        <v>0</v>
      </c>
    </row>
    <row r="49" spans="1:30" ht="12" thickBot="1" x14ac:dyDescent="0.25">
      <c r="A49" s="66" t="s">
        <v>246</v>
      </c>
      <c r="B49" s="447" t="str">
        <f>VLOOKUP($D49,'Retail Rates'!$B$7:$D$35,2,FALSE)</f>
        <v>855</v>
      </c>
      <c r="C49" s="447" t="str">
        <f>VLOOKUP($D49,'Retail Rates'!$B$7:$D$35,3,FALSE)</f>
        <v>IGS</v>
      </c>
      <c r="D49" s="66" t="s">
        <v>45</v>
      </c>
      <c r="E49" s="66" t="s">
        <v>46</v>
      </c>
      <c r="F49" s="66" t="s">
        <v>28</v>
      </c>
      <c r="G49" s="70">
        <v>196</v>
      </c>
      <c r="H49" s="71">
        <v>71488</v>
      </c>
      <c r="I49" s="71">
        <v>412708</v>
      </c>
      <c r="J49" s="71">
        <v>3150</v>
      </c>
      <c r="K49" s="71">
        <v>16830</v>
      </c>
      <c r="L49" s="71">
        <v>71468.34</v>
      </c>
      <c r="M49" s="71">
        <v>0</v>
      </c>
      <c r="N49" s="71">
        <v>271679.01</v>
      </c>
      <c r="O49" s="71"/>
      <c r="P49" s="71"/>
      <c r="Q49" s="72"/>
      <c r="R49" s="71">
        <v>0</v>
      </c>
      <c r="S49" s="72"/>
      <c r="T49" s="72"/>
      <c r="U49" s="71">
        <v>363127.35</v>
      </c>
      <c r="V49" s="72"/>
      <c r="W49" s="72"/>
      <c r="X49" s="72"/>
      <c r="Y49" s="72"/>
      <c r="Z49" s="72"/>
      <c r="AA49" s="71">
        <v>15614.58</v>
      </c>
      <c r="AB49" s="72"/>
      <c r="AC49" s="71">
        <v>378741.93</v>
      </c>
      <c r="AD49" s="71">
        <v>0</v>
      </c>
    </row>
    <row r="50" spans="1:30" ht="12" thickBot="1" x14ac:dyDescent="0.25">
      <c r="A50" s="66" t="s">
        <v>246</v>
      </c>
      <c r="B50" s="447" t="str">
        <f>VLOOKUP($D50,'Retail Rates'!$B$7:$D$35,2,FALSE)</f>
        <v>855</v>
      </c>
      <c r="C50" s="447" t="str">
        <f>VLOOKUP($D50,'Retail Rates'!$B$7:$D$35,3,FALSE)</f>
        <v>IGS</v>
      </c>
      <c r="D50" s="66" t="s">
        <v>45</v>
      </c>
      <c r="E50" s="66" t="s">
        <v>46</v>
      </c>
      <c r="F50" s="66" t="s">
        <v>22</v>
      </c>
      <c r="G50" s="67">
        <v>1</v>
      </c>
      <c r="H50" s="68">
        <v>1000</v>
      </c>
      <c r="I50" s="68">
        <v>2246</v>
      </c>
      <c r="J50" s="68"/>
      <c r="K50" s="68">
        <v>170</v>
      </c>
      <c r="L50" s="68">
        <v>505.15</v>
      </c>
      <c r="M50" s="68">
        <v>0</v>
      </c>
      <c r="N50" s="68">
        <v>1822.4</v>
      </c>
      <c r="O50" s="68"/>
      <c r="P50" s="68"/>
      <c r="Q50" s="69"/>
      <c r="R50" s="68">
        <v>0</v>
      </c>
      <c r="S50" s="69"/>
      <c r="T50" s="69"/>
      <c r="U50" s="68">
        <v>2497.5500000000002</v>
      </c>
      <c r="V50" s="69"/>
      <c r="W50" s="69"/>
      <c r="X50" s="69"/>
      <c r="Y50" s="69"/>
      <c r="Z50" s="69"/>
      <c r="AA50" s="68">
        <v>149.85</v>
      </c>
      <c r="AB50" s="69"/>
      <c r="AC50" s="68">
        <v>2647.4</v>
      </c>
      <c r="AD50" s="68">
        <v>0</v>
      </c>
    </row>
    <row r="51" spans="1:30" ht="12" thickBot="1" x14ac:dyDescent="0.25">
      <c r="A51" s="66" t="s">
        <v>246</v>
      </c>
      <c r="B51" s="447" t="str">
        <f>VLOOKUP($D51,'Retail Rates'!$B$7:$D$35,2,FALSE)</f>
        <v>855</v>
      </c>
      <c r="C51" s="447" t="str">
        <f>VLOOKUP($D51,'Retail Rates'!$B$7:$D$35,3,FALSE)</f>
        <v>IGS</v>
      </c>
      <c r="D51" s="66" t="s">
        <v>45</v>
      </c>
      <c r="E51" s="66" t="s">
        <v>46</v>
      </c>
      <c r="F51" s="66" t="s">
        <v>26</v>
      </c>
      <c r="G51" s="70">
        <v>6</v>
      </c>
      <c r="H51" s="71">
        <v>1120</v>
      </c>
      <c r="I51" s="71">
        <v>38986</v>
      </c>
      <c r="J51" s="71">
        <v>120</v>
      </c>
      <c r="K51" s="71">
        <v>340</v>
      </c>
      <c r="L51" s="71">
        <v>5679.67</v>
      </c>
      <c r="M51" s="71">
        <v>0</v>
      </c>
      <c r="N51" s="71">
        <v>22372.67</v>
      </c>
      <c r="O51" s="71"/>
      <c r="P51" s="71"/>
      <c r="Q51" s="72"/>
      <c r="R51" s="71">
        <v>0</v>
      </c>
      <c r="S51" s="72"/>
      <c r="T51" s="72"/>
      <c r="U51" s="71">
        <v>28512.34</v>
      </c>
      <c r="V51" s="72"/>
      <c r="W51" s="72"/>
      <c r="X51" s="72"/>
      <c r="Y51" s="72"/>
      <c r="Z51" s="72"/>
      <c r="AA51" s="71">
        <v>0</v>
      </c>
      <c r="AB51" s="72"/>
      <c r="AC51" s="71">
        <v>28512.34</v>
      </c>
      <c r="AD51" s="71">
        <v>0</v>
      </c>
    </row>
    <row r="52" spans="1:30" ht="12" thickBot="1" x14ac:dyDescent="0.25">
      <c r="A52" s="66" t="s">
        <v>246</v>
      </c>
      <c r="B52" s="447" t="str">
        <f>VLOOKUP($D52,'Retail Rates'!$B$7:$D$35,2,FALSE)</f>
        <v>866</v>
      </c>
      <c r="C52" s="447" t="str">
        <f>VLOOKUP($D52,'Retail Rates'!$B$7:$D$35,3,FALSE)</f>
        <v>AAGS-I</v>
      </c>
      <c r="D52" s="66" t="s">
        <v>29</v>
      </c>
      <c r="E52" s="66" t="s">
        <v>30</v>
      </c>
      <c r="F52" s="66" t="s">
        <v>28</v>
      </c>
      <c r="G52" s="67">
        <v>8</v>
      </c>
      <c r="H52" s="68">
        <v>112215</v>
      </c>
      <c r="I52" s="68"/>
      <c r="J52" s="68">
        <v>2475</v>
      </c>
      <c r="K52" s="68"/>
      <c r="L52" s="68">
        <v>5893.54</v>
      </c>
      <c r="M52" s="68">
        <v>0</v>
      </c>
      <c r="N52" s="68">
        <v>62935.55</v>
      </c>
      <c r="O52" s="68"/>
      <c r="P52" s="68"/>
      <c r="Q52" s="69"/>
      <c r="R52" s="68">
        <v>0</v>
      </c>
      <c r="S52" s="69"/>
      <c r="T52" s="69"/>
      <c r="U52" s="68">
        <v>71304.09</v>
      </c>
      <c r="V52" s="69"/>
      <c r="W52" s="69"/>
      <c r="X52" s="69"/>
      <c r="Y52" s="69"/>
      <c r="Z52" s="69"/>
      <c r="AA52" s="68">
        <v>2209.9699999999998</v>
      </c>
      <c r="AB52" s="69"/>
      <c r="AC52" s="68">
        <v>73514.06</v>
      </c>
      <c r="AD52" s="68">
        <v>0</v>
      </c>
    </row>
    <row r="53" spans="1:30" ht="12" thickBot="1" x14ac:dyDescent="0.25">
      <c r="A53" s="66" t="s">
        <v>246</v>
      </c>
      <c r="B53" s="447" t="str">
        <f>VLOOKUP($D53,'Retail Rates'!$B$7:$D$35,2,FALSE)</f>
        <v>866</v>
      </c>
      <c r="C53" s="447" t="str">
        <f>VLOOKUP($D53,'Retail Rates'!$B$7:$D$35,3,FALSE)</f>
        <v>AAGS-I</v>
      </c>
      <c r="D53" s="66" t="s">
        <v>29</v>
      </c>
      <c r="E53" s="66" t="s">
        <v>30</v>
      </c>
      <c r="F53" s="66" t="s">
        <v>26</v>
      </c>
      <c r="G53" s="70">
        <v>2</v>
      </c>
      <c r="H53" s="71">
        <v>58746</v>
      </c>
      <c r="I53" s="71"/>
      <c r="J53" s="71">
        <v>550</v>
      </c>
      <c r="K53" s="71"/>
      <c r="L53" s="71">
        <v>3085.34</v>
      </c>
      <c r="M53" s="71">
        <v>0</v>
      </c>
      <c r="N53" s="71">
        <v>32722.92</v>
      </c>
      <c r="O53" s="71"/>
      <c r="P53" s="71"/>
      <c r="Q53" s="72"/>
      <c r="R53" s="71">
        <v>0</v>
      </c>
      <c r="S53" s="72"/>
      <c r="T53" s="72"/>
      <c r="U53" s="71">
        <v>36358.26</v>
      </c>
      <c r="V53" s="72"/>
      <c r="W53" s="72"/>
      <c r="X53" s="72"/>
      <c r="Y53" s="72"/>
      <c r="Z53" s="72"/>
      <c r="AA53" s="71">
        <v>0</v>
      </c>
      <c r="AB53" s="72"/>
      <c r="AC53" s="71">
        <v>36358.26</v>
      </c>
      <c r="AD53" s="71">
        <v>0</v>
      </c>
    </row>
    <row r="54" spans="1:30" ht="12" thickBot="1" x14ac:dyDescent="0.25">
      <c r="A54" s="66" t="s">
        <v>246</v>
      </c>
      <c r="B54" s="447" t="str">
        <f>VLOOKUP($D54,'Retail Rates'!$B$7:$D$35,2,FALSE)</f>
        <v>811</v>
      </c>
      <c r="C54" s="447" t="str">
        <f>VLOOKUP($D54,'Retail Rates'!$B$7:$D$35,3,FALSE)</f>
        <v>RGS</v>
      </c>
      <c r="D54" s="66" t="s">
        <v>52</v>
      </c>
      <c r="E54" s="66" t="s">
        <v>53</v>
      </c>
      <c r="F54" s="66" t="s">
        <v>22</v>
      </c>
      <c r="G54" s="70">
        <v>3</v>
      </c>
      <c r="H54" s="71">
        <v>39</v>
      </c>
      <c r="I54" s="71"/>
      <c r="J54" s="71">
        <v>37.5</v>
      </c>
      <c r="K54" s="71"/>
      <c r="L54" s="71">
        <v>8.73</v>
      </c>
      <c r="M54" s="71">
        <v>0</v>
      </c>
      <c r="N54" s="71">
        <v>21.89</v>
      </c>
      <c r="O54" s="71">
        <v>0.73</v>
      </c>
      <c r="P54" s="71"/>
      <c r="Q54" s="72">
        <v>0.45</v>
      </c>
      <c r="R54" s="71">
        <v>0</v>
      </c>
      <c r="S54" s="72"/>
      <c r="T54" s="72"/>
      <c r="U54" s="71">
        <v>68.849999999999994</v>
      </c>
      <c r="V54" s="72"/>
      <c r="W54" s="72"/>
      <c r="X54" s="72"/>
      <c r="Y54" s="72"/>
      <c r="Z54" s="72"/>
      <c r="AA54" s="71">
        <v>3.37</v>
      </c>
      <c r="AB54" s="72"/>
      <c r="AC54" s="71">
        <v>72.67</v>
      </c>
      <c r="AD54" s="71">
        <v>0</v>
      </c>
    </row>
    <row r="55" spans="1:30" ht="12" thickBot="1" x14ac:dyDescent="0.25">
      <c r="A55" s="66" t="s">
        <v>246</v>
      </c>
      <c r="B55" s="447" t="str">
        <f>VLOOKUP($D55,'Retail Rates'!$B$7:$D$35,2,FALSE)</f>
        <v>811</v>
      </c>
      <c r="C55" s="447" t="str">
        <f>VLOOKUP($D55,'Retail Rates'!$B$7:$D$35,3,FALSE)</f>
        <v>RGS</v>
      </c>
      <c r="D55" s="66" t="s">
        <v>52</v>
      </c>
      <c r="E55" s="66" t="s">
        <v>53</v>
      </c>
      <c r="F55" s="66" t="s">
        <v>26</v>
      </c>
      <c r="G55" s="67">
        <v>40</v>
      </c>
      <c r="H55" s="68">
        <v>261</v>
      </c>
      <c r="I55" s="68"/>
      <c r="J55" s="68">
        <v>458.33</v>
      </c>
      <c r="K55" s="68"/>
      <c r="L55" s="68">
        <v>58.46</v>
      </c>
      <c r="M55" s="68">
        <v>0</v>
      </c>
      <c r="N55" s="68">
        <v>146.52000000000001</v>
      </c>
      <c r="O55" s="68">
        <v>4.93</v>
      </c>
      <c r="P55" s="68">
        <v>7.06</v>
      </c>
      <c r="Q55" s="69">
        <v>5.85</v>
      </c>
      <c r="R55" s="68">
        <v>0</v>
      </c>
      <c r="S55" s="69"/>
      <c r="T55" s="69"/>
      <c r="U55" s="68">
        <v>675.3</v>
      </c>
      <c r="V55" s="69"/>
      <c r="W55" s="69"/>
      <c r="X55" s="69"/>
      <c r="Y55" s="69"/>
      <c r="Z55" s="69"/>
      <c r="AA55" s="68">
        <v>0.17</v>
      </c>
      <c r="AB55" s="69"/>
      <c r="AC55" s="68">
        <v>681.32</v>
      </c>
      <c r="AD55" s="68">
        <v>0</v>
      </c>
    </row>
    <row r="56" spans="1:30" ht="12" thickBot="1" x14ac:dyDescent="0.25">
      <c r="A56" s="66" t="s">
        <v>246</v>
      </c>
      <c r="B56" s="447" t="str">
        <f>VLOOKUP($D56,'Retail Rates'!$B$7:$D$35,2,FALSE)</f>
        <v>811</v>
      </c>
      <c r="C56" s="447" t="str">
        <f>VLOOKUP($D56,'Retail Rates'!$B$7:$D$35,3,FALSE)</f>
        <v>RGS</v>
      </c>
      <c r="D56" s="66" t="s">
        <v>52</v>
      </c>
      <c r="E56" s="66" t="s">
        <v>53</v>
      </c>
      <c r="F56" s="66" t="s">
        <v>40</v>
      </c>
      <c r="G56" s="70">
        <v>292006</v>
      </c>
      <c r="H56" s="71">
        <v>5432321</v>
      </c>
      <c r="I56" s="71"/>
      <c r="J56" s="71">
        <v>3639194.23</v>
      </c>
      <c r="K56" s="71"/>
      <c r="L56" s="71">
        <v>1216693.1000000001</v>
      </c>
      <c r="M56" s="71">
        <v>2163.19</v>
      </c>
      <c r="N56" s="71">
        <v>3050483.59</v>
      </c>
      <c r="O56" s="71">
        <v>102606.99</v>
      </c>
      <c r="P56" s="71">
        <v>-1035.31</v>
      </c>
      <c r="Q56" s="72">
        <v>44180.25</v>
      </c>
      <c r="R56" s="71">
        <v>0</v>
      </c>
      <c r="S56" s="72"/>
      <c r="T56" s="72"/>
      <c r="U56" s="71">
        <v>8007942.5999999996</v>
      </c>
      <c r="V56" s="72"/>
      <c r="W56" s="72"/>
      <c r="X56" s="72"/>
      <c r="Y56" s="72"/>
      <c r="Z56" s="72"/>
      <c r="AA56" s="71">
        <v>31636.79</v>
      </c>
      <c r="AB56" s="72"/>
      <c r="AC56" s="71">
        <v>8085922.8300000001</v>
      </c>
      <c r="AD56" s="71">
        <v>0</v>
      </c>
    </row>
    <row r="57" spans="1:30" ht="12" thickBot="1" x14ac:dyDescent="0.25">
      <c r="A57" s="66" t="s">
        <v>246</v>
      </c>
      <c r="B57" s="447" t="str">
        <f>VLOOKUP($D57,'Retail Rates'!$B$7:$D$35,2,FALSE)</f>
        <v>811</v>
      </c>
      <c r="C57" s="447" t="str">
        <f>VLOOKUP($D57,'Retail Rates'!$B$7:$D$35,3,FALSE)</f>
        <v>RGS</v>
      </c>
      <c r="D57" s="66" t="s">
        <v>55</v>
      </c>
      <c r="E57" s="66" t="s">
        <v>56</v>
      </c>
      <c r="F57" s="66" t="s">
        <v>40</v>
      </c>
      <c r="G57" s="67">
        <v>1</v>
      </c>
      <c r="H57" s="68">
        <v>178</v>
      </c>
      <c r="I57" s="68"/>
      <c r="J57" s="68">
        <v>0.5</v>
      </c>
      <c r="K57" s="68"/>
      <c r="L57" s="68">
        <v>-8.0299999999999994</v>
      </c>
      <c r="M57" s="68"/>
      <c r="N57" s="68">
        <v>99.93</v>
      </c>
      <c r="O57" s="68"/>
      <c r="P57" s="68"/>
      <c r="Q57" s="69"/>
      <c r="R57" s="68"/>
      <c r="S57" s="69"/>
      <c r="T57" s="69"/>
      <c r="U57" s="68">
        <v>92.4</v>
      </c>
      <c r="V57" s="69"/>
      <c r="W57" s="69"/>
      <c r="X57" s="69"/>
      <c r="Y57" s="69"/>
      <c r="Z57" s="69"/>
      <c r="AA57" s="68">
        <v>0</v>
      </c>
      <c r="AB57" s="69"/>
      <c r="AC57" s="68">
        <v>92.4</v>
      </c>
      <c r="AD57" s="68">
        <v>0</v>
      </c>
    </row>
    <row r="58" spans="1:30" ht="12" thickBot="1" x14ac:dyDescent="0.25">
      <c r="A58" s="66" t="s">
        <v>246</v>
      </c>
      <c r="B58" s="447" t="str">
        <f>VLOOKUP($D58,'Retail Rates'!$B$7:$D$35,2,FALSE)</f>
        <v>840</v>
      </c>
      <c r="C58" s="447" t="str">
        <f>VLOOKUP($D58,'Retail Rates'!$B$7:$D$35,3,FALSE)</f>
        <v>RGS</v>
      </c>
      <c r="D58" s="66" t="s">
        <v>59</v>
      </c>
      <c r="E58" s="66" t="s">
        <v>60</v>
      </c>
      <c r="F58" s="66" t="s">
        <v>26</v>
      </c>
      <c r="G58" s="70">
        <v>1</v>
      </c>
      <c r="H58" s="71">
        <v>134</v>
      </c>
      <c r="I58" s="71"/>
      <c r="J58" s="71">
        <v>12.5</v>
      </c>
      <c r="K58" s="71"/>
      <c r="L58" s="71">
        <v>30.01</v>
      </c>
      <c r="M58" s="71">
        <v>0</v>
      </c>
      <c r="N58" s="71">
        <v>75.23</v>
      </c>
      <c r="O58" s="71">
        <v>2.5299999999999998</v>
      </c>
      <c r="P58" s="71"/>
      <c r="Q58" s="72"/>
      <c r="R58" s="71">
        <v>0</v>
      </c>
      <c r="S58" s="72"/>
      <c r="T58" s="72"/>
      <c r="U58" s="71">
        <v>120.27</v>
      </c>
      <c r="V58" s="72"/>
      <c r="W58" s="72"/>
      <c r="X58" s="72"/>
      <c r="Y58" s="72"/>
      <c r="Z58" s="72"/>
      <c r="AA58" s="71">
        <v>0</v>
      </c>
      <c r="AB58" s="72"/>
      <c r="AC58" s="71">
        <v>120.27</v>
      </c>
      <c r="AD58" s="71">
        <v>0</v>
      </c>
    </row>
    <row r="59" spans="1:30" ht="12" thickBot="1" x14ac:dyDescent="0.25">
      <c r="A59" s="66" t="s">
        <v>246</v>
      </c>
      <c r="B59" s="447" t="str">
        <f>VLOOKUP($D59,'Retail Rates'!$B$7:$D$35,2,FALSE)</f>
        <v>840</v>
      </c>
      <c r="C59" s="447" t="str">
        <f>VLOOKUP($D59,'Retail Rates'!$B$7:$D$35,3,FALSE)</f>
        <v>RGS</v>
      </c>
      <c r="D59" s="66" t="s">
        <v>59</v>
      </c>
      <c r="E59" s="66" t="s">
        <v>60</v>
      </c>
      <c r="F59" s="66" t="s">
        <v>40</v>
      </c>
      <c r="G59" s="67">
        <v>3</v>
      </c>
      <c r="H59" s="68">
        <v>201</v>
      </c>
      <c r="I59" s="68"/>
      <c r="J59" s="68">
        <v>37.5</v>
      </c>
      <c r="K59" s="68"/>
      <c r="L59" s="68">
        <v>45.01</v>
      </c>
      <c r="M59" s="68">
        <v>0</v>
      </c>
      <c r="N59" s="68">
        <v>112.85</v>
      </c>
      <c r="O59" s="68">
        <v>3.79</v>
      </c>
      <c r="P59" s="68"/>
      <c r="Q59" s="69"/>
      <c r="R59" s="68">
        <v>0</v>
      </c>
      <c r="S59" s="69"/>
      <c r="T59" s="69"/>
      <c r="U59" s="68">
        <v>199.15</v>
      </c>
      <c r="V59" s="69"/>
      <c r="W59" s="69"/>
      <c r="X59" s="69"/>
      <c r="Y59" s="69"/>
      <c r="Z59" s="69"/>
      <c r="AA59" s="68">
        <v>0.64</v>
      </c>
      <c r="AB59" s="69"/>
      <c r="AC59" s="68">
        <v>199.79</v>
      </c>
      <c r="AD59" s="68">
        <v>0</v>
      </c>
    </row>
    <row r="60" spans="1:30" ht="12" thickBot="1" x14ac:dyDescent="0.25">
      <c r="A60" s="66" t="s">
        <v>246</v>
      </c>
      <c r="B60" s="447" t="str">
        <f>VLOOKUP($D60,'Retail Rates'!$B$7:$D$35,2,FALSE)</f>
        <v>830</v>
      </c>
      <c r="C60" s="447" t="str">
        <f>VLOOKUP($D60,'Retail Rates'!$B$7:$D$35,3,FALSE)</f>
        <v>RGS</v>
      </c>
      <c r="D60" s="66" t="s">
        <v>49</v>
      </c>
      <c r="E60" s="66" t="s">
        <v>50</v>
      </c>
      <c r="F60" s="66" t="s">
        <v>40</v>
      </c>
      <c r="G60" s="70">
        <v>1</v>
      </c>
      <c r="H60" s="71">
        <v>32</v>
      </c>
      <c r="I60" s="71"/>
      <c r="J60" s="71">
        <v>25</v>
      </c>
      <c r="K60" s="71"/>
      <c r="L60" s="71">
        <v>7.17</v>
      </c>
      <c r="M60" s="71">
        <v>0</v>
      </c>
      <c r="N60" s="71">
        <v>17.97</v>
      </c>
      <c r="O60" s="71">
        <v>0.6</v>
      </c>
      <c r="P60" s="71"/>
      <c r="Q60" s="72"/>
      <c r="R60" s="71">
        <v>0</v>
      </c>
      <c r="S60" s="72"/>
      <c r="T60" s="72"/>
      <c r="U60" s="71">
        <v>50.74</v>
      </c>
      <c r="V60" s="72"/>
      <c r="W60" s="72"/>
      <c r="X60" s="72"/>
      <c r="Y60" s="72"/>
      <c r="Z60" s="72"/>
      <c r="AA60" s="71">
        <v>0</v>
      </c>
      <c r="AB60" s="72"/>
      <c r="AC60" s="71">
        <v>50.74</v>
      </c>
      <c r="AD60" s="71">
        <v>0</v>
      </c>
    </row>
    <row r="61" spans="1:30" ht="12" thickBot="1" x14ac:dyDescent="0.25">
      <c r="A61" s="66" t="s">
        <v>246</v>
      </c>
      <c r="B61" s="447" t="str">
        <f>VLOOKUP($D61,'Retail Rates'!$B$7:$D$35,2,FALSE)</f>
        <v>860</v>
      </c>
      <c r="C61" s="447" t="str">
        <f>VLOOKUP($D61,'Retail Rates'!$B$7:$D$35,3,FALSE)</f>
        <v>CGS</v>
      </c>
      <c r="D61" s="66" t="s">
        <v>34</v>
      </c>
      <c r="E61" s="66" t="s">
        <v>35</v>
      </c>
      <c r="F61" s="66" t="s">
        <v>22</v>
      </c>
      <c r="G61" s="67">
        <v>1</v>
      </c>
      <c r="H61" s="68">
        <v>304</v>
      </c>
      <c r="I61" s="68"/>
      <c r="J61" s="68">
        <v>480</v>
      </c>
      <c r="K61" s="68"/>
      <c r="L61" s="68">
        <v>56.91</v>
      </c>
      <c r="M61" s="68">
        <v>0</v>
      </c>
      <c r="N61" s="68">
        <v>170.67</v>
      </c>
      <c r="O61" s="68">
        <v>0.28999999999999998</v>
      </c>
      <c r="P61" s="68"/>
      <c r="Q61" s="69"/>
      <c r="R61" s="68">
        <v>0</v>
      </c>
      <c r="S61" s="69"/>
      <c r="T61" s="69"/>
      <c r="U61" s="68">
        <v>707.87</v>
      </c>
      <c r="V61" s="69"/>
      <c r="W61" s="69"/>
      <c r="X61" s="69"/>
      <c r="Y61" s="69"/>
      <c r="Z61" s="69"/>
      <c r="AA61" s="68">
        <v>0</v>
      </c>
      <c r="AB61" s="69"/>
      <c r="AC61" s="68">
        <v>707.87</v>
      </c>
      <c r="AD61" s="68">
        <v>0</v>
      </c>
    </row>
    <row r="62" spans="1:30" ht="12" thickBot="1" x14ac:dyDescent="0.25">
      <c r="A62" s="66" t="s">
        <v>246</v>
      </c>
      <c r="B62" s="447" t="str">
        <f>VLOOKUP($D62,'Retail Rates'!$B$7:$D$35,2,FALSE)</f>
        <v>860</v>
      </c>
      <c r="C62" s="447" t="str">
        <f>VLOOKUP($D62,'Retail Rates'!$B$7:$D$35,3,FALSE)</f>
        <v>CGS</v>
      </c>
      <c r="D62" s="66" t="s">
        <v>34</v>
      </c>
      <c r="E62" s="66" t="s">
        <v>35</v>
      </c>
      <c r="F62" s="66" t="s">
        <v>26</v>
      </c>
      <c r="G62" s="70">
        <v>2</v>
      </c>
      <c r="H62" s="71">
        <v>54</v>
      </c>
      <c r="I62" s="71"/>
      <c r="J62" s="71">
        <v>90</v>
      </c>
      <c r="K62" s="71"/>
      <c r="L62" s="71">
        <v>10.11</v>
      </c>
      <c r="M62" s="71">
        <v>0</v>
      </c>
      <c r="N62" s="71">
        <v>30.32</v>
      </c>
      <c r="O62" s="71">
        <v>0.05</v>
      </c>
      <c r="P62" s="71"/>
      <c r="Q62" s="72"/>
      <c r="R62" s="71">
        <v>0</v>
      </c>
      <c r="S62" s="72"/>
      <c r="T62" s="72"/>
      <c r="U62" s="71">
        <v>130.47999999999999</v>
      </c>
      <c r="V62" s="72"/>
      <c r="W62" s="72"/>
      <c r="X62" s="72"/>
      <c r="Y62" s="72"/>
      <c r="Z62" s="72"/>
      <c r="AA62" s="71">
        <v>0</v>
      </c>
      <c r="AB62" s="72"/>
      <c r="AC62" s="71">
        <v>130.47999999999999</v>
      </c>
      <c r="AD62" s="71">
        <v>0</v>
      </c>
    </row>
    <row r="63" spans="1:30" ht="12" thickBot="1" x14ac:dyDescent="0.25">
      <c r="A63" s="66" t="s">
        <v>246</v>
      </c>
      <c r="B63" s="447" t="str">
        <f>VLOOKUP($D63,'Retail Rates'!$B$7:$D$35,2,FALSE)</f>
        <v>861</v>
      </c>
      <c r="C63" s="447" t="str">
        <f>VLOOKUP($D63,'Retail Rates'!$B$7:$D$35,3,FALSE)</f>
        <v>CGS</v>
      </c>
      <c r="D63" s="66" t="s">
        <v>41</v>
      </c>
      <c r="E63" s="66" t="s">
        <v>42</v>
      </c>
      <c r="F63" s="66" t="s">
        <v>22</v>
      </c>
      <c r="G63" s="67">
        <v>609</v>
      </c>
      <c r="H63" s="68">
        <v>612</v>
      </c>
      <c r="I63" s="68"/>
      <c r="J63" s="68">
        <v>18773</v>
      </c>
      <c r="K63" s="68"/>
      <c r="L63" s="68">
        <v>116.19</v>
      </c>
      <c r="M63" s="68">
        <v>1.84</v>
      </c>
      <c r="N63" s="68">
        <v>342.66</v>
      </c>
      <c r="O63" s="68">
        <v>0</v>
      </c>
      <c r="P63" s="68"/>
      <c r="Q63" s="69"/>
      <c r="R63" s="68">
        <v>0</v>
      </c>
      <c r="S63" s="69"/>
      <c r="T63" s="69"/>
      <c r="U63" s="68">
        <v>19231.849999999999</v>
      </c>
      <c r="V63" s="69"/>
      <c r="W63" s="69"/>
      <c r="X63" s="69"/>
      <c r="Y63" s="69"/>
      <c r="Z63" s="69"/>
      <c r="AA63" s="68">
        <v>1217.0999999999999</v>
      </c>
      <c r="AB63" s="69"/>
      <c r="AC63" s="68">
        <v>20450.79</v>
      </c>
      <c r="AD63" s="68">
        <v>0</v>
      </c>
    </row>
    <row r="64" spans="1:30" ht="12" thickBot="1" x14ac:dyDescent="0.25">
      <c r="A64" s="66" t="s">
        <v>249</v>
      </c>
      <c r="B64" s="447" t="str">
        <f>VLOOKUP($D64,'Retail Rates'!$B$7:$D$35,2,FALSE)</f>
        <v>851</v>
      </c>
      <c r="C64" s="447" t="str">
        <f>VLOOKUP($D64,'Retail Rates'!$B$7:$D$35,3,FALSE)</f>
        <v>CGS</v>
      </c>
      <c r="D64" s="66" t="s">
        <v>37</v>
      </c>
      <c r="E64" s="66" t="s">
        <v>38</v>
      </c>
      <c r="F64" s="66" t="s">
        <v>22</v>
      </c>
      <c r="G64" s="70">
        <v>22877</v>
      </c>
      <c r="H64" s="71">
        <v>1747947</v>
      </c>
      <c r="I64" s="71">
        <v>746149</v>
      </c>
      <c r="J64" s="71">
        <v>672535.84</v>
      </c>
      <c r="K64" s="71">
        <v>129965</v>
      </c>
      <c r="L64" s="71">
        <v>429617.18</v>
      </c>
      <c r="M64" s="71">
        <v>1049.04</v>
      </c>
      <c r="N64" s="71">
        <v>1399793.42</v>
      </c>
      <c r="O64" s="71">
        <v>2386.35</v>
      </c>
      <c r="P64" s="71">
        <v>-202.75</v>
      </c>
      <c r="Q64" s="72"/>
      <c r="R64" s="71">
        <v>0</v>
      </c>
      <c r="S64" s="72"/>
      <c r="T64" s="72"/>
      <c r="U64" s="71">
        <v>2634095.04</v>
      </c>
      <c r="V64" s="72"/>
      <c r="W64" s="72"/>
      <c r="X64" s="72"/>
      <c r="Y64" s="72"/>
      <c r="Z64" s="72"/>
      <c r="AA64" s="71">
        <v>147094.25</v>
      </c>
      <c r="AB64" s="72"/>
      <c r="AC64" s="71">
        <v>2782238.33</v>
      </c>
      <c r="AD64" s="71">
        <v>0</v>
      </c>
    </row>
    <row r="65" spans="1:30" ht="12" thickBot="1" x14ac:dyDescent="0.25">
      <c r="A65" s="66" t="s">
        <v>249</v>
      </c>
      <c r="B65" s="447" t="str">
        <f>VLOOKUP($D65,'Retail Rates'!$B$7:$D$35,2,FALSE)</f>
        <v>851</v>
      </c>
      <c r="C65" s="447" t="str">
        <f>VLOOKUP($D65,'Retail Rates'!$B$7:$D$35,3,FALSE)</f>
        <v>CGS</v>
      </c>
      <c r="D65" s="66" t="s">
        <v>37</v>
      </c>
      <c r="E65" s="66" t="s">
        <v>38</v>
      </c>
      <c r="F65" s="66" t="s">
        <v>26</v>
      </c>
      <c r="G65" s="67">
        <v>1138</v>
      </c>
      <c r="H65" s="68">
        <v>136444</v>
      </c>
      <c r="I65" s="68">
        <v>107917</v>
      </c>
      <c r="J65" s="68">
        <v>26019.33</v>
      </c>
      <c r="K65" s="68">
        <v>45390</v>
      </c>
      <c r="L65" s="68">
        <v>40353.39</v>
      </c>
      <c r="M65" s="68">
        <v>73.400000000000006</v>
      </c>
      <c r="N65" s="68">
        <v>137190.98000000001</v>
      </c>
      <c r="O65" s="68">
        <v>234.51</v>
      </c>
      <c r="P65" s="68">
        <v>0.04</v>
      </c>
      <c r="Q65" s="69"/>
      <c r="R65" s="68">
        <v>0</v>
      </c>
      <c r="S65" s="69"/>
      <c r="T65" s="69"/>
      <c r="U65" s="68">
        <v>249188.25</v>
      </c>
      <c r="V65" s="69"/>
      <c r="W65" s="69"/>
      <c r="X65" s="69"/>
      <c r="Y65" s="69"/>
      <c r="Z65" s="69"/>
      <c r="AA65" s="68">
        <v>1523.09</v>
      </c>
      <c r="AB65" s="69"/>
      <c r="AC65" s="68">
        <v>250784.74</v>
      </c>
      <c r="AD65" s="68">
        <v>0</v>
      </c>
    </row>
    <row r="66" spans="1:30" ht="12" thickBot="1" x14ac:dyDescent="0.25">
      <c r="A66" s="66" t="s">
        <v>249</v>
      </c>
      <c r="B66" s="447" t="str">
        <f>VLOOKUP($D66,'Retail Rates'!$B$7:$D$35,2,FALSE)</f>
        <v>851</v>
      </c>
      <c r="C66" s="447" t="str">
        <f>VLOOKUP($D66,'Retail Rates'!$B$7:$D$35,3,FALSE)</f>
        <v>CGS</v>
      </c>
      <c r="D66" s="66" t="s">
        <v>37</v>
      </c>
      <c r="E66" s="66" t="s">
        <v>38</v>
      </c>
      <c r="F66" s="66" t="s">
        <v>40</v>
      </c>
      <c r="G66" s="70">
        <v>7</v>
      </c>
      <c r="H66" s="71">
        <v>1105</v>
      </c>
      <c r="I66" s="71">
        <v>346</v>
      </c>
      <c r="J66" s="71">
        <v>222</v>
      </c>
      <c r="K66" s="71">
        <v>170</v>
      </c>
      <c r="L66" s="71">
        <v>254.36</v>
      </c>
      <c r="M66" s="71">
        <v>0</v>
      </c>
      <c r="N66" s="71">
        <v>814.64</v>
      </c>
      <c r="O66" s="71">
        <v>1.39</v>
      </c>
      <c r="P66" s="71"/>
      <c r="Q66" s="72"/>
      <c r="R66" s="71">
        <v>0</v>
      </c>
      <c r="S66" s="72"/>
      <c r="T66" s="72"/>
      <c r="U66" s="71">
        <v>1462.39</v>
      </c>
      <c r="V66" s="72"/>
      <c r="W66" s="72"/>
      <c r="X66" s="72"/>
      <c r="Y66" s="72"/>
      <c r="Z66" s="72"/>
      <c r="AA66" s="71">
        <v>0.9</v>
      </c>
      <c r="AB66" s="72"/>
      <c r="AC66" s="71">
        <v>1463.29</v>
      </c>
      <c r="AD66" s="71">
        <v>0</v>
      </c>
    </row>
    <row r="67" spans="1:30" ht="12" thickBot="1" x14ac:dyDescent="0.25">
      <c r="A67" s="66" t="s">
        <v>249</v>
      </c>
      <c r="B67" s="447" t="str">
        <f>VLOOKUP($D67,'Retail Rates'!$B$7:$D$35,2,FALSE)</f>
        <v>865</v>
      </c>
      <c r="C67" s="447" t="str">
        <f>VLOOKUP($D67,'Retail Rates'!$B$7:$D$35,3,FALSE)</f>
        <v>AAGS-C</v>
      </c>
      <c r="D67" s="66" t="s">
        <v>23</v>
      </c>
      <c r="E67" s="66" t="s">
        <v>24</v>
      </c>
      <c r="F67" s="66" t="s">
        <v>22</v>
      </c>
      <c r="G67" s="67">
        <v>3</v>
      </c>
      <c r="H67" s="68">
        <v>25687</v>
      </c>
      <c r="I67" s="68"/>
      <c r="J67" s="68">
        <v>825</v>
      </c>
      <c r="K67" s="68"/>
      <c r="L67" s="68">
        <v>1349.08</v>
      </c>
      <c r="M67" s="68">
        <v>0</v>
      </c>
      <c r="N67" s="68">
        <v>14421.45</v>
      </c>
      <c r="O67" s="68">
        <v>24.66</v>
      </c>
      <c r="P67" s="68"/>
      <c r="Q67" s="69"/>
      <c r="R67" s="68">
        <v>0</v>
      </c>
      <c r="S67" s="69"/>
      <c r="T67" s="69"/>
      <c r="U67" s="68">
        <v>16620.189999999999</v>
      </c>
      <c r="V67" s="69"/>
      <c r="W67" s="69"/>
      <c r="X67" s="69"/>
      <c r="Y67" s="69"/>
      <c r="Z67" s="69"/>
      <c r="AA67" s="68">
        <v>673.42</v>
      </c>
      <c r="AB67" s="69"/>
      <c r="AC67" s="68">
        <v>17293.61</v>
      </c>
      <c r="AD67" s="68">
        <v>0</v>
      </c>
    </row>
    <row r="68" spans="1:30" ht="12" thickBot="1" x14ac:dyDescent="0.25">
      <c r="A68" s="66" t="s">
        <v>249</v>
      </c>
      <c r="B68" s="447" t="str">
        <f>VLOOKUP($D68,'Retail Rates'!$B$7:$D$35,2,FALSE)</f>
        <v>865</v>
      </c>
      <c r="C68" s="447" t="str">
        <f>VLOOKUP($D68,'Retail Rates'!$B$7:$D$35,3,FALSE)</f>
        <v>AAGS-C</v>
      </c>
      <c r="D68" s="66" t="s">
        <v>23</v>
      </c>
      <c r="E68" s="66" t="s">
        <v>24</v>
      </c>
      <c r="F68" s="66" t="s">
        <v>26</v>
      </c>
      <c r="G68" s="70">
        <v>1</v>
      </c>
      <c r="H68" s="71">
        <v>34527</v>
      </c>
      <c r="I68" s="71"/>
      <c r="J68" s="71">
        <v>275</v>
      </c>
      <c r="K68" s="71"/>
      <c r="L68" s="71">
        <v>1813.36</v>
      </c>
      <c r="M68" s="71">
        <v>0</v>
      </c>
      <c r="N68" s="71">
        <v>19384.490000000002</v>
      </c>
      <c r="O68" s="71">
        <v>33.15</v>
      </c>
      <c r="P68" s="71"/>
      <c r="Q68" s="72"/>
      <c r="R68" s="71">
        <v>0</v>
      </c>
      <c r="S68" s="72"/>
      <c r="T68" s="72"/>
      <c r="U68" s="71">
        <v>21506</v>
      </c>
      <c r="V68" s="72"/>
      <c r="W68" s="72"/>
      <c r="X68" s="72"/>
      <c r="Y68" s="72"/>
      <c r="Z68" s="72"/>
      <c r="AA68" s="71">
        <v>0</v>
      </c>
      <c r="AB68" s="72"/>
      <c r="AC68" s="71">
        <v>21506</v>
      </c>
      <c r="AD68" s="71">
        <v>0</v>
      </c>
    </row>
    <row r="69" spans="1:30" ht="12" thickBot="1" x14ac:dyDescent="0.25">
      <c r="A69" s="66" t="s">
        <v>249</v>
      </c>
      <c r="B69" s="447" t="str">
        <f>VLOOKUP($D69,'Retail Rates'!$B$7:$D$35,2,FALSE)</f>
        <v>855</v>
      </c>
      <c r="C69" s="447" t="str">
        <f>VLOOKUP($D69,'Retail Rates'!$B$7:$D$35,3,FALSE)</f>
        <v>IGS</v>
      </c>
      <c r="D69" s="66" t="s">
        <v>45</v>
      </c>
      <c r="E69" s="66" t="s">
        <v>46</v>
      </c>
      <c r="F69" s="66" t="s">
        <v>28</v>
      </c>
      <c r="G69" s="67">
        <v>188</v>
      </c>
      <c r="H69" s="68">
        <v>52795</v>
      </c>
      <c r="I69" s="68">
        <v>286343</v>
      </c>
      <c r="J69" s="68">
        <v>3121</v>
      </c>
      <c r="K69" s="68">
        <v>16150</v>
      </c>
      <c r="L69" s="68">
        <v>50193.63</v>
      </c>
      <c r="M69" s="68">
        <v>0</v>
      </c>
      <c r="N69" s="68">
        <v>190402.22</v>
      </c>
      <c r="O69" s="68"/>
      <c r="P69" s="68"/>
      <c r="Q69" s="69"/>
      <c r="R69" s="68">
        <v>0</v>
      </c>
      <c r="S69" s="69"/>
      <c r="T69" s="69"/>
      <c r="U69" s="68">
        <v>259866.85</v>
      </c>
      <c r="V69" s="69"/>
      <c r="W69" s="69"/>
      <c r="X69" s="69"/>
      <c r="Y69" s="69"/>
      <c r="Z69" s="69"/>
      <c r="AA69" s="68">
        <v>12686.19</v>
      </c>
      <c r="AB69" s="69"/>
      <c r="AC69" s="68">
        <v>272553.03999999998</v>
      </c>
      <c r="AD69" s="68">
        <v>0</v>
      </c>
    </row>
    <row r="70" spans="1:30" ht="12" thickBot="1" x14ac:dyDescent="0.25">
      <c r="A70" s="66" t="s">
        <v>249</v>
      </c>
      <c r="B70" s="447" t="str">
        <f>VLOOKUP($D70,'Retail Rates'!$B$7:$D$35,2,FALSE)</f>
        <v>855</v>
      </c>
      <c r="C70" s="447" t="str">
        <f>VLOOKUP($D70,'Retail Rates'!$B$7:$D$35,3,FALSE)</f>
        <v>IGS</v>
      </c>
      <c r="D70" s="66" t="s">
        <v>45</v>
      </c>
      <c r="E70" s="66" t="s">
        <v>46</v>
      </c>
      <c r="F70" s="66" t="s">
        <v>22</v>
      </c>
      <c r="G70" s="70">
        <v>1</v>
      </c>
      <c r="H70" s="71">
        <v>1000</v>
      </c>
      <c r="I70" s="71">
        <v>2332</v>
      </c>
      <c r="J70" s="71"/>
      <c r="K70" s="71">
        <v>170</v>
      </c>
      <c r="L70" s="71">
        <v>517.21</v>
      </c>
      <c r="M70" s="71">
        <v>0</v>
      </c>
      <c r="N70" s="71">
        <v>1870.68</v>
      </c>
      <c r="O70" s="71"/>
      <c r="P70" s="71"/>
      <c r="Q70" s="72"/>
      <c r="R70" s="71">
        <v>0</v>
      </c>
      <c r="S70" s="72"/>
      <c r="T70" s="72"/>
      <c r="U70" s="71">
        <v>2557.89</v>
      </c>
      <c r="V70" s="72"/>
      <c r="W70" s="72"/>
      <c r="X70" s="72"/>
      <c r="Y70" s="72"/>
      <c r="Z70" s="72"/>
      <c r="AA70" s="71">
        <v>153.47</v>
      </c>
      <c r="AB70" s="72"/>
      <c r="AC70" s="71">
        <v>2711.36</v>
      </c>
      <c r="AD70" s="71">
        <v>0</v>
      </c>
    </row>
    <row r="71" spans="1:30" ht="12" thickBot="1" x14ac:dyDescent="0.25">
      <c r="A71" s="66" t="s">
        <v>249</v>
      </c>
      <c r="B71" s="447" t="str">
        <f>VLOOKUP($D71,'Retail Rates'!$B$7:$D$35,2,FALSE)</f>
        <v>855</v>
      </c>
      <c r="C71" s="447" t="str">
        <f>VLOOKUP($D71,'Retail Rates'!$B$7:$D$35,3,FALSE)</f>
        <v>IGS</v>
      </c>
      <c r="D71" s="66" t="s">
        <v>45</v>
      </c>
      <c r="E71" s="66" t="s">
        <v>46</v>
      </c>
      <c r="F71" s="66" t="s">
        <v>26</v>
      </c>
      <c r="G71" s="67">
        <v>5</v>
      </c>
      <c r="H71" s="68">
        <v>71</v>
      </c>
      <c r="I71" s="68"/>
      <c r="J71" s="68">
        <v>120</v>
      </c>
      <c r="K71" s="68">
        <v>170</v>
      </c>
      <c r="L71" s="68">
        <v>13.5</v>
      </c>
      <c r="M71" s="68">
        <v>0</v>
      </c>
      <c r="N71" s="68">
        <v>39.86</v>
      </c>
      <c r="O71" s="68"/>
      <c r="P71" s="68"/>
      <c r="Q71" s="69"/>
      <c r="R71" s="68">
        <v>0</v>
      </c>
      <c r="S71" s="69"/>
      <c r="T71" s="69"/>
      <c r="U71" s="68">
        <v>343.36</v>
      </c>
      <c r="V71" s="69"/>
      <c r="W71" s="69"/>
      <c r="X71" s="69"/>
      <c r="Y71" s="69"/>
      <c r="Z71" s="69"/>
      <c r="AA71" s="68">
        <v>0</v>
      </c>
      <c r="AB71" s="69"/>
      <c r="AC71" s="68">
        <v>343.36</v>
      </c>
      <c r="AD71" s="68">
        <v>0</v>
      </c>
    </row>
    <row r="72" spans="1:30" ht="12" thickBot="1" x14ac:dyDescent="0.25">
      <c r="A72" s="66" t="s">
        <v>249</v>
      </c>
      <c r="B72" s="447" t="str">
        <f>VLOOKUP($D72,'Retail Rates'!$B$7:$D$35,2,FALSE)</f>
        <v>866</v>
      </c>
      <c r="C72" s="447" t="str">
        <f>VLOOKUP($D72,'Retail Rates'!$B$7:$D$35,3,FALSE)</f>
        <v>AAGS-I</v>
      </c>
      <c r="D72" s="66" t="s">
        <v>29</v>
      </c>
      <c r="E72" s="66" t="s">
        <v>30</v>
      </c>
      <c r="F72" s="66" t="s">
        <v>28</v>
      </c>
      <c r="G72" s="70">
        <v>7</v>
      </c>
      <c r="H72" s="71">
        <v>104105</v>
      </c>
      <c r="I72" s="71"/>
      <c r="J72" s="71">
        <v>2200</v>
      </c>
      <c r="K72" s="71"/>
      <c r="L72" s="71">
        <v>5467.6</v>
      </c>
      <c r="M72" s="71">
        <v>0</v>
      </c>
      <c r="N72" s="71">
        <v>58447.68</v>
      </c>
      <c r="O72" s="71"/>
      <c r="P72" s="71"/>
      <c r="Q72" s="72"/>
      <c r="R72" s="71">
        <v>0</v>
      </c>
      <c r="S72" s="72"/>
      <c r="T72" s="72"/>
      <c r="U72" s="71">
        <v>66115.28</v>
      </c>
      <c r="V72" s="72"/>
      <c r="W72" s="72"/>
      <c r="X72" s="72"/>
      <c r="Y72" s="72"/>
      <c r="Z72" s="72"/>
      <c r="AA72" s="71">
        <v>1839.12</v>
      </c>
      <c r="AB72" s="72"/>
      <c r="AC72" s="71">
        <v>67954.399999999994</v>
      </c>
      <c r="AD72" s="71">
        <v>0</v>
      </c>
    </row>
    <row r="73" spans="1:30" ht="12" thickBot="1" x14ac:dyDescent="0.25">
      <c r="A73" s="66" t="s">
        <v>249</v>
      </c>
      <c r="B73" s="447" t="str">
        <f>VLOOKUP($D73,'Retail Rates'!$B$7:$D$35,2,FALSE)</f>
        <v>866</v>
      </c>
      <c r="C73" s="447" t="str">
        <f>VLOOKUP($D73,'Retail Rates'!$B$7:$D$35,3,FALSE)</f>
        <v>AAGS-I</v>
      </c>
      <c r="D73" s="66" t="s">
        <v>29</v>
      </c>
      <c r="E73" s="66" t="s">
        <v>30</v>
      </c>
      <c r="F73" s="66" t="s">
        <v>26</v>
      </c>
      <c r="G73" s="67">
        <v>1</v>
      </c>
      <c r="H73" s="68">
        <v>11023</v>
      </c>
      <c r="I73" s="68"/>
      <c r="J73" s="68">
        <v>275</v>
      </c>
      <c r="K73" s="68"/>
      <c r="L73" s="68">
        <v>578.92999999999995</v>
      </c>
      <c r="M73" s="68">
        <v>0</v>
      </c>
      <c r="N73" s="68">
        <v>6188.64</v>
      </c>
      <c r="O73" s="68"/>
      <c r="P73" s="68"/>
      <c r="Q73" s="69"/>
      <c r="R73" s="68">
        <v>0</v>
      </c>
      <c r="S73" s="69"/>
      <c r="T73" s="69"/>
      <c r="U73" s="68">
        <v>7042.57</v>
      </c>
      <c r="V73" s="69"/>
      <c r="W73" s="69"/>
      <c r="X73" s="69"/>
      <c r="Y73" s="69"/>
      <c r="Z73" s="69"/>
      <c r="AA73" s="68">
        <v>0</v>
      </c>
      <c r="AB73" s="69"/>
      <c r="AC73" s="68">
        <v>7042.57</v>
      </c>
      <c r="AD73" s="68">
        <v>0</v>
      </c>
    </row>
    <row r="74" spans="1:30" ht="12" thickBot="1" x14ac:dyDescent="0.25">
      <c r="A74" s="66" t="s">
        <v>249</v>
      </c>
      <c r="B74" s="447" t="str">
        <f>VLOOKUP($D74,'Retail Rates'!$B$7:$D$35,2,FALSE)</f>
        <v>811</v>
      </c>
      <c r="C74" s="447" t="str">
        <f>VLOOKUP($D74,'Retail Rates'!$B$7:$D$35,3,FALSE)</f>
        <v>RGS</v>
      </c>
      <c r="D74" s="66" t="s">
        <v>52</v>
      </c>
      <c r="E74" s="66" t="s">
        <v>53</v>
      </c>
      <c r="F74" s="66" t="s">
        <v>22</v>
      </c>
      <c r="G74" s="67">
        <v>3</v>
      </c>
      <c r="H74" s="68">
        <v>32</v>
      </c>
      <c r="I74" s="68"/>
      <c r="J74" s="68">
        <v>37.5</v>
      </c>
      <c r="K74" s="68"/>
      <c r="L74" s="68">
        <v>7.17</v>
      </c>
      <c r="M74" s="68">
        <v>0</v>
      </c>
      <c r="N74" s="68">
        <v>17.97</v>
      </c>
      <c r="O74" s="68">
        <v>0.6</v>
      </c>
      <c r="P74" s="68"/>
      <c r="Q74" s="69">
        <v>0.45</v>
      </c>
      <c r="R74" s="68">
        <v>0</v>
      </c>
      <c r="S74" s="69"/>
      <c r="T74" s="69"/>
      <c r="U74" s="68">
        <v>63.24</v>
      </c>
      <c r="V74" s="69"/>
      <c r="W74" s="69"/>
      <c r="X74" s="69"/>
      <c r="Y74" s="69"/>
      <c r="Z74" s="69"/>
      <c r="AA74" s="68">
        <v>3.16</v>
      </c>
      <c r="AB74" s="69"/>
      <c r="AC74" s="68">
        <v>66.849999999999994</v>
      </c>
      <c r="AD74" s="68">
        <v>0</v>
      </c>
    </row>
    <row r="75" spans="1:30" ht="12" thickBot="1" x14ac:dyDescent="0.25">
      <c r="A75" s="66" t="s">
        <v>249</v>
      </c>
      <c r="B75" s="447" t="str">
        <f>VLOOKUP($D75,'Retail Rates'!$B$7:$D$35,2,FALSE)</f>
        <v>811</v>
      </c>
      <c r="C75" s="447" t="str">
        <f>VLOOKUP($D75,'Retail Rates'!$B$7:$D$35,3,FALSE)</f>
        <v>RGS</v>
      </c>
      <c r="D75" s="66" t="s">
        <v>52</v>
      </c>
      <c r="E75" s="66" t="s">
        <v>53</v>
      </c>
      <c r="F75" s="66" t="s">
        <v>26</v>
      </c>
      <c r="G75" s="70">
        <v>42</v>
      </c>
      <c r="H75" s="71">
        <v>256</v>
      </c>
      <c r="I75" s="71"/>
      <c r="J75" s="71">
        <v>520.83000000000004</v>
      </c>
      <c r="K75" s="71"/>
      <c r="L75" s="71">
        <v>57.35</v>
      </c>
      <c r="M75" s="71">
        <v>0</v>
      </c>
      <c r="N75" s="71">
        <v>143.72999999999999</v>
      </c>
      <c r="O75" s="71">
        <v>4.87</v>
      </c>
      <c r="P75" s="71"/>
      <c r="Q75" s="72">
        <v>6.3</v>
      </c>
      <c r="R75" s="71">
        <v>0</v>
      </c>
      <c r="S75" s="72"/>
      <c r="T75" s="72"/>
      <c r="U75" s="71">
        <v>726.78</v>
      </c>
      <c r="V75" s="72"/>
      <c r="W75" s="72"/>
      <c r="X75" s="72"/>
      <c r="Y75" s="72"/>
      <c r="Z75" s="72"/>
      <c r="AA75" s="71">
        <v>0.38</v>
      </c>
      <c r="AB75" s="72"/>
      <c r="AC75" s="71">
        <v>733.46</v>
      </c>
      <c r="AD75" s="71">
        <v>0</v>
      </c>
    </row>
    <row r="76" spans="1:30" ht="12" thickBot="1" x14ac:dyDescent="0.25">
      <c r="A76" s="66" t="s">
        <v>249</v>
      </c>
      <c r="B76" s="447" t="str">
        <f>VLOOKUP($D76,'Retail Rates'!$B$7:$D$35,2,FALSE)</f>
        <v>811</v>
      </c>
      <c r="C76" s="447" t="str">
        <f>VLOOKUP($D76,'Retail Rates'!$B$7:$D$35,3,FALSE)</f>
        <v>RGS</v>
      </c>
      <c r="D76" s="66" t="s">
        <v>52</v>
      </c>
      <c r="E76" s="66" t="s">
        <v>53</v>
      </c>
      <c r="F76" s="66" t="s">
        <v>40</v>
      </c>
      <c r="G76" s="67">
        <v>290909</v>
      </c>
      <c r="H76" s="68">
        <v>3837540</v>
      </c>
      <c r="I76" s="68"/>
      <c r="J76" s="68">
        <v>3625703.83</v>
      </c>
      <c r="K76" s="68"/>
      <c r="L76" s="68">
        <v>859567.51</v>
      </c>
      <c r="M76" s="68">
        <v>1612.99</v>
      </c>
      <c r="N76" s="68">
        <v>2154868.5</v>
      </c>
      <c r="O76" s="68">
        <v>72516.539999999994</v>
      </c>
      <c r="P76" s="68">
        <v>-402.37</v>
      </c>
      <c r="Q76" s="69">
        <v>43973.55</v>
      </c>
      <c r="R76" s="68">
        <v>0</v>
      </c>
      <c r="S76" s="69"/>
      <c r="T76" s="69"/>
      <c r="U76" s="68">
        <v>6712254.0099999998</v>
      </c>
      <c r="V76" s="69"/>
      <c r="W76" s="69"/>
      <c r="X76" s="69"/>
      <c r="Y76" s="69"/>
      <c r="Z76" s="69"/>
      <c r="AA76" s="68">
        <v>25712.3</v>
      </c>
      <c r="AB76" s="69"/>
      <c r="AC76" s="68">
        <v>6783552.8499999996</v>
      </c>
      <c r="AD76" s="68">
        <v>0</v>
      </c>
    </row>
    <row r="77" spans="1:30" ht="12" thickBot="1" x14ac:dyDescent="0.25">
      <c r="A77" s="66" t="s">
        <v>249</v>
      </c>
      <c r="B77" s="447" t="str">
        <f>VLOOKUP($D77,'Retail Rates'!$B$7:$D$35,2,FALSE)</f>
        <v>811</v>
      </c>
      <c r="C77" s="447" t="str">
        <f>VLOOKUP($D77,'Retail Rates'!$B$7:$D$35,3,FALSE)</f>
        <v>RGS</v>
      </c>
      <c r="D77" s="66" t="s">
        <v>55</v>
      </c>
      <c r="E77" s="66" t="s">
        <v>56</v>
      </c>
      <c r="F77" s="66" t="s">
        <v>40</v>
      </c>
      <c r="G77" s="70">
        <v>1</v>
      </c>
      <c r="H77" s="71">
        <v>49</v>
      </c>
      <c r="I77" s="71"/>
      <c r="J77" s="71">
        <v>0.5</v>
      </c>
      <c r="K77" s="71"/>
      <c r="L77" s="71">
        <v>-2.21</v>
      </c>
      <c r="M77" s="71"/>
      <c r="N77" s="71">
        <v>27.51</v>
      </c>
      <c r="O77" s="71"/>
      <c r="P77" s="71"/>
      <c r="Q77" s="72"/>
      <c r="R77" s="71"/>
      <c r="S77" s="72"/>
      <c r="T77" s="72"/>
      <c r="U77" s="71">
        <v>25.8</v>
      </c>
      <c r="V77" s="72"/>
      <c r="W77" s="72"/>
      <c r="X77" s="72"/>
      <c r="Y77" s="72"/>
      <c r="Z77" s="72"/>
      <c r="AA77" s="71">
        <v>0</v>
      </c>
      <c r="AB77" s="72"/>
      <c r="AC77" s="71">
        <v>25.8</v>
      </c>
      <c r="AD77" s="71">
        <v>0</v>
      </c>
    </row>
    <row r="78" spans="1:30" ht="12" thickBot="1" x14ac:dyDescent="0.25">
      <c r="A78" s="66" t="s">
        <v>249</v>
      </c>
      <c r="B78" s="447" t="str">
        <f>VLOOKUP($D78,'Retail Rates'!$B$7:$D$35,2,FALSE)</f>
        <v>840</v>
      </c>
      <c r="C78" s="447" t="str">
        <f>VLOOKUP($D78,'Retail Rates'!$B$7:$D$35,3,FALSE)</f>
        <v>RGS</v>
      </c>
      <c r="D78" s="66" t="s">
        <v>59</v>
      </c>
      <c r="E78" s="66" t="s">
        <v>60</v>
      </c>
      <c r="F78" s="66" t="s">
        <v>26</v>
      </c>
      <c r="G78" s="67">
        <v>1</v>
      </c>
      <c r="H78" s="68">
        <v>153</v>
      </c>
      <c r="I78" s="68"/>
      <c r="J78" s="68">
        <v>12.5</v>
      </c>
      <c r="K78" s="68"/>
      <c r="L78" s="68">
        <v>34.270000000000003</v>
      </c>
      <c r="M78" s="68">
        <v>0</v>
      </c>
      <c r="N78" s="68">
        <v>85.9</v>
      </c>
      <c r="O78" s="68">
        <v>2.89</v>
      </c>
      <c r="P78" s="68"/>
      <c r="Q78" s="69"/>
      <c r="R78" s="68">
        <v>0</v>
      </c>
      <c r="S78" s="69"/>
      <c r="T78" s="69"/>
      <c r="U78" s="68">
        <v>135.56</v>
      </c>
      <c r="V78" s="69"/>
      <c r="W78" s="69"/>
      <c r="X78" s="69"/>
      <c r="Y78" s="69"/>
      <c r="Z78" s="69"/>
      <c r="AA78" s="68">
        <v>0</v>
      </c>
      <c r="AB78" s="69"/>
      <c r="AC78" s="68">
        <v>135.56</v>
      </c>
      <c r="AD78" s="68">
        <v>0</v>
      </c>
    </row>
    <row r="79" spans="1:30" ht="12" thickBot="1" x14ac:dyDescent="0.25">
      <c r="A79" s="66" t="s">
        <v>249</v>
      </c>
      <c r="B79" s="447" t="str">
        <f>VLOOKUP($D79,'Retail Rates'!$B$7:$D$35,2,FALSE)</f>
        <v>840</v>
      </c>
      <c r="C79" s="447" t="str">
        <f>VLOOKUP($D79,'Retail Rates'!$B$7:$D$35,3,FALSE)</f>
        <v>RGS</v>
      </c>
      <c r="D79" s="66" t="s">
        <v>59</v>
      </c>
      <c r="E79" s="66" t="s">
        <v>60</v>
      </c>
      <c r="F79" s="66" t="s">
        <v>40</v>
      </c>
      <c r="G79" s="70">
        <v>3</v>
      </c>
      <c r="H79" s="71">
        <v>192</v>
      </c>
      <c r="I79" s="71"/>
      <c r="J79" s="71">
        <v>37.5</v>
      </c>
      <c r="K79" s="71"/>
      <c r="L79" s="71">
        <v>43</v>
      </c>
      <c r="M79" s="71">
        <v>0</v>
      </c>
      <c r="N79" s="71">
        <v>107.79</v>
      </c>
      <c r="O79" s="71">
        <v>3.62</v>
      </c>
      <c r="P79" s="71"/>
      <c r="Q79" s="72"/>
      <c r="R79" s="71">
        <v>0</v>
      </c>
      <c r="S79" s="72"/>
      <c r="T79" s="72"/>
      <c r="U79" s="71">
        <v>191.91</v>
      </c>
      <c r="V79" s="72"/>
      <c r="W79" s="72"/>
      <c r="X79" s="72"/>
      <c r="Y79" s="72"/>
      <c r="Z79" s="72"/>
      <c r="AA79" s="71">
        <v>0.62</v>
      </c>
      <c r="AB79" s="72"/>
      <c r="AC79" s="71">
        <v>192.53</v>
      </c>
      <c r="AD79" s="71">
        <v>0</v>
      </c>
    </row>
    <row r="80" spans="1:30" ht="12" thickBot="1" x14ac:dyDescent="0.25">
      <c r="A80" s="66" t="s">
        <v>249</v>
      </c>
      <c r="B80" s="447" t="str">
        <f>VLOOKUP($D80,'Retail Rates'!$B$7:$D$35,2,FALSE)</f>
        <v>830</v>
      </c>
      <c r="C80" s="447" t="str">
        <f>VLOOKUP($D80,'Retail Rates'!$B$7:$D$35,3,FALSE)</f>
        <v>RGS</v>
      </c>
      <c r="D80" s="66" t="s">
        <v>49</v>
      </c>
      <c r="E80" s="66" t="s">
        <v>50</v>
      </c>
      <c r="F80" s="66" t="s">
        <v>40</v>
      </c>
      <c r="G80" s="67">
        <v>1</v>
      </c>
      <c r="H80" s="68">
        <v>32</v>
      </c>
      <c r="I80" s="68"/>
      <c r="J80" s="68">
        <v>25</v>
      </c>
      <c r="K80" s="68"/>
      <c r="L80" s="68">
        <v>7.17</v>
      </c>
      <c r="M80" s="68">
        <v>0</v>
      </c>
      <c r="N80" s="68">
        <v>17.97</v>
      </c>
      <c r="O80" s="68">
        <v>0.6</v>
      </c>
      <c r="P80" s="68"/>
      <c r="Q80" s="69"/>
      <c r="R80" s="68">
        <v>0</v>
      </c>
      <c r="S80" s="69"/>
      <c r="T80" s="69"/>
      <c r="U80" s="68">
        <v>50.74</v>
      </c>
      <c r="V80" s="69"/>
      <c r="W80" s="69"/>
      <c r="X80" s="69"/>
      <c r="Y80" s="69"/>
      <c r="Z80" s="69"/>
      <c r="AA80" s="68">
        <v>0</v>
      </c>
      <c r="AB80" s="69"/>
      <c r="AC80" s="68">
        <v>50.74</v>
      </c>
      <c r="AD80" s="68">
        <v>0</v>
      </c>
    </row>
    <row r="81" spans="1:30" ht="12" thickBot="1" x14ac:dyDescent="0.25">
      <c r="A81" s="66" t="s">
        <v>249</v>
      </c>
      <c r="B81" s="447" t="str">
        <f>VLOOKUP($D81,'Retail Rates'!$B$7:$D$35,2,FALSE)</f>
        <v>860</v>
      </c>
      <c r="C81" s="447" t="str">
        <f>VLOOKUP($D81,'Retail Rates'!$B$7:$D$35,3,FALSE)</f>
        <v>CGS</v>
      </c>
      <c r="D81" s="66" t="s">
        <v>34</v>
      </c>
      <c r="E81" s="66" t="s">
        <v>35</v>
      </c>
      <c r="F81" s="66" t="s">
        <v>22</v>
      </c>
      <c r="G81" s="70">
        <v>1</v>
      </c>
      <c r="H81" s="71">
        <v>304</v>
      </c>
      <c r="I81" s="71"/>
      <c r="J81" s="71">
        <v>480</v>
      </c>
      <c r="K81" s="71"/>
      <c r="L81" s="71">
        <v>56.91</v>
      </c>
      <c r="M81" s="71">
        <v>0</v>
      </c>
      <c r="N81" s="71">
        <v>170.67</v>
      </c>
      <c r="O81" s="71">
        <v>0.28999999999999998</v>
      </c>
      <c r="P81" s="71"/>
      <c r="Q81" s="72"/>
      <c r="R81" s="71">
        <v>0</v>
      </c>
      <c r="S81" s="72"/>
      <c r="T81" s="72"/>
      <c r="U81" s="71">
        <v>707.87</v>
      </c>
      <c r="V81" s="72"/>
      <c r="W81" s="72"/>
      <c r="X81" s="72"/>
      <c r="Y81" s="72"/>
      <c r="Z81" s="72"/>
      <c r="AA81" s="71">
        <v>42.47</v>
      </c>
      <c r="AB81" s="72"/>
      <c r="AC81" s="71">
        <v>750.34</v>
      </c>
      <c r="AD81" s="71">
        <v>0</v>
      </c>
    </row>
    <row r="82" spans="1:30" ht="12" thickBot="1" x14ac:dyDescent="0.25">
      <c r="A82" s="66" t="s">
        <v>249</v>
      </c>
      <c r="B82" s="447" t="str">
        <f>VLOOKUP($D82,'Retail Rates'!$B$7:$D$35,2,FALSE)</f>
        <v>860</v>
      </c>
      <c r="C82" s="447" t="str">
        <f>VLOOKUP($D82,'Retail Rates'!$B$7:$D$35,3,FALSE)</f>
        <v>CGS</v>
      </c>
      <c r="D82" s="66" t="s">
        <v>34</v>
      </c>
      <c r="E82" s="66" t="s">
        <v>35</v>
      </c>
      <c r="F82" s="66" t="s">
        <v>26</v>
      </c>
      <c r="G82" s="67">
        <v>2</v>
      </c>
      <c r="H82" s="68">
        <v>54</v>
      </c>
      <c r="I82" s="68"/>
      <c r="J82" s="68">
        <v>90</v>
      </c>
      <c r="K82" s="68"/>
      <c r="L82" s="68">
        <v>10.11</v>
      </c>
      <c r="M82" s="68">
        <v>0</v>
      </c>
      <c r="N82" s="68">
        <v>30.32</v>
      </c>
      <c r="O82" s="68">
        <v>0.05</v>
      </c>
      <c r="P82" s="68"/>
      <c r="Q82" s="69"/>
      <c r="R82" s="68">
        <v>0</v>
      </c>
      <c r="S82" s="69"/>
      <c r="T82" s="69"/>
      <c r="U82" s="68">
        <v>130.47999999999999</v>
      </c>
      <c r="V82" s="69"/>
      <c r="W82" s="69"/>
      <c r="X82" s="69"/>
      <c r="Y82" s="69"/>
      <c r="Z82" s="69"/>
      <c r="AA82" s="68">
        <v>0</v>
      </c>
      <c r="AB82" s="69"/>
      <c r="AC82" s="68">
        <v>130.47999999999999</v>
      </c>
      <c r="AD82" s="68">
        <v>0</v>
      </c>
    </row>
    <row r="83" spans="1:30" ht="12" thickBot="1" x14ac:dyDescent="0.25">
      <c r="A83" s="66" t="s">
        <v>249</v>
      </c>
      <c r="B83" s="447" t="str">
        <f>VLOOKUP($D83,'Retail Rates'!$B$7:$D$35,2,FALSE)</f>
        <v>861</v>
      </c>
      <c r="C83" s="447" t="str">
        <f>VLOOKUP($D83,'Retail Rates'!$B$7:$D$35,3,FALSE)</f>
        <v>CGS</v>
      </c>
      <c r="D83" s="66" t="s">
        <v>41</v>
      </c>
      <c r="E83" s="66" t="s">
        <v>42</v>
      </c>
      <c r="F83" s="66" t="s">
        <v>22</v>
      </c>
      <c r="G83" s="70">
        <v>609</v>
      </c>
      <c r="H83" s="71">
        <v>635</v>
      </c>
      <c r="I83" s="71"/>
      <c r="J83" s="71">
        <v>19155.64</v>
      </c>
      <c r="K83" s="71"/>
      <c r="L83" s="71">
        <v>120.3</v>
      </c>
      <c r="M83" s="71">
        <v>1.84</v>
      </c>
      <c r="N83" s="71">
        <v>354.95</v>
      </c>
      <c r="O83" s="71">
        <v>0</v>
      </c>
      <c r="P83" s="71"/>
      <c r="Q83" s="72"/>
      <c r="R83" s="71">
        <v>0</v>
      </c>
      <c r="S83" s="72"/>
      <c r="T83" s="72"/>
      <c r="U83" s="71">
        <v>19630.89</v>
      </c>
      <c r="V83" s="72"/>
      <c r="W83" s="72"/>
      <c r="X83" s="72"/>
      <c r="Y83" s="72"/>
      <c r="Z83" s="72"/>
      <c r="AA83" s="71">
        <v>1239.1099999999999</v>
      </c>
      <c r="AB83" s="72"/>
      <c r="AC83" s="71">
        <v>20871.84</v>
      </c>
      <c r="AD83" s="71">
        <v>0</v>
      </c>
    </row>
    <row r="84" spans="1:30" ht="12" thickBot="1" x14ac:dyDescent="0.25">
      <c r="A84" s="66" t="s">
        <v>250</v>
      </c>
      <c r="B84" s="447" t="str">
        <f>VLOOKUP($D84,'Retail Rates'!$B$7:$D$35,2,FALSE)</f>
        <v>851</v>
      </c>
      <c r="C84" s="447" t="str">
        <f>VLOOKUP($D84,'Retail Rates'!$B$7:$D$35,3,FALSE)</f>
        <v>CGS</v>
      </c>
      <c r="D84" s="66" t="s">
        <v>37</v>
      </c>
      <c r="E84" s="66" t="s">
        <v>38</v>
      </c>
      <c r="F84" s="66" t="s">
        <v>22</v>
      </c>
      <c r="G84" s="67">
        <v>23623</v>
      </c>
      <c r="H84" s="68">
        <v>1654724</v>
      </c>
      <c r="I84" s="68">
        <v>731037</v>
      </c>
      <c r="J84" s="68">
        <v>711126.56</v>
      </c>
      <c r="K84" s="68">
        <v>134124.32999999999</v>
      </c>
      <c r="L84" s="68">
        <v>410110.26</v>
      </c>
      <c r="M84" s="68">
        <v>1006.1</v>
      </c>
      <c r="N84" s="68">
        <v>1338512.96</v>
      </c>
      <c r="O84" s="68">
        <v>2287.46</v>
      </c>
      <c r="P84" s="68">
        <v>-156.41</v>
      </c>
      <c r="Q84" s="69"/>
      <c r="R84" s="68">
        <v>0</v>
      </c>
      <c r="S84" s="69"/>
      <c r="T84" s="69"/>
      <c r="U84" s="68">
        <v>2596005.16</v>
      </c>
      <c r="V84" s="69"/>
      <c r="W84" s="69"/>
      <c r="X84" s="69"/>
      <c r="Y84" s="69"/>
      <c r="Z84" s="69"/>
      <c r="AA84" s="68">
        <v>145128.34</v>
      </c>
      <c r="AB84" s="69"/>
      <c r="AC84" s="68">
        <v>2742139.6</v>
      </c>
      <c r="AD84" s="68">
        <v>0</v>
      </c>
    </row>
    <row r="85" spans="1:30" ht="12" thickBot="1" x14ac:dyDescent="0.25">
      <c r="A85" s="66" t="s">
        <v>250</v>
      </c>
      <c r="B85" s="447" t="str">
        <f>VLOOKUP($D85,'Retail Rates'!$B$7:$D$35,2,FALSE)</f>
        <v>851</v>
      </c>
      <c r="C85" s="447" t="str">
        <f>VLOOKUP($D85,'Retail Rates'!$B$7:$D$35,3,FALSE)</f>
        <v>CGS</v>
      </c>
      <c r="D85" s="66" t="s">
        <v>37</v>
      </c>
      <c r="E85" s="66" t="s">
        <v>38</v>
      </c>
      <c r="F85" s="66" t="s">
        <v>26</v>
      </c>
      <c r="G85" s="70">
        <v>1161</v>
      </c>
      <c r="H85" s="71">
        <v>139232</v>
      </c>
      <c r="I85" s="71">
        <v>91695</v>
      </c>
      <c r="J85" s="71">
        <v>27433</v>
      </c>
      <c r="K85" s="71">
        <v>49317</v>
      </c>
      <c r="L85" s="71">
        <v>38649.21</v>
      </c>
      <c r="M85" s="71">
        <v>72.58</v>
      </c>
      <c r="N85" s="71">
        <v>129549.6</v>
      </c>
      <c r="O85" s="71">
        <v>221.65</v>
      </c>
      <c r="P85" s="71">
        <v>-1.52</v>
      </c>
      <c r="Q85" s="72"/>
      <c r="R85" s="71">
        <v>0</v>
      </c>
      <c r="S85" s="72"/>
      <c r="T85" s="72"/>
      <c r="U85" s="71">
        <v>245168.94</v>
      </c>
      <c r="V85" s="72"/>
      <c r="W85" s="72"/>
      <c r="X85" s="72"/>
      <c r="Y85" s="72"/>
      <c r="Z85" s="72"/>
      <c r="AA85" s="71">
        <v>1475.58</v>
      </c>
      <c r="AB85" s="72"/>
      <c r="AC85" s="71">
        <v>246717.1</v>
      </c>
      <c r="AD85" s="71">
        <v>0</v>
      </c>
    </row>
    <row r="86" spans="1:30" ht="12" thickBot="1" x14ac:dyDescent="0.25">
      <c r="A86" s="66" t="s">
        <v>250</v>
      </c>
      <c r="B86" s="447" t="str">
        <f>VLOOKUP($D86,'Retail Rates'!$B$7:$D$35,2,FALSE)</f>
        <v>851</v>
      </c>
      <c r="C86" s="447" t="str">
        <f>VLOOKUP($D86,'Retail Rates'!$B$7:$D$35,3,FALSE)</f>
        <v>CGS</v>
      </c>
      <c r="D86" s="66" t="s">
        <v>37</v>
      </c>
      <c r="E86" s="66" t="s">
        <v>38</v>
      </c>
      <c r="F86" s="66" t="s">
        <v>40</v>
      </c>
      <c r="G86" s="67">
        <v>6</v>
      </c>
      <c r="H86" s="68">
        <v>1066</v>
      </c>
      <c r="I86" s="68">
        <v>205</v>
      </c>
      <c r="J86" s="68">
        <v>180</v>
      </c>
      <c r="K86" s="68">
        <v>170</v>
      </c>
      <c r="L86" s="68">
        <v>227.71</v>
      </c>
      <c r="M86" s="68">
        <v>0</v>
      </c>
      <c r="N86" s="68">
        <v>713.15</v>
      </c>
      <c r="O86" s="68">
        <v>1.23</v>
      </c>
      <c r="P86" s="68"/>
      <c r="Q86" s="69"/>
      <c r="R86" s="68">
        <v>0</v>
      </c>
      <c r="S86" s="69"/>
      <c r="T86" s="69"/>
      <c r="U86" s="68">
        <v>1292.0899999999999</v>
      </c>
      <c r="V86" s="69"/>
      <c r="W86" s="69"/>
      <c r="X86" s="69"/>
      <c r="Y86" s="69"/>
      <c r="Z86" s="69"/>
      <c r="AA86" s="68">
        <v>0.9</v>
      </c>
      <c r="AB86" s="69"/>
      <c r="AC86" s="68">
        <v>1292.99</v>
      </c>
      <c r="AD86" s="68">
        <v>0</v>
      </c>
    </row>
    <row r="87" spans="1:30" ht="12" thickBot="1" x14ac:dyDescent="0.25">
      <c r="A87" s="66" t="s">
        <v>250</v>
      </c>
      <c r="B87" s="447" t="str">
        <f>VLOOKUP($D87,'Retail Rates'!$B$7:$D$35,2,FALSE)</f>
        <v>865</v>
      </c>
      <c r="C87" s="447" t="str">
        <f>VLOOKUP($D87,'Retail Rates'!$B$7:$D$35,3,FALSE)</f>
        <v>AAGS-C</v>
      </c>
      <c r="D87" s="66" t="s">
        <v>23</v>
      </c>
      <c r="E87" s="66" t="s">
        <v>24</v>
      </c>
      <c r="F87" s="66" t="s">
        <v>22</v>
      </c>
      <c r="G87" s="70">
        <v>4</v>
      </c>
      <c r="H87" s="71">
        <v>39913</v>
      </c>
      <c r="I87" s="71"/>
      <c r="J87" s="71">
        <v>1375</v>
      </c>
      <c r="K87" s="71"/>
      <c r="L87" s="71">
        <v>2096.2399999999998</v>
      </c>
      <c r="M87" s="71">
        <v>0</v>
      </c>
      <c r="N87" s="71">
        <v>22388.97</v>
      </c>
      <c r="O87" s="71">
        <v>38.32</v>
      </c>
      <c r="P87" s="71"/>
      <c r="Q87" s="72"/>
      <c r="R87" s="71">
        <v>0</v>
      </c>
      <c r="S87" s="72"/>
      <c r="T87" s="72"/>
      <c r="U87" s="71">
        <v>25898.53</v>
      </c>
      <c r="V87" s="72"/>
      <c r="W87" s="72"/>
      <c r="X87" s="72"/>
      <c r="Y87" s="72"/>
      <c r="Z87" s="72"/>
      <c r="AA87" s="71">
        <v>615.80999999999995</v>
      </c>
      <c r="AB87" s="72"/>
      <c r="AC87" s="71">
        <v>26514.34</v>
      </c>
      <c r="AD87" s="71">
        <v>0</v>
      </c>
    </row>
    <row r="88" spans="1:30" ht="12" thickBot="1" x14ac:dyDescent="0.25">
      <c r="A88" s="66" t="s">
        <v>250</v>
      </c>
      <c r="B88" s="447" t="str">
        <f>VLOOKUP($D88,'Retail Rates'!$B$7:$D$35,2,FALSE)</f>
        <v>865</v>
      </c>
      <c r="C88" s="447" t="str">
        <f>VLOOKUP($D88,'Retail Rates'!$B$7:$D$35,3,FALSE)</f>
        <v>AAGS-C</v>
      </c>
      <c r="D88" s="66" t="s">
        <v>23</v>
      </c>
      <c r="E88" s="66" t="s">
        <v>24</v>
      </c>
      <c r="F88" s="66" t="s">
        <v>26</v>
      </c>
      <c r="G88" s="67">
        <v>1</v>
      </c>
      <c r="H88" s="68">
        <v>34527</v>
      </c>
      <c r="I88" s="68"/>
      <c r="J88" s="68">
        <v>275</v>
      </c>
      <c r="K88" s="68"/>
      <c r="L88" s="68">
        <v>1813.36</v>
      </c>
      <c r="M88" s="68">
        <v>0</v>
      </c>
      <c r="N88" s="68">
        <v>19359.560000000001</v>
      </c>
      <c r="O88" s="68">
        <v>33.15</v>
      </c>
      <c r="P88" s="68"/>
      <c r="Q88" s="69"/>
      <c r="R88" s="68">
        <v>0</v>
      </c>
      <c r="S88" s="69"/>
      <c r="T88" s="69"/>
      <c r="U88" s="68">
        <v>21481.07</v>
      </c>
      <c r="V88" s="69"/>
      <c r="W88" s="69"/>
      <c r="X88" s="69"/>
      <c r="Y88" s="69"/>
      <c r="Z88" s="69"/>
      <c r="AA88" s="68">
        <v>0</v>
      </c>
      <c r="AB88" s="69"/>
      <c r="AC88" s="68">
        <v>21481.07</v>
      </c>
      <c r="AD88" s="68">
        <v>0</v>
      </c>
    </row>
    <row r="89" spans="1:30" ht="12" thickBot="1" x14ac:dyDescent="0.25">
      <c r="A89" s="66" t="s">
        <v>250</v>
      </c>
      <c r="B89" s="447" t="str">
        <f>VLOOKUP($D89,'Retail Rates'!$B$7:$D$35,2,FALSE)</f>
        <v>855</v>
      </c>
      <c r="C89" s="447" t="str">
        <f>VLOOKUP($D89,'Retail Rates'!$B$7:$D$35,3,FALSE)</f>
        <v>IGS</v>
      </c>
      <c r="D89" s="66" t="s">
        <v>45</v>
      </c>
      <c r="E89" s="66" t="s">
        <v>46</v>
      </c>
      <c r="F89" s="66" t="s">
        <v>28</v>
      </c>
      <c r="G89" s="70">
        <v>204</v>
      </c>
      <c r="H89" s="71">
        <v>56590</v>
      </c>
      <c r="I89" s="71">
        <v>382664</v>
      </c>
      <c r="J89" s="71">
        <v>3600</v>
      </c>
      <c r="K89" s="71">
        <v>18190</v>
      </c>
      <c r="L89" s="71">
        <v>64421.74</v>
      </c>
      <c r="M89" s="71">
        <v>0</v>
      </c>
      <c r="N89" s="71">
        <v>246402.4</v>
      </c>
      <c r="O89" s="71"/>
      <c r="P89" s="71"/>
      <c r="Q89" s="72"/>
      <c r="R89" s="71">
        <v>0</v>
      </c>
      <c r="S89" s="72"/>
      <c r="T89" s="72"/>
      <c r="U89" s="71">
        <v>332614.14</v>
      </c>
      <c r="V89" s="72"/>
      <c r="W89" s="72"/>
      <c r="X89" s="72"/>
      <c r="Y89" s="72"/>
      <c r="Z89" s="72"/>
      <c r="AA89" s="71">
        <v>13864.11</v>
      </c>
      <c r="AB89" s="72"/>
      <c r="AC89" s="71">
        <v>346478.25</v>
      </c>
      <c r="AD89" s="71">
        <v>0</v>
      </c>
    </row>
    <row r="90" spans="1:30" ht="12" thickBot="1" x14ac:dyDescent="0.25">
      <c r="A90" s="66" t="s">
        <v>250</v>
      </c>
      <c r="B90" s="447" t="str">
        <f>VLOOKUP($D90,'Retail Rates'!$B$7:$D$35,2,FALSE)</f>
        <v>855</v>
      </c>
      <c r="C90" s="447" t="str">
        <f>VLOOKUP($D90,'Retail Rates'!$B$7:$D$35,3,FALSE)</f>
        <v>IGS</v>
      </c>
      <c r="D90" s="66" t="s">
        <v>45</v>
      </c>
      <c r="E90" s="66" t="s">
        <v>46</v>
      </c>
      <c r="F90" s="66" t="s">
        <v>22</v>
      </c>
      <c r="G90" s="67">
        <v>1</v>
      </c>
      <c r="H90" s="68">
        <v>1000</v>
      </c>
      <c r="I90" s="68">
        <v>2126</v>
      </c>
      <c r="J90" s="68"/>
      <c r="K90" s="68">
        <v>170</v>
      </c>
      <c r="L90" s="68">
        <v>488.33</v>
      </c>
      <c r="M90" s="68">
        <v>0</v>
      </c>
      <c r="N90" s="68">
        <v>1753.45</v>
      </c>
      <c r="O90" s="68"/>
      <c r="P90" s="68"/>
      <c r="Q90" s="69"/>
      <c r="R90" s="68">
        <v>0</v>
      </c>
      <c r="S90" s="69"/>
      <c r="T90" s="69"/>
      <c r="U90" s="68">
        <v>2411.7800000000002</v>
      </c>
      <c r="V90" s="69"/>
      <c r="W90" s="69"/>
      <c r="X90" s="69"/>
      <c r="Y90" s="69"/>
      <c r="Z90" s="69"/>
      <c r="AA90" s="68">
        <v>144.71</v>
      </c>
      <c r="AB90" s="69"/>
      <c r="AC90" s="68">
        <v>2556.4899999999998</v>
      </c>
      <c r="AD90" s="68">
        <v>0</v>
      </c>
    </row>
    <row r="91" spans="1:30" ht="12" thickBot="1" x14ac:dyDescent="0.25">
      <c r="A91" s="66" t="s">
        <v>250</v>
      </c>
      <c r="B91" s="447" t="str">
        <f>VLOOKUP($D91,'Retail Rates'!$B$7:$D$35,2,FALSE)</f>
        <v>855</v>
      </c>
      <c r="C91" s="447" t="str">
        <f>VLOOKUP($D91,'Retail Rates'!$B$7:$D$35,3,FALSE)</f>
        <v>IGS</v>
      </c>
      <c r="D91" s="66" t="s">
        <v>45</v>
      </c>
      <c r="E91" s="66" t="s">
        <v>46</v>
      </c>
      <c r="F91" s="66" t="s">
        <v>26</v>
      </c>
      <c r="G91" s="70">
        <v>5</v>
      </c>
      <c r="H91" s="71">
        <v>74</v>
      </c>
      <c r="I91" s="71"/>
      <c r="J91" s="71">
        <v>120</v>
      </c>
      <c r="K91" s="71">
        <v>170</v>
      </c>
      <c r="L91" s="71">
        <v>14.07</v>
      </c>
      <c r="M91" s="71">
        <v>0</v>
      </c>
      <c r="N91" s="71">
        <v>41.49</v>
      </c>
      <c r="O91" s="71"/>
      <c r="P91" s="71"/>
      <c r="Q91" s="72"/>
      <c r="R91" s="71">
        <v>0</v>
      </c>
      <c r="S91" s="72"/>
      <c r="T91" s="72"/>
      <c r="U91" s="71">
        <v>345.56</v>
      </c>
      <c r="V91" s="72"/>
      <c r="W91" s="72"/>
      <c r="X91" s="72"/>
      <c r="Y91" s="72"/>
      <c r="Z91" s="72"/>
      <c r="AA91" s="71">
        <v>0</v>
      </c>
      <c r="AB91" s="72"/>
      <c r="AC91" s="71">
        <v>345.56</v>
      </c>
      <c r="AD91" s="71">
        <v>0</v>
      </c>
    </row>
    <row r="92" spans="1:30" ht="12" thickBot="1" x14ac:dyDescent="0.25">
      <c r="A92" s="66" t="s">
        <v>250</v>
      </c>
      <c r="B92" s="447" t="str">
        <f>VLOOKUP($D92,'Retail Rates'!$B$7:$D$35,2,FALSE)</f>
        <v>866</v>
      </c>
      <c r="C92" s="447" t="str">
        <f>VLOOKUP($D92,'Retail Rates'!$B$7:$D$35,3,FALSE)</f>
        <v>AAGS-I</v>
      </c>
      <c r="D92" s="66" t="s">
        <v>29</v>
      </c>
      <c r="E92" s="66" t="s">
        <v>30</v>
      </c>
      <c r="F92" s="66" t="s">
        <v>28</v>
      </c>
      <c r="G92" s="67">
        <v>8</v>
      </c>
      <c r="H92" s="68">
        <v>89537</v>
      </c>
      <c r="I92" s="68"/>
      <c r="J92" s="68">
        <v>2475</v>
      </c>
      <c r="K92" s="68"/>
      <c r="L92" s="68">
        <v>4702.47</v>
      </c>
      <c r="M92" s="68">
        <v>0</v>
      </c>
      <c r="N92" s="68">
        <v>50219.199999999997</v>
      </c>
      <c r="O92" s="68"/>
      <c r="P92" s="68"/>
      <c r="Q92" s="69"/>
      <c r="R92" s="68">
        <v>0</v>
      </c>
      <c r="S92" s="69"/>
      <c r="T92" s="69"/>
      <c r="U92" s="68">
        <v>57396.67</v>
      </c>
      <c r="V92" s="69"/>
      <c r="W92" s="69"/>
      <c r="X92" s="69"/>
      <c r="Y92" s="69"/>
      <c r="Z92" s="69"/>
      <c r="AA92" s="68">
        <v>2392.8000000000002</v>
      </c>
      <c r="AB92" s="69"/>
      <c r="AC92" s="68">
        <v>59789.47</v>
      </c>
      <c r="AD92" s="68">
        <v>0</v>
      </c>
    </row>
    <row r="93" spans="1:30" ht="12" thickBot="1" x14ac:dyDescent="0.25">
      <c r="A93" s="66" t="s">
        <v>250</v>
      </c>
      <c r="B93" s="447" t="str">
        <f>VLOOKUP($D93,'Retail Rates'!$B$7:$D$35,2,FALSE)</f>
        <v>866</v>
      </c>
      <c r="C93" s="447" t="str">
        <f>VLOOKUP($D93,'Retail Rates'!$B$7:$D$35,3,FALSE)</f>
        <v>AAGS-I</v>
      </c>
      <c r="D93" s="66" t="s">
        <v>29</v>
      </c>
      <c r="E93" s="66" t="s">
        <v>30</v>
      </c>
      <c r="F93" s="66" t="s">
        <v>26</v>
      </c>
      <c r="G93" s="70">
        <v>1</v>
      </c>
      <c r="H93" s="71">
        <v>11610</v>
      </c>
      <c r="I93" s="71"/>
      <c r="J93" s="71">
        <v>275</v>
      </c>
      <c r="K93" s="71"/>
      <c r="L93" s="71">
        <v>609.76</v>
      </c>
      <c r="M93" s="71">
        <v>0</v>
      </c>
      <c r="N93" s="71">
        <v>6509.79</v>
      </c>
      <c r="O93" s="71"/>
      <c r="P93" s="71"/>
      <c r="Q93" s="72"/>
      <c r="R93" s="71">
        <v>0</v>
      </c>
      <c r="S93" s="72"/>
      <c r="T93" s="72"/>
      <c r="U93" s="71">
        <v>7394.55</v>
      </c>
      <c r="V93" s="72"/>
      <c r="W93" s="72"/>
      <c r="X93" s="72"/>
      <c r="Y93" s="72"/>
      <c r="Z93" s="72"/>
      <c r="AA93" s="71">
        <v>0</v>
      </c>
      <c r="AB93" s="72"/>
      <c r="AC93" s="71">
        <v>7394.55</v>
      </c>
      <c r="AD93" s="71">
        <v>0</v>
      </c>
    </row>
    <row r="94" spans="1:30" ht="12" thickBot="1" x14ac:dyDescent="0.25">
      <c r="A94" s="66" t="s">
        <v>250</v>
      </c>
      <c r="B94" s="447" t="str">
        <f>VLOOKUP($D94,'Retail Rates'!$B$7:$D$35,2,FALSE)</f>
        <v>811</v>
      </c>
      <c r="C94" s="447" t="str">
        <f>VLOOKUP($D94,'Retail Rates'!$B$7:$D$35,3,FALSE)</f>
        <v>RGS</v>
      </c>
      <c r="D94" s="66" t="s">
        <v>52</v>
      </c>
      <c r="E94" s="66" t="s">
        <v>53</v>
      </c>
      <c r="F94" s="66" t="s">
        <v>22</v>
      </c>
      <c r="G94" s="70">
        <v>3</v>
      </c>
      <c r="H94" s="71">
        <v>32</v>
      </c>
      <c r="I94" s="71"/>
      <c r="J94" s="71">
        <v>37.5</v>
      </c>
      <c r="K94" s="71"/>
      <c r="L94" s="71">
        <v>7.17</v>
      </c>
      <c r="M94" s="71">
        <v>0</v>
      </c>
      <c r="N94" s="71">
        <v>17.940000000000001</v>
      </c>
      <c r="O94" s="71">
        <v>0.6</v>
      </c>
      <c r="P94" s="71"/>
      <c r="Q94" s="72">
        <v>0.45</v>
      </c>
      <c r="R94" s="71">
        <v>0</v>
      </c>
      <c r="S94" s="72"/>
      <c r="T94" s="72"/>
      <c r="U94" s="71">
        <v>63.21</v>
      </c>
      <c r="V94" s="72"/>
      <c r="W94" s="72"/>
      <c r="X94" s="72"/>
      <c r="Y94" s="72"/>
      <c r="Z94" s="72"/>
      <c r="AA94" s="71">
        <v>3.13</v>
      </c>
      <c r="AB94" s="72"/>
      <c r="AC94" s="71">
        <v>66.790000000000006</v>
      </c>
      <c r="AD94" s="71">
        <v>0</v>
      </c>
    </row>
    <row r="95" spans="1:30" ht="12" thickBot="1" x14ac:dyDescent="0.25">
      <c r="A95" s="66" t="s">
        <v>250</v>
      </c>
      <c r="B95" s="447" t="str">
        <f>VLOOKUP($D95,'Retail Rates'!$B$7:$D$35,2,FALSE)</f>
        <v>811</v>
      </c>
      <c r="C95" s="447" t="str">
        <f>VLOOKUP($D95,'Retail Rates'!$B$7:$D$35,3,FALSE)</f>
        <v>RGS</v>
      </c>
      <c r="D95" s="66" t="s">
        <v>52</v>
      </c>
      <c r="E95" s="66" t="s">
        <v>53</v>
      </c>
      <c r="F95" s="66" t="s">
        <v>26</v>
      </c>
      <c r="G95" s="67">
        <v>43</v>
      </c>
      <c r="H95" s="68">
        <v>250</v>
      </c>
      <c r="I95" s="68"/>
      <c r="J95" s="68">
        <v>537.5</v>
      </c>
      <c r="K95" s="68"/>
      <c r="L95" s="68">
        <v>56</v>
      </c>
      <c r="M95" s="68">
        <v>0</v>
      </c>
      <c r="N95" s="68">
        <v>140.21</v>
      </c>
      <c r="O95" s="68">
        <v>4.75</v>
      </c>
      <c r="P95" s="68"/>
      <c r="Q95" s="69">
        <v>6.45</v>
      </c>
      <c r="R95" s="68">
        <v>0</v>
      </c>
      <c r="S95" s="69"/>
      <c r="T95" s="69"/>
      <c r="U95" s="68">
        <v>738.46</v>
      </c>
      <c r="V95" s="69"/>
      <c r="W95" s="69"/>
      <c r="X95" s="69"/>
      <c r="Y95" s="69"/>
      <c r="Z95" s="69"/>
      <c r="AA95" s="68">
        <v>0.38</v>
      </c>
      <c r="AB95" s="69"/>
      <c r="AC95" s="68">
        <v>745.29</v>
      </c>
      <c r="AD95" s="68">
        <v>0</v>
      </c>
    </row>
    <row r="96" spans="1:30" ht="12" thickBot="1" x14ac:dyDescent="0.25">
      <c r="A96" s="66" t="s">
        <v>250</v>
      </c>
      <c r="B96" s="447" t="str">
        <f>VLOOKUP($D96,'Retail Rates'!$B$7:$D$35,2,FALSE)</f>
        <v>811</v>
      </c>
      <c r="C96" s="447" t="str">
        <f>VLOOKUP($D96,'Retail Rates'!$B$7:$D$35,3,FALSE)</f>
        <v>RGS</v>
      </c>
      <c r="D96" s="66" t="s">
        <v>52</v>
      </c>
      <c r="E96" s="66" t="s">
        <v>53</v>
      </c>
      <c r="F96" s="66" t="s">
        <v>40</v>
      </c>
      <c r="G96" s="70">
        <v>291658</v>
      </c>
      <c r="H96" s="71">
        <v>3589973</v>
      </c>
      <c r="I96" s="71"/>
      <c r="J96" s="71">
        <v>3638560.02</v>
      </c>
      <c r="K96" s="71"/>
      <c r="L96" s="71">
        <v>804101.08</v>
      </c>
      <c r="M96" s="71">
        <v>1548.7</v>
      </c>
      <c r="N96" s="71">
        <v>2013731.95</v>
      </c>
      <c r="O96" s="71">
        <v>67812.570000000007</v>
      </c>
      <c r="P96" s="71">
        <v>-165.82</v>
      </c>
      <c r="Q96" s="72">
        <v>44237.85</v>
      </c>
      <c r="R96" s="71">
        <v>0</v>
      </c>
      <c r="S96" s="72"/>
      <c r="T96" s="72"/>
      <c r="U96" s="71">
        <v>6524039.7999999998</v>
      </c>
      <c r="V96" s="72"/>
      <c r="W96" s="72"/>
      <c r="X96" s="72"/>
      <c r="Y96" s="72"/>
      <c r="Z96" s="72"/>
      <c r="AA96" s="71">
        <v>24757.01</v>
      </c>
      <c r="AB96" s="72"/>
      <c r="AC96" s="71">
        <v>6594583.3600000003</v>
      </c>
      <c r="AD96" s="71">
        <v>0</v>
      </c>
    </row>
    <row r="97" spans="1:30" ht="12" thickBot="1" x14ac:dyDescent="0.25">
      <c r="A97" s="66" t="s">
        <v>250</v>
      </c>
      <c r="B97" s="447" t="str">
        <f>VLOOKUP($D97,'Retail Rates'!$B$7:$D$35,2,FALSE)</f>
        <v>811</v>
      </c>
      <c r="C97" s="447" t="str">
        <f>VLOOKUP($D97,'Retail Rates'!$B$7:$D$35,3,FALSE)</f>
        <v>RGS</v>
      </c>
      <c r="D97" s="66" t="s">
        <v>55</v>
      </c>
      <c r="E97" s="66" t="s">
        <v>56</v>
      </c>
      <c r="F97" s="66" t="s">
        <v>40</v>
      </c>
      <c r="G97" s="67">
        <v>1</v>
      </c>
      <c r="H97" s="68">
        <v>27</v>
      </c>
      <c r="I97" s="68"/>
      <c r="J97" s="68">
        <v>0.5</v>
      </c>
      <c r="K97" s="68"/>
      <c r="L97" s="68">
        <v>-1.22</v>
      </c>
      <c r="M97" s="68"/>
      <c r="N97" s="68">
        <v>15.13</v>
      </c>
      <c r="O97" s="68"/>
      <c r="P97" s="68"/>
      <c r="Q97" s="69"/>
      <c r="R97" s="68"/>
      <c r="S97" s="69"/>
      <c r="T97" s="69"/>
      <c r="U97" s="68">
        <v>14.41</v>
      </c>
      <c r="V97" s="69"/>
      <c r="W97" s="69"/>
      <c r="X97" s="69"/>
      <c r="Y97" s="69"/>
      <c r="Z97" s="69"/>
      <c r="AA97" s="68">
        <v>0</v>
      </c>
      <c r="AB97" s="69"/>
      <c r="AC97" s="68">
        <v>14.41</v>
      </c>
      <c r="AD97" s="68">
        <v>0</v>
      </c>
    </row>
    <row r="98" spans="1:30" ht="12" thickBot="1" x14ac:dyDescent="0.25">
      <c r="A98" s="66" t="s">
        <v>250</v>
      </c>
      <c r="B98" s="447" t="str">
        <f>VLOOKUP($D98,'Retail Rates'!$B$7:$D$35,2,FALSE)</f>
        <v>840</v>
      </c>
      <c r="C98" s="447" t="str">
        <f>VLOOKUP($D98,'Retail Rates'!$B$7:$D$35,3,FALSE)</f>
        <v>RGS</v>
      </c>
      <c r="D98" s="66" t="s">
        <v>59</v>
      </c>
      <c r="E98" s="66" t="s">
        <v>60</v>
      </c>
      <c r="F98" s="66" t="s">
        <v>26</v>
      </c>
      <c r="G98" s="70">
        <v>1</v>
      </c>
      <c r="H98" s="71">
        <v>123</v>
      </c>
      <c r="I98" s="71"/>
      <c r="J98" s="71">
        <v>12.5</v>
      </c>
      <c r="K98" s="71"/>
      <c r="L98" s="71">
        <v>27.55</v>
      </c>
      <c r="M98" s="71">
        <v>0</v>
      </c>
      <c r="N98" s="71">
        <v>69.010000000000005</v>
      </c>
      <c r="O98" s="71">
        <v>2.3199999999999998</v>
      </c>
      <c r="P98" s="71"/>
      <c r="Q98" s="72"/>
      <c r="R98" s="71">
        <v>0</v>
      </c>
      <c r="S98" s="72"/>
      <c r="T98" s="72"/>
      <c r="U98" s="71">
        <v>111.38</v>
      </c>
      <c r="V98" s="72"/>
      <c r="W98" s="72"/>
      <c r="X98" s="72"/>
      <c r="Y98" s="72"/>
      <c r="Z98" s="72"/>
      <c r="AA98" s="71">
        <v>0</v>
      </c>
      <c r="AB98" s="72"/>
      <c r="AC98" s="71">
        <v>111.38</v>
      </c>
      <c r="AD98" s="71">
        <v>0</v>
      </c>
    </row>
    <row r="99" spans="1:30" ht="12" thickBot="1" x14ac:dyDescent="0.25">
      <c r="A99" s="66" t="s">
        <v>250</v>
      </c>
      <c r="B99" s="447" t="str">
        <f>VLOOKUP($D99,'Retail Rates'!$B$7:$D$35,2,FALSE)</f>
        <v>840</v>
      </c>
      <c r="C99" s="447" t="str">
        <f>VLOOKUP($D99,'Retail Rates'!$B$7:$D$35,3,FALSE)</f>
        <v>RGS</v>
      </c>
      <c r="D99" s="66" t="s">
        <v>59</v>
      </c>
      <c r="E99" s="66" t="s">
        <v>60</v>
      </c>
      <c r="F99" s="66" t="s">
        <v>40</v>
      </c>
      <c r="G99" s="67">
        <v>3</v>
      </c>
      <c r="H99" s="68">
        <v>199</v>
      </c>
      <c r="I99" s="68"/>
      <c r="J99" s="68">
        <v>37.5</v>
      </c>
      <c r="K99" s="68"/>
      <c r="L99" s="68">
        <v>44.56</v>
      </c>
      <c r="M99" s="68">
        <v>0</v>
      </c>
      <c r="N99" s="68">
        <v>111.6</v>
      </c>
      <c r="O99" s="68">
        <v>3.76</v>
      </c>
      <c r="P99" s="68"/>
      <c r="Q99" s="69"/>
      <c r="R99" s="68">
        <v>0</v>
      </c>
      <c r="S99" s="69"/>
      <c r="T99" s="69"/>
      <c r="U99" s="68">
        <v>197.42</v>
      </c>
      <c r="V99" s="69"/>
      <c r="W99" s="69"/>
      <c r="X99" s="69"/>
      <c r="Y99" s="69"/>
      <c r="Z99" s="69"/>
      <c r="AA99" s="68">
        <v>0.64</v>
      </c>
      <c r="AB99" s="69"/>
      <c r="AC99" s="68">
        <v>198.06</v>
      </c>
      <c r="AD99" s="68">
        <v>0</v>
      </c>
    </row>
    <row r="100" spans="1:30" ht="12" thickBot="1" x14ac:dyDescent="0.25">
      <c r="A100" s="66" t="s">
        <v>250</v>
      </c>
      <c r="B100" s="447" t="str">
        <f>VLOOKUP($D100,'Retail Rates'!$B$7:$D$35,2,FALSE)</f>
        <v>830</v>
      </c>
      <c r="C100" s="447" t="str">
        <f>VLOOKUP($D100,'Retail Rates'!$B$7:$D$35,3,FALSE)</f>
        <v>RGS</v>
      </c>
      <c r="D100" s="66" t="s">
        <v>49</v>
      </c>
      <c r="E100" s="66" t="s">
        <v>50</v>
      </c>
      <c r="F100" s="66" t="s">
        <v>40</v>
      </c>
      <c r="G100" s="70">
        <v>1</v>
      </c>
      <c r="H100" s="71">
        <v>32</v>
      </c>
      <c r="I100" s="71"/>
      <c r="J100" s="71">
        <v>25</v>
      </c>
      <c r="K100" s="71"/>
      <c r="L100" s="71">
        <v>7.17</v>
      </c>
      <c r="M100" s="71">
        <v>0</v>
      </c>
      <c r="N100" s="71">
        <v>17.95</v>
      </c>
      <c r="O100" s="71">
        <v>0.6</v>
      </c>
      <c r="P100" s="71"/>
      <c r="Q100" s="72"/>
      <c r="R100" s="71">
        <v>0</v>
      </c>
      <c r="S100" s="72"/>
      <c r="T100" s="72"/>
      <c r="U100" s="71">
        <v>50.72</v>
      </c>
      <c r="V100" s="72"/>
      <c r="W100" s="72"/>
      <c r="X100" s="72"/>
      <c r="Y100" s="72"/>
      <c r="Z100" s="72"/>
      <c r="AA100" s="71">
        <v>0</v>
      </c>
      <c r="AB100" s="72"/>
      <c r="AC100" s="71">
        <v>50.72</v>
      </c>
      <c r="AD100" s="71">
        <v>0</v>
      </c>
    </row>
    <row r="101" spans="1:30" ht="12" thickBot="1" x14ac:dyDescent="0.25">
      <c r="A101" s="66" t="s">
        <v>250</v>
      </c>
      <c r="B101" s="447" t="str">
        <f>VLOOKUP($D101,'Retail Rates'!$B$7:$D$35,2,FALSE)</f>
        <v>860</v>
      </c>
      <c r="C101" s="447" t="str">
        <f>VLOOKUP($D101,'Retail Rates'!$B$7:$D$35,3,FALSE)</f>
        <v>CGS</v>
      </c>
      <c r="D101" s="66" t="s">
        <v>34</v>
      </c>
      <c r="E101" s="66" t="s">
        <v>35</v>
      </c>
      <c r="F101" s="66" t="s">
        <v>22</v>
      </c>
      <c r="G101" s="67">
        <v>1</v>
      </c>
      <c r="H101" s="68">
        <v>304</v>
      </c>
      <c r="I101" s="68"/>
      <c r="J101" s="68">
        <v>480</v>
      </c>
      <c r="K101" s="68"/>
      <c r="L101" s="68">
        <v>56.91</v>
      </c>
      <c r="M101" s="68">
        <v>0</v>
      </c>
      <c r="N101" s="68">
        <v>170.48</v>
      </c>
      <c r="O101" s="68">
        <v>0.28999999999999998</v>
      </c>
      <c r="P101" s="68"/>
      <c r="Q101" s="69"/>
      <c r="R101" s="68">
        <v>0</v>
      </c>
      <c r="S101" s="69"/>
      <c r="T101" s="69"/>
      <c r="U101" s="68">
        <v>707.68</v>
      </c>
      <c r="V101" s="69"/>
      <c r="W101" s="69"/>
      <c r="X101" s="69"/>
      <c r="Y101" s="69"/>
      <c r="Z101" s="69"/>
      <c r="AA101" s="68">
        <v>42.46</v>
      </c>
      <c r="AB101" s="69"/>
      <c r="AC101" s="68">
        <v>750.14</v>
      </c>
      <c r="AD101" s="68">
        <v>0</v>
      </c>
    </row>
    <row r="102" spans="1:30" ht="12" thickBot="1" x14ac:dyDescent="0.25">
      <c r="A102" s="66" t="s">
        <v>250</v>
      </c>
      <c r="B102" s="447" t="str">
        <f>VLOOKUP($D102,'Retail Rates'!$B$7:$D$35,2,FALSE)</f>
        <v>860</v>
      </c>
      <c r="C102" s="447" t="str">
        <f>VLOOKUP($D102,'Retail Rates'!$B$7:$D$35,3,FALSE)</f>
        <v>CGS</v>
      </c>
      <c r="D102" s="66" t="s">
        <v>34</v>
      </c>
      <c r="E102" s="66" t="s">
        <v>35</v>
      </c>
      <c r="F102" s="66" t="s">
        <v>26</v>
      </c>
      <c r="G102" s="70">
        <v>2</v>
      </c>
      <c r="H102" s="71">
        <v>54</v>
      </c>
      <c r="I102" s="71"/>
      <c r="J102" s="71">
        <v>90</v>
      </c>
      <c r="K102" s="71"/>
      <c r="L102" s="71">
        <v>10.11</v>
      </c>
      <c r="M102" s="71">
        <v>0</v>
      </c>
      <c r="N102" s="71">
        <v>30.29</v>
      </c>
      <c r="O102" s="71">
        <v>0.05</v>
      </c>
      <c r="P102" s="71"/>
      <c r="Q102" s="72"/>
      <c r="R102" s="71">
        <v>0</v>
      </c>
      <c r="S102" s="72"/>
      <c r="T102" s="72"/>
      <c r="U102" s="71">
        <v>130.44999999999999</v>
      </c>
      <c r="V102" s="72"/>
      <c r="W102" s="72"/>
      <c r="X102" s="72"/>
      <c r="Y102" s="72"/>
      <c r="Z102" s="72"/>
      <c r="AA102" s="71">
        <v>0</v>
      </c>
      <c r="AB102" s="72"/>
      <c r="AC102" s="71">
        <v>130.44999999999999</v>
      </c>
      <c r="AD102" s="71">
        <v>0</v>
      </c>
    </row>
    <row r="103" spans="1:30" ht="12" thickBot="1" x14ac:dyDescent="0.25">
      <c r="A103" s="66" t="s">
        <v>250</v>
      </c>
      <c r="B103" s="447" t="str">
        <f>VLOOKUP($D103,'Retail Rates'!$B$7:$D$35,2,FALSE)</f>
        <v>861</v>
      </c>
      <c r="C103" s="447" t="str">
        <f>VLOOKUP($D103,'Retail Rates'!$B$7:$D$35,3,FALSE)</f>
        <v>CGS</v>
      </c>
      <c r="D103" s="66" t="s">
        <v>41</v>
      </c>
      <c r="E103" s="66" t="s">
        <v>42</v>
      </c>
      <c r="F103" s="66" t="s">
        <v>22</v>
      </c>
      <c r="G103" s="67">
        <v>611</v>
      </c>
      <c r="H103" s="68">
        <v>615</v>
      </c>
      <c r="I103" s="68"/>
      <c r="J103" s="68">
        <v>18632</v>
      </c>
      <c r="K103" s="68"/>
      <c r="L103" s="68">
        <v>116.76</v>
      </c>
      <c r="M103" s="68">
        <v>1.84</v>
      </c>
      <c r="N103" s="68">
        <v>344.4</v>
      </c>
      <c r="O103" s="68">
        <v>0</v>
      </c>
      <c r="P103" s="68"/>
      <c r="Q103" s="69"/>
      <c r="R103" s="68">
        <v>0</v>
      </c>
      <c r="S103" s="69"/>
      <c r="T103" s="69"/>
      <c r="U103" s="68">
        <v>19093.16</v>
      </c>
      <c r="V103" s="69"/>
      <c r="W103" s="69"/>
      <c r="X103" s="69"/>
      <c r="Y103" s="69"/>
      <c r="Z103" s="69"/>
      <c r="AA103" s="68">
        <v>1207.8399999999999</v>
      </c>
      <c r="AB103" s="69"/>
      <c r="AC103" s="68">
        <v>20302.84</v>
      </c>
      <c r="AD103" s="68">
        <v>0</v>
      </c>
    </row>
    <row r="104" spans="1:30" ht="12" thickBot="1" x14ac:dyDescent="0.25">
      <c r="A104" s="66" t="s">
        <v>264</v>
      </c>
      <c r="B104" s="447" t="str">
        <f>VLOOKUP($D104,'Retail Rates'!$B$7:$D$35,2,FALSE)</f>
        <v>851</v>
      </c>
      <c r="C104" s="447" t="str">
        <f>VLOOKUP($D104,'Retail Rates'!$B$7:$D$35,3,FALSE)</f>
        <v>CGS</v>
      </c>
      <c r="D104" s="66" t="s">
        <v>37</v>
      </c>
      <c r="E104" s="66" t="s">
        <v>38</v>
      </c>
      <c r="F104" s="66" t="s">
        <v>22</v>
      </c>
      <c r="G104" s="70">
        <v>23666</v>
      </c>
      <c r="H104" s="71">
        <v>1773523</v>
      </c>
      <c r="I104" s="71">
        <v>1012259</v>
      </c>
      <c r="J104" s="71">
        <v>691394.98</v>
      </c>
      <c r="K104" s="71">
        <v>133756.03</v>
      </c>
      <c r="L104" s="71">
        <v>470939.42</v>
      </c>
      <c r="M104" s="71">
        <v>1003.07</v>
      </c>
      <c r="N104" s="71">
        <v>1561311.75</v>
      </c>
      <c r="O104" s="71">
        <v>2669.5</v>
      </c>
      <c r="P104" s="71">
        <v>4.74</v>
      </c>
      <c r="Q104" s="72"/>
      <c r="R104" s="71">
        <v>0</v>
      </c>
      <c r="S104" s="72"/>
      <c r="T104" s="72"/>
      <c r="U104" s="71">
        <v>2860076.42</v>
      </c>
      <c r="V104" s="72"/>
      <c r="W104" s="72"/>
      <c r="X104" s="72"/>
      <c r="Y104" s="72"/>
      <c r="Z104" s="72"/>
      <c r="AA104" s="71">
        <v>154932.01</v>
      </c>
      <c r="AB104" s="72"/>
      <c r="AC104" s="71">
        <v>3016011.5</v>
      </c>
      <c r="AD104" s="71">
        <v>0</v>
      </c>
    </row>
    <row r="105" spans="1:30" ht="12" thickBot="1" x14ac:dyDescent="0.25">
      <c r="A105" s="66" t="s">
        <v>264</v>
      </c>
      <c r="B105" s="447" t="str">
        <f>VLOOKUP($D105,'Retail Rates'!$B$7:$D$35,2,FALSE)</f>
        <v>851</v>
      </c>
      <c r="C105" s="447" t="str">
        <f>VLOOKUP($D105,'Retail Rates'!$B$7:$D$35,3,FALSE)</f>
        <v>CGS</v>
      </c>
      <c r="D105" s="66" t="s">
        <v>37</v>
      </c>
      <c r="E105" s="66" t="s">
        <v>38</v>
      </c>
      <c r="F105" s="66" t="s">
        <v>26</v>
      </c>
      <c r="G105" s="67">
        <v>1156</v>
      </c>
      <c r="H105" s="68">
        <v>171796</v>
      </c>
      <c r="I105" s="68">
        <v>120967</v>
      </c>
      <c r="J105" s="68">
        <v>26888</v>
      </c>
      <c r="K105" s="68">
        <v>47367.67</v>
      </c>
      <c r="L105" s="68">
        <v>48762.74</v>
      </c>
      <c r="M105" s="68">
        <v>86.46</v>
      </c>
      <c r="N105" s="68">
        <v>164093.91</v>
      </c>
      <c r="O105" s="68">
        <v>280.83</v>
      </c>
      <c r="P105" s="68">
        <v>-0.08</v>
      </c>
      <c r="Q105" s="69"/>
      <c r="R105" s="68">
        <v>0</v>
      </c>
      <c r="S105" s="69"/>
      <c r="T105" s="69"/>
      <c r="U105" s="68">
        <v>287393.07</v>
      </c>
      <c r="V105" s="69"/>
      <c r="W105" s="69"/>
      <c r="X105" s="69"/>
      <c r="Y105" s="69"/>
      <c r="Z105" s="69"/>
      <c r="AA105" s="68">
        <v>1709.62</v>
      </c>
      <c r="AB105" s="69"/>
      <c r="AC105" s="68">
        <v>289189.15000000002</v>
      </c>
      <c r="AD105" s="68">
        <v>0</v>
      </c>
    </row>
    <row r="106" spans="1:30" ht="12" thickBot="1" x14ac:dyDescent="0.25">
      <c r="A106" s="66" t="s">
        <v>264</v>
      </c>
      <c r="B106" s="447" t="str">
        <f>VLOOKUP($D106,'Retail Rates'!$B$7:$D$35,2,FALSE)</f>
        <v>851</v>
      </c>
      <c r="C106" s="447" t="str">
        <f>VLOOKUP($D106,'Retail Rates'!$B$7:$D$35,3,FALSE)</f>
        <v>CGS</v>
      </c>
      <c r="D106" s="66" t="s">
        <v>37</v>
      </c>
      <c r="E106" s="66" t="s">
        <v>38</v>
      </c>
      <c r="F106" s="66" t="s">
        <v>40</v>
      </c>
      <c r="G106" s="70">
        <v>7</v>
      </c>
      <c r="H106" s="71">
        <v>1608</v>
      </c>
      <c r="I106" s="71">
        <v>385</v>
      </c>
      <c r="J106" s="71">
        <v>180</v>
      </c>
      <c r="K106" s="71">
        <v>170</v>
      </c>
      <c r="L106" s="71">
        <v>353.88</v>
      </c>
      <c r="M106" s="71">
        <v>0</v>
      </c>
      <c r="N106" s="71">
        <v>1117.07</v>
      </c>
      <c r="O106" s="71">
        <v>1.91</v>
      </c>
      <c r="P106" s="71"/>
      <c r="Q106" s="72"/>
      <c r="R106" s="71">
        <v>0</v>
      </c>
      <c r="S106" s="72"/>
      <c r="T106" s="72"/>
      <c r="U106" s="71">
        <v>1822.86</v>
      </c>
      <c r="V106" s="72"/>
      <c r="W106" s="72"/>
      <c r="X106" s="72"/>
      <c r="Y106" s="72"/>
      <c r="Z106" s="72"/>
      <c r="AA106" s="71">
        <v>0.9</v>
      </c>
      <c r="AB106" s="72"/>
      <c r="AC106" s="71">
        <v>1823.76</v>
      </c>
      <c r="AD106" s="71">
        <v>0</v>
      </c>
    </row>
    <row r="107" spans="1:30" ht="12" thickBot="1" x14ac:dyDescent="0.25">
      <c r="A107" s="66" t="s">
        <v>264</v>
      </c>
      <c r="B107" s="447" t="str">
        <f>VLOOKUP($D107,'Retail Rates'!$B$7:$D$35,2,FALSE)</f>
        <v>865</v>
      </c>
      <c r="C107" s="447" t="str">
        <f>VLOOKUP($D107,'Retail Rates'!$B$7:$D$35,3,FALSE)</f>
        <v>AAGS-C</v>
      </c>
      <c r="D107" s="66" t="s">
        <v>23</v>
      </c>
      <c r="E107" s="66" t="s">
        <v>24</v>
      </c>
      <c r="F107" s="66" t="s">
        <v>22</v>
      </c>
      <c r="G107" s="67">
        <v>4</v>
      </c>
      <c r="H107" s="68">
        <v>42425</v>
      </c>
      <c r="I107" s="68"/>
      <c r="J107" s="68">
        <v>1100</v>
      </c>
      <c r="K107" s="68"/>
      <c r="L107" s="68">
        <v>2228.16</v>
      </c>
      <c r="M107" s="68">
        <v>0</v>
      </c>
      <c r="N107" s="68">
        <v>23779.22</v>
      </c>
      <c r="O107" s="68">
        <v>40.72</v>
      </c>
      <c r="P107" s="68"/>
      <c r="Q107" s="69"/>
      <c r="R107" s="68">
        <v>0</v>
      </c>
      <c r="S107" s="69"/>
      <c r="T107" s="69"/>
      <c r="U107" s="68">
        <v>27148.1</v>
      </c>
      <c r="V107" s="69"/>
      <c r="W107" s="69"/>
      <c r="X107" s="69"/>
      <c r="Y107" s="69"/>
      <c r="Z107" s="69"/>
      <c r="AA107" s="68">
        <v>672.45</v>
      </c>
      <c r="AB107" s="69"/>
      <c r="AC107" s="68">
        <v>27820.55</v>
      </c>
      <c r="AD107" s="68">
        <v>0</v>
      </c>
    </row>
    <row r="108" spans="1:30" ht="12" thickBot="1" x14ac:dyDescent="0.25">
      <c r="A108" s="66" t="s">
        <v>264</v>
      </c>
      <c r="B108" s="447" t="str">
        <f>VLOOKUP($D108,'Retail Rates'!$B$7:$D$35,2,FALSE)</f>
        <v>865</v>
      </c>
      <c r="C108" s="447" t="str">
        <f>VLOOKUP($D108,'Retail Rates'!$B$7:$D$35,3,FALSE)</f>
        <v>AAGS-C</v>
      </c>
      <c r="D108" s="66" t="s">
        <v>23</v>
      </c>
      <c r="E108" s="66" t="s">
        <v>24</v>
      </c>
      <c r="F108" s="66" t="s">
        <v>26</v>
      </c>
      <c r="G108" s="70">
        <v>1</v>
      </c>
      <c r="H108" s="71">
        <v>45455</v>
      </c>
      <c r="I108" s="71"/>
      <c r="J108" s="71">
        <v>275</v>
      </c>
      <c r="K108" s="71"/>
      <c r="L108" s="71">
        <v>2387.3000000000002</v>
      </c>
      <c r="M108" s="71">
        <v>0</v>
      </c>
      <c r="N108" s="71">
        <v>25477.53</v>
      </c>
      <c r="O108" s="71">
        <v>43.64</v>
      </c>
      <c r="P108" s="71"/>
      <c r="Q108" s="72"/>
      <c r="R108" s="71">
        <v>0</v>
      </c>
      <c r="S108" s="72"/>
      <c r="T108" s="72"/>
      <c r="U108" s="71">
        <v>28183.47</v>
      </c>
      <c r="V108" s="72"/>
      <c r="W108" s="72"/>
      <c r="X108" s="72"/>
      <c r="Y108" s="72"/>
      <c r="Z108" s="72"/>
      <c r="AA108" s="71">
        <v>0</v>
      </c>
      <c r="AB108" s="72"/>
      <c r="AC108" s="71">
        <v>28183.47</v>
      </c>
      <c r="AD108" s="71">
        <v>0</v>
      </c>
    </row>
    <row r="109" spans="1:30" ht="12" thickBot="1" x14ac:dyDescent="0.25">
      <c r="A109" s="66" t="s">
        <v>264</v>
      </c>
      <c r="B109" s="447" t="str">
        <f>VLOOKUP($D109,'Retail Rates'!$B$7:$D$35,2,FALSE)</f>
        <v>855</v>
      </c>
      <c r="C109" s="447" t="str">
        <f>VLOOKUP($D109,'Retail Rates'!$B$7:$D$35,3,FALSE)</f>
        <v>IGS</v>
      </c>
      <c r="D109" s="66" t="s">
        <v>45</v>
      </c>
      <c r="E109" s="66" t="s">
        <v>46</v>
      </c>
      <c r="F109" s="66" t="s">
        <v>28</v>
      </c>
      <c r="G109" s="67">
        <v>204</v>
      </c>
      <c r="H109" s="68">
        <v>53383</v>
      </c>
      <c r="I109" s="68">
        <v>373804</v>
      </c>
      <c r="J109" s="68">
        <v>3244</v>
      </c>
      <c r="K109" s="68">
        <v>16830</v>
      </c>
      <c r="L109" s="68">
        <v>62569.3</v>
      </c>
      <c r="M109" s="68">
        <v>0</v>
      </c>
      <c r="N109" s="68">
        <v>239437.93</v>
      </c>
      <c r="O109" s="68"/>
      <c r="P109" s="68"/>
      <c r="Q109" s="69"/>
      <c r="R109" s="68">
        <v>0</v>
      </c>
      <c r="S109" s="69"/>
      <c r="T109" s="69"/>
      <c r="U109" s="68">
        <v>322081.23</v>
      </c>
      <c r="V109" s="69"/>
      <c r="W109" s="69"/>
      <c r="X109" s="69"/>
      <c r="Y109" s="69"/>
      <c r="Z109" s="69"/>
      <c r="AA109" s="68">
        <v>14087.66</v>
      </c>
      <c r="AB109" s="69"/>
      <c r="AC109" s="68">
        <v>336168.89</v>
      </c>
      <c r="AD109" s="68">
        <v>0</v>
      </c>
    </row>
    <row r="110" spans="1:30" ht="12" thickBot="1" x14ac:dyDescent="0.25">
      <c r="A110" s="66" t="s">
        <v>264</v>
      </c>
      <c r="B110" s="447" t="str">
        <f>VLOOKUP($D110,'Retail Rates'!$B$7:$D$35,2,FALSE)</f>
        <v>855</v>
      </c>
      <c r="C110" s="447" t="str">
        <f>VLOOKUP($D110,'Retail Rates'!$B$7:$D$35,3,FALSE)</f>
        <v>IGS</v>
      </c>
      <c r="D110" s="66" t="s">
        <v>45</v>
      </c>
      <c r="E110" s="66" t="s">
        <v>46</v>
      </c>
      <c r="F110" s="66" t="s">
        <v>22</v>
      </c>
      <c r="G110" s="70">
        <v>1</v>
      </c>
      <c r="H110" s="71">
        <v>1000</v>
      </c>
      <c r="I110" s="71">
        <v>2284</v>
      </c>
      <c r="J110" s="71"/>
      <c r="K110" s="71">
        <v>170</v>
      </c>
      <c r="L110" s="71">
        <v>510.48</v>
      </c>
      <c r="M110" s="71">
        <v>0</v>
      </c>
      <c r="N110" s="71">
        <v>1840.68</v>
      </c>
      <c r="O110" s="71"/>
      <c r="P110" s="71"/>
      <c r="Q110" s="72"/>
      <c r="R110" s="71">
        <v>0</v>
      </c>
      <c r="S110" s="72"/>
      <c r="T110" s="72"/>
      <c r="U110" s="71">
        <v>2521.16</v>
      </c>
      <c r="V110" s="72"/>
      <c r="W110" s="72"/>
      <c r="X110" s="72"/>
      <c r="Y110" s="72"/>
      <c r="Z110" s="72"/>
      <c r="AA110" s="71">
        <v>151.27000000000001</v>
      </c>
      <c r="AB110" s="72"/>
      <c r="AC110" s="71">
        <v>2672.43</v>
      </c>
      <c r="AD110" s="71">
        <v>0</v>
      </c>
    </row>
    <row r="111" spans="1:30" ht="12" thickBot="1" x14ac:dyDescent="0.25">
      <c r="A111" s="66" t="s">
        <v>264</v>
      </c>
      <c r="B111" s="447" t="str">
        <f>VLOOKUP($D111,'Retail Rates'!$B$7:$D$35,2,FALSE)</f>
        <v>855</v>
      </c>
      <c r="C111" s="447" t="str">
        <f>VLOOKUP($D111,'Retail Rates'!$B$7:$D$35,3,FALSE)</f>
        <v>IGS</v>
      </c>
      <c r="D111" s="66" t="s">
        <v>45</v>
      </c>
      <c r="E111" s="66" t="s">
        <v>46</v>
      </c>
      <c r="F111" s="66" t="s">
        <v>26</v>
      </c>
      <c r="G111" s="67">
        <v>5</v>
      </c>
      <c r="H111" s="68">
        <v>77</v>
      </c>
      <c r="I111" s="68"/>
      <c r="J111" s="68">
        <v>120</v>
      </c>
      <c r="K111" s="68">
        <v>170</v>
      </c>
      <c r="L111" s="68">
        <v>14.64</v>
      </c>
      <c r="M111" s="68">
        <v>0</v>
      </c>
      <c r="N111" s="68">
        <v>43.16</v>
      </c>
      <c r="O111" s="68"/>
      <c r="P111" s="68"/>
      <c r="Q111" s="69"/>
      <c r="R111" s="68">
        <v>0</v>
      </c>
      <c r="S111" s="69"/>
      <c r="T111" s="69"/>
      <c r="U111" s="68">
        <v>347.8</v>
      </c>
      <c r="V111" s="69"/>
      <c r="W111" s="69"/>
      <c r="X111" s="69"/>
      <c r="Y111" s="69"/>
      <c r="Z111" s="69"/>
      <c r="AA111" s="68">
        <v>0</v>
      </c>
      <c r="AB111" s="69"/>
      <c r="AC111" s="68">
        <v>347.8</v>
      </c>
      <c r="AD111" s="68">
        <v>0</v>
      </c>
    </row>
    <row r="112" spans="1:30" ht="12" thickBot="1" x14ac:dyDescent="0.25">
      <c r="A112" s="66" t="s">
        <v>264</v>
      </c>
      <c r="B112" s="447" t="str">
        <f>VLOOKUP($D112,'Retail Rates'!$B$7:$D$35,2,FALSE)</f>
        <v>866</v>
      </c>
      <c r="C112" s="447" t="str">
        <f>VLOOKUP($D112,'Retail Rates'!$B$7:$D$35,3,FALSE)</f>
        <v>AAGS-I</v>
      </c>
      <c r="D112" s="66" t="s">
        <v>29</v>
      </c>
      <c r="E112" s="66" t="s">
        <v>30</v>
      </c>
      <c r="F112" s="66" t="s">
        <v>28</v>
      </c>
      <c r="G112" s="70">
        <v>7</v>
      </c>
      <c r="H112" s="71">
        <v>50370</v>
      </c>
      <c r="I112" s="71"/>
      <c r="J112" s="71">
        <v>1925</v>
      </c>
      <c r="K112" s="71"/>
      <c r="L112" s="71">
        <v>2645.42</v>
      </c>
      <c r="M112" s="71">
        <v>0</v>
      </c>
      <c r="N112" s="71">
        <v>28232.39</v>
      </c>
      <c r="O112" s="71"/>
      <c r="P112" s="71"/>
      <c r="Q112" s="72"/>
      <c r="R112" s="71">
        <v>0</v>
      </c>
      <c r="S112" s="72"/>
      <c r="T112" s="72"/>
      <c r="U112" s="71">
        <v>32802.81</v>
      </c>
      <c r="V112" s="72"/>
      <c r="W112" s="72"/>
      <c r="X112" s="72"/>
      <c r="Y112" s="72"/>
      <c r="Z112" s="72"/>
      <c r="AA112" s="71">
        <v>1775.26</v>
      </c>
      <c r="AB112" s="72"/>
      <c r="AC112" s="71">
        <v>34578.07</v>
      </c>
      <c r="AD112" s="71">
        <v>0</v>
      </c>
    </row>
    <row r="113" spans="1:30" ht="12" thickBot="1" x14ac:dyDescent="0.25">
      <c r="A113" s="66" t="s">
        <v>264</v>
      </c>
      <c r="B113" s="447" t="str">
        <f>VLOOKUP($D113,'Retail Rates'!$B$7:$D$35,2,FALSE)</f>
        <v>866</v>
      </c>
      <c r="C113" s="447" t="str">
        <f>VLOOKUP($D113,'Retail Rates'!$B$7:$D$35,3,FALSE)</f>
        <v>AAGS-I</v>
      </c>
      <c r="D113" s="66" t="s">
        <v>29</v>
      </c>
      <c r="E113" s="66" t="s">
        <v>30</v>
      </c>
      <c r="F113" s="66" t="s">
        <v>26</v>
      </c>
      <c r="G113" s="67">
        <v>1</v>
      </c>
      <c r="H113" s="68">
        <v>12172</v>
      </c>
      <c r="I113" s="68"/>
      <c r="J113" s="68">
        <v>275</v>
      </c>
      <c r="K113" s="68"/>
      <c r="L113" s="68">
        <v>639.27</v>
      </c>
      <c r="M113" s="68">
        <v>0</v>
      </c>
      <c r="N113" s="68">
        <v>6822.41</v>
      </c>
      <c r="O113" s="68"/>
      <c r="P113" s="68"/>
      <c r="Q113" s="69"/>
      <c r="R113" s="68">
        <v>0</v>
      </c>
      <c r="S113" s="69"/>
      <c r="T113" s="69"/>
      <c r="U113" s="68">
        <v>7736.68</v>
      </c>
      <c r="V113" s="69"/>
      <c r="W113" s="69"/>
      <c r="X113" s="69"/>
      <c r="Y113" s="69"/>
      <c r="Z113" s="69"/>
      <c r="AA113" s="68">
        <v>0</v>
      </c>
      <c r="AB113" s="69"/>
      <c r="AC113" s="68">
        <v>7736.68</v>
      </c>
      <c r="AD113" s="68">
        <v>0</v>
      </c>
    </row>
    <row r="114" spans="1:30" ht="12" thickBot="1" x14ac:dyDescent="0.25">
      <c r="A114" s="66" t="s">
        <v>264</v>
      </c>
      <c r="B114" s="447" t="str">
        <f>VLOOKUP($D114,'Retail Rates'!$B$7:$D$35,2,FALSE)</f>
        <v>811</v>
      </c>
      <c r="C114" s="447" t="str">
        <f>VLOOKUP($D114,'Retail Rates'!$B$7:$D$35,3,FALSE)</f>
        <v>RGS</v>
      </c>
      <c r="D114" s="66" t="s">
        <v>52</v>
      </c>
      <c r="E114" s="66" t="s">
        <v>53</v>
      </c>
      <c r="F114" s="66" t="s">
        <v>22</v>
      </c>
      <c r="G114" s="67">
        <v>3</v>
      </c>
      <c r="H114" s="68">
        <v>32</v>
      </c>
      <c r="I114" s="68"/>
      <c r="J114" s="68">
        <v>37.5</v>
      </c>
      <c r="K114" s="68"/>
      <c r="L114" s="68">
        <v>7.17</v>
      </c>
      <c r="M114" s="68">
        <v>0</v>
      </c>
      <c r="N114" s="68">
        <v>17.940000000000001</v>
      </c>
      <c r="O114" s="68">
        <v>0.6</v>
      </c>
      <c r="P114" s="68"/>
      <c r="Q114" s="69">
        <v>0.45</v>
      </c>
      <c r="R114" s="68">
        <v>0</v>
      </c>
      <c r="S114" s="69"/>
      <c r="T114" s="69"/>
      <c r="U114" s="68">
        <v>63.21</v>
      </c>
      <c r="V114" s="69"/>
      <c r="W114" s="69"/>
      <c r="X114" s="69"/>
      <c r="Y114" s="69"/>
      <c r="Z114" s="69"/>
      <c r="AA114" s="68">
        <v>3.16</v>
      </c>
      <c r="AB114" s="69"/>
      <c r="AC114" s="68">
        <v>66.819999999999993</v>
      </c>
      <c r="AD114" s="68">
        <v>0</v>
      </c>
    </row>
    <row r="115" spans="1:30" ht="12" thickBot="1" x14ac:dyDescent="0.25">
      <c r="A115" s="66" t="s">
        <v>264</v>
      </c>
      <c r="B115" s="447" t="str">
        <f>VLOOKUP($D115,'Retail Rates'!$B$7:$D$35,2,FALSE)</f>
        <v>811</v>
      </c>
      <c r="C115" s="447" t="str">
        <f>VLOOKUP($D115,'Retail Rates'!$B$7:$D$35,3,FALSE)</f>
        <v>RGS</v>
      </c>
      <c r="D115" s="66" t="s">
        <v>52</v>
      </c>
      <c r="E115" s="66" t="s">
        <v>53</v>
      </c>
      <c r="F115" s="66" t="s">
        <v>26</v>
      </c>
      <c r="G115" s="70">
        <v>54</v>
      </c>
      <c r="H115" s="71">
        <v>439</v>
      </c>
      <c r="I115" s="71"/>
      <c r="J115" s="71">
        <v>126.46</v>
      </c>
      <c r="K115" s="71"/>
      <c r="L115" s="71">
        <v>98.32</v>
      </c>
      <c r="M115" s="71">
        <v>0</v>
      </c>
      <c r="N115" s="71">
        <v>246.05</v>
      </c>
      <c r="O115" s="71">
        <v>8.32</v>
      </c>
      <c r="P115" s="71"/>
      <c r="Q115" s="72">
        <v>0.6</v>
      </c>
      <c r="R115" s="71">
        <v>0</v>
      </c>
      <c r="S115" s="72"/>
      <c r="T115" s="72"/>
      <c r="U115" s="71">
        <v>479.15</v>
      </c>
      <c r="V115" s="72"/>
      <c r="W115" s="72"/>
      <c r="X115" s="72"/>
      <c r="Y115" s="72"/>
      <c r="Z115" s="72"/>
      <c r="AA115" s="71">
        <v>0.47</v>
      </c>
      <c r="AB115" s="72"/>
      <c r="AC115" s="71">
        <v>480.22</v>
      </c>
      <c r="AD115" s="71">
        <v>0</v>
      </c>
    </row>
    <row r="116" spans="1:30" ht="12" thickBot="1" x14ac:dyDescent="0.25">
      <c r="A116" s="66" t="s">
        <v>264</v>
      </c>
      <c r="B116" s="447" t="str">
        <f>VLOOKUP($D116,'Retail Rates'!$B$7:$D$35,2,FALSE)</f>
        <v>811</v>
      </c>
      <c r="C116" s="447" t="str">
        <f>VLOOKUP($D116,'Retail Rates'!$B$7:$D$35,3,FALSE)</f>
        <v>RGS</v>
      </c>
      <c r="D116" s="66" t="s">
        <v>52</v>
      </c>
      <c r="E116" s="66" t="s">
        <v>53</v>
      </c>
      <c r="F116" s="66" t="s">
        <v>40</v>
      </c>
      <c r="G116" s="67">
        <v>290957</v>
      </c>
      <c r="H116" s="68">
        <v>3921968</v>
      </c>
      <c r="I116" s="68"/>
      <c r="J116" s="68">
        <v>3632083.84</v>
      </c>
      <c r="K116" s="68"/>
      <c r="L116" s="68">
        <v>878423.84</v>
      </c>
      <c r="M116" s="68">
        <v>1530.37</v>
      </c>
      <c r="N116" s="68">
        <v>2198183.7799999998</v>
      </c>
      <c r="O116" s="68">
        <v>74060.34</v>
      </c>
      <c r="P116" s="68">
        <v>-105.94</v>
      </c>
      <c r="Q116" s="69">
        <v>44088.75</v>
      </c>
      <c r="R116" s="68">
        <v>0</v>
      </c>
      <c r="S116" s="69"/>
      <c r="T116" s="69"/>
      <c r="U116" s="68">
        <v>6782645.8600000003</v>
      </c>
      <c r="V116" s="69"/>
      <c r="W116" s="69"/>
      <c r="X116" s="69"/>
      <c r="Y116" s="69"/>
      <c r="Z116" s="69"/>
      <c r="AA116" s="68">
        <v>25689.86</v>
      </c>
      <c r="AB116" s="69"/>
      <c r="AC116" s="68">
        <v>6853954.8399999999</v>
      </c>
      <c r="AD116" s="68">
        <v>0</v>
      </c>
    </row>
    <row r="117" spans="1:30" ht="12" thickBot="1" x14ac:dyDescent="0.25">
      <c r="A117" s="66" t="s">
        <v>264</v>
      </c>
      <c r="B117" s="447" t="str">
        <f>VLOOKUP($D117,'Retail Rates'!$B$7:$D$35,2,FALSE)</f>
        <v>811</v>
      </c>
      <c r="C117" s="447" t="str">
        <f>VLOOKUP($D117,'Retail Rates'!$B$7:$D$35,3,FALSE)</f>
        <v>RGS</v>
      </c>
      <c r="D117" s="66" t="s">
        <v>55</v>
      </c>
      <c r="E117" s="66" t="s">
        <v>56</v>
      </c>
      <c r="F117" s="66" t="s">
        <v>40</v>
      </c>
      <c r="G117" s="70">
        <v>1</v>
      </c>
      <c r="H117" s="71">
        <v>170</v>
      </c>
      <c r="I117" s="71"/>
      <c r="J117" s="71">
        <v>0.5</v>
      </c>
      <c r="K117" s="71"/>
      <c r="L117" s="71">
        <v>-7.67</v>
      </c>
      <c r="M117" s="71"/>
      <c r="N117" s="71">
        <v>95.29</v>
      </c>
      <c r="O117" s="71"/>
      <c r="P117" s="71"/>
      <c r="Q117" s="72"/>
      <c r="R117" s="71"/>
      <c r="S117" s="72"/>
      <c r="T117" s="72"/>
      <c r="U117" s="71">
        <v>88.12</v>
      </c>
      <c r="V117" s="72"/>
      <c r="W117" s="72"/>
      <c r="X117" s="72"/>
      <c r="Y117" s="72"/>
      <c r="Z117" s="72"/>
      <c r="AA117" s="71">
        <v>0</v>
      </c>
      <c r="AB117" s="72"/>
      <c r="AC117" s="71">
        <v>88.12</v>
      </c>
      <c r="AD117" s="71">
        <v>0</v>
      </c>
    </row>
    <row r="118" spans="1:30" ht="12" thickBot="1" x14ac:dyDescent="0.25">
      <c r="A118" s="66" t="s">
        <v>264</v>
      </c>
      <c r="B118" s="447" t="str">
        <f>VLOOKUP($D118,'Retail Rates'!$B$7:$D$35,2,FALSE)</f>
        <v>840</v>
      </c>
      <c r="C118" s="447" t="str">
        <f>VLOOKUP($D118,'Retail Rates'!$B$7:$D$35,3,FALSE)</f>
        <v>RGS</v>
      </c>
      <c r="D118" s="66" t="s">
        <v>59</v>
      </c>
      <c r="E118" s="66" t="s">
        <v>60</v>
      </c>
      <c r="F118" s="66" t="s">
        <v>26</v>
      </c>
      <c r="G118" s="67">
        <v>1</v>
      </c>
      <c r="H118" s="68">
        <v>143</v>
      </c>
      <c r="I118" s="68"/>
      <c r="J118" s="68">
        <v>12.5</v>
      </c>
      <c r="K118" s="68"/>
      <c r="L118" s="68">
        <v>32.03</v>
      </c>
      <c r="M118" s="68">
        <v>0</v>
      </c>
      <c r="N118" s="68">
        <v>80.150000000000006</v>
      </c>
      <c r="O118" s="68">
        <v>2.7</v>
      </c>
      <c r="P118" s="68"/>
      <c r="Q118" s="69"/>
      <c r="R118" s="68">
        <v>0</v>
      </c>
      <c r="S118" s="69"/>
      <c r="T118" s="69"/>
      <c r="U118" s="68">
        <v>127.38</v>
      </c>
      <c r="V118" s="69"/>
      <c r="W118" s="69"/>
      <c r="X118" s="69"/>
      <c r="Y118" s="69"/>
      <c r="Z118" s="69"/>
      <c r="AA118" s="68">
        <v>0</v>
      </c>
      <c r="AB118" s="69"/>
      <c r="AC118" s="68">
        <v>127.38</v>
      </c>
      <c r="AD118" s="68">
        <v>0</v>
      </c>
    </row>
    <row r="119" spans="1:30" ht="12" thickBot="1" x14ac:dyDescent="0.25">
      <c r="A119" s="66" t="s">
        <v>264</v>
      </c>
      <c r="B119" s="447" t="str">
        <f>VLOOKUP($D119,'Retail Rates'!$B$7:$D$35,2,FALSE)</f>
        <v>840</v>
      </c>
      <c r="C119" s="447" t="str">
        <f>VLOOKUP($D119,'Retail Rates'!$B$7:$D$35,3,FALSE)</f>
        <v>RGS</v>
      </c>
      <c r="D119" s="66" t="s">
        <v>59</v>
      </c>
      <c r="E119" s="66" t="s">
        <v>60</v>
      </c>
      <c r="F119" s="66" t="s">
        <v>40</v>
      </c>
      <c r="G119" s="70">
        <v>3</v>
      </c>
      <c r="H119" s="71">
        <v>212</v>
      </c>
      <c r="I119" s="71"/>
      <c r="J119" s="71">
        <v>37.5</v>
      </c>
      <c r="K119" s="71"/>
      <c r="L119" s="71">
        <v>47.47</v>
      </c>
      <c r="M119" s="71">
        <v>0</v>
      </c>
      <c r="N119" s="71">
        <v>118.82</v>
      </c>
      <c r="O119" s="71">
        <v>4</v>
      </c>
      <c r="P119" s="71"/>
      <c r="Q119" s="72"/>
      <c r="R119" s="71">
        <v>0</v>
      </c>
      <c r="S119" s="72"/>
      <c r="T119" s="72"/>
      <c r="U119" s="71">
        <v>207.79</v>
      </c>
      <c r="V119" s="72"/>
      <c r="W119" s="72"/>
      <c r="X119" s="72"/>
      <c r="Y119" s="72"/>
      <c r="Z119" s="72"/>
      <c r="AA119" s="71">
        <v>0.56999999999999995</v>
      </c>
      <c r="AB119" s="72"/>
      <c r="AC119" s="71">
        <v>208.36</v>
      </c>
      <c r="AD119" s="71">
        <v>0</v>
      </c>
    </row>
    <row r="120" spans="1:30" ht="12" thickBot="1" x14ac:dyDescent="0.25">
      <c r="A120" s="66" t="s">
        <v>264</v>
      </c>
      <c r="B120" s="447" t="str">
        <f>VLOOKUP($D120,'Retail Rates'!$B$7:$D$35,2,FALSE)</f>
        <v>830</v>
      </c>
      <c r="C120" s="447" t="str">
        <f>VLOOKUP($D120,'Retail Rates'!$B$7:$D$35,3,FALSE)</f>
        <v>RGS</v>
      </c>
      <c r="D120" s="66" t="s">
        <v>49</v>
      </c>
      <c r="E120" s="66" t="s">
        <v>50</v>
      </c>
      <c r="F120" s="66" t="s">
        <v>40</v>
      </c>
      <c r="G120" s="67">
        <v>1</v>
      </c>
      <c r="H120" s="68">
        <v>32</v>
      </c>
      <c r="I120" s="68"/>
      <c r="J120" s="68">
        <v>25</v>
      </c>
      <c r="K120" s="68"/>
      <c r="L120" s="68">
        <v>7.17</v>
      </c>
      <c r="M120" s="68">
        <v>0</v>
      </c>
      <c r="N120" s="68">
        <v>17.940000000000001</v>
      </c>
      <c r="O120" s="68">
        <v>0.6</v>
      </c>
      <c r="P120" s="68"/>
      <c r="Q120" s="69"/>
      <c r="R120" s="68">
        <v>0</v>
      </c>
      <c r="S120" s="69"/>
      <c r="T120" s="69"/>
      <c r="U120" s="68">
        <v>50.71</v>
      </c>
      <c r="V120" s="69"/>
      <c r="W120" s="69"/>
      <c r="X120" s="69"/>
      <c r="Y120" s="69"/>
      <c r="Z120" s="69"/>
      <c r="AA120" s="68">
        <v>0</v>
      </c>
      <c r="AB120" s="69"/>
      <c r="AC120" s="68">
        <v>50.71</v>
      </c>
      <c r="AD120" s="68">
        <v>0</v>
      </c>
    </row>
    <row r="121" spans="1:30" ht="12" thickBot="1" x14ac:dyDescent="0.25">
      <c r="A121" s="66" t="s">
        <v>264</v>
      </c>
      <c r="B121" s="447" t="str">
        <f>VLOOKUP($D121,'Retail Rates'!$B$7:$D$35,2,FALSE)</f>
        <v>860</v>
      </c>
      <c r="C121" s="447" t="str">
        <f>VLOOKUP($D121,'Retail Rates'!$B$7:$D$35,3,FALSE)</f>
        <v>CGS</v>
      </c>
      <c r="D121" s="66" t="s">
        <v>34</v>
      </c>
      <c r="E121" s="66" t="s">
        <v>35</v>
      </c>
      <c r="F121" s="66" t="s">
        <v>22</v>
      </c>
      <c r="G121" s="70">
        <v>1</v>
      </c>
      <c r="H121" s="71">
        <v>304</v>
      </c>
      <c r="I121" s="71"/>
      <c r="J121" s="71">
        <v>480</v>
      </c>
      <c r="K121" s="71"/>
      <c r="L121" s="71">
        <v>56.91</v>
      </c>
      <c r="M121" s="71">
        <v>0</v>
      </c>
      <c r="N121" s="71">
        <v>170.39</v>
      </c>
      <c r="O121" s="71">
        <v>0.28999999999999998</v>
      </c>
      <c r="P121" s="71"/>
      <c r="Q121" s="72"/>
      <c r="R121" s="71">
        <v>0</v>
      </c>
      <c r="S121" s="72"/>
      <c r="T121" s="72"/>
      <c r="U121" s="71">
        <v>707.59</v>
      </c>
      <c r="V121" s="72"/>
      <c r="W121" s="72"/>
      <c r="X121" s="72"/>
      <c r="Y121" s="72"/>
      <c r="Z121" s="72"/>
      <c r="AA121" s="71">
        <v>42.46</v>
      </c>
      <c r="AB121" s="72"/>
      <c r="AC121" s="71">
        <v>750.05</v>
      </c>
      <c r="AD121" s="71">
        <v>0</v>
      </c>
    </row>
    <row r="122" spans="1:30" ht="12" thickBot="1" x14ac:dyDescent="0.25">
      <c r="A122" s="66" t="s">
        <v>264</v>
      </c>
      <c r="B122" s="447" t="str">
        <f>VLOOKUP($D122,'Retail Rates'!$B$7:$D$35,2,FALSE)</f>
        <v>860</v>
      </c>
      <c r="C122" s="447" t="str">
        <f>VLOOKUP($D122,'Retail Rates'!$B$7:$D$35,3,FALSE)</f>
        <v>CGS</v>
      </c>
      <c r="D122" s="66" t="s">
        <v>34</v>
      </c>
      <c r="E122" s="66" t="s">
        <v>35</v>
      </c>
      <c r="F122" s="66" t="s">
        <v>26</v>
      </c>
      <c r="G122" s="67">
        <v>2</v>
      </c>
      <c r="H122" s="68">
        <v>54</v>
      </c>
      <c r="I122" s="68"/>
      <c r="J122" s="68">
        <v>90</v>
      </c>
      <c r="K122" s="68"/>
      <c r="L122" s="68">
        <v>10.11</v>
      </c>
      <c r="M122" s="68">
        <v>0</v>
      </c>
      <c r="N122" s="68">
        <v>30.27</v>
      </c>
      <c r="O122" s="68">
        <v>0.05</v>
      </c>
      <c r="P122" s="68"/>
      <c r="Q122" s="69"/>
      <c r="R122" s="68">
        <v>0</v>
      </c>
      <c r="S122" s="69"/>
      <c r="T122" s="69"/>
      <c r="U122" s="68">
        <v>130.43</v>
      </c>
      <c r="V122" s="69"/>
      <c r="W122" s="69"/>
      <c r="X122" s="69"/>
      <c r="Y122" s="69"/>
      <c r="Z122" s="69"/>
      <c r="AA122" s="68">
        <v>0</v>
      </c>
      <c r="AB122" s="69"/>
      <c r="AC122" s="68">
        <v>130.43</v>
      </c>
      <c r="AD122" s="68">
        <v>0</v>
      </c>
    </row>
    <row r="123" spans="1:30" ht="12" thickBot="1" x14ac:dyDescent="0.25">
      <c r="A123" s="66" t="s">
        <v>264</v>
      </c>
      <c r="B123" s="447" t="str">
        <f>VLOOKUP($D123,'Retail Rates'!$B$7:$D$35,2,FALSE)</f>
        <v>861</v>
      </c>
      <c r="C123" s="447" t="str">
        <f>VLOOKUP($D123,'Retail Rates'!$B$7:$D$35,3,FALSE)</f>
        <v>CGS</v>
      </c>
      <c r="D123" s="66" t="s">
        <v>41</v>
      </c>
      <c r="E123" s="66" t="s">
        <v>42</v>
      </c>
      <c r="F123" s="66" t="s">
        <v>22</v>
      </c>
      <c r="G123" s="70">
        <v>610</v>
      </c>
      <c r="H123" s="71">
        <v>613</v>
      </c>
      <c r="I123" s="71"/>
      <c r="J123" s="71">
        <v>18600</v>
      </c>
      <c r="K123" s="71"/>
      <c r="L123" s="71">
        <v>116.38</v>
      </c>
      <c r="M123" s="71">
        <v>1.84</v>
      </c>
      <c r="N123" s="71">
        <v>343.28</v>
      </c>
      <c r="O123" s="71">
        <v>0</v>
      </c>
      <c r="P123" s="71"/>
      <c r="Q123" s="72"/>
      <c r="R123" s="71">
        <v>0</v>
      </c>
      <c r="S123" s="72"/>
      <c r="T123" s="72"/>
      <c r="U123" s="71">
        <v>19059.66</v>
      </c>
      <c r="V123" s="72"/>
      <c r="W123" s="72"/>
      <c r="X123" s="72"/>
      <c r="Y123" s="72"/>
      <c r="Z123" s="72"/>
      <c r="AA123" s="71">
        <v>1208.71</v>
      </c>
      <c r="AB123" s="72"/>
      <c r="AC123" s="71">
        <v>20270.21</v>
      </c>
      <c r="AD123" s="71">
        <v>0</v>
      </c>
    </row>
    <row r="124" spans="1:30" ht="12" thickBot="1" x14ac:dyDescent="0.25">
      <c r="A124" s="66" t="s">
        <v>322</v>
      </c>
      <c r="B124" s="447" t="str">
        <f>VLOOKUP($D124,'Retail Rates'!$B$7:$D$35,2,FALSE)</f>
        <v>851</v>
      </c>
      <c r="C124" s="447" t="str">
        <f>VLOOKUP($D124,'Retail Rates'!$B$7:$D$35,3,FALSE)</f>
        <v>CGS</v>
      </c>
      <c r="D124" s="66" t="s">
        <v>37</v>
      </c>
      <c r="E124" s="66" t="s">
        <v>38</v>
      </c>
      <c r="F124" s="66" t="s">
        <v>22</v>
      </c>
      <c r="G124" s="67">
        <v>23608</v>
      </c>
      <c r="H124" s="68">
        <v>2160562</v>
      </c>
      <c r="I124" s="68">
        <v>1162695</v>
      </c>
      <c r="J124" s="68">
        <v>684574.73</v>
      </c>
      <c r="K124" s="68">
        <v>130333.32</v>
      </c>
      <c r="L124" s="68">
        <v>563985.56999999995</v>
      </c>
      <c r="M124" s="68">
        <v>1092.27</v>
      </c>
      <c r="N124" s="68">
        <v>1862394.76</v>
      </c>
      <c r="O124" s="68">
        <v>3184.89</v>
      </c>
      <c r="P124" s="68">
        <v>-28.67</v>
      </c>
      <c r="Q124" s="69"/>
      <c r="R124" s="68">
        <v>0</v>
      </c>
      <c r="S124" s="69"/>
      <c r="T124" s="69"/>
      <c r="U124" s="68">
        <v>3244444.6</v>
      </c>
      <c r="V124" s="69"/>
      <c r="W124" s="69"/>
      <c r="X124" s="69"/>
      <c r="Y124" s="69"/>
      <c r="Z124" s="69"/>
      <c r="AA124" s="68">
        <v>174441.8</v>
      </c>
      <c r="AB124" s="69"/>
      <c r="AC124" s="68">
        <v>3419978.67</v>
      </c>
      <c r="AD124" s="68">
        <v>0</v>
      </c>
    </row>
    <row r="125" spans="1:30" ht="12" thickBot="1" x14ac:dyDescent="0.25">
      <c r="A125" s="66" t="s">
        <v>322</v>
      </c>
      <c r="B125" s="447" t="str">
        <f>VLOOKUP($D125,'Retail Rates'!$B$7:$D$35,2,FALSE)</f>
        <v>851</v>
      </c>
      <c r="C125" s="447" t="str">
        <f>VLOOKUP($D125,'Retail Rates'!$B$7:$D$35,3,FALSE)</f>
        <v>CGS</v>
      </c>
      <c r="D125" s="66" t="s">
        <v>37</v>
      </c>
      <c r="E125" s="66" t="s">
        <v>38</v>
      </c>
      <c r="F125" s="66" t="s">
        <v>26</v>
      </c>
      <c r="G125" s="70">
        <v>1151</v>
      </c>
      <c r="H125" s="71">
        <v>212944</v>
      </c>
      <c r="I125" s="71">
        <v>200817</v>
      </c>
      <c r="J125" s="71">
        <v>26499</v>
      </c>
      <c r="K125" s="71">
        <v>46704.67</v>
      </c>
      <c r="L125" s="71">
        <v>67423.47</v>
      </c>
      <c r="M125" s="71">
        <v>94.88</v>
      </c>
      <c r="N125" s="71">
        <v>231912.74</v>
      </c>
      <c r="O125" s="71">
        <v>397.26</v>
      </c>
      <c r="P125" s="71"/>
      <c r="Q125" s="72"/>
      <c r="R125" s="71">
        <v>0</v>
      </c>
      <c r="S125" s="72"/>
      <c r="T125" s="72"/>
      <c r="U125" s="71">
        <v>372937.14</v>
      </c>
      <c r="V125" s="72"/>
      <c r="W125" s="72"/>
      <c r="X125" s="72"/>
      <c r="Y125" s="72"/>
      <c r="Z125" s="72"/>
      <c r="AA125" s="71">
        <v>1993.02</v>
      </c>
      <c r="AB125" s="72"/>
      <c r="AC125" s="71">
        <v>375025.04</v>
      </c>
      <c r="AD125" s="71">
        <v>0</v>
      </c>
    </row>
    <row r="126" spans="1:30" ht="12" thickBot="1" x14ac:dyDescent="0.25">
      <c r="A126" s="66" t="s">
        <v>322</v>
      </c>
      <c r="B126" s="447" t="str">
        <f>VLOOKUP($D126,'Retail Rates'!$B$7:$D$35,2,FALSE)</f>
        <v>851</v>
      </c>
      <c r="C126" s="447" t="str">
        <f>VLOOKUP($D126,'Retail Rates'!$B$7:$D$35,3,FALSE)</f>
        <v>CGS</v>
      </c>
      <c r="D126" s="66" t="s">
        <v>37</v>
      </c>
      <c r="E126" s="66" t="s">
        <v>38</v>
      </c>
      <c r="F126" s="66" t="s">
        <v>40</v>
      </c>
      <c r="G126" s="67">
        <v>9</v>
      </c>
      <c r="H126" s="68">
        <v>1674</v>
      </c>
      <c r="I126" s="68">
        <v>191</v>
      </c>
      <c r="J126" s="68">
        <v>481</v>
      </c>
      <c r="K126" s="68">
        <v>170</v>
      </c>
      <c r="L126" s="68">
        <v>339.62</v>
      </c>
      <c r="M126" s="68">
        <v>0</v>
      </c>
      <c r="N126" s="68">
        <v>1043.26</v>
      </c>
      <c r="O126" s="68">
        <v>1.78</v>
      </c>
      <c r="P126" s="68">
        <v>-1.44</v>
      </c>
      <c r="Q126" s="69"/>
      <c r="R126" s="68">
        <v>0</v>
      </c>
      <c r="S126" s="69"/>
      <c r="T126" s="69"/>
      <c r="U126" s="68">
        <v>2034.22</v>
      </c>
      <c r="V126" s="69"/>
      <c r="W126" s="69"/>
      <c r="X126" s="69"/>
      <c r="Y126" s="69"/>
      <c r="Z126" s="69"/>
      <c r="AA126" s="68">
        <v>0.9</v>
      </c>
      <c r="AB126" s="69"/>
      <c r="AC126" s="68">
        <v>2035.12</v>
      </c>
      <c r="AD126" s="68">
        <v>0</v>
      </c>
    </row>
    <row r="127" spans="1:30" ht="12" thickBot="1" x14ac:dyDescent="0.25">
      <c r="A127" s="66" t="s">
        <v>322</v>
      </c>
      <c r="B127" s="447" t="str">
        <f>VLOOKUP($D127,'Retail Rates'!$B$7:$D$35,2,FALSE)</f>
        <v>865</v>
      </c>
      <c r="C127" s="447" t="str">
        <f>VLOOKUP($D127,'Retail Rates'!$B$7:$D$35,3,FALSE)</f>
        <v>AAGS-C</v>
      </c>
      <c r="D127" s="66" t="s">
        <v>23</v>
      </c>
      <c r="E127" s="66" t="s">
        <v>24</v>
      </c>
      <c r="F127" s="66" t="s">
        <v>22</v>
      </c>
      <c r="G127" s="70">
        <v>4</v>
      </c>
      <c r="H127" s="71">
        <v>44674</v>
      </c>
      <c r="I127" s="71"/>
      <c r="J127" s="71">
        <v>1100</v>
      </c>
      <c r="K127" s="71"/>
      <c r="L127" s="71">
        <v>2346.27</v>
      </c>
      <c r="M127" s="71">
        <v>0</v>
      </c>
      <c r="N127" s="71">
        <v>25039.77</v>
      </c>
      <c r="O127" s="71">
        <v>42.89</v>
      </c>
      <c r="P127" s="71"/>
      <c r="Q127" s="72"/>
      <c r="R127" s="71">
        <v>0</v>
      </c>
      <c r="S127" s="72"/>
      <c r="T127" s="72"/>
      <c r="U127" s="71">
        <v>28528.93</v>
      </c>
      <c r="V127" s="72"/>
      <c r="W127" s="72"/>
      <c r="X127" s="72"/>
      <c r="Y127" s="72"/>
      <c r="Z127" s="72"/>
      <c r="AA127" s="71">
        <v>705.23</v>
      </c>
      <c r="AB127" s="72"/>
      <c r="AC127" s="71">
        <v>29234.16</v>
      </c>
      <c r="AD127" s="71">
        <v>0</v>
      </c>
    </row>
    <row r="128" spans="1:30" ht="12" thickBot="1" x14ac:dyDescent="0.25">
      <c r="A128" s="66" t="s">
        <v>322</v>
      </c>
      <c r="B128" s="447" t="str">
        <f>VLOOKUP($D128,'Retail Rates'!$B$7:$D$35,2,FALSE)</f>
        <v>865</v>
      </c>
      <c r="C128" s="447" t="str">
        <f>VLOOKUP($D128,'Retail Rates'!$B$7:$D$35,3,FALSE)</f>
        <v>AAGS-C</v>
      </c>
      <c r="D128" s="66" t="s">
        <v>23</v>
      </c>
      <c r="E128" s="66" t="s">
        <v>24</v>
      </c>
      <c r="F128" s="66" t="s">
        <v>26</v>
      </c>
      <c r="G128" s="67">
        <v>1</v>
      </c>
      <c r="H128" s="68">
        <v>43921</v>
      </c>
      <c r="I128" s="68"/>
      <c r="J128" s="68">
        <v>275</v>
      </c>
      <c r="K128" s="68"/>
      <c r="L128" s="68">
        <v>2306.73</v>
      </c>
      <c r="M128" s="68">
        <v>0</v>
      </c>
      <c r="N128" s="68">
        <v>24617.72</v>
      </c>
      <c r="O128" s="68">
        <v>42.16</v>
      </c>
      <c r="P128" s="68"/>
      <c r="Q128" s="69"/>
      <c r="R128" s="68">
        <v>0</v>
      </c>
      <c r="S128" s="69"/>
      <c r="T128" s="69"/>
      <c r="U128" s="68">
        <v>27241.61</v>
      </c>
      <c r="V128" s="69"/>
      <c r="W128" s="69"/>
      <c r="X128" s="69"/>
      <c r="Y128" s="69"/>
      <c r="Z128" s="69"/>
      <c r="AA128" s="68">
        <v>0</v>
      </c>
      <c r="AB128" s="69"/>
      <c r="AC128" s="68">
        <v>27241.61</v>
      </c>
      <c r="AD128" s="68">
        <v>0</v>
      </c>
    </row>
    <row r="129" spans="1:30" ht="12" thickBot="1" x14ac:dyDescent="0.25">
      <c r="A129" s="66" t="s">
        <v>322</v>
      </c>
      <c r="B129" s="447" t="str">
        <f>VLOOKUP($D129,'Retail Rates'!$B$7:$D$35,2,FALSE)</f>
        <v>855</v>
      </c>
      <c r="C129" s="447" t="str">
        <f>VLOOKUP($D129,'Retail Rates'!$B$7:$D$35,3,FALSE)</f>
        <v>IGS</v>
      </c>
      <c r="D129" s="66" t="s">
        <v>45</v>
      </c>
      <c r="E129" s="66" t="s">
        <v>46</v>
      </c>
      <c r="F129" s="66" t="s">
        <v>28</v>
      </c>
      <c r="G129" s="70">
        <v>206</v>
      </c>
      <c r="H129" s="71">
        <v>74489</v>
      </c>
      <c r="I129" s="71">
        <v>418600</v>
      </c>
      <c r="J129" s="71">
        <v>3330</v>
      </c>
      <c r="K129" s="71">
        <v>16830</v>
      </c>
      <c r="L129" s="71">
        <v>72865.39</v>
      </c>
      <c r="M129" s="71">
        <v>0</v>
      </c>
      <c r="N129" s="71">
        <v>276379.07</v>
      </c>
      <c r="O129" s="71"/>
      <c r="P129" s="71"/>
      <c r="Q129" s="72"/>
      <c r="R129" s="71">
        <v>0</v>
      </c>
      <c r="S129" s="72"/>
      <c r="T129" s="72"/>
      <c r="U129" s="71">
        <v>369404.46</v>
      </c>
      <c r="V129" s="72"/>
      <c r="W129" s="72"/>
      <c r="X129" s="72"/>
      <c r="Y129" s="72"/>
      <c r="Z129" s="72"/>
      <c r="AA129" s="71">
        <v>15636.43</v>
      </c>
      <c r="AB129" s="72"/>
      <c r="AC129" s="71">
        <v>385040.89</v>
      </c>
      <c r="AD129" s="71">
        <v>0</v>
      </c>
    </row>
    <row r="130" spans="1:30" ht="12" thickBot="1" x14ac:dyDescent="0.25">
      <c r="A130" s="66" t="s">
        <v>322</v>
      </c>
      <c r="B130" s="447" t="str">
        <f>VLOOKUP($D130,'Retail Rates'!$B$7:$D$35,2,FALSE)</f>
        <v>855</v>
      </c>
      <c r="C130" s="447" t="str">
        <f>VLOOKUP($D130,'Retail Rates'!$B$7:$D$35,3,FALSE)</f>
        <v>IGS</v>
      </c>
      <c r="D130" s="66" t="s">
        <v>45</v>
      </c>
      <c r="E130" s="66" t="s">
        <v>46</v>
      </c>
      <c r="F130" s="66" t="s">
        <v>22</v>
      </c>
      <c r="G130" s="67">
        <v>1</v>
      </c>
      <c r="H130" s="68">
        <v>1000</v>
      </c>
      <c r="I130" s="68">
        <v>1698</v>
      </c>
      <c r="J130" s="68"/>
      <c r="K130" s="68">
        <v>170</v>
      </c>
      <c r="L130" s="68">
        <v>428.31</v>
      </c>
      <c r="M130" s="68">
        <v>0</v>
      </c>
      <c r="N130" s="68">
        <v>1512.23</v>
      </c>
      <c r="O130" s="68"/>
      <c r="P130" s="68"/>
      <c r="Q130" s="69"/>
      <c r="R130" s="68">
        <v>0</v>
      </c>
      <c r="S130" s="69"/>
      <c r="T130" s="69"/>
      <c r="U130" s="68">
        <v>2110.54</v>
      </c>
      <c r="V130" s="69"/>
      <c r="W130" s="69"/>
      <c r="X130" s="69"/>
      <c r="Y130" s="69"/>
      <c r="Z130" s="69"/>
      <c r="AA130" s="68">
        <v>126.63</v>
      </c>
      <c r="AB130" s="69"/>
      <c r="AC130" s="68">
        <v>2237.17</v>
      </c>
      <c r="AD130" s="68">
        <v>0</v>
      </c>
    </row>
    <row r="131" spans="1:30" ht="12" thickBot="1" x14ac:dyDescent="0.25">
      <c r="A131" s="66" t="s">
        <v>322</v>
      </c>
      <c r="B131" s="447" t="str">
        <f>VLOOKUP($D131,'Retail Rates'!$B$7:$D$35,2,FALSE)</f>
        <v>855</v>
      </c>
      <c r="C131" s="447" t="str">
        <f>VLOOKUP($D131,'Retail Rates'!$B$7:$D$35,3,FALSE)</f>
        <v>IGS</v>
      </c>
      <c r="D131" s="66" t="s">
        <v>45</v>
      </c>
      <c r="E131" s="66" t="s">
        <v>46</v>
      </c>
      <c r="F131" s="66" t="s">
        <v>26</v>
      </c>
      <c r="G131" s="70">
        <v>5</v>
      </c>
      <c r="H131" s="71">
        <v>266</v>
      </c>
      <c r="I131" s="71"/>
      <c r="J131" s="71">
        <v>120</v>
      </c>
      <c r="K131" s="71">
        <v>170</v>
      </c>
      <c r="L131" s="71">
        <v>50.6</v>
      </c>
      <c r="M131" s="71">
        <v>0</v>
      </c>
      <c r="N131" s="71">
        <v>149.08000000000001</v>
      </c>
      <c r="O131" s="71"/>
      <c r="P131" s="71"/>
      <c r="Q131" s="72"/>
      <c r="R131" s="71">
        <v>0</v>
      </c>
      <c r="S131" s="72"/>
      <c r="T131" s="72"/>
      <c r="U131" s="71">
        <v>489.68</v>
      </c>
      <c r="V131" s="72"/>
      <c r="W131" s="72"/>
      <c r="X131" s="72"/>
      <c r="Y131" s="72"/>
      <c r="Z131" s="72"/>
      <c r="AA131" s="71">
        <v>0</v>
      </c>
      <c r="AB131" s="72"/>
      <c r="AC131" s="71">
        <v>489.68</v>
      </c>
      <c r="AD131" s="71">
        <v>0</v>
      </c>
    </row>
    <row r="132" spans="1:30" ht="12" thickBot="1" x14ac:dyDescent="0.25">
      <c r="A132" s="66" t="s">
        <v>322</v>
      </c>
      <c r="B132" s="447" t="str">
        <f>VLOOKUP($D132,'Retail Rates'!$B$7:$D$35,2,FALSE)</f>
        <v>866</v>
      </c>
      <c r="C132" s="447" t="str">
        <f>VLOOKUP($D132,'Retail Rates'!$B$7:$D$35,3,FALSE)</f>
        <v>AAGS-I</v>
      </c>
      <c r="D132" s="66" t="s">
        <v>29</v>
      </c>
      <c r="E132" s="66" t="s">
        <v>30</v>
      </c>
      <c r="F132" s="66" t="s">
        <v>28</v>
      </c>
      <c r="G132" s="67">
        <v>8</v>
      </c>
      <c r="H132" s="68">
        <v>156216</v>
      </c>
      <c r="I132" s="68"/>
      <c r="J132" s="68">
        <v>2200</v>
      </c>
      <c r="K132" s="68"/>
      <c r="L132" s="68">
        <v>8204.4699999999993</v>
      </c>
      <c r="M132" s="68">
        <v>0</v>
      </c>
      <c r="N132" s="68">
        <v>87559.06</v>
      </c>
      <c r="O132" s="68"/>
      <c r="P132" s="68"/>
      <c r="Q132" s="69"/>
      <c r="R132" s="68">
        <v>0</v>
      </c>
      <c r="S132" s="69"/>
      <c r="T132" s="69"/>
      <c r="U132" s="68">
        <v>97963.53</v>
      </c>
      <c r="V132" s="69"/>
      <c r="W132" s="69"/>
      <c r="X132" s="69"/>
      <c r="Y132" s="69"/>
      <c r="Z132" s="69"/>
      <c r="AA132" s="68">
        <v>1586.13</v>
      </c>
      <c r="AB132" s="69"/>
      <c r="AC132" s="68">
        <v>99549.66</v>
      </c>
      <c r="AD132" s="68">
        <v>0</v>
      </c>
    </row>
    <row r="133" spans="1:30" ht="12" thickBot="1" x14ac:dyDescent="0.25">
      <c r="A133" s="66" t="s">
        <v>322</v>
      </c>
      <c r="B133" s="447" t="str">
        <f>VLOOKUP($D133,'Retail Rates'!$B$7:$D$35,2,FALSE)</f>
        <v>866</v>
      </c>
      <c r="C133" s="447" t="str">
        <f>VLOOKUP($D133,'Retail Rates'!$B$7:$D$35,3,FALSE)</f>
        <v>AAGS-I</v>
      </c>
      <c r="D133" s="66" t="s">
        <v>29</v>
      </c>
      <c r="E133" s="66" t="s">
        <v>30</v>
      </c>
      <c r="F133" s="66" t="s">
        <v>26</v>
      </c>
      <c r="G133" s="70">
        <v>1</v>
      </c>
      <c r="H133" s="71">
        <v>11752</v>
      </c>
      <c r="I133" s="71"/>
      <c r="J133" s="71">
        <v>275</v>
      </c>
      <c r="K133" s="71"/>
      <c r="L133" s="71">
        <v>617.22</v>
      </c>
      <c r="M133" s="71">
        <v>0</v>
      </c>
      <c r="N133" s="71">
        <v>6587</v>
      </c>
      <c r="O133" s="71"/>
      <c r="P133" s="71"/>
      <c r="Q133" s="72"/>
      <c r="R133" s="71">
        <v>0</v>
      </c>
      <c r="S133" s="72"/>
      <c r="T133" s="72"/>
      <c r="U133" s="71">
        <v>7479.22</v>
      </c>
      <c r="V133" s="72"/>
      <c r="W133" s="72"/>
      <c r="X133" s="72"/>
      <c r="Y133" s="72"/>
      <c r="Z133" s="72"/>
      <c r="AA133" s="71">
        <v>0</v>
      </c>
      <c r="AB133" s="72"/>
      <c r="AC133" s="71">
        <v>7479.22</v>
      </c>
      <c r="AD133" s="71">
        <v>0</v>
      </c>
    </row>
    <row r="134" spans="1:30" ht="12" thickBot="1" x14ac:dyDescent="0.25">
      <c r="A134" s="66" t="s">
        <v>322</v>
      </c>
      <c r="B134" s="447" t="str">
        <f>VLOOKUP($D134,'Retail Rates'!$B$7:$D$35,2,FALSE)</f>
        <v>811</v>
      </c>
      <c r="C134" s="447" t="str">
        <f>VLOOKUP($D134,'Retail Rates'!$B$7:$D$35,3,FALSE)</f>
        <v>RGS</v>
      </c>
      <c r="D134" s="66" t="s">
        <v>52</v>
      </c>
      <c r="E134" s="66" t="s">
        <v>53</v>
      </c>
      <c r="F134" s="66" t="s">
        <v>22</v>
      </c>
      <c r="G134" s="70">
        <v>4</v>
      </c>
      <c r="H134" s="71">
        <v>41</v>
      </c>
      <c r="I134" s="71"/>
      <c r="J134" s="71">
        <v>41.67</v>
      </c>
      <c r="K134" s="71"/>
      <c r="L134" s="71">
        <v>9.19</v>
      </c>
      <c r="M134" s="71">
        <v>0</v>
      </c>
      <c r="N134" s="71">
        <v>22.98</v>
      </c>
      <c r="O134" s="71">
        <v>0.77</v>
      </c>
      <c r="P134" s="71"/>
      <c r="Q134" s="72">
        <v>0.6</v>
      </c>
      <c r="R134" s="71">
        <v>0</v>
      </c>
      <c r="S134" s="72"/>
      <c r="T134" s="72"/>
      <c r="U134" s="71">
        <v>74.61</v>
      </c>
      <c r="V134" s="72"/>
      <c r="W134" s="72"/>
      <c r="X134" s="72"/>
      <c r="Y134" s="72"/>
      <c r="Z134" s="72"/>
      <c r="AA134" s="71">
        <v>3.67</v>
      </c>
      <c r="AB134" s="72"/>
      <c r="AC134" s="71">
        <v>78.88</v>
      </c>
      <c r="AD134" s="71">
        <v>0</v>
      </c>
    </row>
    <row r="135" spans="1:30" ht="12" thickBot="1" x14ac:dyDescent="0.25">
      <c r="A135" s="66" t="s">
        <v>322</v>
      </c>
      <c r="B135" s="447" t="str">
        <f>VLOOKUP($D135,'Retail Rates'!$B$7:$D$35,2,FALSE)</f>
        <v>811</v>
      </c>
      <c r="C135" s="447" t="str">
        <f>VLOOKUP($D135,'Retail Rates'!$B$7:$D$35,3,FALSE)</f>
        <v>RGS</v>
      </c>
      <c r="D135" s="66" t="s">
        <v>52</v>
      </c>
      <c r="E135" s="66" t="s">
        <v>53</v>
      </c>
      <c r="F135" s="66" t="s">
        <v>26</v>
      </c>
      <c r="G135" s="67">
        <v>53</v>
      </c>
      <c r="H135" s="68">
        <v>558</v>
      </c>
      <c r="I135" s="68"/>
      <c r="J135" s="68">
        <v>662.5</v>
      </c>
      <c r="K135" s="68"/>
      <c r="L135" s="68">
        <v>124.99</v>
      </c>
      <c r="M135" s="68">
        <v>0</v>
      </c>
      <c r="N135" s="68">
        <v>312.74</v>
      </c>
      <c r="O135" s="68">
        <v>10.5</v>
      </c>
      <c r="P135" s="68"/>
      <c r="Q135" s="69">
        <v>7.95</v>
      </c>
      <c r="R135" s="68">
        <v>0</v>
      </c>
      <c r="S135" s="69"/>
      <c r="T135" s="69"/>
      <c r="U135" s="68">
        <v>1110.73</v>
      </c>
      <c r="V135" s="69"/>
      <c r="W135" s="69"/>
      <c r="X135" s="69"/>
      <c r="Y135" s="69"/>
      <c r="Z135" s="69"/>
      <c r="AA135" s="68">
        <v>1.89</v>
      </c>
      <c r="AB135" s="69"/>
      <c r="AC135" s="68">
        <v>1120.57</v>
      </c>
      <c r="AD135" s="68">
        <v>0</v>
      </c>
    </row>
    <row r="136" spans="1:30" ht="12" thickBot="1" x14ac:dyDescent="0.25">
      <c r="A136" s="66" t="s">
        <v>322</v>
      </c>
      <c r="B136" s="447" t="str">
        <f>VLOOKUP($D136,'Retail Rates'!$B$7:$D$35,2,FALSE)</f>
        <v>811</v>
      </c>
      <c r="C136" s="447" t="str">
        <f>VLOOKUP($D136,'Retail Rates'!$B$7:$D$35,3,FALSE)</f>
        <v>RGS</v>
      </c>
      <c r="D136" s="66" t="s">
        <v>52</v>
      </c>
      <c r="E136" s="66" t="s">
        <v>53</v>
      </c>
      <c r="F136" s="66" t="s">
        <v>40</v>
      </c>
      <c r="G136" s="70">
        <v>290908</v>
      </c>
      <c r="H136" s="71">
        <v>5742992</v>
      </c>
      <c r="I136" s="71"/>
      <c r="J136" s="71">
        <v>3625123.67</v>
      </c>
      <c r="K136" s="71"/>
      <c r="L136" s="71">
        <v>1286274.57</v>
      </c>
      <c r="M136" s="71">
        <v>1955.49</v>
      </c>
      <c r="N136" s="71">
        <v>3219144.2</v>
      </c>
      <c r="O136" s="71">
        <v>108438.64</v>
      </c>
      <c r="P136" s="71">
        <v>-47.24</v>
      </c>
      <c r="Q136" s="72">
        <v>43994.55</v>
      </c>
      <c r="R136" s="71">
        <v>0</v>
      </c>
      <c r="S136" s="72"/>
      <c r="T136" s="72"/>
      <c r="U136" s="71">
        <v>8238933.8399999999</v>
      </c>
      <c r="V136" s="72"/>
      <c r="W136" s="72"/>
      <c r="X136" s="72"/>
      <c r="Y136" s="72"/>
      <c r="Z136" s="72"/>
      <c r="AA136" s="71">
        <v>31263.439999999999</v>
      </c>
      <c r="AB136" s="72"/>
      <c r="AC136" s="71">
        <v>8316147.3200000003</v>
      </c>
      <c r="AD136" s="71">
        <v>0</v>
      </c>
    </row>
    <row r="137" spans="1:30" ht="12" thickBot="1" x14ac:dyDescent="0.25">
      <c r="A137" s="66" t="s">
        <v>322</v>
      </c>
      <c r="B137" s="447" t="str">
        <f>VLOOKUP($D137,'Retail Rates'!$B$7:$D$35,2,FALSE)</f>
        <v>811</v>
      </c>
      <c r="C137" s="447" t="str">
        <f>VLOOKUP($D137,'Retail Rates'!$B$7:$D$35,3,FALSE)</f>
        <v>RGS</v>
      </c>
      <c r="D137" s="66" t="s">
        <v>55</v>
      </c>
      <c r="E137" s="66" t="s">
        <v>56</v>
      </c>
      <c r="F137" s="66" t="s">
        <v>40</v>
      </c>
      <c r="G137" s="67">
        <v>1</v>
      </c>
      <c r="H137" s="68">
        <v>622</v>
      </c>
      <c r="I137" s="68"/>
      <c r="J137" s="68">
        <v>0.5</v>
      </c>
      <c r="K137" s="68"/>
      <c r="L137" s="68">
        <v>-28.06</v>
      </c>
      <c r="M137" s="68"/>
      <c r="N137" s="68">
        <v>348.63</v>
      </c>
      <c r="O137" s="68"/>
      <c r="P137" s="68"/>
      <c r="Q137" s="69"/>
      <c r="R137" s="68"/>
      <c r="S137" s="69"/>
      <c r="T137" s="69"/>
      <c r="U137" s="68">
        <v>321.07</v>
      </c>
      <c r="V137" s="69"/>
      <c r="W137" s="69"/>
      <c r="X137" s="69"/>
      <c r="Y137" s="69"/>
      <c r="Z137" s="69"/>
      <c r="AA137" s="68">
        <v>0</v>
      </c>
      <c r="AB137" s="69"/>
      <c r="AC137" s="68">
        <v>321.07</v>
      </c>
      <c r="AD137" s="68">
        <v>0</v>
      </c>
    </row>
    <row r="138" spans="1:30" ht="12" thickBot="1" x14ac:dyDescent="0.25">
      <c r="A138" s="66" t="s">
        <v>322</v>
      </c>
      <c r="B138" s="447" t="str">
        <f>VLOOKUP($D138,'Retail Rates'!$B$7:$D$35,2,FALSE)</f>
        <v>840</v>
      </c>
      <c r="C138" s="447" t="str">
        <f>VLOOKUP($D138,'Retail Rates'!$B$7:$D$35,3,FALSE)</f>
        <v>RGS</v>
      </c>
      <c r="D138" s="66" t="s">
        <v>59</v>
      </c>
      <c r="E138" s="66" t="s">
        <v>60</v>
      </c>
      <c r="F138" s="66" t="s">
        <v>26</v>
      </c>
      <c r="G138" s="70">
        <v>1</v>
      </c>
      <c r="H138" s="71">
        <v>157</v>
      </c>
      <c r="I138" s="71"/>
      <c r="J138" s="71">
        <v>12.5</v>
      </c>
      <c r="K138" s="71"/>
      <c r="L138" s="71">
        <v>35.159999999999997</v>
      </c>
      <c r="M138" s="71">
        <v>0</v>
      </c>
      <c r="N138" s="71">
        <v>88</v>
      </c>
      <c r="O138" s="71">
        <v>2.96</v>
      </c>
      <c r="P138" s="71"/>
      <c r="Q138" s="72"/>
      <c r="R138" s="71">
        <v>0</v>
      </c>
      <c r="S138" s="72"/>
      <c r="T138" s="72"/>
      <c r="U138" s="71">
        <v>138.62</v>
      </c>
      <c r="V138" s="72"/>
      <c r="W138" s="72"/>
      <c r="X138" s="72"/>
      <c r="Y138" s="72"/>
      <c r="Z138" s="72"/>
      <c r="AA138" s="71">
        <v>0</v>
      </c>
      <c r="AB138" s="72"/>
      <c r="AC138" s="71">
        <v>138.62</v>
      </c>
      <c r="AD138" s="71">
        <v>0</v>
      </c>
    </row>
    <row r="139" spans="1:30" ht="12" thickBot="1" x14ac:dyDescent="0.25">
      <c r="A139" s="66" t="s">
        <v>322</v>
      </c>
      <c r="B139" s="447" t="str">
        <f>VLOOKUP($D139,'Retail Rates'!$B$7:$D$35,2,FALSE)</f>
        <v>840</v>
      </c>
      <c r="C139" s="447" t="str">
        <f>VLOOKUP($D139,'Retail Rates'!$B$7:$D$35,3,FALSE)</f>
        <v>RGS</v>
      </c>
      <c r="D139" s="66" t="s">
        <v>59</v>
      </c>
      <c r="E139" s="66" t="s">
        <v>60</v>
      </c>
      <c r="F139" s="66" t="s">
        <v>40</v>
      </c>
      <c r="G139" s="67">
        <v>3</v>
      </c>
      <c r="H139" s="68">
        <v>226</v>
      </c>
      <c r="I139" s="68"/>
      <c r="J139" s="68">
        <v>37.5</v>
      </c>
      <c r="K139" s="68"/>
      <c r="L139" s="68">
        <v>50.61</v>
      </c>
      <c r="M139" s="68">
        <v>0</v>
      </c>
      <c r="N139" s="68">
        <v>126.68</v>
      </c>
      <c r="O139" s="68">
        <v>4.2699999999999996</v>
      </c>
      <c r="P139" s="68"/>
      <c r="Q139" s="69"/>
      <c r="R139" s="68">
        <v>0</v>
      </c>
      <c r="S139" s="69"/>
      <c r="T139" s="69"/>
      <c r="U139" s="68">
        <v>219.06</v>
      </c>
      <c r="V139" s="69"/>
      <c r="W139" s="69"/>
      <c r="X139" s="69"/>
      <c r="Y139" s="69"/>
      <c r="Z139" s="69"/>
      <c r="AA139" s="68">
        <v>0.66</v>
      </c>
      <c r="AB139" s="69"/>
      <c r="AC139" s="68">
        <v>219.72</v>
      </c>
      <c r="AD139" s="68">
        <v>0</v>
      </c>
    </row>
    <row r="140" spans="1:30" ht="12" thickBot="1" x14ac:dyDescent="0.25">
      <c r="A140" s="66" t="s">
        <v>322</v>
      </c>
      <c r="B140" s="447" t="str">
        <f>VLOOKUP($D140,'Retail Rates'!$B$7:$D$35,2,FALSE)</f>
        <v>830</v>
      </c>
      <c r="C140" s="447" t="str">
        <f>VLOOKUP($D140,'Retail Rates'!$B$7:$D$35,3,FALSE)</f>
        <v>RGS</v>
      </c>
      <c r="D140" s="66" t="s">
        <v>49</v>
      </c>
      <c r="E140" s="66" t="s">
        <v>50</v>
      </c>
      <c r="F140" s="66" t="s">
        <v>40</v>
      </c>
      <c r="G140" s="70">
        <v>1</v>
      </c>
      <c r="H140" s="71">
        <v>32</v>
      </c>
      <c r="I140" s="71"/>
      <c r="J140" s="71">
        <v>25</v>
      </c>
      <c r="K140" s="71"/>
      <c r="L140" s="71">
        <v>7.17</v>
      </c>
      <c r="M140" s="71">
        <v>0</v>
      </c>
      <c r="N140" s="71">
        <v>17.940000000000001</v>
      </c>
      <c r="O140" s="71">
        <v>0.6</v>
      </c>
      <c r="P140" s="71"/>
      <c r="Q140" s="72"/>
      <c r="R140" s="71">
        <v>0</v>
      </c>
      <c r="S140" s="72"/>
      <c r="T140" s="72"/>
      <c r="U140" s="71">
        <v>50.71</v>
      </c>
      <c r="V140" s="72"/>
      <c r="W140" s="72"/>
      <c r="X140" s="72"/>
      <c r="Y140" s="72"/>
      <c r="Z140" s="72"/>
      <c r="AA140" s="71">
        <v>0</v>
      </c>
      <c r="AB140" s="72"/>
      <c r="AC140" s="71">
        <v>50.71</v>
      </c>
      <c r="AD140" s="71">
        <v>0</v>
      </c>
    </row>
    <row r="141" spans="1:30" ht="12" thickBot="1" x14ac:dyDescent="0.25">
      <c r="A141" s="66" t="s">
        <v>322</v>
      </c>
      <c r="B141" s="447" t="str">
        <f>VLOOKUP($D141,'Retail Rates'!$B$7:$D$35,2,FALSE)</f>
        <v>860</v>
      </c>
      <c r="C141" s="447" t="str">
        <f>VLOOKUP($D141,'Retail Rates'!$B$7:$D$35,3,FALSE)</f>
        <v>CGS</v>
      </c>
      <c r="D141" s="66" t="s">
        <v>34</v>
      </c>
      <c r="E141" s="66" t="s">
        <v>35</v>
      </c>
      <c r="F141" s="66" t="s">
        <v>22</v>
      </c>
      <c r="G141" s="67">
        <v>1</v>
      </c>
      <c r="H141" s="68">
        <v>304</v>
      </c>
      <c r="I141" s="68"/>
      <c r="J141" s="68">
        <v>480</v>
      </c>
      <c r="K141" s="68"/>
      <c r="L141" s="68">
        <v>56.91</v>
      </c>
      <c r="M141" s="68">
        <v>0</v>
      </c>
      <c r="N141" s="68">
        <v>170.39</v>
      </c>
      <c r="O141" s="68">
        <v>0.28999999999999998</v>
      </c>
      <c r="P141" s="68"/>
      <c r="Q141" s="69"/>
      <c r="R141" s="68">
        <v>0</v>
      </c>
      <c r="S141" s="69"/>
      <c r="T141" s="69"/>
      <c r="U141" s="68">
        <v>707.59</v>
      </c>
      <c r="V141" s="69"/>
      <c r="W141" s="69"/>
      <c r="X141" s="69"/>
      <c r="Y141" s="69"/>
      <c r="Z141" s="69"/>
      <c r="AA141" s="68">
        <v>42.46</v>
      </c>
      <c r="AB141" s="69"/>
      <c r="AC141" s="68">
        <v>750.05</v>
      </c>
      <c r="AD141" s="68">
        <v>0</v>
      </c>
    </row>
    <row r="142" spans="1:30" ht="12" thickBot="1" x14ac:dyDescent="0.25">
      <c r="A142" s="66" t="s">
        <v>322</v>
      </c>
      <c r="B142" s="447" t="str">
        <f>VLOOKUP($D142,'Retail Rates'!$B$7:$D$35,2,FALSE)</f>
        <v>860</v>
      </c>
      <c r="C142" s="447" t="str">
        <f>VLOOKUP($D142,'Retail Rates'!$B$7:$D$35,3,FALSE)</f>
        <v>CGS</v>
      </c>
      <c r="D142" s="66" t="s">
        <v>34</v>
      </c>
      <c r="E142" s="66" t="s">
        <v>35</v>
      </c>
      <c r="F142" s="66" t="s">
        <v>26</v>
      </c>
      <c r="G142" s="70">
        <v>2</v>
      </c>
      <c r="H142" s="71">
        <v>54</v>
      </c>
      <c r="I142" s="71"/>
      <c r="J142" s="71">
        <v>90</v>
      </c>
      <c r="K142" s="71"/>
      <c r="L142" s="71">
        <v>10.11</v>
      </c>
      <c r="M142" s="71">
        <v>0</v>
      </c>
      <c r="N142" s="71">
        <v>30.27</v>
      </c>
      <c r="O142" s="71">
        <v>0.05</v>
      </c>
      <c r="P142" s="71"/>
      <c r="Q142" s="72"/>
      <c r="R142" s="71">
        <v>0</v>
      </c>
      <c r="S142" s="72"/>
      <c r="T142" s="72"/>
      <c r="U142" s="71">
        <v>130.43</v>
      </c>
      <c r="V142" s="72"/>
      <c r="W142" s="72"/>
      <c r="X142" s="72"/>
      <c r="Y142" s="72"/>
      <c r="Z142" s="72"/>
      <c r="AA142" s="71">
        <v>0</v>
      </c>
      <c r="AB142" s="72"/>
      <c r="AC142" s="71">
        <v>130.43</v>
      </c>
      <c r="AD142" s="71">
        <v>0</v>
      </c>
    </row>
    <row r="143" spans="1:30" ht="12" thickBot="1" x14ac:dyDescent="0.25">
      <c r="A143" s="66" t="s">
        <v>322</v>
      </c>
      <c r="B143" s="447" t="str">
        <f>VLOOKUP($D143,'Retail Rates'!$B$7:$D$35,2,FALSE)</f>
        <v>861</v>
      </c>
      <c r="C143" s="447" t="str">
        <f>VLOOKUP($D143,'Retail Rates'!$B$7:$D$35,3,FALSE)</f>
        <v>CGS</v>
      </c>
      <c r="D143" s="66" t="s">
        <v>41</v>
      </c>
      <c r="E143" s="66" t="s">
        <v>42</v>
      </c>
      <c r="F143" s="66" t="s">
        <v>22</v>
      </c>
      <c r="G143" s="67">
        <v>610</v>
      </c>
      <c r="H143" s="68">
        <v>613</v>
      </c>
      <c r="I143" s="68"/>
      <c r="J143" s="68">
        <v>18600</v>
      </c>
      <c r="K143" s="68"/>
      <c r="L143" s="68">
        <v>116.38</v>
      </c>
      <c r="M143" s="68">
        <v>1.84</v>
      </c>
      <c r="N143" s="68">
        <v>343.28</v>
      </c>
      <c r="O143" s="68">
        <v>0</v>
      </c>
      <c r="P143" s="68"/>
      <c r="Q143" s="69"/>
      <c r="R143" s="68">
        <v>0</v>
      </c>
      <c r="S143" s="69"/>
      <c r="T143" s="69"/>
      <c r="U143" s="68">
        <v>19059.66</v>
      </c>
      <c r="V143" s="69"/>
      <c r="W143" s="69"/>
      <c r="X143" s="69"/>
      <c r="Y143" s="69"/>
      <c r="Z143" s="69"/>
      <c r="AA143" s="68">
        <v>1208.71</v>
      </c>
      <c r="AB143" s="69"/>
      <c r="AC143" s="68">
        <v>20270.21</v>
      </c>
      <c r="AD143" s="68">
        <v>0</v>
      </c>
    </row>
    <row r="144" spans="1:30" ht="12" thickBot="1" x14ac:dyDescent="0.25">
      <c r="A144" s="66" t="s">
        <v>323</v>
      </c>
      <c r="B144" s="447" t="str">
        <f>VLOOKUP($D144,'Retail Rates'!$B$7:$D$35,2,FALSE)</f>
        <v>851</v>
      </c>
      <c r="C144" s="447" t="str">
        <f>VLOOKUP($D144,'Retail Rates'!$B$7:$D$35,3,FALSE)</f>
        <v>CGS</v>
      </c>
      <c r="D144" s="66" t="s">
        <v>37</v>
      </c>
      <c r="E144" s="66" t="s">
        <v>38</v>
      </c>
      <c r="F144" s="66" t="s">
        <v>247</v>
      </c>
      <c r="G144" s="70">
        <v>1</v>
      </c>
      <c r="H144" s="71">
        <v>3504</v>
      </c>
      <c r="I144" s="71"/>
      <c r="J144" s="71"/>
      <c r="K144" s="71"/>
      <c r="L144" s="71"/>
      <c r="M144" s="71">
        <v>0</v>
      </c>
      <c r="N144" s="71">
        <v>1908.4</v>
      </c>
      <c r="O144" s="71"/>
      <c r="P144" s="71">
        <v>-12.5</v>
      </c>
      <c r="Q144" s="72"/>
      <c r="R144" s="71"/>
      <c r="S144" s="72"/>
      <c r="T144" s="72"/>
      <c r="U144" s="71">
        <v>-12.5</v>
      </c>
      <c r="V144" s="72">
        <v>1911.76</v>
      </c>
      <c r="W144" s="72">
        <v>826.02</v>
      </c>
      <c r="X144" s="72"/>
      <c r="Y144" s="72"/>
      <c r="Z144" s="72"/>
      <c r="AA144" s="71">
        <v>163.52000000000001</v>
      </c>
      <c r="AB144" s="72"/>
      <c r="AC144" s="71">
        <v>2888.8</v>
      </c>
      <c r="AD144" s="71">
        <v>0</v>
      </c>
    </row>
    <row r="145" spans="1:30" ht="12" thickBot="1" x14ac:dyDescent="0.25">
      <c r="A145" s="66" t="s">
        <v>323</v>
      </c>
      <c r="B145" s="447" t="str">
        <f>VLOOKUP($D145,'Retail Rates'!$B$7:$D$35,2,FALSE)</f>
        <v>851</v>
      </c>
      <c r="C145" s="447" t="str">
        <f>VLOOKUP($D145,'Retail Rates'!$B$7:$D$35,3,FALSE)</f>
        <v>CGS</v>
      </c>
      <c r="D145" s="66" t="s">
        <v>37</v>
      </c>
      <c r="E145" s="66" t="s">
        <v>38</v>
      </c>
      <c r="F145" s="66" t="s">
        <v>22</v>
      </c>
      <c r="G145" s="67">
        <v>23083</v>
      </c>
      <c r="H145" s="68">
        <v>5257456</v>
      </c>
      <c r="I145" s="68">
        <v>-295775</v>
      </c>
      <c r="J145" s="68">
        <v>670202.21</v>
      </c>
      <c r="K145" s="68">
        <v>128503</v>
      </c>
      <c r="L145" s="68">
        <v>943696.74</v>
      </c>
      <c r="M145" s="68">
        <v>1331.31</v>
      </c>
      <c r="N145" s="68">
        <v>2664665.94</v>
      </c>
      <c r="O145" s="68">
        <v>4758.93</v>
      </c>
      <c r="P145" s="68">
        <v>50487.35</v>
      </c>
      <c r="Q145" s="69"/>
      <c r="R145" s="68">
        <v>0</v>
      </c>
      <c r="S145" s="69"/>
      <c r="T145" s="69"/>
      <c r="U145" s="68">
        <v>4462314.17</v>
      </c>
      <c r="V145" s="69"/>
      <c r="W145" s="69"/>
      <c r="X145" s="69"/>
      <c r="Y145" s="69"/>
      <c r="Z145" s="69"/>
      <c r="AA145" s="68">
        <v>243135.55</v>
      </c>
      <c r="AB145" s="69"/>
      <c r="AC145" s="68">
        <v>4706781.03</v>
      </c>
      <c r="AD145" s="68">
        <v>0</v>
      </c>
    </row>
    <row r="146" spans="1:30" ht="12" thickBot="1" x14ac:dyDescent="0.25">
      <c r="A146" s="66" t="s">
        <v>323</v>
      </c>
      <c r="B146" s="447" t="str">
        <f>VLOOKUP($D146,'Retail Rates'!$B$7:$D$35,2,FALSE)</f>
        <v>851</v>
      </c>
      <c r="C146" s="447" t="str">
        <f>VLOOKUP($D146,'Retail Rates'!$B$7:$D$35,3,FALSE)</f>
        <v>CGS</v>
      </c>
      <c r="D146" s="66" t="s">
        <v>37</v>
      </c>
      <c r="E146" s="66" t="s">
        <v>38</v>
      </c>
      <c r="F146" s="66" t="s">
        <v>26</v>
      </c>
      <c r="G146" s="70">
        <v>1132</v>
      </c>
      <c r="H146" s="71">
        <v>931976</v>
      </c>
      <c r="I146" s="71">
        <v>13186</v>
      </c>
      <c r="J146" s="71">
        <v>26019</v>
      </c>
      <c r="K146" s="71">
        <v>46189</v>
      </c>
      <c r="L146" s="71">
        <v>176294.03</v>
      </c>
      <c r="M146" s="71">
        <v>136.13</v>
      </c>
      <c r="N146" s="71">
        <v>505052.57</v>
      </c>
      <c r="O146" s="71">
        <v>907.42</v>
      </c>
      <c r="P146" s="71">
        <v>20524.400000000001</v>
      </c>
      <c r="Q146" s="72"/>
      <c r="R146" s="71">
        <v>0</v>
      </c>
      <c r="S146" s="72"/>
      <c r="T146" s="72"/>
      <c r="U146" s="71">
        <v>774986.42</v>
      </c>
      <c r="V146" s="72"/>
      <c r="W146" s="72"/>
      <c r="X146" s="72"/>
      <c r="Y146" s="72"/>
      <c r="Z146" s="72"/>
      <c r="AA146" s="71">
        <v>3216.55</v>
      </c>
      <c r="AB146" s="72"/>
      <c r="AC146" s="71">
        <v>778339.1</v>
      </c>
      <c r="AD146" s="71">
        <v>0</v>
      </c>
    </row>
    <row r="147" spans="1:30" ht="12" thickBot="1" x14ac:dyDescent="0.25">
      <c r="A147" s="66" t="s">
        <v>323</v>
      </c>
      <c r="B147" s="447" t="str">
        <f>VLOOKUP($D147,'Retail Rates'!$B$7:$D$35,2,FALSE)</f>
        <v>851</v>
      </c>
      <c r="C147" s="447" t="str">
        <f>VLOOKUP($D147,'Retail Rates'!$B$7:$D$35,3,FALSE)</f>
        <v>CGS</v>
      </c>
      <c r="D147" s="66" t="s">
        <v>37</v>
      </c>
      <c r="E147" s="66" t="s">
        <v>38</v>
      </c>
      <c r="F147" s="66" t="s">
        <v>40</v>
      </c>
      <c r="G147" s="67">
        <v>8</v>
      </c>
      <c r="H147" s="68">
        <v>1947</v>
      </c>
      <c r="I147" s="68"/>
      <c r="J147" s="68">
        <v>224</v>
      </c>
      <c r="K147" s="68">
        <v>170</v>
      </c>
      <c r="L147" s="68">
        <v>364.51</v>
      </c>
      <c r="M147" s="68">
        <v>0</v>
      </c>
      <c r="N147" s="68">
        <v>1058.52</v>
      </c>
      <c r="O147" s="68">
        <v>1.89</v>
      </c>
      <c r="P147" s="68">
        <v>7.1</v>
      </c>
      <c r="Q147" s="69"/>
      <c r="R147" s="68">
        <v>0</v>
      </c>
      <c r="S147" s="69"/>
      <c r="T147" s="69"/>
      <c r="U147" s="68">
        <v>1826.02</v>
      </c>
      <c r="V147" s="69"/>
      <c r="W147" s="69"/>
      <c r="X147" s="69"/>
      <c r="Y147" s="69"/>
      <c r="Z147" s="69"/>
      <c r="AA147" s="68">
        <v>0.42</v>
      </c>
      <c r="AB147" s="69"/>
      <c r="AC147" s="68">
        <v>1826.44</v>
      </c>
      <c r="AD147" s="68">
        <v>0</v>
      </c>
    </row>
    <row r="148" spans="1:30" ht="12" thickBot="1" x14ac:dyDescent="0.25">
      <c r="A148" s="66" t="s">
        <v>323</v>
      </c>
      <c r="B148" s="447" t="str">
        <f>VLOOKUP($D148,'Retail Rates'!$B$7:$D$35,2,FALSE)</f>
        <v>865</v>
      </c>
      <c r="C148" s="447" t="str">
        <f>VLOOKUP($D148,'Retail Rates'!$B$7:$D$35,3,FALSE)</f>
        <v>AAGS-C</v>
      </c>
      <c r="D148" s="66" t="s">
        <v>23</v>
      </c>
      <c r="E148" s="66" t="s">
        <v>24</v>
      </c>
      <c r="F148" s="66" t="s">
        <v>28</v>
      </c>
      <c r="G148" s="70">
        <v>1</v>
      </c>
      <c r="H148" s="71">
        <v>22939</v>
      </c>
      <c r="I148" s="71"/>
      <c r="J148" s="71">
        <v>275</v>
      </c>
      <c r="K148" s="71"/>
      <c r="L148" s="71">
        <v>1204.76</v>
      </c>
      <c r="M148" s="71">
        <v>0</v>
      </c>
      <c r="N148" s="71">
        <v>11965.62</v>
      </c>
      <c r="O148" s="71">
        <v>22.02</v>
      </c>
      <c r="P148" s="71"/>
      <c r="Q148" s="72"/>
      <c r="R148" s="71">
        <v>0</v>
      </c>
      <c r="S148" s="72"/>
      <c r="T148" s="72"/>
      <c r="U148" s="71">
        <v>13467.4</v>
      </c>
      <c r="V148" s="72"/>
      <c r="W148" s="72"/>
      <c r="X148" s="72"/>
      <c r="Y148" s="72"/>
      <c r="Z148" s="72"/>
      <c r="AA148" s="71">
        <v>0</v>
      </c>
      <c r="AB148" s="72"/>
      <c r="AC148" s="71">
        <v>13467.4</v>
      </c>
      <c r="AD148" s="71">
        <v>0</v>
      </c>
    </row>
    <row r="149" spans="1:30" ht="12" thickBot="1" x14ac:dyDescent="0.25">
      <c r="A149" s="66" t="s">
        <v>323</v>
      </c>
      <c r="B149" s="447" t="str">
        <f>VLOOKUP($D149,'Retail Rates'!$B$7:$D$35,2,FALSE)</f>
        <v>865</v>
      </c>
      <c r="C149" s="447" t="str">
        <f>VLOOKUP($D149,'Retail Rates'!$B$7:$D$35,3,FALSE)</f>
        <v>AAGS-C</v>
      </c>
      <c r="D149" s="66" t="s">
        <v>23</v>
      </c>
      <c r="E149" s="66" t="s">
        <v>24</v>
      </c>
      <c r="F149" s="66" t="s">
        <v>22</v>
      </c>
      <c r="G149" s="67">
        <v>4</v>
      </c>
      <c r="H149" s="68">
        <v>409506</v>
      </c>
      <c r="I149" s="68"/>
      <c r="J149" s="68">
        <v>2227.5100000000002</v>
      </c>
      <c r="K149" s="68"/>
      <c r="L149" s="68">
        <v>21507.25</v>
      </c>
      <c r="M149" s="68">
        <v>0</v>
      </c>
      <c r="N149" s="68">
        <v>227636</v>
      </c>
      <c r="O149" s="68">
        <v>393.12</v>
      </c>
      <c r="P149" s="68"/>
      <c r="Q149" s="69"/>
      <c r="R149" s="68">
        <v>0</v>
      </c>
      <c r="S149" s="69"/>
      <c r="T149" s="69"/>
      <c r="U149" s="68">
        <v>251763.88</v>
      </c>
      <c r="V149" s="69"/>
      <c r="W149" s="69"/>
      <c r="X149" s="69"/>
      <c r="Y149" s="69"/>
      <c r="Z149" s="69"/>
      <c r="AA149" s="68">
        <v>7763.73</v>
      </c>
      <c r="AB149" s="69"/>
      <c r="AC149" s="68">
        <v>259527.61</v>
      </c>
      <c r="AD149" s="68">
        <v>0</v>
      </c>
    </row>
    <row r="150" spans="1:30" ht="12" thickBot="1" x14ac:dyDescent="0.25">
      <c r="A150" s="66" t="s">
        <v>323</v>
      </c>
      <c r="B150" s="447" t="str">
        <f>VLOOKUP($D150,'Retail Rates'!$B$7:$D$35,2,FALSE)</f>
        <v>855</v>
      </c>
      <c r="C150" s="447" t="str">
        <f>VLOOKUP($D150,'Retail Rates'!$B$7:$D$35,3,FALSE)</f>
        <v>IGS</v>
      </c>
      <c r="D150" s="66" t="s">
        <v>45</v>
      </c>
      <c r="E150" s="66" t="s">
        <v>46</v>
      </c>
      <c r="F150" s="66" t="s">
        <v>28</v>
      </c>
      <c r="G150" s="67">
        <v>208</v>
      </c>
      <c r="H150" s="68">
        <v>586215</v>
      </c>
      <c r="I150" s="68">
        <v>31236</v>
      </c>
      <c r="J150" s="68">
        <v>3270</v>
      </c>
      <c r="K150" s="68">
        <v>17544</v>
      </c>
      <c r="L150" s="68">
        <v>115889.73</v>
      </c>
      <c r="M150" s="68">
        <v>0</v>
      </c>
      <c r="N150" s="68">
        <v>330368.75</v>
      </c>
      <c r="O150" s="68"/>
      <c r="P150" s="68"/>
      <c r="Q150" s="69"/>
      <c r="R150" s="68">
        <v>0</v>
      </c>
      <c r="S150" s="69"/>
      <c r="T150" s="69"/>
      <c r="U150" s="68">
        <v>467072.48</v>
      </c>
      <c r="V150" s="69"/>
      <c r="W150" s="69"/>
      <c r="X150" s="69"/>
      <c r="Y150" s="69"/>
      <c r="Z150" s="69"/>
      <c r="AA150" s="68">
        <v>22272.9</v>
      </c>
      <c r="AB150" s="69"/>
      <c r="AC150" s="68">
        <v>489345.38</v>
      </c>
      <c r="AD150" s="68">
        <v>0</v>
      </c>
    </row>
    <row r="151" spans="1:30" ht="12" thickBot="1" x14ac:dyDescent="0.25">
      <c r="A151" s="66" t="s">
        <v>323</v>
      </c>
      <c r="B151" s="447" t="str">
        <f>VLOOKUP($D151,'Retail Rates'!$B$7:$D$35,2,FALSE)</f>
        <v>855</v>
      </c>
      <c r="C151" s="447" t="str">
        <f>VLOOKUP($D151,'Retail Rates'!$B$7:$D$35,3,FALSE)</f>
        <v>IGS</v>
      </c>
      <c r="D151" s="66" t="s">
        <v>45</v>
      </c>
      <c r="E151" s="66" t="s">
        <v>46</v>
      </c>
      <c r="F151" s="66" t="s">
        <v>22</v>
      </c>
      <c r="G151" s="70">
        <v>1</v>
      </c>
      <c r="H151" s="71">
        <v>3549</v>
      </c>
      <c r="I151" s="71"/>
      <c r="J151" s="71"/>
      <c r="K151" s="71">
        <v>170</v>
      </c>
      <c r="L151" s="71">
        <v>675.09</v>
      </c>
      <c r="M151" s="71">
        <v>0</v>
      </c>
      <c r="N151" s="71">
        <v>1905.64</v>
      </c>
      <c r="O151" s="71"/>
      <c r="P151" s="71"/>
      <c r="Q151" s="72"/>
      <c r="R151" s="71">
        <v>0</v>
      </c>
      <c r="S151" s="72"/>
      <c r="T151" s="72"/>
      <c r="U151" s="71">
        <v>2750.73</v>
      </c>
      <c r="V151" s="72"/>
      <c r="W151" s="72"/>
      <c r="X151" s="72"/>
      <c r="Y151" s="72"/>
      <c r="Z151" s="72"/>
      <c r="AA151" s="71">
        <v>165.04</v>
      </c>
      <c r="AB151" s="72"/>
      <c r="AC151" s="71">
        <v>2915.77</v>
      </c>
      <c r="AD151" s="71">
        <v>0</v>
      </c>
    </row>
    <row r="152" spans="1:30" ht="12" thickBot="1" x14ac:dyDescent="0.25">
      <c r="A152" s="66" t="s">
        <v>323</v>
      </c>
      <c r="B152" s="447" t="str">
        <f>VLOOKUP($D152,'Retail Rates'!$B$7:$D$35,2,FALSE)</f>
        <v>855</v>
      </c>
      <c r="C152" s="447" t="str">
        <f>VLOOKUP($D152,'Retail Rates'!$B$7:$D$35,3,FALSE)</f>
        <v>IGS</v>
      </c>
      <c r="D152" s="66" t="s">
        <v>45</v>
      </c>
      <c r="E152" s="66" t="s">
        <v>46</v>
      </c>
      <c r="F152" s="66" t="s">
        <v>26</v>
      </c>
      <c r="G152" s="67">
        <v>5</v>
      </c>
      <c r="H152" s="68">
        <v>7297</v>
      </c>
      <c r="I152" s="68"/>
      <c r="J152" s="68">
        <v>120</v>
      </c>
      <c r="K152" s="68">
        <v>170</v>
      </c>
      <c r="L152" s="68">
        <v>1388.03</v>
      </c>
      <c r="M152" s="68">
        <v>0</v>
      </c>
      <c r="N152" s="68">
        <v>3937.93</v>
      </c>
      <c r="O152" s="68"/>
      <c r="P152" s="68"/>
      <c r="Q152" s="69"/>
      <c r="R152" s="68">
        <v>0</v>
      </c>
      <c r="S152" s="69"/>
      <c r="T152" s="69"/>
      <c r="U152" s="68">
        <v>5615.96</v>
      </c>
      <c r="V152" s="69"/>
      <c r="W152" s="69"/>
      <c r="X152" s="69"/>
      <c r="Y152" s="69"/>
      <c r="Z152" s="69"/>
      <c r="AA152" s="68">
        <v>0</v>
      </c>
      <c r="AB152" s="69"/>
      <c r="AC152" s="68">
        <v>5615.96</v>
      </c>
      <c r="AD152" s="68">
        <v>0</v>
      </c>
    </row>
    <row r="153" spans="1:30" ht="12" thickBot="1" x14ac:dyDescent="0.25">
      <c r="A153" s="66" t="s">
        <v>323</v>
      </c>
      <c r="B153" s="447" t="str">
        <f>VLOOKUP($D153,'Retail Rates'!$B$7:$D$35,2,FALSE)</f>
        <v>866</v>
      </c>
      <c r="C153" s="447" t="str">
        <f>VLOOKUP($D153,'Retail Rates'!$B$7:$D$35,3,FALSE)</f>
        <v>AAGS-I</v>
      </c>
      <c r="D153" s="66" t="s">
        <v>29</v>
      </c>
      <c r="E153" s="66" t="s">
        <v>30</v>
      </c>
      <c r="F153" s="66" t="s">
        <v>28</v>
      </c>
      <c r="G153" s="70">
        <v>6</v>
      </c>
      <c r="H153" s="71">
        <v>126881</v>
      </c>
      <c r="I153" s="71"/>
      <c r="J153" s="71">
        <v>1925</v>
      </c>
      <c r="K153" s="71"/>
      <c r="L153" s="71">
        <v>6663.79</v>
      </c>
      <c r="M153" s="71">
        <v>0</v>
      </c>
      <c r="N153" s="71">
        <v>66877.509999999995</v>
      </c>
      <c r="O153" s="71"/>
      <c r="P153" s="71"/>
      <c r="Q153" s="72"/>
      <c r="R153" s="71">
        <v>0</v>
      </c>
      <c r="S153" s="72"/>
      <c r="T153" s="72"/>
      <c r="U153" s="71">
        <v>75466.3</v>
      </c>
      <c r="V153" s="72"/>
      <c r="W153" s="72"/>
      <c r="X153" s="72"/>
      <c r="Y153" s="72"/>
      <c r="Z153" s="72"/>
      <c r="AA153" s="71">
        <v>2036.01</v>
      </c>
      <c r="AB153" s="72"/>
      <c r="AC153" s="71">
        <v>77502.31</v>
      </c>
      <c r="AD153" s="71">
        <v>0</v>
      </c>
    </row>
    <row r="154" spans="1:30" ht="12" thickBot="1" x14ac:dyDescent="0.25">
      <c r="A154" s="66" t="s">
        <v>323</v>
      </c>
      <c r="B154" s="447" t="str">
        <f>VLOOKUP($D154,'Retail Rates'!$B$7:$D$35,2,FALSE)</f>
        <v>866</v>
      </c>
      <c r="C154" s="447" t="str">
        <f>VLOOKUP($D154,'Retail Rates'!$B$7:$D$35,3,FALSE)</f>
        <v>AAGS-I</v>
      </c>
      <c r="D154" s="66" t="s">
        <v>29</v>
      </c>
      <c r="E154" s="66" t="s">
        <v>30</v>
      </c>
      <c r="F154" s="66" t="s">
        <v>26</v>
      </c>
      <c r="G154" s="67">
        <v>1</v>
      </c>
      <c r="H154" s="68">
        <v>11634</v>
      </c>
      <c r="I154" s="68"/>
      <c r="J154" s="68">
        <v>275</v>
      </c>
      <c r="K154" s="68"/>
      <c r="L154" s="68">
        <v>611.02</v>
      </c>
      <c r="M154" s="68">
        <v>0</v>
      </c>
      <c r="N154" s="68">
        <v>6114.31</v>
      </c>
      <c r="O154" s="68"/>
      <c r="P154" s="68"/>
      <c r="Q154" s="69"/>
      <c r="R154" s="68">
        <v>0</v>
      </c>
      <c r="S154" s="69"/>
      <c r="T154" s="69"/>
      <c r="U154" s="68">
        <v>7000.33</v>
      </c>
      <c r="V154" s="69"/>
      <c r="W154" s="69"/>
      <c r="X154" s="69"/>
      <c r="Y154" s="69"/>
      <c r="Z154" s="69"/>
      <c r="AA154" s="68">
        <v>0</v>
      </c>
      <c r="AB154" s="69"/>
      <c r="AC154" s="68">
        <v>7000.33</v>
      </c>
      <c r="AD154" s="68">
        <v>0</v>
      </c>
    </row>
    <row r="155" spans="1:30" ht="12" thickBot="1" x14ac:dyDescent="0.25">
      <c r="A155" s="66" t="s">
        <v>323</v>
      </c>
      <c r="B155" s="447" t="str">
        <f>VLOOKUP($D155,'Retail Rates'!$B$7:$D$35,2,FALSE)</f>
        <v>811</v>
      </c>
      <c r="C155" s="447" t="str">
        <f>VLOOKUP($D155,'Retail Rates'!$B$7:$D$35,3,FALSE)</f>
        <v>RGS</v>
      </c>
      <c r="D155" s="66" t="s">
        <v>52</v>
      </c>
      <c r="E155" s="66" t="s">
        <v>53</v>
      </c>
      <c r="F155" s="66" t="s">
        <v>22</v>
      </c>
      <c r="G155" s="67">
        <v>5</v>
      </c>
      <c r="H155" s="68">
        <v>203</v>
      </c>
      <c r="I155" s="68"/>
      <c r="J155" s="68">
        <v>62.5</v>
      </c>
      <c r="K155" s="68"/>
      <c r="L155" s="68">
        <v>45.46</v>
      </c>
      <c r="M155" s="68">
        <v>0</v>
      </c>
      <c r="N155" s="68">
        <v>107.94</v>
      </c>
      <c r="O155" s="68">
        <v>3.83</v>
      </c>
      <c r="P155" s="68">
        <v>5.12</v>
      </c>
      <c r="Q155" s="69">
        <v>0.75</v>
      </c>
      <c r="R155" s="68">
        <v>0</v>
      </c>
      <c r="S155" s="69"/>
      <c r="T155" s="69"/>
      <c r="U155" s="68">
        <v>224.85</v>
      </c>
      <c r="V155" s="69"/>
      <c r="W155" s="69"/>
      <c r="X155" s="69"/>
      <c r="Y155" s="69"/>
      <c r="Z155" s="69"/>
      <c r="AA155" s="68">
        <v>12.26</v>
      </c>
      <c r="AB155" s="69"/>
      <c r="AC155" s="68">
        <v>237.86</v>
      </c>
      <c r="AD155" s="68">
        <v>0</v>
      </c>
    </row>
    <row r="156" spans="1:30" ht="12" thickBot="1" x14ac:dyDescent="0.25">
      <c r="A156" s="66" t="s">
        <v>323</v>
      </c>
      <c r="B156" s="447" t="str">
        <f>VLOOKUP($D156,'Retail Rates'!$B$7:$D$35,2,FALSE)</f>
        <v>811</v>
      </c>
      <c r="C156" s="447" t="str">
        <f>VLOOKUP($D156,'Retail Rates'!$B$7:$D$35,3,FALSE)</f>
        <v>RGS</v>
      </c>
      <c r="D156" s="66" t="s">
        <v>52</v>
      </c>
      <c r="E156" s="66" t="s">
        <v>53</v>
      </c>
      <c r="F156" s="66" t="s">
        <v>26</v>
      </c>
      <c r="G156" s="70">
        <v>49</v>
      </c>
      <c r="H156" s="71">
        <v>1128</v>
      </c>
      <c r="I156" s="71"/>
      <c r="J156" s="71">
        <v>612.5</v>
      </c>
      <c r="K156" s="71"/>
      <c r="L156" s="71">
        <v>252.65</v>
      </c>
      <c r="M156" s="71">
        <v>0</v>
      </c>
      <c r="N156" s="71">
        <v>607.88</v>
      </c>
      <c r="O156" s="71">
        <v>21.26</v>
      </c>
      <c r="P156" s="71">
        <v>21.66</v>
      </c>
      <c r="Q156" s="72">
        <v>7.35</v>
      </c>
      <c r="R156" s="71">
        <v>0</v>
      </c>
      <c r="S156" s="72"/>
      <c r="T156" s="72"/>
      <c r="U156" s="71">
        <v>1515.95</v>
      </c>
      <c r="V156" s="72"/>
      <c r="W156" s="72"/>
      <c r="X156" s="72"/>
      <c r="Y156" s="72"/>
      <c r="Z156" s="72"/>
      <c r="AA156" s="71">
        <v>6.18</v>
      </c>
      <c r="AB156" s="72"/>
      <c r="AC156" s="71">
        <v>1529.48</v>
      </c>
      <c r="AD156" s="71">
        <v>0</v>
      </c>
    </row>
    <row r="157" spans="1:30" ht="12" thickBot="1" x14ac:dyDescent="0.25">
      <c r="A157" s="66" t="s">
        <v>323</v>
      </c>
      <c r="B157" s="447" t="str">
        <f>VLOOKUP($D157,'Retail Rates'!$B$7:$D$35,2,FALSE)</f>
        <v>811</v>
      </c>
      <c r="C157" s="447" t="str">
        <f>VLOOKUP($D157,'Retail Rates'!$B$7:$D$35,3,FALSE)</f>
        <v>RGS</v>
      </c>
      <c r="D157" s="66" t="s">
        <v>52</v>
      </c>
      <c r="E157" s="66" t="s">
        <v>53</v>
      </c>
      <c r="F157" s="66" t="s">
        <v>40</v>
      </c>
      <c r="G157" s="67">
        <v>287836</v>
      </c>
      <c r="H157" s="68">
        <v>12981225</v>
      </c>
      <c r="I157" s="68"/>
      <c r="J157" s="68">
        <v>3586633.59</v>
      </c>
      <c r="K157" s="68"/>
      <c r="L157" s="68">
        <v>2907285.68</v>
      </c>
      <c r="M157" s="68">
        <v>2956.89</v>
      </c>
      <c r="N157" s="68">
        <v>6981012.46</v>
      </c>
      <c r="O157" s="68">
        <v>244958.28</v>
      </c>
      <c r="P157" s="68">
        <v>186056.79</v>
      </c>
      <c r="Q157" s="69">
        <v>43444.800000000003</v>
      </c>
      <c r="R157" s="68">
        <v>0</v>
      </c>
      <c r="S157" s="69"/>
      <c r="T157" s="69"/>
      <c r="U157" s="68">
        <v>13905946.800000001</v>
      </c>
      <c r="V157" s="69"/>
      <c r="W157" s="69"/>
      <c r="X157" s="69"/>
      <c r="Y157" s="69"/>
      <c r="Z157" s="69"/>
      <c r="AA157" s="68">
        <v>51552.44</v>
      </c>
      <c r="AB157" s="69"/>
      <c r="AC157" s="68">
        <v>14003900.93</v>
      </c>
      <c r="AD157" s="68">
        <v>0</v>
      </c>
    </row>
    <row r="158" spans="1:30" ht="12" thickBot="1" x14ac:dyDescent="0.25">
      <c r="A158" s="66" t="s">
        <v>323</v>
      </c>
      <c r="B158" s="447" t="str">
        <f>VLOOKUP($D158,'Retail Rates'!$B$7:$D$35,2,FALSE)</f>
        <v>811</v>
      </c>
      <c r="C158" s="447" t="str">
        <f>VLOOKUP($D158,'Retail Rates'!$B$7:$D$35,3,FALSE)</f>
        <v>RGS</v>
      </c>
      <c r="D158" s="66" t="s">
        <v>55</v>
      </c>
      <c r="E158" s="66" t="s">
        <v>56</v>
      </c>
      <c r="F158" s="66" t="s">
        <v>40</v>
      </c>
      <c r="G158" s="70">
        <v>1</v>
      </c>
      <c r="H158" s="71">
        <v>1720</v>
      </c>
      <c r="I158" s="71"/>
      <c r="J158" s="71">
        <v>0.5</v>
      </c>
      <c r="K158" s="71"/>
      <c r="L158" s="71">
        <v>-77.61</v>
      </c>
      <c r="M158" s="71"/>
      <c r="N158" s="71">
        <v>899.12</v>
      </c>
      <c r="O158" s="71"/>
      <c r="P158" s="71"/>
      <c r="Q158" s="72"/>
      <c r="R158" s="71"/>
      <c r="S158" s="72"/>
      <c r="T158" s="72"/>
      <c r="U158" s="71">
        <v>822.01</v>
      </c>
      <c r="V158" s="72"/>
      <c r="W158" s="72"/>
      <c r="X158" s="72"/>
      <c r="Y158" s="72"/>
      <c r="Z158" s="72"/>
      <c r="AA158" s="71">
        <v>0</v>
      </c>
      <c r="AB158" s="72"/>
      <c r="AC158" s="71">
        <v>822.01</v>
      </c>
      <c r="AD158" s="71">
        <v>0</v>
      </c>
    </row>
    <row r="159" spans="1:30" ht="12" thickBot="1" x14ac:dyDescent="0.25">
      <c r="A159" s="66" t="s">
        <v>323</v>
      </c>
      <c r="B159" s="447" t="str">
        <f>VLOOKUP($D159,'Retail Rates'!$B$7:$D$35,2,FALSE)</f>
        <v>840</v>
      </c>
      <c r="C159" s="447" t="str">
        <f>VLOOKUP($D159,'Retail Rates'!$B$7:$D$35,3,FALSE)</f>
        <v>RGS</v>
      </c>
      <c r="D159" s="66" t="s">
        <v>59</v>
      </c>
      <c r="E159" s="66" t="s">
        <v>60</v>
      </c>
      <c r="F159" s="66" t="s">
        <v>26</v>
      </c>
      <c r="G159" s="67">
        <v>1</v>
      </c>
      <c r="H159" s="68">
        <v>285</v>
      </c>
      <c r="I159" s="68"/>
      <c r="J159" s="68">
        <v>12.5</v>
      </c>
      <c r="K159" s="68"/>
      <c r="L159" s="68">
        <v>63.83</v>
      </c>
      <c r="M159" s="68">
        <v>0</v>
      </c>
      <c r="N159" s="68">
        <v>155.38</v>
      </c>
      <c r="O159" s="68">
        <v>5.38</v>
      </c>
      <c r="P159" s="68">
        <v>-0.74</v>
      </c>
      <c r="Q159" s="69"/>
      <c r="R159" s="68">
        <v>0</v>
      </c>
      <c r="S159" s="69"/>
      <c r="T159" s="69"/>
      <c r="U159" s="68">
        <v>236.35</v>
      </c>
      <c r="V159" s="69"/>
      <c r="W159" s="69"/>
      <c r="X159" s="69"/>
      <c r="Y159" s="69"/>
      <c r="Z159" s="69"/>
      <c r="AA159" s="68">
        <v>0</v>
      </c>
      <c r="AB159" s="69"/>
      <c r="AC159" s="68">
        <v>236.35</v>
      </c>
      <c r="AD159" s="68">
        <v>0</v>
      </c>
    </row>
    <row r="160" spans="1:30" ht="12" thickBot="1" x14ac:dyDescent="0.25">
      <c r="A160" s="66" t="s">
        <v>323</v>
      </c>
      <c r="B160" s="447" t="str">
        <f>VLOOKUP($D160,'Retail Rates'!$B$7:$D$35,2,FALSE)</f>
        <v>840</v>
      </c>
      <c r="C160" s="447" t="str">
        <f>VLOOKUP($D160,'Retail Rates'!$B$7:$D$35,3,FALSE)</f>
        <v>RGS</v>
      </c>
      <c r="D160" s="66" t="s">
        <v>59</v>
      </c>
      <c r="E160" s="66" t="s">
        <v>60</v>
      </c>
      <c r="F160" s="66" t="s">
        <v>40</v>
      </c>
      <c r="G160" s="70">
        <v>3</v>
      </c>
      <c r="H160" s="71">
        <v>413</v>
      </c>
      <c r="I160" s="71"/>
      <c r="J160" s="71">
        <v>37.5</v>
      </c>
      <c r="K160" s="71"/>
      <c r="L160" s="71">
        <v>92.5</v>
      </c>
      <c r="M160" s="71">
        <v>0</v>
      </c>
      <c r="N160" s="71">
        <v>219.74</v>
      </c>
      <c r="O160" s="71">
        <v>7.79</v>
      </c>
      <c r="P160" s="71">
        <v>5.23</v>
      </c>
      <c r="Q160" s="72"/>
      <c r="R160" s="71">
        <v>0</v>
      </c>
      <c r="S160" s="72"/>
      <c r="T160" s="72"/>
      <c r="U160" s="71">
        <v>362.76</v>
      </c>
      <c r="V160" s="72"/>
      <c r="W160" s="72"/>
      <c r="X160" s="72"/>
      <c r="Y160" s="72"/>
      <c r="Z160" s="72"/>
      <c r="AA160" s="71">
        <v>0.77</v>
      </c>
      <c r="AB160" s="72"/>
      <c r="AC160" s="71">
        <v>363.53</v>
      </c>
      <c r="AD160" s="71">
        <v>0</v>
      </c>
    </row>
    <row r="161" spans="1:30" ht="12" thickBot="1" x14ac:dyDescent="0.25">
      <c r="A161" s="66" t="s">
        <v>323</v>
      </c>
      <c r="B161" s="447" t="str">
        <f>VLOOKUP($D161,'Retail Rates'!$B$7:$D$35,2,FALSE)</f>
        <v>830</v>
      </c>
      <c r="C161" s="447" t="str">
        <f>VLOOKUP($D161,'Retail Rates'!$B$7:$D$35,3,FALSE)</f>
        <v>RGS</v>
      </c>
      <c r="D161" s="66" t="s">
        <v>49</v>
      </c>
      <c r="E161" s="66" t="s">
        <v>50</v>
      </c>
      <c r="F161" s="66" t="s">
        <v>40</v>
      </c>
      <c r="G161" s="67">
        <v>1</v>
      </c>
      <c r="H161" s="68">
        <v>32</v>
      </c>
      <c r="I161" s="68"/>
      <c r="J161" s="68">
        <v>25</v>
      </c>
      <c r="K161" s="68"/>
      <c r="L161" s="68">
        <v>7.17</v>
      </c>
      <c r="M161" s="68">
        <v>0</v>
      </c>
      <c r="N161" s="68">
        <v>17.010000000000002</v>
      </c>
      <c r="O161" s="68">
        <v>0.6</v>
      </c>
      <c r="P161" s="68"/>
      <c r="Q161" s="69"/>
      <c r="R161" s="68">
        <v>0</v>
      </c>
      <c r="S161" s="69"/>
      <c r="T161" s="69"/>
      <c r="U161" s="68">
        <v>49.78</v>
      </c>
      <c r="V161" s="69"/>
      <c r="W161" s="69"/>
      <c r="X161" s="69"/>
      <c r="Y161" s="69"/>
      <c r="Z161" s="69"/>
      <c r="AA161" s="68">
        <v>0</v>
      </c>
      <c r="AB161" s="69"/>
      <c r="AC161" s="68">
        <v>49.78</v>
      </c>
      <c r="AD161" s="68">
        <v>0</v>
      </c>
    </row>
    <row r="162" spans="1:30" ht="12" thickBot="1" x14ac:dyDescent="0.25">
      <c r="A162" s="66" t="s">
        <v>323</v>
      </c>
      <c r="B162" s="447" t="str">
        <f>VLOOKUP($D162,'Retail Rates'!$B$7:$D$35,2,FALSE)</f>
        <v>860</v>
      </c>
      <c r="C162" s="447" t="str">
        <f>VLOOKUP($D162,'Retail Rates'!$B$7:$D$35,3,FALSE)</f>
        <v>CGS</v>
      </c>
      <c r="D162" s="66" t="s">
        <v>34</v>
      </c>
      <c r="E162" s="66" t="s">
        <v>35</v>
      </c>
      <c r="F162" s="66" t="s">
        <v>22</v>
      </c>
      <c r="G162" s="70">
        <v>1</v>
      </c>
      <c r="H162" s="71">
        <v>304</v>
      </c>
      <c r="I162" s="71"/>
      <c r="J162" s="71">
        <v>480</v>
      </c>
      <c r="K162" s="71"/>
      <c r="L162" s="71">
        <v>56.91</v>
      </c>
      <c r="M162" s="71">
        <v>0</v>
      </c>
      <c r="N162" s="71">
        <v>160.03</v>
      </c>
      <c r="O162" s="71">
        <v>0.28999999999999998</v>
      </c>
      <c r="P162" s="71"/>
      <c r="Q162" s="72"/>
      <c r="R162" s="71">
        <v>0</v>
      </c>
      <c r="S162" s="72"/>
      <c r="T162" s="72"/>
      <c r="U162" s="71">
        <v>697.23</v>
      </c>
      <c r="V162" s="72"/>
      <c r="W162" s="72"/>
      <c r="X162" s="72"/>
      <c r="Y162" s="72"/>
      <c r="Z162" s="72"/>
      <c r="AA162" s="71">
        <v>41.83</v>
      </c>
      <c r="AB162" s="72"/>
      <c r="AC162" s="71">
        <v>739.06</v>
      </c>
      <c r="AD162" s="71">
        <v>0</v>
      </c>
    </row>
    <row r="163" spans="1:30" ht="12" thickBot="1" x14ac:dyDescent="0.25">
      <c r="A163" s="66" t="s">
        <v>323</v>
      </c>
      <c r="B163" s="447" t="str">
        <f>VLOOKUP($D163,'Retail Rates'!$B$7:$D$35,2,FALSE)</f>
        <v>860</v>
      </c>
      <c r="C163" s="447" t="str">
        <f>VLOOKUP($D163,'Retail Rates'!$B$7:$D$35,3,FALSE)</f>
        <v>CGS</v>
      </c>
      <c r="D163" s="66" t="s">
        <v>34</v>
      </c>
      <c r="E163" s="66" t="s">
        <v>35</v>
      </c>
      <c r="F163" s="66" t="s">
        <v>26</v>
      </c>
      <c r="G163" s="67">
        <v>2</v>
      </c>
      <c r="H163" s="68">
        <v>54</v>
      </c>
      <c r="I163" s="68"/>
      <c r="J163" s="68">
        <v>90</v>
      </c>
      <c r="K163" s="68"/>
      <c r="L163" s="68">
        <v>10.11</v>
      </c>
      <c r="M163" s="68">
        <v>0</v>
      </c>
      <c r="N163" s="68">
        <v>28.8</v>
      </c>
      <c r="O163" s="68">
        <v>0.05</v>
      </c>
      <c r="P163" s="68"/>
      <c r="Q163" s="69"/>
      <c r="R163" s="68">
        <v>0</v>
      </c>
      <c r="S163" s="69"/>
      <c r="T163" s="69"/>
      <c r="U163" s="68">
        <v>128.96</v>
      </c>
      <c r="V163" s="69"/>
      <c r="W163" s="69"/>
      <c r="X163" s="69"/>
      <c r="Y163" s="69"/>
      <c r="Z163" s="69"/>
      <c r="AA163" s="68">
        <v>0</v>
      </c>
      <c r="AB163" s="69"/>
      <c r="AC163" s="68">
        <v>128.96</v>
      </c>
      <c r="AD163" s="68">
        <v>0</v>
      </c>
    </row>
    <row r="164" spans="1:30" ht="12" thickBot="1" x14ac:dyDescent="0.25">
      <c r="A164" s="66" t="s">
        <v>323</v>
      </c>
      <c r="B164" s="447" t="str">
        <f>VLOOKUP($D164,'Retail Rates'!$B$7:$D$35,2,FALSE)</f>
        <v>861</v>
      </c>
      <c r="C164" s="447" t="str">
        <f>VLOOKUP($D164,'Retail Rates'!$B$7:$D$35,3,FALSE)</f>
        <v>CGS</v>
      </c>
      <c r="D164" s="66" t="s">
        <v>41</v>
      </c>
      <c r="E164" s="66" t="s">
        <v>42</v>
      </c>
      <c r="F164" s="66" t="s">
        <v>22</v>
      </c>
      <c r="G164" s="70">
        <v>610</v>
      </c>
      <c r="H164" s="71">
        <v>613</v>
      </c>
      <c r="I164" s="71"/>
      <c r="J164" s="71">
        <v>18600</v>
      </c>
      <c r="K164" s="71"/>
      <c r="L164" s="71">
        <v>116.38</v>
      </c>
      <c r="M164" s="71">
        <v>1.84</v>
      </c>
      <c r="N164" s="71">
        <v>334.05</v>
      </c>
      <c r="O164" s="71">
        <v>0</v>
      </c>
      <c r="P164" s="71"/>
      <c r="Q164" s="72"/>
      <c r="R164" s="71">
        <v>0</v>
      </c>
      <c r="S164" s="72"/>
      <c r="T164" s="72"/>
      <c r="U164" s="71">
        <v>19050.43</v>
      </c>
      <c r="V164" s="72"/>
      <c r="W164" s="72"/>
      <c r="X164" s="72"/>
      <c r="Y164" s="72"/>
      <c r="Z164" s="72"/>
      <c r="AA164" s="71">
        <v>1206.67</v>
      </c>
      <c r="AB164" s="72"/>
      <c r="AC164" s="71">
        <v>20258.939999999999</v>
      </c>
      <c r="AD164" s="71">
        <v>0</v>
      </c>
    </row>
    <row r="165" spans="1:30" ht="12" thickBot="1" x14ac:dyDescent="0.25">
      <c r="A165" s="66" t="s">
        <v>324</v>
      </c>
      <c r="B165" s="447" t="str">
        <f>VLOOKUP($D165,'Retail Rates'!$B$7:$D$35,2,FALSE)</f>
        <v>851</v>
      </c>
      <c r="C165" s="447" t="str">
        <f>VLOOKUP($D165,'Retail Rates'!$B$7:$D$35,3,FALSE)</f>
        <v>CGS</v>
      </c>
      <c r="D165" s="66" t="s">
        <v>37</v>
      </c>
      <c r="E165" s="66" t="s">
        <v>38</v>
      </c>
      <c r="F165" s="66" t="s">
        <v>22</v>
      </c>
      <c r="G165" s="67">
        <v>23670</v>
      </c>
      <c r="H165" s="68">
        <v>9000238</v>
      </c>
      <c r="I165" s="68"/>
      <c r="J165" s="68">
        <v>704912.3</v>
      </c>
      <c r="K165" s="68">
        <v>130951</v>
      </c>
      <c r="L165" s="68">
        <v>1685022.82</v>
      </c>
      <c r="M165" s="68">
        <v>1917.98</v>
      </c>
      <c r="N165" s="68">
        <v>4646479.58</v>
      </c>
      <c r="O165" s="68">
        <v>8637.64</v>
      </c>
      <c r="P165" s="68">
        <v>271111.37</v>
      </c>
      <c r="Q165" s="69"/>
      <c r="R165" s="68">
        <v>0</v>
      </c>
      <c r="S165" s="69"/>
      <c r="T165" s="69"/>
      <c r="U165" s="68">
        <v>7447114.71</v>
      </c>
      <c r="V165" s="69"/>
      <c r="W165" s="69"/>
      <c r="X165" s="69"/>
      <c r="Y165" s="69"/>
      <c r="Z165" s="69"/>
      <c r="AA165" s="68">
        <v>394746.28</v>
      </c>
      <c r="AB165" s="69"/>
      <c r="AC165" s="68">
        <v>7843778.9699999997</v>
      </c>
      <c r="AD165" s="68">
        <v>0</v>
      </c>
    </row>
    <row r="166" spans="1:30" ht="12" thickBot="1" x14ac:dyDescent="0.25">
      <c r="A166" s="66" t="s">
        <v>324</v>
      </c>
      <c r="B166" s="447" t="str">
        <f>VLOOKUP($D166,'Retail Rates'!$B$7:$D$35,2,FALSE)</f>
        <v>851</v>
      </c>
      <c r="C166" s="447" t="str">
        <f>VLOOKUP($D166,'Retail Rates'!$B$7:$D$35,3,FALSE)</f>
        <v>CGS</v>
      </c>
      <c r="D166" s="66" t="s">
        <v>37</v>
      </c>
      <c r="E166" s="66" t="s">
        <v>38</v>
      </c>
      <c r="F166" s="66" t="s">
        <v>26</v>
      </c>
      <c r="G166" s="70">
        <v>1148</v>
      </c>
      <c r="H166" s="71">
        <v>1773198</v>
      </c>
      <c r="I166" s="71"/>
      <c r="J166" s="71">
        <v>26761</v>
      </c>
      <c r="K166" s="71">
        <v>47770</v>
      </c>
      <c r="L166" s="71">
        <v>331978.13</v>
      </c>
      <c r="M166" s="71">
        <v>232.87</v>
      </c>
      <c r="N166" s="71">
        <v>915737.82</v>
      </c>
      <c r="O166" s="71">
        <v>1702.21</v>
      </c>
      <c r="P166" s="71">
        <v>61818.95</v>
      </c>
      <c r="Q166" s="72"/>
      <c r="R166" s="71">
        <v>0</v>
      </c>
      <c r="S166" s="72"/>
      <c r="T166" s="72"/>
      <c r="U166" s="71">
        <v>1385768.11</v>
      </c>
      <c r="V166" s="72"/>
      <c r="W166" s="72"/>
      <c r="X166" s="72"/>
      <c r="Y166" s="72"/>
      <c r="Z166" s="72"/>
      <c r="AA166" s="71">
        <v>5240.74</v>
      </c>
      <c r="AB166" s="72"/>
      <c r="AC166" s="71">
        <v>1391241.72</v>
      </c>
      <c r="AD166" s="71">
        <v>0</v>
      </c>
    </row>
    <row r="167" spans="1:30" ht="12" thickBot="1" x14ac:dyDescent="0.25">
      <c r="A167" s="66" t="s">
        <v>324</v>
      </c>
      <c r="B167" s="447" t="str">
        <f>VLOOKUP($D167,'Retail Rates'!$B$7:$D$35,2,FALSE)</f>
        <v>851</v>
      </c>
      <c r="C167" s="447" t="str">
        <f>VLOOKUP($D167,'Retail Rates'!$B$7:$D$35,3,FALSE)</f>
        <v>CGS</v>
      </c>
      <c r="D167" s="66" t="s">
        <v>37</v>
      </c>
      <c r="E167" s="66" t="s">
        <v>38</v>
      </c>
      <c r="F167" s="66" t="s">
        <v>40</v>
      </c>
      <c r="G167" s="67">
        <v>6</v>
      </c>
      <c r="H167" s="68">
        <v>2747</v>
      </c>
      <c r="I167" s="68"/>
      <c r="J167" s="68">
        <v>150</v>
      </c>
      <c r="K167" s="68">
        <v>170</v>
      </c>
      <c r="L167" s="68">
        <v>514.29</v>
      </c>
      <c r="M167" s="68">
        <v>0</v>
      </c>
      <c r="N167" s="68">
        <v>1417.52</v>
      </c>
      <c r="O167" s="68">
        <v>2.65</v>
      </c>
      <c r="P167" s="68">
        <v>37.6</v>
      </c>
      <c r="Q167" s="69"/>
      <c r="R167" s="68">
        <v>0</v>
      </c>
      <c r="S167" s="69"/>
      <c r="T167" s="69"/>
      <c r="U167" s="68">
        <v>2292.06</v>
      </c>
      <c r="V167" s="69"/>
      <c r="W167" s="69"/>
      <c r="X167" s="69"/>
      <c r="Y167" s="69"/>
      <c r="Z167" s="69"/>
      <c r="AA167" s="68">
        <v>0</v>
      </c>
      <c r="AB167" s="69"/>
      <c r="AC167" s="68">
        <v>2292.06</v>
      </c>
      <c r="AD167" s="68">
        <v>0</v>
      </c>
    </row>
    <row r="168" spans="1:30" ht="12" thickBot="1" x14ac:dyDescent="0.25">
      <c r="A168" s="66" t="s">
        <v>324</v>
      </c>
      <c r="B168" s="447" t="str">
        <f>VLOOKUP($D168,'Retail Rates'!$B$7:$D$35,2,FALSE)</f>
        <v>866</v>
      </c>
      <c r="C168" s="447" t="str">
        <f>VLOOKUP($D168,'Retail Rates'!$B$7:$D$35,3,FALSE)</f>
        <v>AAGS-I</v>
      </c>
      <c r="D168" s="66" t="s">
        <v>29</v>
      </c>
      <c r="E168" s="66" t="s">
        <v>30</v>
      </c>
      <c r="F168" s="66" t="s">
        <v>22</v>
      </c>
      <c r="G168" s="70">
        <v>4</v>
      </c>
      <c r="H168" s="71">
        <v>114525</v>
      </c>
      <c r="I168" s="71"/>
      <c r="J168" s="71">
        <v>1375</v>
      </c>
      <c r="K168" s="71"/>
      <c r="L168" s="71">
        <v>6014.85</v>
      </c>
      <c r="M168" s="71">
        <v>0</v>
      </c>
      <c r="N168" s="71">
        <v>59097.18</v>
      </c>
      <c r="O168" s="71">
        <v>109.94</v>
      </c>
      <c r="P168" s="71"/>
      <c r="Q168" s="72"/>
      <c r="R168" s="71">
        <v>0</v>
      </c>
      <c r="S168" s="72"/>
      <c r="T168" s="72"/>
      <c r="U168" s="71">
        <v>66596.97</v>
      </c>
      <c r="V168" s="72"/>
      <c r="W168" s="72"/>
      <c r="X168" s="72"/>
      <c r="Y168" s="72"/>
      <c r="Z168" s="72"/>
      <c r="AA168" s="71">
        <v>-5703.62</v>
      </c>
      <c r="AB168" s="72"/>
      <c r="AC168" s="71">
        <v>60893.35</v>
      </c>
      <c r="AD168" s="71">
        <v>0</v>
      </c>
    </row>
    <row r="169" spans="1:30" ht="12" thickBot="1" x14ac:dyDescent="0.25">
      <c r="A169" s="66" t="s">
        <v>324</v>
      </c>
      <c r="B169" s="447" t="str">
        <f>VLOOKUP($D169,'Retail Rates'!$B$7:$D$35,2,FALSE)</f>
        <v>865</v>
      </c>
      <c r="C169" s="447" t="str">
        <f>VLOOKUP($D169,'Retail Rates'!$B$7:$D$35,3,FALSE)</f>
        <v>AAGS-C</v>
      </c>
      <c r="D169" s="66" t="s">
        <v>23</v>
      </c>
      <c r="E169" s="66" t="s">
        <v>24</v>
      </c>
      <c r="F169" s="66" t="s">
        <v>26</v>
      </c>
      <c r="G169" s="67">
        <v>1</v>
      </c>
      <c r="H169" s="68">
        <v>111881</v>
      </c>
      <c r="I169" s="68"/>
      <c r="J169" s="68">
        <v>550</v>
      </c>
      <c r="K169" s="68"/>
      <c r="L169" s="68">
        <v>5875.99</v>
      </c>
      <c r="M169" s="68">
        <v>0</v>
      </c>
      <c r="N169" s="68">
        <v>58192.93</v>
      </c>
      <c r="O169" s="68">
        <v>107.4</v>
      </c>
      <c r="P169" s="68"/>
      <c r="Q169" s="69"/>
      <c r="R169" s="68">
        <v>0</v>
      </c>
      <c r="S169" s="69"/>
      <c r="T169" s="69"/>
      <c r="U169" s="68">
        <v>64726.32</v>
      </c>
      <c r="V169" s="69"/>
      <c r="W169" s="69"/>
      <c r="X169" s="69"/>
      <c r="Y169" s="69"/>
      <c r="Z169" s="69"/>
      <c r="AA169" s="68">
        <v>0</v>
      </c>
      <c r="AB169" s="69"/>
      <c r="AC169" s="68">
        <v>64726.32</v>
      </c>
      <c r="AD169" s="68">
        <v>0</v>
      </c>
    </row>
    <row r="170" spans="1:30" ht="12" thickBot="1" x14ac:dyDescent="0.25">
      <c r="A170" s="66" t="s">
        <v>324</v>
      </c>
      <c r="B170" s="447" t="str">
        <f>VLOOKUP($D170,'Retail Rates'!$B$7:$D$35,2,FALSE)</f>
        <v>855</v>
      </c>
      <c r="C170" s="447" t="str">
        <f>VLOOKUP($D170,'Retail Rates'!$B$7:$D$35,3,FALSE)</f>
        <v>IGS</v>
      </c>
      <c r="D170" s="66" t="s">
        <v>45</v>
      </c>
      <c r="E170" s="66" t="s">
        <v>46</v>
      </c>
      <c r="F170" s="66" t="s">
        <v>28</v>
      </c>
      <c r="G170" s="67">
        <v>194</v>
      </c>
      <c r="H170" s="68">
        <v>782592</v>
      </c>
      <c r="I170" s="68"/>
      <c r="J170" s="68">
        <v>3090</v>
      </c>
      <c r="K170" s="68">
        <v>15640</v>
      </c>
      <c r="L170" s="68">
        <v>148864.60999999999</v>
      </c>
      <c r="M170" s="68">
        <v>0</v>
      </c>
      <c r="N170" s="68">
        <v>403842.02</v>
      </c>
      <c r="O170" s="68"/>
      <c r="P170" s="68"/>
      <c r="Q170" s="69"/>
      <c r="R170" s="68">
        <v>0</v>
      </c>
      <c r="S170" s="69"/>
      <c r="T170" s="69"/>
      <c r="U170" s="68">
        <v>571436.63</v>
      </c>
      <c r="V170" s="69"/>
      <c r="W170" s="69"/>
      <c r="X170" s="69"/>
      <c r="Y170" s="69"/>
      <c r="Z170" s="69"/>
      <c r="AA170" s="68">
        <v>28172.09</v>
      </c>
      <c r="AB170" s="69"/>
      <c r="AC170" s="68">
        <v>599608.72</v>
      </c>
      <c r="AD170" s="68">
        <v>0</v>
      </c>
    </row>
    <row r="171" spans="1:30" ht="12" thickBot="1" x14ac:dyDescent="0.25">
      <c r="A171" s="66" t="s">
        <v>324</v>
      </c>
      <c r="B171" s="447" t="str">
        <f>VLOOKUP($D171,'Retail Rates'!$B$7:$D$35,2,FALSE)</f>
        <v>855</v>
      </c>
      <c r="C171" s="447" t="str">
        <f>VLOOKUP($D171,'Retail Rates'!$B$7:$D$35,3,FALSE)</f>
        <v>IGS</v>
      </c>
      <c r="D171" s="66" t="s">
        <v>45</v>
      </c>
      <c r="E171" s="66" t="s">
        <v>46</v>
      </c>
      <c r="F171" s="66" t="s">
        <v>22</v>
      </c>
      <c r="G171" s="70">
        <v>1</v>
      </c>
      <c r="H171" s="71">
        <v>5077</v>
      </c>
      <c r="I171" s="71"/>
      <c r="J171" s="71"/>
      <c r="K171" s="71">
        <v>170</v>
      </c>
      <c r="L171" s="71">
        <v>965.75</v>
      </c>
      <c r="M171" s="71">
        <v>0</v>
      </c>
      <c r="N171" s="71">
        <v>2619.83</v>
      </c>
      <c r="O171" s="71"/>
      <c r="P171" s="71"/>
      <c r="Q171" s="72"/>
      <c r="R171" s="71">
        <v>0</v>
      </c>
      <c r="S171" s="72"/>
      <c r="T171" s="72"/>
      <c r="U171" s="71">
        <v>3755.58</v>
      </c>
      <c r="V171" s="72"/>
      <c r="W171" s="72"/>
      <c r="X171" s="72"/>
      <c r="Y171" s="72"/>
      <c r="Z171" s="72"/>
      <c r="AA171" s="71">
        <v>225.33</v>
      </c>
      <c r="AB171" s="72"/>
      <c r="AC171" s="71">
        <v>3980.91</v>
      </c>
      <c r="AD171" s="71">
        <v>0</v>
      </c>
    </row>
    <row r="172" spans="1:30" ht="12" thickBot="1" x14ac:dyDescent="0.25">
      <c r="A172" s="66" t="s">
        <v>324</v>
      </c>
      <c r="B172" s="447" t="str">
        <f>VLOOKUP($D172,'Retail Rates'!$B$7:$D$35,2,FALSE)</f>
        <v>855</v>
      </c>
      <c r="C172" s="447" t="str">
        <f>VLOOKUP($D172,'Retail Rates'!$B$7:$D$35,3,FALSE)</f>
        <v>IGS</v>
      </c>
      <c r="D172" s="66" t="s">
        <v>45</v>
      </c>
      <c r="E172" s="66" t="s">
        <v>46</v>
      </c>
      <c r="F172" s="66" t="s">
        <v>26</v>
      </c>
      <c r="G172" s="67">
        <v>5</v>
      </c>
      <c r="H172" s="68">
        <v>11773</v>
      </c>
      <c r="I172" s="68"/>
      <c r="J172" s="68">
        <v>120</v>
      </c>
      <c r="K172" s="68">
        <v>170</v>
      </c>
      <c r="L172" s="68">
        <v>2239.4499999999998</v>
      </c>
      <c r="M172" s="68">
        <v>0</v>
      </c>
      <c r="N172" s="68">
        <v>6075.11</v>
      </c>
      <c r="O172" s="68"/>
      <c r="P172" s="68"/>
      <c r="Q172" s="69"/>
      <c r="R172" s="68">
        <v>0</v>
      </c>
      <c r="S172" s="69"/>
      <c r="T172" s="69"/>
      <c r="U172" s="68">
        <v>8604.56</v>
      </c>
      <c r="V172" s="69"/>
      <c r="W172" s="69"/>
      <c r="X172" s="69"/>
      <c r="Y172" s="69"/>
      <c r="Z172" s="69"/>
      <c r="AA172" s="68">
        <v>0</v>
      </c>
      <c r="AB172" s="69"/>
      <c r="AC172" s="68">
        <v>8604.56</v>
      </c>
      <c r="AD172" s="68">
        <v>0</v>
      </c>
    </row>
    <row r="173" spans="1:30" ht="12" thickBot="1" x14ac:dyDescent="0.25">
      <c r="A173" s="66" t="s">
        <v>324</v>
      </c>
      <c r="B173" s="447" t="str">
        <f>VLOOKUP($D173,'Retail Rates'!$B$7:$D$35,2,FALSE)</f>
        <v>866</v>
      </c>
      <c r="C173" s="447" t="str">
        <f>VLOOKUP($D173,'Retail Rates'!$B$7:$D$35,3,FALSE)</f>
        <v>AAGS-I</v>
      </c>
      <c r="D173" s="66" t="s">
        <v>29</v>
      </c>
      <c r="E173" s="66" t="s">
        <v>30</v>
      </c>
      <c r="F173" s="66" t="s">
        <v>28</v>
      </c>
      <c r="G173" s="70">
        <v>8</v>
      </c>
      <c r="H173" s="71">
        <v>133537</v>
      </c>
      <c r="I173" s="71"/>
      <c r="J173" s="71">
        <v>2475</v>
      </c>
      <c r="K173" s="71"/>
      <c r="L173" s="71">
        <v>7013.36</v>
      </c>
      <c r="M173" s="71">
        <v>0</v>
      </c>
      <c r="N173" s="71">
        <v>68917.55</v>
      </c>
      <c r="O173" s="71"/>
      <c r="P173" s="71"/>
      <c r="Q173" s="72"/>
      <c r="R173" s="71">
        <v>0</v>
      </c>
      <c r="S173" s="72"/>
      <c r="T173" s="72"/>
      <c r="U173" s="71">
        <v>78405.91</v>
      </c>
      <c r="V173" s="72"/>
      <c r="W173" s="72"/>
      <c r="X173" s="72"/>
      <c r="Y173" s="72"/>
      <c r="Z173" s="72"/>
      <c r="AA173" s="71">
        <v>2604.48</v>
      </c>
      <c r="AB173" s="72"/>
      <c r="AC173" s="71">
        <v>81010.39</v>
      </c>
      <c r="AD173" s="71">
        <v>0</v>
      </c>
    </row>
    <row r="174" spans="1:30" ht="12" thickBot="1" x14ac:dyDescent="0.25">
      <c r="A174" s="66" t="s">
        <v>324</v>
      </c>
      <c r="B174" s="447" t="str">
        <f>VLOOKUP($D174,'Retail Rates'!$B$7:$D$35,2,FALSE)</f>
        <v>866</v>
      </c>
      <c r="C174" s="447" t="str">
        <f>VLOOKUP($D174,'Retail Rates'!$B$7:$D$35,3,FALSE)</f>
        <v>AAGS-I</v>
      </c>
      <c r="D174" s="66" t="s">
        <v>29</v>
      </c>
      <c r="E174" s="66" t="s">
        <v>30</v>
      </c>
      <c r="F174" s="66" t="s">
        <v>26</v>
      </c>
      <c r="G174" s="67">
        <v>1</v>
      </c>
      <c r="H174" s="68">
        <v>11870</v>
      </c>
      <c r="I174" s="68"/>
      <c r="J174" s="68">
        <v>275</v>
      </c>
      <c r="K174" s="68"/>
      <c r="L174" s="68">
        <v>623.41</v>
      </c>
      <c r="M174" s="68">
        <v>0</v>
      </c>
      <c r="N174" s="68">
        <v>6125.16</v>
      </c>
      <c r="O174" s="68"/>
      <c r="P174" s="68"/>
      <c r="Q174" s="69"/>
      <c r="R174" s="68">
        <v>0</v>
      </c>
      <c r="S174" s="69"/>
      <c r="T174" s="69"/>
      <c r="U174" s="68">
        <v>7023.57</v>
      </c>
      <c r="V174" s="69"/>
      <c r="W174" s="69"/>
      <c r="X174" s="69"/>
      <c r="Y174" s="69"/>
      <c r="Z174" s="69"/>
      <c r="AA174" s="68">
        <v>0</v>
      </c>
      <c r="AB174" s="69"/>
      <c r="AC174" s="68">
        <v>7023.57</v>
      </c>
      <c r="AD174" s="68">
        <v>0</v>
      </c>
    </row>
    <row r="175" spans="1:30" ht="12" thickBot="1" x14ac:dyDescent="0.25">
      <c r="A175" s="66" t="s">
        <v>324</v>
      </c>
      <c r="B175" s="447" t="str">
        <f>VLOOKUP($D175,'Retail Rates'!$B$7:$D$35,2,FALSE)</f>
        <v>811</v>
      </c>
      <c r="C175" s="447" t="str">
        <f>VLOOKUP($D175,'Retail Rates'!$B$7:$D$35,3,FALSE)</f>
        <v>RGS</v>
      </c>
      <c r="D175" s="66" t="s">
        <v>52</v>
      </c>
      <c r="E175" s="66" t="s">
        <v>53</v>
      </c>
      <c r="F175" s="66" t="s">
        <v>22</v>
      </c>
      <c r="G175" s="67">
        <v>6</v>
      </c>
      <c r="H175" s="68">
        <v>485</v>
      </c>
      <c r="I175" s="68"/>
      <c r="J175" s="68">
        <v>118.33</v>
      </c>
      <c r="K175" s="68"/>
      <c r="L175" s="68">
        <v>108.61</v>
      </c>
      <c r="M175" s="68">
        <v>0</v>
      </c>
      <c r="N175" s="68">
        <v>250.31</v>
      </c>
      <c r="O175" s="68">
        <v>9.15</v>
      </c>
      <c r="P175" s="68">
        <v>20.5</v>
      </c>
      <c r="Q175" s="69">
        <v>1.65</v>
      </c>
      <c r="R175" s="68">
        <v>0</v>
      </c>
      <c r="S175" s="69"/>
      <c r="T175" s="69"/>
      <c r="U175" s="68">
        <v>506.9</v>
      </c>
      <c r="V175" s="69"/>
      <c r="W175" s="69"/>
      <c r="X175" s="69"/>
      <c r="Y175" s="69"/>
      <c r="Z175" s="69"/>
      <c r="AA175" s="68">
        <v>27.57</v>
      </c>
      <c r="AB175" s="69"/>
      <c r="AC175" s="68">
        <v>536.12</v>
      </c>
      <c r="AD175" s="68">
        <v>0</v>
      </c>
    </row>
    <row r="176" spans="1:30" ht="12" thickBot="1" x14ac:dyDescent="0.25">
      <c r="A176" s="66" t="s">
        <v>324</v>
      </c>
      <c r="B176" s="447" t="str">
        <f>VLOOKUP($D176,'Retail Rates'!$B$7:$D$35,2,FALSE)</f>
        <v>811</v>
      </c>
      <c r="C176" s="447" t="str">
        <f>VLOOKUP($D176,'Retail Rates'!$B$7:$D$35,3,FALSE)</f>
        <v>RGS</v>
      </c>
      <c r="D176" s="66" t="s">
        <v>52</v>
      </c>
      <c r="E176" s="66" t="s">
        <v>53</v>
      </c>
      <c r="F176" s="66" t="s">
        <v>26</v>
      </c>
      <c r="G176" s="70">
        <v>54</v>
      </c>
      <c r="H176" s="71">
        <v>3423</v>
      </c>
      <c r="I176" s="71"/>
      <c r="J176" s="71">
        <v>744.17</v>
      </c>
      <c r="K176" s="71"/>
      <c r="L176" s="71">
        <v>766.63</v>
      </c>
      <c r="M176" s="71">
        <v>0</v>
      </c>
      <c r="N176" s="71">
        <v>1767.66</v>
      </c>
      <c r="O176" s="71">
        <v>64.599999999999994</v>
      </c>
      <c r="P176" s="71">
        <v>145.47999999999999</v>
      </c>
      <c r="Q176" s="72">
        <v>9.15</v>
      </c>
      <c r="R176" s="71">
        <v>0</v>
      </c>
      <c r="S176" s="72"/>
      <c r="T176" s="72"/>
      <c r="U176" s="71">
        <v>3488.54</v>
      </c>
      <c r="V176" s="72"/>
      <c r="W176" s="72"/>
      <c r="X176" s="72"/>
      <c r="Y176" s="72"/>
      <c r="Z176" s="72"/>
      <c r="AA176" s="71">
        <v>9.76</v>
      </c>
      <c r="AB176" s="72"/>
      <c r="AC176" s="71">
        <v>3507.45</v>
      </c>
      <c r="AD176" s="71">
        <v>0</v>
      </c>
    </row>
    <row r="177" spans="1:30" ht="12" thickBot="1" x14ac:dyDescent="0.25">
      <c r="A177" s="66" t="s">
        <v>324</v>
      </c>
      <c r="B177" s="447" t="str">
        <f>VLOOKUP($D177,'Retail Rates'!$B$7:$D$35,2,FALSE)</f>
        <v>811</v>
      </c>
      <c r="C177" s="447" t="str">
        <f>VLOOKUP($D177,'Retail Rates'!$B$7:$D$35,3,FALSE)</f>
        <v>RGS</v>
      </c>
      <c r="D177" s="66" t="s">
        <v>52</v>
      </c>
      <c r="E177" s="66" t="s">
        <v>53</v>
      </c>
      <c r="F177" s="66" t="s">
        <v>40</v>
      </c>
      <c r="G177" s="67">
        <v>290061</v>
      </c>
      <c r="H177" s="68">
        <v>22995868</v>
      </c>
      <c r="I177" s="68"/>
      <c r="J177" s="68">
        <v>3645964.08</v>
      </c>
      <c r="K177" s="68"/>
      <c r="L177" s="68">
        <v>5150130.43</v>
      </c>
      <c r="M177" s="68">
        <v>4755.6899999999996</v>
      </c>
      <c r="N177" s="68">
        <v>11868558</v>
      </c>
      <c r="O177" s="68">
        <v>433867.86</v>
      </c>
      <c r="P177" s="68">
        <v>942023.29</v>
      </c>
      <c r="Q177" s="69">
        <v>44118.45</v>
      </c>
      <c r="R177" s="68">
        <v>0</v>
      </c>
      <c r="S177" s="69"/>
      <c r="T177" s="69"/>
      <c r="U177" s="68">
        <v>22040543.66</v>
      </c>
      <c r="V177" s="69"/>
      <c r="W177" s="69"/>
      <c r="X177" s="69"/>
      <c r="Y177" s="69"/>
      <c r="Z177" s="69"/>
      <c r="AA177" s="68">
        <v>82368.740000000005</v>
      </c>
      <c r="AB177" s="69"/>
      <c r="AC177" s="68">
        <v>22171786.539999999</v>
      </c>
      <c r="AD177" s="68">
        <v>0</v>
      </c>
    </row>
    <row r="178" spans="1:30" ht="12" thickBot="1" x14ac:dyDescent="0.25">
      <c r="A178" s="66" t="s">
        <v>324</v>
      </c>
      <c r="B178" s="447" t="str">
        <f>VLOOKUP($D178,'Retail Rates'!$B$7:$D$35,2,FALSE)</f>
        <v>811</v>
      </c>
      <c r="C178" s="447" t="str">
        <f>VLOOKUP($D178,'Retail Rates'!$B$7:$D$35,3,FALSE)</f>
        <v>RGS</v>
      </c>
      <c r="D178" s="66" t="s">
        <v>55</v>
      </c>
      <c r="E178" s="66" t="s">
        <v>56</v>
      </c>
      <c r="F178" s="66" t="s">
        <v>40</v>
      </c>
      <c r="G178" s="70">
        <v>1</v>
      </c>
      <c r="H178" s="71">
        <v>2202</v>
      </c>
      <c r="I178" s="71"/>
      <c r="J178" s="71">
        <v>0.5</v>
      </c>
      <c r="K178" s="71"/>
      <c r="L178" s="71">
        <v>-99.35</v>
      </c>
      <c r="M178" s="71"/>
      <c r="N178" s="71">
        <v>1136.28</v>
      </c>
      <c r="O178" s="71"/>
      <c r="P178" s="71"/>
      <c r="Q178" s="72"/>
      <c r="R178" s="71"/>
      <c r="S178" s="72"/>
      <c r="T178" s="72"/>
      <c r="U178" s="71">
        <v>1037.43</v>
      </c>
      <c r="V178" s="72"/>
      <c r="W178" s="72"/>
      <c r="X178" s="72"/>
      <c r="Y178" s="72"/>
      <c r="Z178" s="72"/>
      <c r="AA178" s="71">
        <v>0</v>
      </c>
      <c r="AB178" s="72"/>
      <c r="AC178" s="71">
        <v>1037.43</v>
      </c>
      <c r="AD178" s="71">
        <v>0</v>
      </c>
    </row>
    <row r="179" spans="1:30" ht="12" thickBot="1" x14ac:dyDescent="0.25">
      <c r="A179" s="66" t="s">
        <v>324</v>
      </c>
      <c r="B179" s="447" t="str">
        <f>VLOOKUP($D179,'Retail Rates'!$B$7:$D$35,2,FALSE)</f>
        <v>840</v>
      </c>
      <c r="C179" s="447" t="str">
        <f>VLOOKUP($D179,'Retail Rates'!$B$7:$D$35,3,FALSE)</f>
        <v>RGS</v>
      </c>
      <c r="D179" s="66" t="s">
        <v>59</v>
      </c>
      <c r="E179" s="66" t="s">
        <v>60</v>
      </c>
      <c r="F179" s="66" t="s">
        <v>26</v>
      </c>
      <c r="G179" s="67">
        <v>1</v>
      </c>
      <c r="H179" s="68">
        <v>694</v>
      </c>
      <c r="I179" s="68"/>
      <c r="J179" s="68">
        <v>12.5</v>
      </c>
      <c r="K179" s="68"/>
      <c r="L179" s="68">
        <v>155.43</v>
      </c>
      <c r="M179" s="68">
        <v>0</v>
      </c>
      <c r="N179" s="68">
        <v>358.12</v>
      </c>
      <c r="O179" s="68">
        <v>13.1</v>
      </c>
      <c r="P179" s="68">
        <v>28.77</v>
      </c>
      <c r="Q179" s="69"/>
      <c r="R179" s="68">
        <v>0</v>
      </c>
      <c r="S179" s="69"/>
      <c r="T179" s="69"/>
      <c r="U179" s="68">
        <v>567.91999999999996</v>
      </c>
      <c r="V179" s="69"/>
      <c r="W179" s="69"/>
      <c r="X179" s="69"/>
      <c r="Y179" s="69"/>
      <c r="Z179" s="69"/>
      <c r="AA179" s="68">
        <v>0</v>
      </c>
      <c r="AB179" s="69"/>
      <c r="AC179" s="68">
        <v>567.91999999999996</v>
      </c>
      <c r="AD179" s="68">
        <v>0</v>
      </c>
    </row>
    <row r="180" spans="1:30" ht="12" thickBot="1" x14ac:dyDescent="0.25">
      <c r="A180" s="66" t="s">
        <v>324</v>
      </c>
      <c r="B180" s="447" t="str">
        <f>VLOOKUP($D180,'Retail Rates'!$B$7:$D$35,2,FALSE)</f>
        <v>840</v>
      </c>
      <c r="C180" s="447" t="str">
        <f>VLOOKUP($D180,'Retail Rates'!$B$7:$D$35,3,FALSE)</f>
        <v>RGS</v>
      </c>
      <c r="D180" s="66" t="s">
        <v>59</v>
      </c>
      <c r="E180" s="66" t="s">
        <v>60</v>
      </c>
      <c r="F180" s="66" t="s">
        <v>40</v>
      </c>
      <c r="G180" s="70">
        <v>3</v>
      </c>
      <c r="H180" s="71">
        <v>947</v>
      </c>
      <c r="I180" s="71"/>
      <c r="J180" s="71">
        <v>37.5</v>
      </c>
      <c r="K180" s="71"/>
      <c r="L180" s="71">
        <v>212.08</v>
      </c>
      <c r="M180" s="71">
        <v>0</v>
      </c>
      <c r="N180" s="71">
        <v>488.66</v>
      </c>
      <c r="O180" s="71">
        <v>17.87</v>
      </c>
      <c r="P180" s="71">
        <v>30.35</v>
      </c>
      <c r="Q180" s="72"/>
      <c r="R180" s="71">
        <v>0</v>
      </c>
      <c r="S180" s="72"/>
      <c r="T180" s="72"/>
      <c r="U180" s="71">
        <v>786.46</v>
      </c>
      <c r="V180" s="72"/>
      <c r="W180" s="72"/>
      <c r="X180" s="72"/>
      <c r="Y180" s="72"/>
      <c r="Z180" s="72"/>
      <c r="AA180" s="71">
        <v>1.42</v>
      </c>
      <c r="AB180" s="72"/>
      <c r="AC180" s="71">
        <v>787.88</v>
      </c>
      <c r="AD180" s="71">
        <v>0</v>
      </c>
    </row>
    <row r="181" spans="1:30" ht="12" thickBot="1" x14ac:dyDescent="0.25">
      <c r="A181" s="66" t="s">
        <v>324</v>
      </c>
      <c r="B181" s="447" t="str">
        <f>VLOOKUP($D181,'Retail Rates'!$B$7:$D$35,2,FALSE)</f>
        <v>830</v>
      </c>
      <c r="C181" s="447" t="str">
        <f>VLOOKUP($D181,'Retail Rates'!$B$7:$D$35,3,FALSE)</f>
        <v>RGS</v>
      </c>
      <c r="D181" s="66" t="s">
        <v>49</v>
      </c>
      <c r="E181" s="66" t="s">
        <v>50</v>
      </c>
      <c r="F181" s="66" t="s">
        <v>40</v>
      </c>
      <c r="G181" s="67">
        <v>1</v>
      </c>
      <c r="H181" s="68">
        <v>32</v>
      </c>
      <c r="I181" s="68"/>
      <c r="J181" s="68">
        <v>25</v>
      </c>
      <c r="K181" s="68"/>
      <c r="L181" s="68">
        <v>7.17</v>
      </c>
      <c r="M181" s="68">
        <v>0</v>
      </c>
      <c r="N181" s="68">
        <v>16.510000000000002</v>
      </c>
      <c r="O181" s="68">
        <v>0.6</v>
      </c>
      <c r="P181" s="68"/>
      <c r="Q181" s="69"/>
      <c r="R181" s="68">
        <v>0</v>
      </c>
      <c r="S181" s="69"/>
      <c r="T181" s="69"/>
      <c r="U181" s="68">
        <v>49.28</v>
      </c>
      <c r="V181" s="69"/>
      <c r="W181" s="69"/>
      <c r="X181" s="69"/>
      <c r="Y181" s="69"/>
      <c r="Z181" s="69"/>
      <c r="AA181" s="68">
        <v>0</v>
      </c>
      <c r="AB181" s="69"/>
      <c r="AC181" s="68">
        <v>49.28</v>
      </c>
      <c r="AD181" s="68">
        <v>0</v>
      </c>
    </row>
    <row r="182" spans="1:30" ht="12" thickBot="1" x14ac:dyDescent="0.25">
      <c r="A182" s="66" t="s">
        <v>324</v>
      </c>
      <c r="B182" s="447" t="str">
        <f>VLOOKUP($D182,'Retail Rates'!$B$7:$D$35,2,FALSE)</f>
        <v>860</v>
      </c>
      <c r="C182" s="447" t="str">
        <f>VLOOKUP($D182,'Retail Rates'!$B$7:$D$35,3,FALSE)</f>
        <v>CGS</v>
      </c>
      <c r="D182" s="66" t="s">
        <v>34</v>
      </c>
      <c r="E182" s="66" t="s">
        <v>35</v>
      </c>
      <c r="F182" s="66" t="s">
        <v>22</v>
      </c>
      <c r="G182" s="70">
        <v>1</v>
      </c>
      <c r="H182" s="71">
        <v>304</v>
      </c>
      <c r="I182" s="71"/>
      <c r="J182" s="71">
        <v>480</v>
      </c>
      <c r="K182" s="71"/>
      <c r="L182" s="71">
        <v>56.91</v>
      </c>
      <c r="M182" s="71">
        <v>0</v>
      </c>
      <c r="N182" s="71">
        <v>156.87</v>
      </c>
      <c r="O182" s="71">
        <v>0.28999999999999998</v>
      </c>
      <c r="P182" s="71"/>
      <c r="Q182" s="72"/>
      <c r="R182" s="71">
        <v>0</v>
      </c>
      <c r="S182" s="72"/>
      <c r="T182" s="72"/>
      <c r="U182" s="71">
        <v>694.07</v>
      </c>
      <c r="V182" s="72"/>
      <c r="W182" s="72"/>
      <c r="X182" s="72"/>
      <c r="Y182" s="72"/>
      <c r="Z182" s="72"/>
      <c r="AA182" s="71">
        <v>41.64</v>
      </c>
      <c r="AB182" s="72"/>
      <c r="AC182" s="71">
        <v>735.71</v>
      </c>
      <c r="AD182" s="71">
        <v>0</v>
      </c>
    </row>
    <row r="183" spans="1:30" ht="12" thickBot="1" x14ac:dyDescent="0.25">
      <c r="A183" s="66" t="s">
        <v>324</v>
      </c>
      <c r="B183" s="447" t="str">
        <f>VLOOKUP($D183,'Retail Rates'!$B$7:$D$35,2,FALSE)</f>
        <v>860</v>
      </c>
      <c r="C183" s="447" t="str">
        <f>VLOOKUP($D183,'Retail Rates'!$B$7:$D$35,3,FALSE)</f>
        <v>CGS</v>
      </c>
      <c r="D183" s="66" t="s">
        <v>34</v>
      </c>
      <c r="E183" s="66" t="s">
        <v>35</v>
      </c>
      <c r="F183" s="66" t="s">
        <v>26</v>
      </c>
      <c r="G183" s="67">
        <v>2</v>
      </c>
      <c r="H183" s="68">
        <v>54</v>
      </c>
      <c r="I183" s="68"/>
      <c r="J183" s="68">
        <v>90</v>
      </c>
      <c r="K183" s="68"/>
      <c r="L183" s="68">
        <v>10.11</v>
      </c>
      <c r="M183" s="68">
        <v>0</v>
      </c>
      <c r="N183" s="68">
        <v>27.87</v>
      </c>
      <c r="O183" s="68">
        <v>0.05</v>
      </c>
      <c r="P183" s="68"/>
      <c r="Q183" s="69"/>
      <c r="R183" s="68">
        <v>0</v>
      </c>
      <c r="S183" s="69"/>
      <c r="T183" s="69"/>
      <c r="U183" s="68">
        <v>128.03</v>
      </c>
      <c r="V183" s="69"/>
      <c r="W183" s="69"/>
      <c r="X183" s="69"/>
      <c r="Y183" s="69"/>
      <c r="Z183" s="69"/>
      <c r="AA183" s="68">
        <v>0</v>
      </c>
      <c r="AB183" s="69"/>
      <c r="AC183" s="68">
        <v>128.03</v>
      </c>
      <c r="AD183" s="68">
        <v>0</v>
      </c>
    </row>
    <row r="184" spans="1:30" ht="12" thickBot="1" x14ac:dyDescent="0.25">
      <c r="A184" s="66" t="s">
        <v>324</v>
      </c>
      <c r="B184" s="447" t="str">
        <f>VLOOKUP($D184,'Retail Rates'!$B$7:$D$35,2,FALSE)</f>
        <v>861</v>
      </c>
      <c r="C184" s="447" t="str">
        <f>VLOOKUP($D184,'Retail Rates'!$B$7:$D$35,3,FALSE)</f>
        <v>CGS</v>
      </c>
      <c r="D184" s="66" t="s">
        <v>41</v>
      </c>
      <c r="E184" s="66" t="s">
        <v>42</v>
      </c>
      <c r="F184" s="66" t="s">
        <v>22</v>
      </c>
      <c r="G184" s="70">
        <v>606</v>
      </c>
      <c r="H184" s="71">
        <v>609</v>
      </c>
      <c r="I184" s="71"/>
      <c r="J184" s="71">
        <v>18480</v>
      </c>
      <c r="K184" s="71"/>
      <c r="L184" s="71">
        <v>115.62</v>
      </c>
      <c r="M184" s="71">
        <v>1.84</v>
      </c>
      <c r="N184" s="71">
        <v>316.58999999999997</v>
      </c>
      <c r="O184" s="71">
        <v>0</v>
      </c>
      <c r="P184" s="71"/>
      <c r="Q184" s="72"/>
      <c r="R184" s="71">
        <v>0</v>
      </c>
      <c r="S184" s="72"/>
      <c r="T184" s="72"/>
      <c r="U184" s="71">
        <v>18912.21</v>
      </c>
      <c r="V184" s="72"/>
      <c r="W184" s="72"/>
      <c r="X184" s="72"/>
      <c r="Y184" s="72"/>
      <c r="Z184" s="72"/>
      <c r="AA184" s="71">
        <v>1195.95</v>
      </c>
      <c r="AB184" s="72"/>
      <c r="AC184" s="71">
        <v>20110</v>
      </c>
      <c r="AD184" s="71">
        <v>0</v>
      </c>
    </row>
    <row r="185" spans="1:30" ht="12" thickBot="1" x14ac:dyDescent="0.25">
      <c r="A185" s="66" t="s">
        <v>797</v>
      </c>
      <c r="B185" s="447" t="str">
        <f>VLOOKUP($D185,'Retail Rates'!$B$7:$D$35,2,FALSE)</f>
        <v>851</v>
      </c>
      <c r="C185" s="447" t="str">
        <f>VLOOKUP($D185,'Retail Rates'!$B$7:$D$35,3,FALSE)</f>
        <v>CGS</v>
      </c>
      <c r="D185" s="66" t="s">
        <v>37</v>
      </c>
      <c r="E185" s="66" t="s">
        <v>38</v>
      </c>
      <c r="F185" s="66" t="s">
        <v>22</v>
      </c>
      <c r="G185" s="67">
        <v>24212</v>
      </c>
      <c r="H185" s="68">
        <v>13881205</v>
      </c>
      <c r="I185" s="68">
        <v>0</v>
      </c>
      <c r="J185" s="68">
        <v>713649.13</v>
      </c>
      <c r="K185" s="68">
        <v>134458.67000000001</v>
      </c>
      <c r="L185" s="68">
        <v>2598832.7599999998</v>
      </c>
      <c r="M185" s="68">
        <v>3031.92</v>
      </c>
      <c r="N185" s="68">
        <v>7162943.9299999997</v>
      </c>
      <c r="O185" s="68">
        <v>16026.73</v>
      </c>
      <c r="P185" s="68">
        <v>384389.54</v>
      </c>
      <c r="Q185" s="69"/>
      <c r="R185" s="68">
        <v>0</v>
      </c>
      <c r="S185" s="69"/>
      <c r="T185" s="69"/>
      <c r="U185" s="68">
        <v>11010300.76</v>
      </c>
      <c r="V185" s="69"/>
      <c r="W185" s="69"/>
      <c r="X185" s="69"/>
      <c r="Y185" s="69"/>
      <c r="Z185" s="69"/>
      <c r="AA185" s="68">
        <v>588515.01</v>
      </c>
      <c r="AB185" s="69"/>
      <c r="AC185" s="68">
        <v>11601847.689999999</v>
      </c>
      <c r="AD185" s="68">
        <v>0</v>
      </c>
    </row>
    <row r="186" spans="1:30" ht="12" thickBot="1" x14ac:dyDescent="0.25">
      <c r="A186" s="66" t="s">
        <v>797</v>
      </c>
      <c r="B186" s="447" t="str">
        <f>VLOOKUP($D186,'Retail Rates'!$B$7:$D$35,2,FALSE)</f>
        <v>851</v>
      </c>
      <c r="C186" s="447" t="str">
        <f>VLOOKUP($D186,'Retail Rates'!$B$7:$D$35,3,FALSE)</f>
        <v>CGS</v>
      </c>
      <c r="D186" s="66" t="s">
        <v>37</v>
      </c>
      <c r="E186" s="66" t="s">
        <v>38</v>
      </c>
      <c r="F186" s="66" t="s">
        <v>26</v>
      </c>
      <c r="G186" s="70">
        <v>1152</v>
      </c>
      <c r="H186" s="71">
        <v>2348518</v>
      </c>
      <c r="I186" s="71"/>
      <c r="J186" s="71">
        <v>26812</v>
      </c>
      <c r="K186" s="71">
        <v>47600</v>
      </c>
      <c r="L186" s="71">
        <v>439689.55</v>
      </c>
      <c r="M186" s="71">
        <v>376.35</v>
      </c>
      <c r="N186" s="71">
        <v>1211885.77</v>
      </c>
      <c r="O186" s="71">
        <v>2701.44</v>
      </c>
      <c r="P186" s="71">
        <v>72213.36</v>
      </c>
      <c r="Q186" s="72"/>
      <c r="R186" s="71">
        <v>0</v>
      </c>
      <c r="S186" s="72"/>
      <c r="T186" s="72"/>
      <c r="U186" s="71">
        <v>1800902.12</v>
      </c>
      <c r="V186" s="72"/>
      <c r="W186" s="72"/>
      <c r="X186" s="72"/>
      <c r="Y186" s="72"/>
      <c r="Z186" s="72"/>
      <c r="AA186" s="71">
        <v>7853.69</v>
      </c>
      <c r="AB186" s="72"/>
      <c r="AC186" s="71">
        <v>1809132.16</v>
      </c>
      <c r="AD186" s="71">
        <v>0</v>
      </c>
    </row>
    <row r="187" spans="1:30" ht="12" thickBot="1" x14ac:dyDescent="0.25">
      <c r="A187" s="66" t="s">
        <v>797</v>
      </c>
      <c r="B187" s="447" t="str">
        <f>VLOOKUP($D187,'Retail Rates'!$B$7:$D$35,2,FALSE)</f>
        <v>851</v>
      </c>
      <c r="C187" s="447" t="str">
        <f>VLOOKUP($D187,'Retail Rates'!$B$7:$D$35,3,FALSE)</f>
        <v>CGS</v>
      </c>
      <c r="D187" s="66" t="s">
        <v>37</v>
      </c>
      <c r="E187" s="66" t="s">
        <v>38</v>
      </c>
      <c r="F187" s="66" t="s">
        <v>40</v>
      </c>
      <c r="G187" s="67">
        <v>6</v>
      </c>
      <c r="H187" s="68">
        <v>3491</v>
      </c>
      <c r="I187" s="68"/>
      <c r="J187" s="68">
        <v>150</v>
      </c>
      <c r="K187" s="68">
        <v>170</v>
      </c>
      <c r="L187" s="68">
        <v>653.59</v>
      </c>
      <c r="M187" s="68">
        <v>0</v>
      </c>
      <c r="N187" s="68">
        <v>1801.42</v>
      </c>
      <c r="O187" s="68">
        <v>4.05</v>
      </c>
      <c r="P187" s="68">
        <v>56.5</v>
      </c>
      <c r="Q187" s="69"/>
      <c r="R187" s="68">
        <v>0</v>
      </c>
      <c r="S187" s="69"/>
      <c r="T187" s="69"/>
      <c r="U187" s="68">
        <v>2835.56</v>
      </c>
      <c r="V187" s="69"/>
      <c r="W187" s="69"/>
      <c r="X187" s="69"/>
      <c r="Y187" s="69"/>
      <c r="Z187" s="69"/>
      <c r="AA187" s="68">
        <v>0</v>
      </c>
      <c r="AB187" s="69"/>
      <c r="AC187" s="68">
        <v>2835.56</v>
      </c>
      <c r="AD187" s="68">
        <v>0</v>
      </c>
    </row>
    <row r="188" spans="1:30" ht="12" thickBot="1" x14ac:dyDescent="0.25">
      <c r="A188" s="66" t="s">
        <v>797</v>
      </c>
      <c r="B188" s="447" t="str">
        <f>VLOOKUP($D188,'Retail Rates'!$B$7:$D$35,2,FALSE)</f>
        <v>865</v>
      </c>
      <c r="C188" s="447" t="str">
        <f>VLOOKUP($D188,'Retail Rates'!$B$7:$D$35,3,FALSE)</f>
        <v>AAGS-C</v>
      </c>
      <c r="D188" s="66" t="s">
        <v>23</v>
      </c>
      <c r="E188" s="66" t="s">
        <v>24</v>
      </c>
      <c r="F188" s="66" t="s">
        <v>22</v>
      </c>
      <c r="G188" s="70">
        <v>4</v>
      </c>
      <c r="H188" s="71">
        <v>13869</v>
      </c>
      <c r="I188" s="71"/>
      <c r="J188" s="71">
        <v>825</v>
      </c>
      <c r="K188" s="71"/>
      <c r="L188" s="71">
        <v>728.4</v>
      </c>
      <c r="M188" s="71">
        <v>0</v>
      </c>
      <c r="N188" s="71">
        <v>7156.69</v>
      </c>
      <c r="O188" s="71">
        <v>28.08</v>
      </c>
      <c r="P188" s="71"/>
      <c r="Q188" s="72"/>
      <c r="R188" s="71">
        <v>0</v>
      </c>
      <c r="S188" s="72"/>
      <c r="T188" s="72"/>
      <c r="U188" s="71">
        <v>8738.17</v>
      </c>
      <c r="V188" s="72"/>
      <c r="W188" s="72"/>
      <c r="X188" s="72"/>
      <c r="Y188" s="72"/>
      <c r="Z188" s="72"/>
      <c r="AA188" s="71">
        <v>1889.01</v>
      </c>
      <c r="AB188" s="72"/>
      <c r="AC188" s="71">
        <v>10627.18</v>
      </c>
      <c r="AD188" s="71">
        <v>0</v>
      </c>
    </row>
    <row r="189" spans="1:30" ht="12" thickBot="1" x14ac:dyDescent="0.25">
      <c r="A189" s="66" t="s">
        <v>797</v>
      </c>
      <c r="B189" s="447" t="str">
        <f>VLOOKUP($D189,'Retail Rates'!$B$7:$D$35,2,FALSE)</f>
        <v>865</v>
      </c>
      <c r="C189" s="447" t="str">
        <f>VLOOKUP($D189,'Retail Rates'!$B$7:$D$35,3,FALSE)</f>
        <v>AAGS-C</v>
      </c>
      <c r="D189" s="66" t="s">
        <v>23</v>
      </c>
      <c r="E189" s="66" t="s">
        <v>24</v>
      </c>
      <c r="F189" s="66" t="s">
        <v>26</v>
      </c>
      <c r="G189" s="67">
        <v>1</v>
      </c>
      <c r="H189" s="68">
        <v>90047</v>
      </c>
      <c r="I189" s="68"/>
      <c r="J189" s="68">
        <v>275</v>
      </c>
      <c r="K189" s="68"/>
      <c r="L189" s="68">
        <v>4729.2700000000004</v>
      </c>
      <c r="M189" s="68">
        <v>0</v>
      </c>
      <c r="N189" s="68">
        <v>46466.05</v>
      </c>
      <c r="O189" s="68">
        <v>104.45</v>
      </c>
      <c r="P189" s="68"/>
      <c r="Q189" s="69"/>
      <c r="R189" s="68">
        <v>0</v>
      </c>
      <c r="S189" s="69"/>
      <c r="T189" s="69"/>
      <c r="U189" s="68">
        <v>51574.77</v>
      </c>
      <c r="V189" s="69"/>
      <c r="W189" s="69"/>
      <c r="X189" s="69"/>
      <c r="Y189" s="69"/>
      <c r="Z189" s="69"/>
      <c r="AA189" s="68">
        <v>0</v>
      </c>
      <c r="AB189" s="69"/>
      <c r="AC189" s="68">
        <v>51574.77</v>
      </c>
      <c r="AD189" s="68">
        <v>0</v>
      </c>
    </row>
    <row r="190" spans="1:30" ht="12" thickBot="1" x14ac:dyDescent="0.25">
      <c r="A190" s="66" t="s">
        <v>797</v>
      </c>
      <c r="B190" s="447" t="str">
        <f>VLOOKUP($D190,'Retail Rates'!$B$7:$D$35,2,FALSE)</f>
        <v>855</v>
      </c>
      <c r="C190" s="447" t="str">
        <f>VLOOKUP($D190,'Retail Rates'!$B$7:$D$35,3,FALSE)</f>
        <v>IGS</v>
      </c>
      <c r="D190" s="66" t="s">
        <v>45</v>
      </c>
      <c r="E190" s="66" t="s">
        <v>46</v>
      </c>
      <c r="F190" s="66" t="s">
        <v>28</v>
      </c>
      <c r="G190" s="67">
        <v>207</v>
      </c>
      <c r="H190" s="68">
        <v>1085773</v>
      </c>
      <c r="I190" s="68"/>
      <c r="J190" s="68">
        <v>3450</v>
      </c>
      <c r="K190" s="68">
        <v>17266.32</v>
      </c>
      <c r="L190" s="68">
        <v>206535.75</v>
      </c>
      <c r="M190" s="68">
        <v>0</v>
      </c>
      <c r="N190" s="68">
        <v>560280.56999999995</v>
      </c>
      <c r="O190" s="68"/>
      <c r="P190" s="68"/>
      <c r="Q190" s="69"/>
      <c r="R190" s="68">
        <v>0</v>
      </c>
      <c r="S190" s="69"/>
      <c r="T190" s="69"/>
      <c r="U190" s="68">
        <v>787532.64</v>
      </c>
      <c r="V190" s="69"/>
      <c r="W190" s="69"/>
      <c r="X190" s="69"/>
      <c r="Y190" s="69"/>
      <c r="Z190" s="69"/>
      <c r="AA190" s="68">
        <v>39913.32</v>
      </c>
      <c r="AB190" s="69"/>
      <c r="AC190" s="68">
        <v>827445.96</v>
      </c>
      <c r="AD190" s="68">
        <v>0</v>
      </c>
    </row>
    <row r="191" spans="1:30" ht="12" thickBot="1" x14ac:dyDescent="0.25">
      <c r="A191" s="66" t="s">
        <v>797</v>
      </c>
      <c r="B191" s="447" t="str">
        <f>VLOOKUP($D191,'Retail Rates'!$B$7:$D$35,2,FALSE)</f>
        <v>855</v>
      </c>
      <c r="C191" s="447" t="str">
        <f>VLOOKUP($D191,'Retail Rates'!$B$7:$D$35,3,FALSE)</f>
        <v>IGS</v>
      </c>
      <c r="D191" s="66" t="s">
        <v>45</v>
      </c>
      <c r="E191" s="66" t="s">
        <v>46</v>
      </c>
      <c r="F191" s="66" t="s">
        <v>22</v>
      </c>
      <c r="G191" s="70">
        <v>1</v>
      </c>
      <c r="H191" s="71">
        <v>5417</v>
      </c>
      <c r="I191" s="71"/>
      <c r="J191" s="71"/>
      <c r="K191" s="71">
        <v>170</v>
      </c>
      <c r="L191" s="71">
        <v>1030.42</v>
      </c>
      <c r="M191" s="71">
        <v>0</v>
      </c>
      <c r="N191" s="71">
        <v>2795.28</v>
      </c>
      <c r="O191" s="71"/>
      <c r="P191" s="71"/>
      <c r="Q191" s="72"/>
      <c r="R191" s="71">
        <v>0</v>
      </c>
      <c r="S191" s="72"/>
      <c r="T191" s="72"/>
      <c r="U191" s="71">
        <v>3995.7</v>
      </c>
      <c r="V191" s="72"/>
      <c r="W191" s="72"/>
      <c r="X191" s="72"/>
      <c r="Y191" s="72"/>
      <c r="Z191" s="72"/>
      <c r="AA191" s="71">
        <v>239.74</v>
      </c>
      <c r="AB191" s="72"/>
      <c r="AC191" s="71">
        <v>4235.4399999999996</v>
      </c>
      <c r="AD191" s="71">
        <v>0</v>
      </c>
    </row>
    <row r="192" spans="1:30" ht="12" thickBot="1" x14ac:dyDescent="0.25">
      <c r="A192" s="66" t="s">
        <v>797</v>
      </c>
      <c r="B192" s="447" t="str">
        <f>VLOOKUP($D192,'Retail Rates'!$B$7:$D$35,2,FALSE)</f>
        <v>855</v>
      </c>
      <c r="C192" s="447" t="str">
        <f>VLOOKUP($D192,'Retail Rates'!$B$7:$D$35,3,FALSE)</f>
        <v>IGS</v>
      </c>
      <c r="D192" s="66" t="s">
        <v>45</v>
      </c>
      <c r="E192" s="66" t="s">
        <v>46</v>
      </c>
      <c r="F192" s="66" t="s">
        <v>26</v>
      </c>
      <c r="G192" s="67">
        <v>5</v>
      </c>
      <c r="H192" s="68">
        <v>17733</v>
      </c>
      <c r="I192" s="68"/>
      <c r="J192" s="68">
        <v>120</v>
      </c>
      <c r="K192" s="68">
        <v>170</v>
      </c>
      <c r="L192" s="68">
        <v>3373.17</v>
      </c>
      <c r="M192" s="68">
        <v>0</v>
      </c>
      <c r="N192" s="68">
        <v>9150.57</v>
      </c>
      <c r="O192" s="68"/>
      <c r="P192" s="68"/>
      <c r="Q192" s="69"/>
      <c r="R192" s="68">
        <v>0</v>
      </c>
      <c r="S192" s="69"/>
      <c r="T192" s="69"/>
      <c r="U192" s="68">
        <v>12813.74</v>
      </c>
      <c r="V192" s="69"/>
      <c r="W192" s="69"/>
      <c r="X192" s="69"/>
      <c r="Y192" s="69"/>
      <c r="Z192" s="69"/>
      <c r="AA192" s="68">
        <v>0</v>
      </c>
      <c r="AB192" s="69"/>
      <c r="AC192" s="68">
        <v>12813.74</v>
      </c>
      <c r="AD192" s="68">
        <v>0</v>
      </c>
    </row>
    <row r="193" spans="1:30" ht="12" thickBot="1" x14ac:dyDescent="0.25">
      <c r="A193" s="66" t="s">
        <v>797</v>
      </c>
      <c r="B193" s="447" t="str">
        <f>VLOOKUP($D193,'Retail Rates'!$B$7:$D$35,2,FALSE)</f>
        <v>866</v>
      </c>
      <c r="C193" s="447" t="str">
        <f>VLOOKUP($D193,'Retail Rates'!$B$7:$D$35,3,FALSE)</f>
        <v>AAGS-I</v>
      </c>
      <c r="D193" s="66" t="s">
        <v>29</v>
      </c>
      <c r="E193" s="66" t="s">
        <v>30</v>
      </c>
      <c r="F193" s="66" t="s">
        <v>28</v>
      </c>
      <c r="G193" s="70">
        <v>8</v>
      </c>
      <c r="H193" s="71">
        <v>172503</v>
      </c>
      <c r="I193" s="71"/>
      <c r="J193" s="71">
        <v>2200</v>
      </c>
      <c r="K193" s="71"/>
      <c r="L193" s="71">
        <v>9059.86</v>
      </c>
      <c r="M193" s="71">
        <v>0</v>
      </c>
      <c r="N193" s="71">
        <v>89015</v>
      </c>
      <c r="O193" s="71"/>
      <c r="P193" s="71"/>
      <c r="Q193" s="72"/>
      <c r="R193" s="71">
        <v>0</v>
      </c>
      <c r="S193" s="72"/>
      <c r="T193" s="72"/>
      <c r="U193" s="71">
        <v>100274.86</v>
      </c>
      <c r="V193" s="72"/>
      <c r="W193" s="72"/>
      <c r="X193" s="72"/>
      <c r="Y193" s="72"/>
      <c r="Z193" s="72"/>
      <c r="AA193" s="71">
        <v>3528.23</v>
      </c>
      <c r="AB193" s="72"/>
      <c r="AC193" s="71">
        <v>103803.09</v>
      </c>
      <c r="AD193" s="71">
        <v>0</v>
      </c>
    </row>
    <row r="194" spans="1:30" ht="12" thickBot="1" x14ac:dyDescent="0.25">
      <c r="A194" s="66" t="s">
        <v>797</v>
      </c>
      <c r="B194" s="447" t="str">
        <f>VLOOKUP($D194,'Retail Rates'!$B$7:$D$35,2,FALSE)</f>
        <v>866</v>
      </c>
      <c r="C194" s="447" t="str">
        <f>VLOOKUP($D194,'Retail Rates'!$B$7:$D$35,3,FALSE)</f>
        <v>AAGS-I</v>
      </c>
      <c r="D194" s="66" t="s">
        <v>29</v>
      </c>
      <c r="E194" s="66" t="s">
        <v>30</v>
      </c>
      <c r="F194" s="66" t="s">
        <v>26</v>
      </c>
      <c r="G194" s="67">
        <v>1</v>
      </c>
      <c r="H194" s="68">
        <v>14850</v>
      </c>
      <c r="I194" s="68"/>
      <c r="J194" s="68">
        <v>275</v>
      </c>
      <c r="K194" s="68"/>
      <c r="L194" s="68">
        <v>779.92</v>
      </c>
      <c r="M194" s="68">
        <v>0</v>
      </c>
      <c r="N194" s="68">
        <v>7662.9</v>
      </c>
      <c r="O194" s="68"/>
      <c r="P194" s="68"/>
      <c r="Q194" s="69"/>
      <c r="R194" s="68">
        <v>0</v>
      </c>
      <c r="S194" s="69"/>
      <c r="T194" s="69"/>
      <c r="U194" s="68">
        <v>8717.82</v>
      </c>
      <c r="V194" s="69"/>
      <c r="W194" s="69"/>
      <c r="X194" s="69"/>
      <c r="Y194" s="69"/>
      <c r="Z194" s="69"/>
      <c r="AA194" s="68">
        <v>0</v>
      </c>
      <c r="AB194" s="69"/>
      <c r="AC194" s="68">
        <v>8717.82</v>
      </c>
      <c r="AD194" s="68">
        <v>0</v>
      </c>
    </row>
    <row r="195" spans="1:30" ht="12" thickBot="1" x14ac:dyDescent="0.25">
      <c r="A195" s="66" t="s">
        <v>797</v>
      </c>
      <c r="B195" s="447" t="str">
        <f>VLOOKUP($D195,'Retail Rates'!$B$7:$D$35,2,FALSE)</f>
        <v>996</v>
      </c>
      <c r="C195" s="447" t="str">
        <f>VLOOKUP($D195,'Retail Rates'!$B$7:$D$35,3,FALSE)</f>
        <v>SPC-LGE</v>
      </c>
      <c r="D195" s="66" t="s">
        <v>82</v>
      </c>
      <c r="E195" s="66" t="s">
        <v>83</v>
      </c>
      <c r="F195" s="66" t="s">
        <v>248</v>
      </c>
      <c r="G195" s="67">
        <v>2</v>
      </c>
      <c r="H195" s="68">
        <v>390284</v>
      </c>
      <c r="I195" s="68"/>
      <c r="J195" s="68">
        <v>340</v>
      </c>
      <c r="K195" s="68"/>
      <c r="L195" s="68">
        <v>11115.28</v>
      </c>
      <c r="M195" s="68"/>
      <c r="N195" s="68">
        <v>201394.35</v>
      </c>
      <c r="O195" s="68"/>
      <c r="P195" s="68"/>
      <c r="Q195" s="69"/>
      <c r="R195" s="68"/>
      <c r="S195" s="69"/>
      <c r="T195" s="69">
        <v>286974.48</v>
      </c>
      <c r="U195" s="68">
        <v>499824.11</v>
      </c>
      <c r="V195" s="69"/>
      <c r="W195" s="69"/>
      <c r="X195" s="69"/>
      <c r="Y195" s="69"/>
      <c r="Z195" s="69"/>
      <c r="AA195" s="68">
        <v>0</v>
      </c>
      <c r="AB195" s="69"/>
      <c r="AC195" s="68">
        <v>499824.11</v>
      </c>
      <c r="AD195" s="68">
        <v>0</v>
      </c>
    </row>
    <row r="196" spans="1:30" ht="12" thickBot="1" x14ac:dyDescent="0.25">
      <c r="A196" s="66" t="s">
        <v>797</v>
      </c>
      <c r="B196" s="447" t="str">
        <f>VLOOKUP($D196,'Retail Rates'!$B$7:$D$35,2,FALSE)</f>
        <v>811</v>
      </c>
      <c r="C196" s="447" t="str">
        <f>VLOOKUP($D196,'Retail Rates'!$B$7:$D$35,3,FALSE)</f>
        <v>RGS</v>
      </c>
      <c r="D196" s="66" t="s">
        <v>52</v>
      </c>
      <c r="E196" s="66" t="s">
        <v>53</v>
      </c>
      <c r="F196" s="66" t="s">
        <v>22</v>
      </c>
      <c r="G196" s="67">
        <v>5</v>
      </c>
      <c r="H196" s="68">
        <v>651</v>
      </c>
      <c r="I196" s="68"/>
      <c r="J196" s="68">
        <v>62.5</v>
      </c>
      <c r="K196" s="68"/>
      <c r="L196" s="68">
        <v>145.80000000000001</v>
      </c>
      <c r="M196" s="68">
        <v>0</v>
      </c>
      <c r="N196" s="68">
        <v>335.93</v>
      </c>
      <c r="O196" s="68">
        <v>16.7</v>
      </c>
      <c r="P196" s="68">
        <v>24.92</v>
      </c>
      <c r="Q196" s="69">
        <v>0.8</v>
      </c>
      <c r="R196" s="68">
        <v>0</v>
      </c>
      <c r="S196" s="69"/>
      <c r="T196" s="69"/>
      <c r="U196" s="68">
        <v>585.85</v>
      </c>
      <c r="V196" s="69"/>
      <c r="W196" s="69"/>
      <c r="X196" s="69"/>
      <c r="Y196" s="69"/>
      <c r="Z196" s="69"/>
      <c r="AA196" s="68">
        <v>31.41</v>
      </c>
      <c r="AB196" s="69"/>
      <c r="AC196" s="68">
        <v>618.05999999999995</v>
      </c>
      <c r="AD196" s="68">
        <v>0</v>
      </c>
    </row>
    <row r="197" spans="1:30" ht="12" thickBot="1" x14ac:dyDescent="0.25">
      <c r="A197" s="66" t="s">
        <v>797</v>
      </c>
      <c r="B197" s="447" t="str">
        <f>VLOOKUP($D197,'Retail Rates'!$B$7:$D$35,2,FALSE)</f>
        <v>811</v>
      </c>
      <c r="C197" s="447" t="str">
        <f>VLOOKUP($D197,'Retail Rates'!$B$7:$D$35,3,FALSE)</f>
        <v>RGS</v>
      </c>
      <c r="D197" s="66" t="s">
        <v>52</v>
      </c>
      <c r="E197" s="66" t="s">
        <v>53</v>
      </c>
      <c r="F197" s="66" t="s">
        <v>26</v>
      </c>
      <c r="G197" s="70">
        <v>57</v>
      </c>
      <c r="H197" s="71">
        <v>2872</v>
      </c>
      <c r="I197" s="71"/>
      <c r="J197" s="71">
        <v>660.84</v>
      </c>
      <c r="K197" s="71"/>
      <c r="L197" s="71">
        <v>643.20000000000005</v>
      </c>
      <c r="M197" s="71">
        <v>0</v>
      </c>
      <c r="N197" s="71">
        <v>1482.01</v>
      </c>
      <c r="O197" s="71">
        <v>81.2</v>
      </c>
      <c r="P197" s="71">
        <v>103.42</v>
      </c>
      <c r="Q197" s="72">
        <v>8.56</v>
      </c>
      <c r="R197" s="71">
        <v>0</v>
      </c>
      <c r="S197" s="72"/>
      <c r="T197" s="72"/>
      <c r="U197" s="71">
        <v>2970.67</v>
      </c>
      <c r="V197" s="72"/>
      <c r="W197" s="72"/>
      <c r="X197" s="72"/>
      <c r="Y197" s="72"/>
      <c r="Z197" s="72"/>
      <c r="AA197" s="71">
        <v>12.45</v>
      </c>
      <c r="AB197" s="72"/>
      <c r="AC197" s="71">
        <v>2991.68</v>
      </c>
      <c r="AD197" s="71">
        <v>0</v>
      </c>
    </row>
    <row r="198" spans="1:30" ht="12" thickBot="1" x14ac:dyDescent="0.25">
      <c r="A198" s="66" t="s">
        <v>797</v>
      </c>
      <c r="B198" s="447" t="str">
        <f>VLOOKUP($D198,'Retail Rates'!$B$7:$D$35,2,FALSE)</f>
        <v>811</v>
      </c>
      <c r="C198" s="447" t="str">
        <f>VLOOKUP($D198,'Retail Rates'!$B$7:$D$35,3,FALSE)</f>
        <v>RGS</v>
      </c>
      <c r="D198" s="66" t="s">
        <v>52</v>
      </c>
      <c r="E198" s="66" t="s">
        <v>53</v>
      </c>
      <c r="F198" s="66" t="s">
        <v>40</v>
      </c>
      <c r="G198" s="67">
        <v>292301</v>
      </c>
      <c r="H198" s="68">
        <v>34457753</v>
      </c>
      <c r="I198" s="68"/>
      <c r="J198" s="68">
        <v>3671796.66</v>
      </c>
      <c r="K198" s="68"/>
      <c r="L198" s="68">
        <v>7717106.6799999997</v>
      </c>
      <c r="M198" s="68">
        <v>7305.58</v>
      </c>
      <c r="N198" s="68">
        <v>17781743.91</v>
      </c>
      <c r="O198" s="68">
        <v>882940.03</v>
      </c>
      <c r="P198" s="68">
        <v>1278778.44</v>
      </c>
      <c r="Q198" s="69">
        <v>47192.38</v>
      </c>
      <c r="R198" s="68">
        <v>0</v>
      </c>
      <c r="S198" s="69"/>
      <c r="T198" s="69"/>
      <c r="U198" s="68">
        <v>31332365.719999999</v>
      </c>
      <c r="V198" s="69"/>
      <c r="W198" s="69"/>
      <c r="X198" s="69"/>
      <c r="Y198" s="69"/>
      <c r="Z198" s="69"/>
      <c r="AA198" s="68">
        <v>121303.61</v>
      </c>
      <c r="AB198" s="69"/>
      <c r="AC198" s="68">
        <v>31508167.289999999</v>
      </c>
      <c r="AD198" s="68">
        <v>0</v>
      </c>
    </row>
    <row r="199" spans="1:30" ht="12" thickBot="1" x14ac:dyDescent="0.25">
      <c r="A199" s="66" t="s">
        <v>797</v>
      </c>
      <c r="B199" s="447" t="str">
        <f>VLOOKUP($D199,'Retail Rates'!$B$7:$D$35,2,FALSE)</f>
        <v>811</v>
      </c>
      <c r="C199" s="447" t="str">
        <f>VLOOKUP($D199,'Retail Rates'!$B$7:$D$35,3,FALSE)</f>
        <v>RGS</v>
      </c>
      <c r="D199" s="66" t="s">
        <v>55</v>
      </c>
      <c r="E199" s="66" t="s">
        <v>56</v>
      </c>
      <c r="F199" s="66" t="s">
        <v>40</v>
      </c>
      <c r="G199" s="70">
        <v>1</v>
      </c>
      <c r="H199" s="71">
        <v>3504</v>
      </c>
      <c r="I199" s="71"/>
      <c r="J199" s="71">
        <v>0.5</v>
      </c>
      <c r="K199" s="71"/>
      <c r="L199" s="71">
        <v>-158.1</v>
      </c>
      <c r="M199" s="71"/>
      <c r="N199" s="71">
        <v>1808.13</v>
      </c>
      <c r="O199" s="71"/>
      <c r="P199" s="71"/>
      <c r="Q199" s="72"/>
      <c r="R199" s="71"/>
      <c r="S199" s="72"/>
      <c r="T199" s="72"/>
      <c r="U199" s="71">
        <v>1650.53</v>
      </c>
      <c r="V199" s="72"/>
      <c r="W199" s="72"/>
      <c r="X199" s="72"/>
      <c r="Y199" s="72"/>
      <c r="Z199" s="72"/>
      <c r="AA199" s="71">
        <v>0</v>
      </c>
      <c r="AB199" s="72"/>
      <c r="AC199" s="71">
        <v>1650.53</v>
      </c>
      <c r="AD199" s="71">
        <v>0</v>
      </c>
    </row>
    <row r="200" spans="1:30" ht="12" thickBot="1" x14ac:dyDescent="0.25">
      <c r="A200" s="66" t="s">
        <v>797</v>
      </c>
      <c r="B200" s="447" t="str">
        <f>VLOOKUP($D200,'Retail Rates'!$B$7:$D$35,2,FALSE)</f>
        <v>840</v>
      </c>
      <c r="C200" s="447" t="str">
        <f>VLOOKUP($D200,'Retail Rates'!$B$7:$D$35,3,FALSE)</f>
        <v>RGS</v>
      </c>
      <c r="D200" s="66" t="s">
        <v>59</v>
      </c>
      <c r="E200" s="66" t="s">
        <v>60</v>
      </c>
      <c r="F200" s="66" t="s">
        <v>26</v>
      </c>
      <c r="G200" s="67">
        <v>1</v>
      </c>
      <c r="H200" s="68">
        <v>1116</v>
      </c>
      <c r="I200" s="68"/>
      <c r="J200" s="68">
        <v>12.5</v>
      </c>
      <c r="K200" s="68"/>
      <c r="L200" s="68">
        <v>249.94</v>
      </c>
      <c r="M200" s="68">
        <v>0</v>
      </c>
      <c r="N200" s="68">
        <v>575.88</v>
      </c>
      <c r="O200" s="68">
        <v>28.64</v>
      </c>
      <c r="P200" s="68">
        <v>55.63</v>
      </c>
      <c r="Q200" s="69"/>
      <c r="R200" s="68">
        <v>0</v>
      </c>
      <c r="S200" s="69"/>
      <c r="T200" s="69"/>
      <c r="U200" s="68">
        <v>922.59</v>
      </c>
      <c r="V200" s="69"/>
      <c r="W200" s="69"/>
      <c r="X200" s="69"/>
      <c r="Y200" s="69"/>
      <c r="Z200" s="69"/>
      <c r="AA200" s="68">
        <v>0</v>
      </c>
      <c r="AB200" s="69"/>
      <c r="AC200" s="68">
        <v>922.59</v>
      </c>
      <c r="AD200" s="68">
        <v>0</v>
      </c>
    </row>
    <row r="201" spans="1:30" ht="12" thickBot="1" x14ac:dyDescent="0.25">
      <c r="A201" s="66" t="s">
        <v>797</v>
      </c>
      <c r="B201" s="447" t="str">
        <f>VLOOKUP($D201,'Retail Rates'!$B$7:$D$35,2,FALSE)</f>
        <v>840</v>
      </c>
      <c r="C201" s="447" t="str">
        <f>VLOOKUP($D201,'Retail Rates'!$B$7:$D$35,3,FALSE)</f>
        <v>RGS</v>
      </c>
      <c r="D201" s="66" t="s">
        <v>59</v>
      </c>
      <c r="E201" s="66" t="s">
        <v>60</v>
      </c>
      <c r="F201" s="66" t="s">
        <v>40</v>
      </c>
      <c r="G201" s="70">
        <v>3</v>
      </c>
      <c r="H201" s="71">
        <v>1708</v>
      </c>
      <c r="I201" s="71"/>
      <c r="J201" s="71">
        <v>37.5</v>
      </c>
      <c r="K201" s="71"/>
      <c r="L201" s="71">
        <v>382.52</v>
      </c>
      <c r="M201" s="71">
        <v>0</v>
      </c>
      <c r="N201" s="71">
        <v>881.35</v>
      </c>
      <c r="O201" s="71">
        <v>43.83</v>
      </c>
      <c r="P201" s="71">
        <v>52.43</v>
      </c>
      <c r="Q201" s="72"/>
      <c r="R201" s="71">
        <v>0</v>
      </c>
      <c r="S201" s="72"/>
      <c r="T201" s="72"/>
      <c r="U201" s="71">
        <v>1397.63</v>
      </c>
      <c r="V201" s="72"/>
      <c r="W201" s="72"/>
      <c r="X201" s="72"/>
      <c r="Y201" s="72"/>
      <c r="Z201" s="72"/>
      <c r="AA201" s="71">
        <v>2.11</v>
      </c>
      <c r="AB201" s="72"/>
      <c r="AC201" s="71">
        <v>1399.74</v>
      </c>
      <c r="AD201" s="71">
        <v>0</v>
      </c>
    </row>
    <row r="202" spans="1:30" ht="12" thickBot="1" x14ac:dyDescent="0.25">
      <c r="A202" s="66" t="s">
        <v>797</v>
      </c>
      <c r="B202" s="447" t="str">
        <f>VLOOKUP($D202,'Retail Rates'!$B$7:$D$35,2,FALSE)</f>
        <v>830</v>
      </c>
      <c r="C202" s="447" t="str">
        <f>VLOOKUP($D202,'Retail Rates'!$B$7:$D$35,3,FALSE)</f>
        <v>RGS</v>
      </c>
      <c r="D202" s="66" t="s">
        <v>49</v>
      </c>
      <c r="E202" s="66" t="s">
        <v>50</v>
      </c>
      <c r="F202" s="66" t="s">
        <v>40</v>
      </c>
      <c r="G202" s="67">
        <v>1</v>
      </c>
      <c r="H202" s="68">
        <v>32</v>
      </c>
      <c r="I202" s="68"/>
      <c r="J202" s="68">
        <v>25</v>
      </c>
      <c r="K202" s="68"/>
      <c r="L202" s="68">
        <v>7.17</v>
      </c>
      <c r="M202" s="68">
        <v>0</v>
      </c>
      <c r="N202" s="68">
        <v>16.510000000000002</v>
      </c>
      <c r="O202" s="68">
        <v>0.82</v>
      </c>
      <c r="P202" s="68"/>
      <c r="Q202" s="69"/>
      <c r="R202" s="68">
        <v>0</v>
      </c>
      <c r="S202" s="69"/>
      <c r="T202" s="69"/>
      <c r="U202" s="68">
        <v>49.5</v>
      </c>
      <c r="V202" s="69"/>
      <c r="W202" s="69"/>
      <c r="X202" s="69"/>
      <c r="Y202" s="69"/>
      <c r="Z202" s="69"/>
      <c r="AA202" s="68">
        <v>0</v>
      </c>
      <c r="AB202" s="69"/>
      <c r="AC202" s="68">
        <v>49.5</v>
      </c>
      <c r="AD202" s="68">
        <v>0</v>
      </c>
    </row>
    <row r="203" spans="1:30" ht="12" thickBot="1" x14ac:dyDescent="0.25">
      <c r="A203" s="66" t="s">
        <v>797</v>
      </c>
      <c r="B203" s="447" t="str">
        <f>VLOOKUP($D203,'Retail Rates'!$B$7:$D$35,2,FALSE)</f>
        <v>860</v>
      </c>
      <c r="C203" s="447" t="str">
        <f>VLOOKUP($D203,'Retail Rates'!$B$7:$D$35,3,FALSE)</f>
        <v>CGS</v>
      </c>
      <c r="D203" s="66" t="s">
        <v>34</v>
      </c>
      <c r="E203" s="66" t="s">
        <v>35</v>
      </c>
      <c r="F203" s="66" t="s">
        <v>22</v>
      </c>
      <c r="G203" s="70">
        <v>1</v>
      </c>
      <c r="H203" s="71">
        <v>304</v>
      </c>
      <c r="I203" s="71"/>
      <c r="J203" s="71">
        <v>480</v>
      </c>
      <c r="K203" s="71"/>
      <c r="L203" s="71">
        <v>56.91</v>
      </c>
      <c r="M203" s="71">
        <v>0</v>
      </c>
      <c r="N203" s="71">
        <v>156.87</v>
      </c>
      <c r="O203" s="71">
        <v>0.35</v>
      </c>
      <c r="P203" s="71"/>
      <c r="Q203" s="72"/>
      <c r="R203" s="71">
        <v>0</v>
      </c>
      <c r="S203" s="72"/>
      <c r="T203" s="72"/>
      <c r="U203" s="71">
        <v>694.13</v>
      </c>
      <c r="V203" s="72"/>
      <c r="W203" s="72"/>
      <c r="X203" s="72"/>
      <c r="Y203" s="72"/>
      <c r="Z203" s="72"/>
      <c r="AA203" s="71">
        <v>41.65</v>
      </c>
      <c r="AB203" s="72"/>
      <c r="AC203" s="71">
        <v>735.78</v>
      </c>
      <c r="AD203" s="71">
        <v>0</v>
      </c>
    </row>
    <row r="204" spans="1:30" ht="12" thickBot="1" x14ac:dyDescent="0.25">
      <c r="A204" s="66" t="s">
        <v>797</v>
      </c>
      <c r="B204" s="447" t="str">
        <f>VLOOKUP($D204,'Retail Rates'!$B$7:$D$35,2,FALSE)</f>
        <v>860</v>
      </c>
      <c r="C204" s="447" t="str">
        <f>VLOOKUP($D204,'Retail Rates'!$B$7:$D$35,3,FALSE)</f>
        <v>CGS</v>
      </c>
      <c r="D204" s="66" t="s">
        <v>34</v>
      </c>
      <c r="E204" s="66" t="s">
        <v>35</v>
      </c>
      <c r="F204" s="66" t="s">
        <v>26</v>
      </c>
      <c r="G204" s="67">
        <v>2</v>
      </c>
      <c r="H204" s="68">
        <v>54</v>
      </c>
      <c r="I204" s="68"/>
      <c r="J204" s="68">
        <v>90</v>
      </c>
      <c r="K204" s="68"/>
      <c r="L204" s="68">
        <v>10.11</v>
      </c>
      <c r="M204" s="68">
        <v>0</v>
      </c>
      <c r="N204" s="68">
        <v>27.87</v>
      </c>
      <c r="O204" s="68">
        <v>0.06</v>
      </c>
      <c r="P204" s="68"/>
      <c r="Q204" s="69"/>
      <c r="R204" s="68">
        <v>0</v>
      </c>
      <c r="S204" s="69"/>
      <c r="T204" s="69"/>
      <c r="U204" s="68">
        <v>128.04</v>
      </c>
      <c r="V204" s="69"/>
      <c r="W204" s="69"/>
      <c r="X204" s="69"/>
      <c r="Y204" s="69"/>
      <c r="Z204" s="69"/>
      <c r="AA204" s="68">
        <v>0</v>
      </c>
      <c r="AB204" s="69"/>
      <c r="AC204" s="68">
        <v>128.04</v>
      </c>
      <c r="AD204" s="68">
        <v>0</v>
      </c>
    </row>
    <row r="205" spans="1:30" ht="12" thickBot="1" x14ac:dyDescent="0.25">
      <c r="A205" s="66" t="s">
        <v>797</v>
      </c>
      <c r="B205" s="447" t="str">
        <f>VLOOKUP($D205,'Retail Rates'!$B$7:$D$35,2,FALSE)</f>
        <v>861</v>
      </c>
      <c r="C205" s="447" t="str">
        <f>VLOOKUP($D205,'Retail Rates'!$B$7:$D$35,3,FALSE)</f>
        <v>CGS</v>
      </c>
      <c r="D205" s="66" t="s">
        <v>41</v>
      </c>
      <c r="E205" s="66" t="s">
        <v>42</v>
      </c>
      <c r="F205" s="66" t="s">
        <v>22</v>
      </c>
      <c r="G205" s="70">
        <v>610</v>
      </c>
      <c r="H205" s="71">
        <v>615</v>
      </c>
      <c r="I205" s="71"/>
      <c r="J205" s="71">
        <v>18728</v>
      </c>
      <c r="K205" s="71"/>
      <c r="L205" s="71">
        <v>116.76</v>
      </c>
      <c r="M205" s="71">
        <v>1.84</v>
      </c>
      <c r="N205" s="71">
        <v>319.70999999999998</v>
      </c>
      <c r="O205" s="71">
        <v>0</v>
      </c>
      <c r="P205" s="71"/>
      <c r="Q205" s="72"/>
      <c r="R205" s="71">
        <v>0</v>
      </c>
      <c r="S205" s="72"/>
      <c r="T205" s="72"/>
      <c r="U205" s="71">
        <v>19164.47</v>
      </c>
      <c r="V205" s="72"/>
      <c r="W205" s="72"/>
      <c r="X205" s="72"/>
      <c r="Y205" s="72"/>
      <c r="Z205" s="72"/>
      <c r="AA205" s="71">
        <v>1211.07</v>
      </c>
      <c r="AB205" s="72"/>
      <c r="AC205" s="71">
        <v>20377.38</v>
      </c>
      <c r="AD205" s="71">
        <v>0</v>
      </c>
    </row>
    <row r="206" spans="1:30" ht="12" thickBot="1" x14ac:dyDescent="0.25">
      <c r="A206" s="66" t="s">
        <v>798</v>
      </c>
      <c r="B206" s="447" t="str">
        <f>VLOOKUP($D206,'Retail Rates'!$B$7:$D$35,2,FALSE)</f>
        <v>851</v>
      </c>
      <c r="C206" s="447" t="str">
        <f>VLOOKUP($D206,'Retail Rates'!$B$7:$D$35,3,FALSE)</f>
        <v>CGS</v>
      </c>
      <c r="D206" s="66" t="s">
        <v>37</v>
      </c>
      <c r="E206" s="66" t="s">
        <v>38</v>
      </c>
      <c r="F206" s="66" t="s">
        <v>22</v>
      </c>
      <c r="G206" s="67">
        <v>24163</v>
      </c>
      <c r="H206" s="68">
        <v>13136135</v>
      </c>
      <c r="I206" s="68">
        <v>333</v>
      </c>
      <c r="J206" s="68">
        <v>702465.45</v>
      </c>
      <c r="K206" s="68">
        <v>130072.67</v>
      </c>
      <c r="L206" s="68">
        <v>2459378.63</v>
      </c>
      <c r="M206" s="68">
        <v>3081.96</v>
      </c>
      <c r="N206" s="68">
        <v>6519231.4400000004</v>
      </c>
      <c r="O206" s="68">
        <v>15234.4</v>
      </c>
      <c r="P206" s="68">
        <v>296377.34000000003</v>
      </c>
      <c r="Q206" s="69"/>
      <c r="R206" s="68">
        <v>0</v>
      </c>
      <c r="S206" s="69"/>
      <c r="T206" s="69"/>
      <c r="U206" s="68">
        <v>10122759.93</v>
      </c>
      <c r="V206" s="69"/>
      <c r="W206" s="69"/>
      <c r="X206" s="69"/>
      <c r="Y206" s="69"/>
      <c r="Z206" s="69"/>
      <c r="AA206" s="68">
        <v>543018.01</v>
      </c>
      <c r="AB206" s="69"/>
      <c r="AC206" s="68">
        <v>10668859.9</v>
      </c>
      <c r="AD206" s="68">
        <v>0</v>
      </c>
    </row>
    <row r="207" spans="1:30" ht="12" thickBot="1" x14ac:dyDescent="0.25">
      <c r="A207" s="66" t="s">
        <v>798</v>
      </c>
      <c r="B207" s="447" t="str">
        <f>VLOOKUP($D207,'Retail Rates'!$B$7:$D$35,2,FALSE)</f>
        <v>851</v>
      </c>
      <c r="C207" s="447" t="str">
        <f>VLOOKUP($D207,'Retail Rates'!$B$7:$D$35,3,FALSE)</f>
        <v>CGS</v>
      </c>
      <c r="D207" s="66" t="s">
        <v>37</v>
      </c>
      <c r="E207" s="66" t="s">
        <v>38</v>
      </c>
      <c r="F207" s="66" t="s">
        <v>26</v>
      </c>
      <c r="G207" s="70">
        <v>1153</v>
      </c>
      <c r="H207" s="71">
        <v>2046180</v>
      </c>
      <c r="I207" s="71"/>
      <c r="J207" s="71">
        <v>26436</v>
      </c>
      <c r="K207" s="71">
        <v>46240</v>
      </c>
      <c r="L207" s="71">
        <v>383045.29</v>
      </c>
      <c r="M207" s="71">
        <v>395.58</v>
      </c>
      <c r="N207" s="71">
        <v>1020816.98</v>
      </c>
      <c r="O207" s="71">
        <v>2371.29</v>
      </c>
      <c r="P207" s="71">
        <v>51232.98</v>
      </c>
      <c r="Q207" s="72"/>
      <c r="R207" s="71">
        <v>0</v>
      </c>
      <c r="S207" s="72"/>
      <c r="T207" s="72"/>
      <c r="U207" s="71">
        <v>1530142.54</v>
      </c>
      <c r="V207" s="72"/>
      <c r="W207" s="72"/>
      <c r="X207" s="72"/>
      <c r="Y207" s="72"/>
      <c r="Z207" s="72"/>
      <c r="AA207" s="71">
        <v>7910.57</v>
      </c>
      <c r="AB207" s="72"/>
      <c r="AC207" s="71">
        <v>1538448.69</v>
      </c>
      <c r="AD207" s="71">
        <v>0</v>
      </c>
    </row>
    <row r="208" spans="1:30" ht="12" thickBot="1" x14ac:dyDescent="0.25">
      <c r="A208" s="66" t="s">
        <v>798</v>
      </c>
      <c r="B208" s="447" t="str">
        <f>VLOOKUP($D208,'Retail Rates'!$B$7:$D$35,2,FALSE)</f>
        <v>851</v>
      </c>
      <c r="C208" s="447" t="str">
        <f>VLOOKUP($D208,'Retail Rates'!$B$7:$D$35,3,FALSE)</f>
        <v>CGS</v>
      </c>
      <c r="D208" s="66" t="s">
        <v>37</v>
      </c>
      <c r="E208" s="66" t="s">
        <v>38</v>
      </c>
      <c r="F208" s="66" t="s">
        <v>40</v>
      </c>
      <c r="G208" s="67">
        <v>6</v>
      </c>
      <c r="H208" s="68">
        <v>3500</v>
      </c>
      <c r="I208" s="68"/>
      <c r="J208" s="68">
        <v>150</v>
      </c>
      <c r="K208" s="68">
        <v>170</v>
      </c>
      <c r="L208" s="68">
        <v>655.26</v>
      </c>
      <c r="M208" s="68">
        <v>0</v>
      </c>
      <c r="N208" s="68">
        <v>1745.17</v>
      </c>
      <c r="O208" s="68">
        <v>4.0599999999999996</v>
      </c>
      <c r="P208" s="68">
        <v>42.66</v>
      </c>
      <c r="Q208" s="69"/>
      <c r="R208" s="68">
        <v>0</v>
      </c>
      <c r="S208" s="69"/>
      <c r="T208" s="69"/>
      <c r="U208" s="68">
        <v>2767.15</v>
      </c>
      <c r="V208" s="69"/>
      <c r="W208" s="69"/>
      <c r="X208" s="69"/>
      <c r="Y208" s="69"/>
      <c r="Z208" s="69"/>
      <c r="AA208" s="68">
        <v>0</v>
      </c>
      <c r="AB208" s="69"/>
      <c r="AC208" s="68">
        <v>2767.15</v>
      </c>
      <c r="AD208" s="68">
        <v>0</v>
      </c>
    </row>
    <row r="209" spans="1:30" ht="12" thickBot="1" x14ac:dyDescent="0.25">
      <c r="A209" s="66" t="s">
        <v>798</v>
      </c>
      <c r="B209" s="447" t="str">
        <f>VLOOKUP($D209,'Retail Rates'!$B$7:$D$35,2,FALSE)</f>
        <v>865</v>
      </c>
      <c r="C209" s="447" t="str">
        <f>VLOOKUP($D209,'Retail Rates'!$B$7:$D$35,3,FALSE)</f>
        <v>AAGS-C</v>
      </c>
      <c r="D209" s="66" t="s">
        <v>23</v>
      </c>
      <c r="E209" s="66" t="s">
        <v>24</v>
      </c>
      <c r="F209" s="66" t="s">
        <v>22</v>
      </c>
      <c r="G209" s="70">
        <v>4</v>
      </c>
      <c r="H209" s="71">
        <v>62630</v>
      </c>
      <c r="I209" s="71"/>
      <c r="J209" s="71">
        <v>1100</v>
      </c>
      <c r="K209" s="71"/>
      <c r="L209" s="71">
        <v>3289.32</v>
      </c>
      <c r="M209" s="71">
        <v>0</v>
      </c>
      <c r="N209" s="71">
        <v>31418.58</v>
      </c>
      <c r="O209" s="71">
        <v>72.650000000000006</v>
      </c>
      <c r="P209" s="71"/>
      <c r="Q209" s="72"/>
      <c r="R209" s="71">
        <v>0</v>
      </c>
      <c r="S209" s="72"/>
      <c r="T209" s="72"/>
      <c r="U209" s="71">
        <v>35880.550000000003</v>
      </c>
      <c r="V209" s="72"/>
      <c r="W209" s="72"/>
      <c r="X209" s="72"/>
      <c r="Y209" s="72"/>
      <c r="Z209" s="72"/>
      <c r="AA209" s="71">
        <v>1559.9</v>
      </c>
      <c r="AB209" s="72"/>
      <c r="AC209" s="71">
        <v>37440.449999999997</v>
      </c>
      <c r="AD209" s="71">
        <v>0</v>
      </c>
    </row>
    <row r="210" spans="1:30" ht="12" thickBot="1" x14ac:dyDescent="0.25">
      <c r="A210" s="66" t="s">
        <v>798</v>
      </c>
      <c r="B210" s="447" t="str">
        <f>VLOOKUP($D210,'Retail Rates'!$B$7:$D$35,2,FALSE)</f>
        <v>865</v>
      </c>
      <c r="C210" s="447" t="str">
        <f>VLOOKUP($D210,'Retail Rates'!$B$7:$D$35,3,FALSE)</f>
        <v>AAGS-C</v>
      </c>
      <c r="D210" s="66" t="s">
        <v>23</v>
      </c>
      <c r="E210" s="66" t="s">
        <v>24</v>
      </c>
      <c r="F210" s="66" t="s">
        <v>26</v>
      </c>
      <c r="G210" s="67">
        <v>1</v>
      </c>
      <c r="H210" s="68">
        <v>68631</v>
      </c>
      <c r="I210" s="68"/>
      <c r="J210" s="68">
        <v>275</v>
      </c>
      <c r="K210" s="68"/>
      <c r="L210" s="68">
        <v>3604.5</v>
      </c>
      <c r="M210" s="68">
        <v>0</v>
      </c>
      <c r="N210" s="68">
        <v>33092.410000000003</v>
      </c>
      <c r="O210" s="68">
        <v>79.61</v>
      </c>
      <c r="P210" s="68"/>
      <c r="Q210" s="69"/>
      <c r="R210" s="68">
        <v>0</v>
      </c>
      <c r="S210" s="69"/>
      <c r="T210" s="69"/>
      <c r="U210" s="68">
        <v>37051.519999999997</v>
      </c>
      <c r="V210" s="69"/>
      <c r="W210" s="69"/>
      <c r="X210" s="69"/>
      <c r="Y210" s="69"/>
      <c r="Z210" s="69"/>
      <c r="AA210" s="68">
        <v>0</v>
      </c>
      <c r="AB210" s="69"/>
      <c r="AC210" s="68">
        <v>37051.519999999997</v>
      </c>
      <c r="AD210" s="68">
        <v>0</v>
      </c>
    </row>
    <row r="211" spans="1:30" ht="12" thickBot="1" x14ac:dyDescent="0.25">
      <c r="A211" s="66" t="s">
        <v>798</v>
      </c>
      <c r="B211" s="447" t="str">
        <f>VLOOKUP($D211,'Retail Rates'!$B$7:$D$35,2,FALSE)</f>
        <v>855</v>
      </c>
      <c r="C211" s="447" t="str">
        <f>VLOOKUP($D211,'Retail Rates'!$B$7:$D$35,3,FALSE)</f>
        <v>IGS</v>
      </c>
      <c r="D211" s="66" t="s">
        <v>45</v>
      </c>
      <c r="E211" s="66" t="s">
        <v>46</v>
      </c>
      <c r="F211" s="66" t="s">
        <v>28</v>
      </c>
      <c r="G211" s="67">
        <v>203</v>
      </c>
      <c r="H211" s="68">
        <v>1054114</v>
      </c>
      <c r="I211" s="68">
        <v>0</v>
      </c>
      <c r="J211" s="68">
        <v>3257</v>
      </c>
      <c r="K211" s="68">
        <v>15753.33</v>
      </c>
      <c r="L211" s="68">
        <v>200513.5</v>
      </c>
      <c r="M211" s="68">
        <v>0</v>
      </c>
      <c r="N211" s="68">
        <v>517371.97</v>
      </c>
      <c r="O211" s="68"/>
      <c r="P211" s="68"/>
      <c r="Q211" s="69"/>
      <c r="R211" s="68">
        <v>0</v>
      </c>
      <c r="S211" s="69"/>
      <c r="T211" s="69"/>
      <c r="U211" s="68">
        <v>736895.8</v>
      </c>
      <c r="V211" s="69"/>
      <c r="W211" s="69"/>
      <c r="X211" s="69"/>
      <c r="Y211" s="69"/>
      <c r="Z211" s="69"/>
      <c r="AA211" s="68">
        <v>36957.03</v>
      </c>
      <c r="AB211" s="69"/>
      <c r="AC211" s="68">
        <v>773852.83</v>
      </c>
      <c r="AD211" s="68">
        <v>0</v>
      </c>
    </row>
    <row r="212" spans="1:30" ht="12" thickBot="1" x14ac:dyDescent="0.25">
      <c r="A212" s="66" t="s">
        <v>798</v>
      </c>
      <c r="B212" s="447" t="str">
        <f>VLOOKUP($D212,'Retail Rates'!$B$7:$D$35,2,FALSE)</f>
        <v>855</v>
      </c>
      <c r="C212" s="447" t="str">
        <f>VLOOKUP($D212,'Retail Rates'!$B$7:$D$35,3,FALSE)</f>
        <v>IGS</v>
      </c>
      <c r="D212" s="66" t="s">
        <v>45</v>
      </c>
      <c r="E212" s="66" t="s">
        <v>46</v>
      </c>
      <c r="F212" s="66" t="s">
        <v>22</v>
      </c>
      <c r="G212" s="70">
        <v>1</v>
      </c>
      <c r="H212" s="71">
        <v>5726</v>
      </c>
      <c r="I212" s="71"/>
      <c r="J212" s="71"/>
      <c r="K212" s="71">
        <v>170</v>
      </c>
      <c r="L212" s="71">
        <v>1089.2</v>
      </c>
      <c r="M212" s="71">
        <v>0</v>
      </c>
      <c r="N212" s="71">
        <v>2819.21</v>
      </c>
      <c r="O212" s="71"/>
      <c r="P212" s="71"/>
      <c r="Q212" s="72"/>
      <c r="R212" s="71">
        <v>0</v>
      </c>
      <c r="S212" s="72"/>
      <c r="T212" s="72"/>
      <c r="U212" s="71">
        <v>4078.41</v>
      </c>
      <c r="V212" s="72"/>
      <c r="W212" s="72"/>
      <c r="X212" s="72"/>
      <c r="Y212" s="72"/>
      <c r="Z212" s="72"/>
      <c r="AA212" s="71">
        <v>244.7</v>
      </c>
      <c r="AB212" s="72"/>
      <c r="AC212" s="71">
        <v>4323.1099999999997</v>
      </c>
      <c r="AD212" s="71">
        <v>0</v>
      </c>
    </row>
    <row r="213" spans="1:30" ht="12" thickBot="1" x14ac:dyDescent="0.25">
      <c r="A213" s="66" t="s">
        <v>798</v>
      </c>
      <c r="B213" s="447" t="str">
        <f>VLOOKUP($D213,'Retail Rates'!$B$7:$D$35,2,FALSE)</f>
        <v>855</v>
      </c>
      <c r="C213" s="447" t="str">
        <f>VLOOKUP($D213,'Retail Rates'!$B$7:$D$35,3,FALSE)</f>
        <v>IGS</v>
      </c>
      <c r="D213" s="66" t="s">
        <v>45</v>
      </c>
      <c r="E213" s="66" t="s">
        <v>46</v>
      </c>
      <c r="F213" s="66" t="s">
        <v>26</v>
      </c>
      <c r="G213" s="67">
        <v>5</v>
      </c>
      <c r="H213" s="68">
        <v>23923</v>
      </c>
      <c r="I213" s="68"/>
      <c r="J213" s="68">
        <v>120</v>
      </c>
      <c r="K213" s="68">
        <v>170</v>
      </c>
      <c r="L213" s="68">
        <v>4550.6400000000003</v>
      </c>
      <c r="M213" s="68">
        <v>0</v>
      </c>
      <c r="N213" s="68">
        <v>11830.4</v>
      </c>
      <c r="O213" s="68"/>
      <c r="P213" s="68"/>
      <c r="Q213" s="69"/>
      <c r="R213" s="68">
        <v>0</v>
      </c>
      <c r="S213" s="69"/>
      <c r="T213" s="69"/>
      <c r="U213" s="68">
        <v>16671.04</v>
      </c>
      <c r="V213" s="69"/>
      <c r="W213" s="69"/>
      <c r="X213" s="69"/>
      <c r="Y213" s="69"/>
      <c r="Z213" s="69"/>
      <c r="AA213" s="68">
        <v>0</v>
      </c>
      <c r="AB213" s="69"/>
      <c r="AC213" s="68">
        <v>16671.04</v>
      </c>
      <c r="AD213" s="68">
        <v>0</v>
      </c>
    </row>
    <row r="214" spans="1:30" ht="12" thickBot="1" x14ac:dyDescent="0.25">
      <c r="A214" s="66" t="s">
        <v>798</v>
      </c>
      <c r="B214" s="447" t="str">
        <f>VLOOKUP($D214,'Retail Rates'!$B$7:$D$35,2,FALSE)</f>
        <v>866</v>
      </c>
      <c r="C214" s="447" t="str">
        <f>VLOOKUP($D214,'Retail Rates'!$B$7:$D$35,3,FALSE)</f>
        <v>AAGS-I</v>
      </c>
      <c r="D214" s="66" t="s">
        <v>29</v>
      </c>
      <c r="E214" s="66" t="s">
        <v>30</v>
      </c>
      <c r="F214" s="66" t="s">
        <v>28</v>
      </c>
      <c r="G214" s="70">
        <v>8</v>
      </c>
      <c r="H214" s="71">
        <v>173809</v>
      </c>
      <c r="I214" s="71"/>
      <c r="J214" s="71">
        <v>2200</v>
      </c>
      <c r="K214" s="71"/>
      <c r="L214" s="71">
        <v>9128.4500000000007</v>
      </c>
      <c r="M214" s="71">
        <v>0</v>
      </c>
      <c r="N214" s="71">
        <v>83914.17</v>
      </c>
      <c r="O214" s="71"/>
      <c r="P214" s="71"/>
      <c r="Q214" s="72"/>
      <c r="R214" s="71">
        <v>0</v>
      </c>
      <c r="S214" s="72"/>
      <c r="T214" s="72"/>
      <c r="U214" s="71">
        <v>95242.62</v>
      </c>
      <c r="V214" s="72"/>
      <c r="W214" s="72"/>
      <c r="X214" s="72"/>
      <c r="Y214" s="72"/>
      <c r="Z214" s="72"/>
      <c r="AA214" s="71">
        <v>2964.95</v>
      </c>
      <c r="AB214" s="72"/>
      <c r="AC214" s="71">
        <v>98207.57</v>
      </c>
      <c r="AD214" s="71">
        <v>0</v>
      </c>
    </row>
    <row r="215" spans="1:30" ht="12" thickBot="1" x14ac:dyDescent="0.25">
      <c r="A215" s="66" t="s">
        <v>798</v>
      </c>
      <c r="B215" s="447" t="str">
        <f>VLOOKUP($D215,'Retail Rates'!$B$7:$D$35,2,FALSE)</f>
        <v>866</v>
      </c>
      <c r="C215" s="447" t="str">
        <f>VLOOKUP($D215,'Retail Rates'!$B$7:$D$35,3,FALSE)</f>
        <v>AAGS-I</v>
      </c>
      <c r="D215" s="66" t="s">
        <v>29</v>
      </c>
      <c r="E215" s="66" t="s">
        <v>30</v>
      </c>
      <c r="F215" s="66" t="s">
        <v>26</v>
      </c>
      <c r="G215" s="67">
        <v>1</v>
      </c>
      <c r="H215" s="68">
        <v>13052</v>
      </c>
      <c r="I215" s="68"/>
      <c r="J215" s="68">
        <v>275</v>
      </c>
      <c r="K215" s="68"/>
      <c r="L215" s="68">
        <v>685.49</v>
      </c>
      <c r="M215" s="68">
        <v>0</v>
      </c>
      <c r="N215" s="68">
        <v>6293.37</v>
      </c>
      <c r="O215" s="68"/>
      <c r="P215" s="68"/>
      <c r="Q215" s="69"/>
      <c r="R215" s="68">
        <v>0</v>
      </c>
      <c r="S215" s="69"/>
      <c r="T215" s="69"/>
      <c r="U215" s="68">
        <v>7253.86</v>
      </c>
      <c r="V215" s="69"/>
      <c r="W215" s="69"/>
      <c r="X215" s="69"/>
      <c r="Y215" s="69"/>
      <c r="Z215" s="69"/>
      <c r="AA215" s="68">
        <v>0</v>
      </c>
      <c r="AB215" s="69"/>
      <c r="AC215" s="68">
        <v>7253.86</v>
      </c>
      <c r="AD215" s="68">
        <v>0</v>
      </c>
    </row>
    <row r="216" spans="1:30" ht="12" thickBot="1" x14ac:dyDescent="0.25">
      <c r="A216" s="66" t="s">
        <v>798</v>
      </c>
      <c r="B216" s="447" t="str">
        <f>VLOOKUP($D216,'Retail Rates'!$B$7:$D$35,2,FALSE)</f>
        <v>996</v>
      </c>
      <c r="C216" s="447" t="str">
        <f>VLOOKUP($D216,'Retail Rates'!$B$7:$D$35,3,FALSE)</f>
        <v>SPC-LGE</v>
      </c>
      <c r="D216" s="66" t="s">
        <v>82</v>
      </c>
      <c r="E216" s="66" t="s">
        <v>83</v>
      </c>
      <c r="F216" s="66" t="s">
        <v>248</v>
      </c>
      <c r="G216" s="67">
        <v>2</v>
      </c>
      <c r="H216" s="68">
        <v>298558</v>
      </c>
      <c r="I216" s="68"/>
      <c r="J216" s="68">
        <v>340</v>
      </c>
      <c r="K216" s="68"/>
      <c r="L216" s="68">
        <v>8502.93</v>
      </c>
      <c r="M216" s="68"/>
      <c r="N216" s="68">
        <v>141585.16</v>
      </c>
      <c r="O216" s="68"/>
      <c r="P216" s="68"/>
      <c r="Q216" s="69"/>
      <c r="R216" s="68"/>
      <c r="S216" s="69"/>
      <c r="T216" s="69">
        <v>286974.48</v>
      </c>
      <c r="U216" s="68">
        <v>437402.57</v>
      </c>
      <c r="V216" s="69"/>
      <c r="W216" s="69"/>
      <c r="X216" s="69"/>
      <c r="Y216" s="69"/>
      <c r="Z216" s="69"/>
      <c r="AA216" s="68">
        <v>0</v>
      </c>
      <c r="AB216" s="69"/>
      <c r="AC216" s="68">
        <v>437402.57</v>
      </c>
      <c r="AD216" s="68">
        <v>0</v>
      </c>
    </row>
    <row r="217" spans="1:30" ht="12" thickBot="1" x14ac:dyDescent="0.25">
      <c r="A217" s="66" t="s">
        <v>798</v>
      </c>
      <c r="B217" s="447" t="str">
        <f>VLOOKUP($D217,'Retail Rates'!$B$7:$D$35,2,FALSE)</f>
        <v>811</v>
      </c>
      <c r="C217" s="447" t="str">
        <f>VLOOKUP($D217,'Retail Rates'!$B$7:$D$35,3,FALSE)</f>
        <v>RGS</v>
      </c>
      <c r="D217" s="66" t="s">
        <v>52</v>
      </c>
      <c r="E217" s="66" t="s">
        <v>53</v>
      </c>
      <c r="F217" s="66" t="s">
        <v>22</v>
      </c>
      <c r="G217" s="67">
        <v>6</v>
      </c>
      <c r="H217" s="68">
        <v>513</v>
      </c>
      <c r="I217" s="68"/>
      <c r="J217" s="68">
        <v>62.92</v>
      </c>
      <c r="K217" s="68"/>
      <c r="L217" s="68">
        <v>114.89</v>
      </c>
      <c r="M217" s="68">
        <v>0</v>
      </c>
      <c r="N217" s="68">
        <v>250.58</v>
      </c>
      <c r="O217" s="68">
        <v>13.16</v>
      </c>
      <c r="P217" s="68">
        <v>14.11</v>
      </c>
      <c r="Q217" s="69">
        <v>0.96</v>
      </c>
      <c r="R217" s="68">
        <v>0</v>
      </c>
      <c r="S217" s="69"/>
      <c r="T217" s="69"/>
      <c r="U217" s="68">
        <v>455.66</v>
      </c>
      <c r="V217" s="69"/>
      <c r="W217" s="69"/>
      <c r="X217" s="69"/>
      <c r="Y217" s="69"/>
      <c r="Z217" s="69"/>
      <c r="AA217" s="68">
        <v>25.24</v>
      </c>
      <c r="AB217" s="69"/>
      <c r="AC217" s="68">
        <v>481.86</v>
      </c>
      <c r="AD217" s="68">
        <v>0</v>
      </c>
    </row>
    <row r="218" spans="1:30" ht="12" thickBot="1" x14ac:dyDescent="0.25">
      <c r="A218" s="66" t="s">
        <v>798</v>
      </c>
      <c r="B218" s="447" t="str">
        <f>VLOOKUP($D218,'Retail Rates'!$B$7:$D$35,2,FALSE)</f>
        <v>811</v>
      </c>
      <c r="C218" s="447" t="str">
        <f>VLOOKUP($D218,'Retail Rates'!$B$7:$D$35,3,FALSE)</f>
        <v>RGS</v>
      </c>
      <c r="D218" s="66" t="s">
        <v>52</v>
      </c>
      <c r="E218" s="66" t="s">
        <v>53</v>
      </c>
      <c r="F218" s="66" t="s">
        <v>26</v>
      </c>
      <c r="G218" s="70">
        <v>56</v>
      </c>
      <c r="H218" s="71">
        <v>4085</v>
      </c>
      <c r="I218" s="71"/>
      <c r="J218" s="71">
        <v>694.58</v>
      </c>
      <c r="K218" s="71"/>
      <c r="L218" s="71">
        <v>914.86</v>
      </c>
      <c r="M218" s="71">
        <v>0</v>
      </c>
      <c r="N218" s="71">
        <v>2032.03</v>
      </c>
      <c r="O218" s="71">
        <v>104.84</v>
      </c>
      <c r="P218" s="71">
        <v>127.42</v>
      </c>
      <c r="Q218" s="72">
        <v>8.9600000000000009</v>
      </c>
      <c r="R218" s="71">
        <v>0</v>
      </c>
      <c r="S218" s="72"/>
      <c r="T218" s="72"/>
      <c r="U218" s="71">
        <v>3873.73</v>
      </c>
      <c r="V218" s="72"/>
      <c r="W218" s="72"/>
      <c r="X218" s="72"/>
      <c r="Y218" s="72"/>
      <c r="Z218" s="72"/>
      <c r="AA218" s="71">
        <v>10.38</v>
      </c>
      <c r="AB218" s="72"/>
      <c r="AC218" s="71">
        <v>3893.07</v>
      </c>
      <c r="AD218" s="71">
        <v>0</v>
      </c>
    </row>
    <row r="219" spans="1:30" ht="12" thickBot="1" x14ac:dyDescent="0.25">
      <c r="A219" s="66" t="s">
        <v>798</v>
      </c>
      <c r="B219" s="447" t="str">
        <f>VLOOKUP($D219,'Retail Rates'!$B$7:$D$35,2,FALSE)</f>
        <v>811</v>
      </c>
      <c r="C219" s="447" t="str">
        <f>VLOOKUP($D219,'Retail Rates'!$B$7:$D$35,3,FALSE)</f>
        <v>RGS</v>
      </c>
      <c r="D219" s="66" t="s">
        <v>52</v>
      </c>
      <c r="E219" s="66" t="s">
        <v>53</v>
      </c>
      <c r="F219" s="66" t="s">
        <v>40</v>
      </c>
      <c r="G219" s="67">
        <v>292354</v>
      </c>
      <c r="H219" s="68">
        <v>32947741</v>
      </c>
      <c r="I219" s="68"/>
      <c r="J219" s="68">
        <v>3645551.84</v>
      </c>
      <c r="K219" s="68"/>
      <c r="L219" s="68">
        <v>7378985.7199999997</v>
      </c>
      <c r="M219" s="68">
        <v>7002.57</v>
      </c>
      <c r="N219" s="68">
        <v>16347585.83</v>
      </c>
      <c r="O219" s="68">
        <v>845279.6</v>
      </c>
      <c r="P219" s="68">
        <v>949946.56</v>
      </c>
      <c r="Q219" s="69">
        <v>47109.09</v>
      </c>
      <c r="R219" s="68">
        <v>0</v>
      </c>
      <c r="S219" s="69"/>
      <c r="T219" s="69"/>
      <c r="U219" s="68">
        <v>29167349.550000001</v>
      </c>
      <c r="V219" s="69"/>
      <c r="W219" s="69"/>
      <c r="X219" s="69"/>
      <c r="Y219" s="69"/>
      <c r="Z219" s="69"/>
      <c r="AA219" s="68">
        <v>117516.26</v>
      </c>
      <c r="AB219" s="69"/>
      <c r="AC219" s="68">
        <v>29338977.469999999</v>
      </c>
      <c r="AD219" s="68">
        <v>0</v>
      </c>
    </row>
    <row r="220" spans="1:30" ht="12" thickBot="1" x14ac:dyDescent="0.25">
      <c r="A220" s="66" t="s">
        <v>798</v>
      </c>
      <c r="B220" s="447" t="str">
        <f>VLOOKUP($D220,'Retail Rates'!$B$7:$D$35,2,FALSE)</f>
        <v>840</v>
      </c>
      <c r="C220" s="447" t="str">
        <f>VLOOKUP($D220,'Retail Rates'!$B$7:$D$35,3,FALSE)</f>
        <v>RGS</v>
      </c>
      <c r="D220" s="66" t="s">
        <v>59</v>
      </c>
      <c r="E220" s="66" t="s">
        <v>60</v>
      </c>
      <c r="F220" s="66" t="s">
        <v>26</v>
      </c>
      <c r="G220" s="70">
        <v>1</v>
      </c>
      <c r="H220" s="71">
        <v>1086</v>
      </c>
      <c r="I220" s="71"/>
      <c r="J220" s="71">
        <v>12.5</v>
      </c>
      <c r="K220" s="71"/>
      <c r="L220" s="71">
        <v>243.22</v>
      </c>
      <c r="M220" s="71">
        <v>0</v>
      </c>
      <c r="N220" s="71">
        <v>544.85</v>
      </c>
      <c r="O220" s="71">
        <v>27.87</v>
      </c>
      <c r="P220" s="71">
        <v>31.25</v>
      </c>
      <c r="Q220" s="72"/>
      <c r="R220" s="71">
        <v>0</v>
      </c>
      <c r="S220" s="72"/>
      <c r="T220" s="72"/>
      <c r="U220" s="71">
        <v>859.69</v>
      </c>
      <c r="V220" s="72"/>
      <c r="W220" s="72"/>
      <c r="X220" s="72"/>
      <c r="Y220" s="72"/>
      <c r="Z220" s="72"/>
      <c r="AA220" s="71">
        <v>0</v>
      </c>
      <c r="AB220" s="72"/>
      <c r="AC220" s="71">
        <v>859.69</v>
      </c>
      <c r="AD220" s="71">
        <v>0</v>
      </c>
    </row>
    <row r="221" spans="1:30" ht="12" thickBot="1" x14ac:dyDescent="0.25">
      <c r="A221" s="66" t="s">
        <v>798</v>
      </c>
      <c r="B221" s="447" t="str">
        <f>VLOOKUP($D221,'Retail Rates'!$B$7:$D$35,2,FALSE)</f>
        <v>840</v>
      </c>
      <c r="C221" s="447" t="str">
        <f>VLOOKUP($D221,'Retail Rates'!$B$7:$D$35,3,FALSE)</f>
        <v>RGS</v>
      </c>
      <c r="D221" s="66" t="s">
        <v>59</v>
      </c>
      <c r="E221" s="66" t="s">
        <v>60</v>
      </c>
      <c r="F221" s="66" t="s">
        <v>40</v>
      </c>
      <c r="G221" s="67">
        <v>3</v>
      </c>
      <c r="H221" s="68">
        <v>1573</v>
      </c>
      <c r="I221" s="68"/>
      <c r="J221" s="68">
        <v>37.5</v>
      </c>
      <c r="K221" s="68"/>
      <c r="L221" s="68">
        <v>352.29</v>
      </c>
      <c r="M221" s="68">
        <v>0</v>
      </c>
      <c r="N221" s="68">
        <v>767.05</v>
      </c>
      <c r="O221" s="68">
        <v>40.36</v>
      </c>
      <c r="P221" s="68">
        <v>41.26</v>
      </c>
      <c r="Q221" s="69"/>
      <c r="R221" s="68">
        <v>0</v>
      </c>
      <c r="S221" s="69"/>
      <c r="T221" s="69"/>
      <c r="U221" s="68">
        <v>1238.46</v>
      </c>
      <c r="V221" s="69"/>
      <c r="W221" s="69"/>
      <c r="X221" s="69"/>
      <c r="Y221" s="69"/>
      <c r="Z221" s="69"/>
      <c r="AA221" s="68">
        <v>2.67</v>
      </c>
      <c r="AB221" s="69"/>
      <c r="AC221" s="68">
        <v>1241.1300000000001</v>
      </c>
      <c r="AD221" s="68">
        <v>0</v>
      </c>
    </row>
    <row r="222" spans="1:30" ht="12" thickBot="1" x14ac:dyDescent="0.25">
      <c r="A222" s="66" t="s">
        <v>798</v>
      </c>
      <c r="B222" s="447" t="str">
        <f>VLOOKUP($D222,'Retail Rates'!$B$7:$D$35,2,FALSE)</f>
        <v>830</v>
      </c>
      <c r="C222" s="447" t="str">
        <f>VLOOKUP($D222,'Retail Rates'!$B$7:$D$35,3,FALSE)</f>
        <v>RGS</v>
      </c>
      <c r="D222" s="66" t="s">
        <v>49</v>
      </c>
      <c r="E222" s="66" t="s">
        <v>50</v>
      </c>
      <c r="F222" s="66" t="s">
        <v>40</v>
      </c>
      <c r="G222" s="70">
        <v>1</v>
      </c>
      <c r="H222" s="71">
        <v>32</v>
      </c>
      <c r="I222" s="71"/>
      <c r="J222" s="71">
        <v>25</v>
      </c>
      <c r="K222" s="71"/>
      <c r="L222" s="71">
        <v>7.17</v>
      </c>
      <c r="M222" s="71">
        <v>0</v>
      </c>
      <c r="N222" s="71">
        <v>15.51</v>
      </c>
      <c r="O222" s="71">
        <v>0.82</v>
      </c>
      <c r="P222" s="71"/>
      <c r="Q222" s="72"/>
      <c r="R222" s="71">
        <v>0</v>
      </c>
      <c r="S222" s="72"/>
      <c r="T222" s="72"/>
      <c r="U222" s="71">
        <v>48.5</v>
      </c>
      <c r="V222" s="72"/>
      <c r="W222" s="72"/>
      <c r="X222" s="72"/>
      <c r="Y222" s="72"/>
      <c r="Z222" s="72"/>
      <c r="AA222" s="71">
        <v>0</v>
      </c>
      <c r="AB222" s="72"/>
      <c r="AC222" s="71">
        <v>48.5</v>
      </c>
      <c r="AD222" s="71">
        <v>0</v>
      </c>
    </row>
    <row r="223" spans="1:30" ht="12" thickBot="1" x14ac:dyDescent="0.25">
      <c r="A223" s="66" t="s">
        <v>798</v>
      </c>
      <c r="B223" s="447" t="str">
        <f>VLOOKUP($D223,'Retail Rates'!$B$7:$D$35,2,FALSE)</f>
        <v>860</v>
      </c>
      <c r="C223" s="447" t="str">
        <f>VLOOKUP($D223,'Retail Rates'!$B$7:$D$35,3,FALSE)</f>
        <v>CGS</v>
      </c>
      <c r="D223" s="66" t="s">
        <v>34</v>
      </c>
      <c r="E223" s="66" t="s">
        <v>35</v>
      </c>
      <c r="F223" s="66" t="s">
        <v>22</v>
      </c>
      <c r="G223" s="67">
        <v>1</v>
      </c>
      <c r="H223" s="68">
        <v>304</v>
      </c>
      <c r="I223" s="68"/>
      <c r="J223" s="68">
        <v>480</v>
      </c>
      <c r="K223" s="68"/>
      <c r="L223" s="68">
        <v>56.91</v>
      </c>
      <c r="M223" s="68">
        <v>0</v>
      </c>
      <c r="N223" s="68">
        <v>147.05000000000001</v>
      </c>
      <c r="O223" s="68">
        <v>0.35</v>
      </c>
      <c r="P223" s="68"/>
      <c r="Q223" s="69"/>
      <c r="R223" s="68">
        <v>0</v>
      </c>
      <c r="S223" s="69"/>
      <c r="T223" s="69"/>
      <c r="U223" s="68">
        <v>684.31</v>
      </c>
      <c r="V223" s="69"/>
      <c r="W223" s="69"/>
      <c r="X223" s="69"/>
      <c r="Y223" s="69"/>
      <c r="Z223" s="69"/>
      <c r="AA223" s="68">
        <v>41.06</v>
      </c>
      <c r="AB223" s="69"/>
      <c r="AC223" s="68">
        <v>725.37</v>
      </c>
      <c r="AD223" s="68">
        <v>0</v>
      </c>
    </row>
    <row r="224" spans="1:30" ht="12" thickBot="1" x14ac:dyDescent="0.25">
      <c r="A224" s="66" t="s">
        <v>798</v>
      </c>
      <c r="B224" s="447" t="str">
        <f>VLOOKUP($D224,'Retail Rates'!$B$7:$D$35,2,FALSE)</f>
        <v>860</v>
      </c>
      <c r="C224" s="447" t="str">
        <f>VLOOKUP($D224,'Retail Rates'!$B$7:$D$35,3,FALSE)</f>
        <v>CGS</v>
      </c>
      <c r="D224" s="66" t="s">
        <v>34</v>
      </c>
      <c r="E224" s="66" t="s">
        <v>35</v>
      </c>
      <c r="F224" s="66" t="s">
        <v>26</v>
      </c>
      <c r="G224" s="70">
        <v>2</v>
      </c>
      <c r="H224" s="71">
        <v>54</v>
      </c>
      <c r="I224" s="71"/>
      <c r="J224" s="71">
        <v>90</v>
      </c>
      <c r="K224" s="71"/>
      <c r="L224" s="71">
        <v>10.11</v>
      </c>
      <c r="M224" s="71">
        <v>0</v>
      </c>
      <c r="N224" s="71">
        <v>26.36</v>
      </c>
      <c r="O224" s="71">
        <v>0.06</v>
      </c>
      <c r="P224" s="71"/>
      <c r="Q224" s="72"/>
      <c r="R224" s="71">
        <v>0</v>
      </c>
      <c r="S224" s="72"/>
      <c r="T224" s="72"/>
      <c r="U224" s="71">
        <v>126.53</v>
      </c>
      <c r="V224" s="72"/>
      <c r="W224" s="72"/>
      <c r="X224" s="72"/>
      <c r="Y224" s="72"/>
      <c r="Z224" s="72"/>
      <c r="AA224" s="71">
        <v>0</v>
      </c>
      <c r="AB224" s="72"/>
      <c r="AC224" s="71">
        <v>126.53</v>
      </c>
      <c r="AD224" s="71">
        <v>0</v>
      </c>
    </row>
    <row r="225" spans="1:30" ht="12" thickBot="1" x14ac:dyDescent="0.25">
      <c r="A225" s="66" t="s">
        <v>798</v>
      </c>
      <c r="B225" s="447" t="str">
        <f>VLOOKUP($D225,'Retail Rates'!$B$7:$D$35,2,FALSE)</f>
        <v>861</v>
      </c>
      <c r="C225" s="447" t="str">
        <f>VLOOKUP($D225,'Retail Rates'!$B$7:$D$35,3,FALSE)</f>
        <v>CGS</v>
      </c>
      <c r="D225" s="66" t="s">
        <v>41</v>
      </c>
      <c r="E225" s="66" t="s">
        <v>42</v>
      </c>
      <c r="F225" s="66" t="s">
        <v>22</v>
      </c>
      <c r="G225" s="67">
        <v>610</v>
      </c>
      <c r="H225" s="68">
        <v>613</v>
      </c>
      <c r="I225" s="68"/>
      <c r="J225" s="68">
        <v>18600</v>
      </c>
      <c r="K225" s="68"/>
      <c r="L225" s="68">
        <v>116.38</v>
      </c>
      <c r="M225" s="68">
        <v>1.84</v>
      </c>
      <c r="N225" s="68">
        <v>305.07</v>
      </c>
      <c r="O225" s="68">
        <v>0</v>
      </c>
      <c r="P225" s="68"/>
      <c r="Q225" s="69"/>
      <c r="R225" s="68">
        <v>0</v>
      </c>
      <c r="S225" s="69"/>
      <c r="T225" s="69"/>
      <c r="U225" s="68">
        <v>19021.45</v>
      </c>
      <c r="V225" s="69"/>
      <c r="W225" s="69"/>
      <c r="X225" s="69"/>
      <c r="Y225" s="69"/>
      <c r="Z225" s="69"/>
      <c r="AA225" s="68">
        <v>1203.08</v>
      </c>
      <c r="AB225" s="69"/>
      <c r="AC225" s="68">
        <v>20226.37</v>
      </c>
      <c r="AD225" s="68">
        <v>0</v>
      </c>
    </row>
    <row r="226" spans="1:30" ht="12" thickBot="1" x14ac:dyDescent="0.25">
      <c r="A226" s="66" t="s">
        <v>814</v>
      </c>
      <c r="B226" s="447" t="str">
        <f>VLOOKUP($D226,'Retail Rates'!$B$7:$D$35,2,FALSE)</f>
        <v>851</v>
      </c>
      <c r="C226" s="447" t="str">
        <f>VLOOKUP($D226,'Retail Rates'!$B$7:$D$35,3,FALSE)</f>
        <v>CGS</v>
      </c>
      <c r="D226" s="66" t="s">
        <v>37</v>
      </c>
      <c r="E226" s="66" t="s">
        <v>38</v>
      </c>
      <c r="F226" s="66" t="s">
        <v>22</v>
      </c>
      <c r="G226" s="67">
        <v>24171</v>
      </c>
      <c r="H226" s="68">
        <v>9316346</v>
      </c>
      <c r="I226" s="68"/>
      <c r="J226" s="68">
        <v>698316.54</v>
      </c>
      <c r="K226" s="68">
        <v>133280</v>
      </c>
      <c r="L226" s="68">
        <v>1744210.1</v>
      </c>
      <c r="M226" s="68">
        <v>2489.35</v>
      </c>
      <c r="N226" s="68">
        <v>4420117.42</v>
      </c>
      <c r="O226" s="68">
        <v>10805.03</v>
      </c>
      <c r="P226" s="68">
        <v>430872.77</v>
      </c>
      <c r="Q226" s="69"/>
      <c r="R226" s="68">
        <v>0</v>
      </c>
      <c r="S226" s="69"/>
      <c r="T226" s="69"/>
      <c r="U226" s="68">
        <v>7437601.8600000003</v>
      </c>
      <c r="V226" s="69"/>
      <c r="W226" s="69"/>
      <c r="X226" s="69"/>
      <c r="Y226" s="69"/>
      <c r="Z226" s="69"/>
      <c r="AA226" s="68">
        <v>398544.34</v>
      </c>
      <c r="AB226" s="69"/>
      <c r="AC226" s="68">
        <v>7838635.5499999998</v>
      </c>
      <c r="AD226" s="68">
        <v>0</v>
      </c>
    </row>
    <row r="227" spans="1:30" ht="12" thickBot="1" x14ac:dyDescent="0.25">
      <c r="A227" s="66" t="s">
        <v>814</v>
      </c>
      <c r="B227" s="447" t="str">
        <f>VLOOKUP($D227,'Retail Rates'!$B$7:$D$35,2,FALSE)</f>
        <v>851</v>
      </c>
      <c r="C227" s="447" t="str">
        <f>VLOOKUP($D227,'Retail Rates'!$B$7:$D$35,3,FALSE)</f>
        <v>CGS</v>
      </c>
      <c r="D227" s="66" t="s">
        <v>37</v>
      </c>
      <c r="E227" s="66" t="s">
        <v>38</v>
      </c>
      <c r="F227" s="66" t="s">
        <v>26</v>
      </c>
      <c r="G227" s="70">
        <v>1159</v>
      </c>
      <c r="H227" s="71">
        <v>1858615</v>
      </c>
      <c r="I227" s="71"/>
      <c r="J227" s="71">
        <v>26553</v>
      </c>
      <c r="K227" s="71">
        <v>48110</v>
      </c>
      <c r="L227" s="71">
        <v>347969.72</v>
      </c>
      <c r="M227" s="71">
        <v>334.79</v>
      </c>
      <c r="N227" s="71">
        <v>883673.22</v>
      </c>
      <c r="O227" s="71">
        <v>2155.96</v>
      </c>
      <c r="P227" s="71">
        <v>98305.42</v>
      </c>
      <c r="Q227" s="72"/>
      <c r="R227" s="71">
        <v>0</v>
      </c>
      <c r="S227" s="72"/>
      <c r="T227" s="72"/>
      <c r="U227" s="71">
        <v>1406767.32</v>
      </c>
      <c r="V227" s="72"/>
      <c r="W227" s="72"/>
      <c r="X227" s="72"/>
      <c r="Y227" s="72"/>
      <c r="Z227" s="72"/>
      <c r="AA227" s="71">
        <v>5626.65</v>
      </c>
      <c r="AB227" s="72"/>
      <c r="AC227" s="71">
        <v>1412728.76</v>
      </c>
      <c r="AD227" s="71">
        <v>0</v>
      </c>
    </row>
    <row r="228" spans="1:30" ht="12" thickBot="1" x14ac:dyDescent="0.25">
      <c r="A228" s="66" t="s">
        <v>814</v>
      </c>
      <c r="B228" s="447" t="str">
        <f>VLOOKUP($D228,'Retail Rates'!$B$7:$D$35,2,FALSE)</f>
        <v>851</v>
      </c>
      <c r="C228" s="447" t="str">
        <f>VLOOKUP($D228,'Retail Rates'!$B$7:$D$35,3,FALSE)</f>
        <v>CGS</v>
      </c>
      <c r="D228" s="66" t="s">
        <v>37</v>
      </c>
      <c r="E228" s="66" t="s">
        <v>38</v>
      </c>
      <c r="F228" s="66" t="s">
        <v>40</v>
      </c>
      <c r="G228" s="67">
        <v>7</v>
      </c>
      <c r="H228" s="68">
        <v>2983</v>
      </c>
      <c r="I228" s="68"/>
      <c r="J228" s="68">
        <v>151</v>
      </c>
      <c r="K228" s="68">
        <v>170</v>
      </c>
      <c r="L228" s="68">
        <v>558.47</v>
      </c>
      <c r="M228" s="68">
        <v>0</v>
      </c>
      <c r="N228" s="68">
        <v>1414.62</v>
      </c>
      <c r="O228" s="68">
        <v>3.46</v>
      </c>
      <c r="P228" s="68">
        <v>46.85</v>
      </c>
      <c r="Q228" s="69"/>
      <c r="R228" s="68">
        <v>0</v>
      </c>
      <c r="S228" s="69"/>
      <c r="T228" s="69"/>
      <c r="U228" s="68">
        <v>2344.4</v>
      </c>
      <c r="V228" s="69"/>
      <c r="W228" s="69"/>
      <c r="X228" s="69"/>
      <c r="Y228" s="69"/>
      <c r="Z228" s="69"/>
      <c r="AA228" s="68">
        <v>0.03</v>
      </c>
      <c r="AB228" s="69"/>
      <c r="AC228" s="68">
        <v>2344.4299999999998</v>
      </c>
      <c r="AD228" s="68">
        <v>0</v>
      </c>
    </row>
    <row r="229" spans="1:30" ht="12" thickBot="1" x14ac:dyDescent="0.25">
      <c r="A229" s="66" t="s">
        <v>814</v>
      </c>
      <c r="B229" s="447" t="str">
        <f>VLOOKUP($D229,'Retail Rates'!$B$7:$D$35,2,FALSE)</f>
        <v>865</v>
      </c>
      <c r="C229" s="447" t="str">
        <f>VLOOKUP($D229,'Retail Rates'!$B$7:$D$35,3,FALSE)</f>
        <v>AAGS-C</v>
      </c>
      <c r="D229" s="66" t="s">
        <v>23</v>
      </c>
      <c r="E229" s="66" t="s">
        <v>24</v>
      </c>
      <c r="F229" s="66" t="s">
        <v>22</v>
      </c>
      <c r="G229" s="70">
        <v>4</v>
      </c>
      <c r="H229" s="71">
        <v>58648</v>
      </c>
      <c r="I229" s="71"/>
      <c r="J229" s="71">
        <v>1100</v>
      </c>
      <c r="K229" s="71"/>
      <c r="L229" s="71">
        <v>3080.19</v>
      </c>
      <c r="M229" s="71">
        <v>0</v>
      </c>
      <c r="N229" s="71">
        <v>27812.639999999999</v>
      </c>
      <c r="O229" s="71">
        <v>68.03</v>
      </c>
      <c r="P229" s="71"/>
      <c r="Q229" s="72"/>
      <c r="R229" s="71">
        <v>0</v>
      </c>
      <c r="S229" s="72"/>
      <c r="T229" s="72"/>
      <c r="U229" s="71">
        <v>32060.86</v>
      </c>
      <c r="V229" s="72"/>
      <c r="W229" s="72"/>
      <c r="X229" s="72"/>
      <c r="Y229" s="72"/>
      <c r="Z229" s="72"/>
      <c r="AA229" s="71">
        <v>1455.28</v>
      </c>
      <c r="AB229" s="72"/>
      <c r="AC229" s="71">
        <v>33516.14</v>
      </c>
      <c r="AD229" s="71">
        <v>0</v>
      </c>
    </row>
    <row r="230" spans="1:30" ht="12" thickBot="1" x14ac:dyDescent="0.25">
      <c r="A230" s="66" t="s">
        <v>814</v>
      </c>
      <c r="B230" s="447" t="str">
        <f>VLOOKUP($D230,'Retail Rates'!$B$7:$D$35,2,FALSE)</f>
        <v>865</v>
      </c>
      <c r="C230" s="447" t="str">
        <f>VLOOKUP($D230,'Retail Rates'!$B$7:$D$35,3,FALSE)</f>
        <v>AAGS-C</v>
      </c>
      <c r="D230" s="66" t="s">
        <v>23</v>
      </c>
      <c r="E230" s="66" t="s">
        <v>24</v>
      </c>
      <c r="F230" s="66" t="s">
        <v>26</v>
      </c>
      <c r="G230" s="67">
        <v>1</v>
      </c>
      <c r="H230" s="68">
        <v>45708</v>
      </c>
      <c r="I230" s="68"/>
      <c r="J230" s="68">
        <v>275</v>
      </c>
      <c r="K230" s="68"/>
      <c r="L230" s="68">
        <v>2400.58</v>
      </c>
      <c r="M230" s="68">
        <v>0</v>
      </c>
      <c r="N230" s="68">
        <v>21676.1</v>
      </c>
      <c r="O230" s="68">
        <v>53.02</v>
      </c>
      <c r="P230" s="68"/>
      <c r="Q230" s="69"/>
      <c r="R230" s="68">
        <v>0</v>
      </c>
      <c r="S230" s="69"/>
      <c r="T230" s="69"/>
      <c r="U230" s="68">
        <v>24404.7</v>
      </c>
      <c r="V230" s="69"/>
      <c r="W230" s="69"/>
      <c r="X230" s="69"/>
      <c r="Y230" s="69"/>
      <c r="Z230" s="69"/>
      <c r="AA230" s="68">
        <v>0</v>
      </c>
      <c r="AB230" s="69"/>
      <c r="AC230" s="68">
        <v>24404.7</v>
      </c>
      <c r="AD230" s="68">
        <v>0</v>
      </c>
    </row>
    <row r="231" spans="1:30" ht="12" thickBot="1" x14ac:dyDescent="0.25">
      <c r="A231" s="66" t="s">
        <v>814</v>
      </c>
      <c r="B231" s="447" t="str">
        <f>VLOOKUP($D231,'Retail Rates'!$B$7:$D$35,2,FALSE)</f>
        <v>875</v>
      </c>
      <c r="C231" s="447" t="str">
        <f>VLOOKUP($D231,'Retail Rates'!$B$7:$D$35,3,FALSE)</f>
        <v>DGGS-C</v>
      </c>
      <c r="D231" s="66" t="s">
        <v>135</v>
      </c>
      <c r="E231" s="66" t="s">
        <v>136</v>
      </c>
      <c r="F231" s="66" t="s">
        <v>22</v>
      </c>
      <c r="G231" s="70">
        <v>1</v>
      </c>
      <c r="H231" s="71">
        <v>2</v>
      </c>
      <c r="I231" s="71"/>
      <c r="J231" s="71">
        <v>0</v>
      </c>
      <c r="K231" s="71"/>
      <c r="L231" s="71">
        <v>0.05</v>
      </c>
      <c r="M231" s="71">
        <v>0</v>
      </c>
      <c r="N231" s="71">
        <v>0.95</v>
      </c>
      <c r="O231" s="71"/>
      <c r="P231" s="71"/>
      <c r="Q231" s="72"/>
      <c r="R231" s="71"/>
      <c r="S231" s="72"/>
      <c r="T231" s="72">
        <v>4.04</v>
      </c>
      <c r="U231" s="71">
        <v>5.04</v>
      </c>
      <c r="V231" s="72"/>
      <c r="W231" s="72"/>
      <c r="X231" s="72"/>
      <c r="Y231" s="72"/>
      <c r="Z231" s="72"/>
      <c r="AA231" s="71">
        <v>0.15</v>
      </c>
      <c r="AB231" s="72"/>
      <c r="AC231" s="71">
        <v>5.19</v>
      </c>
      <c r="AD231" s="71">
        <v>0</v>
      </c>
    </row>
    <row r="232" spans="1:30" ht="12" thickBot="1" x14ac:dyDescent="0.25">
      <c r="A232" s="66" t="s">
        <v>814</v>
      </c>
      <c r="B232" s="447" t="str">
        <f>VLOOKUP($D232,'Retail Rates'!$B$7:$D$35,2,FALSE)</f>
        <v>855</v>
      </c>
      <c r="C232" s="447" t="str">
        <f>VLOOKUP($D232,'Retail Rates'!$B$7:$D$35,3,FALSE)</f>
        <v>IGS</v>
      </c>
      <c r="D232" s="66" t="s">
        <v>45</v>
      </c>
      <c r="E232" s="66" t="s">
        <v>46</v>
      </c>
      <c r="F232" s="66" t="s">
        <v>28</v>
      </c>
      <c r="G232" s="67">
        <v>204</v>
      </c>
      <c r="H232" s="68">
        <v>783467</v>
      </c>
      <c r="I232" s="68"/>
      <c r="J232" s="68">
        <v>3342</v>
      </c>
      <c r="K232" s="68">
        <v>16660</v>
      </c>
      <c r="L232" s="68">
        <v>149031.06</v>
      </c>
      <c r="M232" s="68">
        <v>0</v>
      </c>
      <c r="N232" s="68">
        <v>371099.53</v>
      </c>
      <c r="O232" s="68"/>
      <c r="P232" s="68"/>
      <c r="Q232" s="69"/>
      <c r="R232" s="68">
        <v>0</v>
      </c>
      <c r="S232" s="69"/>
      <c r="T232" s="69"/>
      <c r="U232" s="68">
        <v>540132.59</v>
      </c>
      <c r="V232" s="69"/>
      <c r="W232" s="69"/>
      <c r="X232" s="69"/>
      <c r="Y232" s="69"/>
      <c r="Z232" s="69"/>
      <c r="AA232" s="68">
        <v>25382.63</v>
      </c>
      <c r="AB232" s="69"/>
      <c r="AC232" s="68">
        <v>565515.22</v>
      </c>
      <c r="AD232" s="68">
        <v>0</v>
      </c>
    </row>
    <row r="233" spans="1:30" ht="12" thickBot="1" x14ac:dyDescent="0.25">
      <c r="A233" s="66" t="s">
        <v>814</v>
      </c>
      <c r="B233" s="447" t="str">
        <f>VLOOKUP($D233,'Retail Rates'!$B$7:$D$35,2,FALSE)</f>
        <v>855</v>
      </c>
      <c r="C233" s="447" t="str">
        <f>VLOOKUP($D233,'Retail Rates'!$B$7:$D$35,3,FALSE)</f>
        <v>IGS</v>
      </c>
      <c r="D233" s="66" t="s">
        <v>45</v>
      </c>
      <c r="E233" s="66" t="s">
        <v>46</v>
      </c>
      <c r="F233" s="66" t="s">
        <v>22</v>
      </c>
      <c r="G233" s="70">
        <v>1</v>
      </c>
      <c r="H233" s="71">
        <v>5059</v>
      </c>
      <c r="I233" s="71"/>
      <c r="J233" s="71"/>
      <c r="K233" s="71">
        <v>170</v>
      </c>
      <c r="L233" s="71">
        <v>962.32</v>
      </c>
      <c r="M233" s="71">
        <v>0</v>
      </c>
      <c r="N233" s="71">
        <v>2399.13</v>
      </c>
      <c r="O233" s="71"/>
      <c r="P233" s="71"/>
      <c r="Q233" s="72"/>
      <c r="R233" s="71">
        <v>0</v>
      </c>
      <c r="S233" s="72"/>
      <c r="T233" s="72"/>
      <c r="U233" s="71">
        <v>3531.45</v>
      </c>
      <c r="V233" s="72"/>
      <c r="W233" s="72"/>
      <c r="X233" s="72"/>
      <c r="Y233" s="72"/>
      <c r="Z233" s="72"/>
      <c r="AA233" s="71">
        <v>211.89</v>
      </c>
      <c r="AB233" s="72"/>
      <c r="AC233" s="71">
        <v>3743.34</v>
      </c>
      <c r="AD233" s="71">
        <v>0</v>
      </c>
    </row>
    <row r="234" spans="1:30" ht="12" thickBot="1" x14ac:dyDescent="0.25">
      <c r="A234" s="66" t="s">
        <v>814</v>
      </c>
      <c r="B234" s="447" t="str">
        <f>VLOOKUP($D234,'Retail Rates'!$B$7:$D$35,2,FALSE)</f>
        <v>855</v>
      </c>
      <c r="C234" s="447" t="str">
        <f>VLOOKUP($D234,'Retail Rates'!$B$7:$D$35,3,FALSE)</f>
        <v>IGS</v>
      </c>
      <c r="D234" s="66" t="s">
        <v>45</v>
      </c>
      <c r="E234" s="66" t="s">
        <v>46</v>
      </c>
      <c r="F234" s="66" t="s">
        <v>26</v>
      </c>
      <c r="G234" s="67">
        <v>4</v>
      </c>
      <c r="H234" s="68">
        <v>15736</v>
      </c>
      <c r="I234" s="68"/>
      <c r="J234" s="68">
        <v>90</v>
      </c>
      <c r="K234" s="68">
        <v>170</v>
      </c>
      <c r="L234" s="68">
        <v>2993.3</v>
      </c>
      <c r="M234" s="68">
        <v>0</v>
      </c>
      <c r="N234" s="68">
        <v>7462.49</v>
      </c>
      <c r="O234" s="68"/>
      <c r="P234" s="68"/>
      <c r="Q234" s="69"/>
      <c r="R234" s="68">
        <v>0</v>
      </c>
      <c r="S234" s="69"/>
      <c r="T234" s="69"/>
      <c r="U234" s="68">
        <v>10715.79</v>
      </c>
      <c r="V234" s="69"/>
      <c r="W234" s="69"/>
      <c r="X234" s="69"/>
      <c r="Y234" s="69"/>
      <c r="Z234" s="69"/>
      <c r="AA234" s="68">
        <v>0</v>
      </c>
      <c r="AB234" s="69"/>
      <c r="AC234" s="68">
        <v>10715.79</v>
      </c>
      <c r="AD234" s="68">
        <v>0</v>
      </c>
    </row>
    <row r="235" spans="1:30" ht="12" thickBot="1" x14ac:dyDescent="0.25">
      <c r="A235" s="66" t="s">
        <v>814</v>
      </c>
      <c r="B235" s="447" t="str">
        <f>VLOOKUP($D235,'Retail Rates'!$B$7:$D$35,2,FALSE)</f>
        <v>866</v>
      </c>
      <c r="C235" s="447" t="str">
        <f>VLOOKUP($D235,'Retail Rates'!$B$7:$D$35,3,FALSE)</f>
        <v>AAGS-I</v>
      </c>
      <c r="D235" s="66" t="s">
        <v>29</v>
      </c>
      <c r="E235" s="66" t="s">
        <v>30</v>
      </c>
      <c r="F235" s="66" t="s">
        <v>28</v>
      </c>
      <c r="G235" s="70">
        <v>8</v>
      </c>
      <c r="H235" s="71">
        <v>177836</v>
      </c>
      <c r="I235" s="71"/>
      <c r="J235" s="71">
        <v>2200</v>
      </c>
      <c r="K235" s="71"/>
      <c r="L235" s="71">
        <v>9339.94</v>
      </c>
      <c r="M235" s="71">
        <v>0</v>
      </c>
      <c r="N235" s="71">
        <v>84335.16</v>
      </c>
      <c r="O235" s="71"/>
      <c r="P235" s="71"/>
      <c r="Q235" s="72"/>
      <c r="R235" s="71">
        <v>0</v>
      </c>
      <c r="S235" s="72"/>
      <c r="T235" s="72"/>
      <c r="U235" s="71">
        <v>95875.1</v>
      </c>
      <c r="V235" s="72"/>
      <c r="W235" s="72"/>
      <c r="X235" s="72"/>
      <c r="Y235" s="72"/>
      <c r="Z235" s="72"/>
      <c r="AA235" s="71">
        <v>2245.31</v>
      </c>
      <c r="AB235" s="72"/>
      <c r="AC235" s="71">
        <v>98120.41</v>
      </c>
      <c r="AD235" s="71">
        <v>0</v>
      </c>
    </row>
    <row r="236" spans="1:30" ht="12" thickBot="1" x14ac:dyDescent="0.25">
      <c r="A236" s="66" t="s">
        <v>814</v>
      </c>
      <c r="B236" s="447" t="str">
        <f>VLOOKUP($D236,'Retail Rates'!$B$7:$D$35,2,FALSE)</f>
        <v>866</v>
      </c>
      <c r="C236" s="447" t="str">
        <f>VLOOKUP($D236,'Retail Rates'!$B$7:$D$35,3,FALSE)</f>
        <v>AAGS-I</v>
      </c>
      <c r="D236" s="66" t="s">
        <v>29</v>
      </c>
      <c r="E236" s="66" t="s">
        <v>30</v>
      </c>
      <c r="F236" s="66" t="s">
        <v>26</v>
      </c>
      <c r="G236" s="67">
        <v>1</v>
      </c>
      <c r="H236" s="68">
        <v>12004</v>
      </c>
      <c r="I236" s="68"/>
      <c r="J236" s="68">
        <v>275</v>
      </c>
      <c r="K236" s="68"/>
      <c r="L236" s="68">
        <v>630.45000000000005</v>
      </c>
      <c r="M236" s="68">
        <v>0</v>
      </c>
      <c r="N236" s="68">
        <v>5692.66</v>
      </c>
      <c r="O236" s="68"/>
      <c r="P236" s="68"/>
      <c r="Q236" s="69"/>
      <c r="R236" s="68">
        <v>0</v>
      </c>
      <c r="S236" s="69"/>
      <c r="T236" s="69"/>
      <c r="U236" s="68">
        <v>6598.11</v>
      </c>
      <c r="V236" s="69"/>
      <c r="W236" s="69"/>
      <c r="X236" s="69"/>
      <c r="Y236" s="69"/>
      <c r="Z236" s="69"/>
      <c r="AA236" s="68">
        <v>0</v>
      </c>
      <c r="AB236" s="69"/>
      <c r="AC236" s="68">
        <v>6598.11</v>
      </c>
      <c r="AD236" s="68">
        <v>0</v>
      </c>
    </row>
    <row r="237" spans="1:30" ht="12" thickBot="1" x14ac:dyDescent="0.25">
      <c r="A237" s="66" t="s">
        <v>814</v>
      </c>
      <c r="B237" s="447" t="str">
        <f>VLOOKUP($D237,'Retail Rates'!$B$7:$D$35,2,FALSE)</f>
        <v>996</v>
      </c>
      <c r="C237" s="447" t="str">
        <f>VLOOKUP($D237,'Retail Rates'!$B$7:$D$35,3,FALSE)</f>
        <v>SPC-LGE</v>
      </c>
      <c r="D237" s="66" t="s">
        <v>82</v>
      </c>
      <c r="E237" s="66" t="s">
        <v>83</v>
      </c>
      <c r="F237" s="66" t="s">
        <v>248</v>
      </c>
      <c r="G237" s="70">
        <v>2</v>
      </c>
      <c r="H237" s="71">
        <v>574372</v>
      </c>
      <c r="I237" s="71"/>
      <c r="J237" s="71">
        <v>340</v>
      </c>
      <c r="K237" s="71"/>
      <c r="L237" s="71">
        <v>16358.11</v>
      </c>
      <c r="M237" s="71"/>
      <c r="N237" s="71">
        <v>272384.43</v>
      </c>
      <c r="O237" s="71"/>
      <c r="P237" s="71"/>
      <c r="Q237" s="72"/>
      <c r="R237" s="71"/>
      <c r="S237" s="72"/>
      <c r="T237" s="72">
        <v>286974.48</v>
      </c>
      <c r="U237" s="71">
        <v>576057.02</v>
      </c>
      <c r="V237" s="72"/>
      <c r="W237" s="72"/>
      <c r="X237" s="72"/>
      <c r="Y237" s="72"/>
      <c r="Z237" s="72"/>
      <c r="AA237" s="71">
        <v>0</v>
      </c>
      <c r="AB237" s="72"/>
      <c r="AC237" s="71">
        <v>576057.02</v>
      </c>
      <c r="AD237" s="71">
        <v>0</v>
      </c>
    </row>
    <row r="238" spans="1:30" ht="12" thickBot="1" x14ac:dyDescent="0.25">
      <c r="A238" s="66" t="s">
        <v>814</v>
      </c>
      <c r="B238" s="447" t="str">
        <f>VLOOKUP($D238,'Retail Rates'!$B$7:$D$35,2,FALSE)</f>
        <v>811</v>
      </c>
      <c r="C238" s="447" t="str">
        <f>VLOOKUP($D238,'Retail Rates'!$B$7:$D$35,3,FALSE)</f>
        <v>RGS</v>
      </c>
      <c r="D238" s="66" t="s">
        <v>52</v>
      </c>
      <c r="E238" s="66" t="s">
        <v>53</v>
      </c>
      <c r="F238" s="66" t="s">
        <v>22</v>
      </c>
      <c r="G238" s="67">
        <v>5</v>
      </c>
      <c r="H238" s="68">
        <v>335</v>
      </c>
      <c r="I238" s="68"/>
      <c r="J238" s="68">
        <v>62.5</v>
      </c>
      <c r="K238" s="68"/>
      <c r="L238" s="68">
        <v>75.02</v>
      </c>
      <c r="M238" s="68">
        <v>0</v>
      </c>
      <c r="N238" s="68">
        <v>158.87</v>
      </c>
      <c r="O238" s="68">
        <v>8.6</v>
      </c>
      <c r="P238" s="68">
        <v>27.7</v>
      </c>
      <c r="Q238" s="69">
        <v>0.8</v>
      </c>
      <c r="R238" s="68">
        <v>0</v>
      </c>
      <c r="S238" s="69"/>
      <c r="T238" s="69"/>
      <c r="U238" s="68">
        <v>332.69</v>
      </c>
      <c r="V238" s="69"/>
      <c r="W238" s="69"/>
      <c r="X238" s="69"/>
      <c r="Y238" s="69"/>
      <c r="Z238" s="69"/>
      <c r="AA238" s="68">
        <v>17.84</v>
      </c>
      <c r="AB238" s="69"/>
      <c r="AC238" s="68">
        <v>351.33</v>
      </c>
      <c r="AD238" s="68">
        <v>0</v>
      </c>
    </row>
    <row r="239" spans="1:30" ht="12" thickBot="1" x14ac:dyDescent="0.25">
      <c r="A239" s="66" t="s">
        <v>814</v>
      </c>
      <c r="B239" s="447" t="str">
        <f>VLOOKUP($D239,'Retail Rates'!$B$7:$D$35,2,FALSE)</f>
        <v>811</v>
      </c>
      <c r="C239" s="447" t="str">
        <f>VLOOKUP($D239,'Retail Rates'!$B$7:$D$35,3,FALSE)</f>
        <v>RGS</v>
      </c>
      <c r="D239" s="66" t="s">
        <v>52</v>
      </c>
      <c r="E239" s="66" t="s">
        <v>53</v>
      </c>
      <c r="F239" s="66" t="s">
        <v>26</v>
      </c>
      <c r="G239" s="70">
        <v>56</v>
      </c>
      <c r="H239" s="71">
        <v>2820</v>
      </c>
      <c r="I239" s="71"/>
      <c r="J239" s="71">
        <v>700</v>
      </c>
      <c r="K239" s="71"/>
      <c r="L239" s="71">
        <v>631.59</v>
      </c>
      <c r="M239" s="71">
        <v>0</v>
      </c>
      <c r="N239" s="71">
        <v>1337.31</v>
      </c>
      <c r="O239" s="71">
        <v>72.34</v>
      </c>
      <c r="P239" s="71">
        <v>177.3</v>
      </c>
      <c r="Q239" s="72">
        <v>8.9600000000000009</v>
      </c>
      <c r="R239" s="71">
        <v>0</v>
      </c>
      <c r="S239" s="72"/>
      <c r="T239" s="72"/>
      <c r="U239" s="71">
        <v>2918.54</v>
      </c>
      <c r="V239" s="72"/>
      <c r="W239" s="72"/>
      <c r="X239" s="72"/>
      <c r="Y239" s="72"/>
      <c r="Z239" s="72"/>
      <c r="AA239" s="71">
        <v>5.47</v>
      </c>
      <c r="AB239" s="72"/>
      <c r="AC239" s="71">
        <v>2932.97</v>
      </c>
      <c r="AD239" s="71">
        <v>0</v>
      </c>
    </row>
    <row r="240" spans="1:30" ht="12" thickBot="1" x14ac:dyDescent="0.25">
      <c r="A240" s="66" t="s">
        <v>814</v>
      </c>
      <c r="B240" s="447" t="str">
        <f>VLOOKUP($D240,'Retail Rates'!$B$7:$D$35,2,FALSE)</f>
        <v>811</v>
      </c>
      <c r="C240" s="447" t="str">
        <f>VLOOKUP($D240,'Retail Rates'!$B$7:$D$35,3,FALSE)</f>
        <v>RGS</v>
      </c>
      <c r="D240" s="66" t="s">
        <v>52</v>
      </c>
      <c r="E240" s="66" t="s">
        <v>53</v>
      </c>
      <c r="F240" s="66" t="s">
        <v>40</v>
      </c>
      <c r="G240" s="67">
        <v>292562</v>
      </c>
      <c r="H240" s="68">
        <v>22362359</v>
      </c>
      <c r="I240" s="68"/>
      <c r="J240" s="68">
        <v>3650335.27</v>
      </c>
      <c r="K240" s="68"/>
      <c r="L240" s="68">
        <v>5008276.13</v>
      </c>
      <c r="M240" s="68">
        <v>5650.72</v>
      </c>
      <c r="N240" s="68">
        <v>10605181.539999999</v>
      </c>
      <c r="O240" s="68">
        <v>573766.41</v>
      </c>
      <c r="P240" s="68">
        <v>1302651.6399999999</v>
      </c>
      <c r="Q240" s="69">
        <v>47179.61</v>
      </c>
      <c r="R240" s="68">
        <v>0</v>
      </c>
      <c r="S240" s="69"/>
      <c r="T240" s="69"/>
      <c r="U240" s="68">
        <v>21140210.989999998</v>
      </c>
      <c r="V240" s="69"/>
      <c r="W240" s="69"/>
      <c r="X240" s="69"/>
      <c r="Y240" s="69"/>
      <c r="Z240" s="69"/>
      <c r="AA240" s="68">
        <v>88698.54</v>
      </c>
      <c r="AB240" s="69"/>
      <c r="AC240" s="68">
        <v>21281739.859999999</v>
      </c>
      <c r="AD240" s="68">
        <v>0</v>
      </c>
    </row>
    <row r="241" spans="1:30" ht="12" thickBot="1" x14ac:dyDescent="0.25">
      <c r="A241" s="66" t="s">
        <v>814</v>
      </c>
      <c r="B241" s="447" t="str">
        <f>VLOOKUP($D241,'Retail Rates'!$B$7:$D$35,2,FALSE)</f>
        <v>840</v>
      </c>
      <c r="C241" s="447" t="str">
        <f>VLOOKUP($D241,'Retail Rates'!$B$7:$D$35,3,FALSE)</f>
        <v>RGS</v>
      </c>
      <c r="D241" s="66" t="s">
        <v>59</v>
      </c>
      <c r="E241" s="66" t="s">
        <v>60</v>
      </c>
      <c r="F241" s="66" t="s">
        <v>26</v>
      </c>
      <c r="G241" s="70">
        <v>1</v>
      </c>
      <c r="H241" s="71">
        <v>825</v>
      </c>
      <c r="I241" s="71"/>
      <c r="J241" s="71">
        <v>12.5</v>
      </c>
      <c r="K241" s="71"/>
      <c r="L241" s="71">
        <v>184.77</v>
      </c>
      <c r="M241" s="71">
        <v>0</v>
      </c>
      <c r="N241" s="71">
        <v>391.24</v>
      </c>
      <c r="O241" s="71">
        <v>21.17</v>
      </c>
      <c r="P241" s="71">
        <v>15.51</v>
      </c>
      <c r="Q241" s="72"/>
      <c r="R241" s="71">
        <v>0</v>
      </c>
      <c r="S241" s="72"/>
      <c r="T241" s="72"/>
      <c r="U241" s="71">
        <v>625.19000000000005</v>
      </c>
      <c r="V241" s="72"/>
      <c r="W241" s="72"/>
      <c r="X241" s="72"/>
      <c r="Y241" s="72"/>
      <c r="Z241" s="72"/>
      <c r="AA241" s="71">
        <v>0</v>
      </c>
      <c r="AB241" s="72"/>
      <c r="AC241" s="71">
        <v>625.19000000000005</v>
      </c>
      <c r="AD241" s="71">
        <v>0</v>
      </c>
    </row>
    <row r="242" spans="1:30" ht="12" thickBot="1" x14ac:dyDescent="0.25">
      <c r="A242" s="66" t="s">
        <v>814</v>
      </c>
      <c r="B242" s="447" t="str">
        <f>VLOOKUP($D242,'Retail Rates'!$B$7:$D$35,2,FALSE)</f>
        <v>840</v>
      </c>
      <c r="C242" s="447" t="str">
        <f>VLOOKUP($D242,'Retail Rates'!$B$7:$D$35,3,FALSE)</f>
        <v>RGS</v>
      </c>
      <c r="D242" s="66" t="s">
        <v>59</v>
      </c>
      <c r="E242" s="66" t="s">
        <v>60</v>
      </c>
      <c r="F242" s="66" t="s">
        <v>40</v>
      </c>
      <c r="G242" s="67">
        <v>3</v>
      </c>
      <c r="H242" s="68">
        <v>741</v>
      </c>
      <c r="I242" s="68"/>
      <c r="J242" s="68">
        <v>36.93</v>
      </c>
      <c r="K242" s="68"/>
      <c r="L242" s="68">
        <v>165.95</v>
      </c>
      <c r="M242" s="68">
        <v>0</v>
      </c>
      <c r="N242" s="68">
        <v>351.41</v>
      </c>
      <c r="O242" s="68">
        <v>19.010000000000002</v>
      </c>
      <c r="P242" s="68">
        <v>61.67</v>
      </c>
      <c r="Q242" s="69"/>
      <c r="R242" s="68">
        <v>0</v>
      </c>
      <c r="S242" s="69"/>
      <c r="T242" s="69"/>
      <c r="U242" s="68">
        <v>634.97</v>
      </c>
      <c r="V242" s="69"/>
      <c r="W242" s="69"/>
      <c r="X242" s="69"/>
      <c r="Y242" s="69"/>
      <c r="Z242" s="69"/>
      <c r="AA242" s="68">
        <v>1.86</v>
      </c>
      <c r="AB242" s="69"/>
      <c r="AC242" s="68">
        <v>636.83000000000004</v>
      </c>
      <c r="AD242" s="68">
        <v>0</v>
      </c>
    </row>
    <row r="243" spans="1:30" ht="12" thickBot="1" x14ac:dyDescent="0.25">
      <c r="A243" s="66" t="s">
        <v>814</v>
      </c>
      <c r="B243" s="447" t="str">
        <f>VLOOKUP($D243,'Retail Rates'!$B$7:$D$35,2,FALSE)</f>
        <v>830</v>
      </c>
      <c r="C243" s="447" t="str">
        <f>VLOOKUP($D243,'Retail Rates'!$B$7:$D$35,3,FALSE)</f>
        <v>RGS</v>
      </c>
      <c r="D243" s="66" t="s">
        <v>49</v>
      </c>
      <c r="E243" s="66" t="s">
        <v>50</v>
      </c>
      <c r="F243" s="66" t="s">
        <v>40</v>
      </c>
      <c r="G243" s="70">
        <v>1</v>
      </c>
      <c r="H243" s="71">
        <v>32</v>
      </c>
      <c r="I243" s="71"/>
      <c r="J243" s="71">
        <v>25</v>
      </c>
      <c r="K243" s="71"/>
      <c r="L243" s="71">
        <v>7.17</v>
      </c>
      <c r="M243" s="71">
        <v>0</v>
      </c>
      <c r="N243" s="71">
        <v>15.18</v>
      </c>
      <c r="O243" s="71">
        <v>0.82</v>
      </c>
      <c r="P243" s="71"/>
      <c r="Q243" s="72"/>
      <c r="R243" s="71">
        <v>0</v>
      </c>
      <c r="S243" s="72"/>
      <c r="T243" s="72"/>
      <c r="U243" s="71">
        <v>48.17</v>
      </c>
      <c r="V243" s="72"/>
      <c r="W243" s="72"/>
      <c r="X243" s="72"/>
      <c r="Y243" s="72"/>
      <c r="Z243" s="72"/>
      <c r="AA243" s="71">
        <v>0</v>
      </c>
      <c r="AB243" s="72"/>
      <c r="AC243" s="71">
        <v>48.17</v>
      </c>
      <c r="AD243" s="71">
        <v>0</v>
      </c>
    </row>
    <row r="244" spans="1:30" ht="12" thickBot="1" x14ac:dyDescent="0.25">
      <c r="A244" s="66" t="s">
        <v>814</v>
      </c>
      <c r="B244" s="447" t="str">
        <f>VLOOKUP($D244,'Retail Rates'!$B$7:$D$35,2,FALSE)</f>
        <v>860</v>
      </c>
      <c r="C244" s="447" t="str">
        <f>VLOOKUP($D244,'Retail Rates'!$B$7:$D$35,3,FALSE)</f>
        <v>CGS</v>
      </c>
      <c r="D244" s="66" t="s">
        <v>34</v>
      </c>
      <c r="E244" s="66" t="s">
        <v>35</v>
      </c>
      <c r="F244" s="66" t="s">
        <v>22</v>
      </c>
      <c r="G244" s="67">
        <v>1</v>
      </c>
      <c r="H244" s="68">
        <v>304</v>
      </c>
      <c r="I244" s="68"/>
      <c r="J244" s="68">
        <v>480</v>
      </c>
      <c r="K244" s="68"/>
      <c r="L244" s="68">
        <v>56.91</v>
      </c>
      <c r="M244" s="68">
        <v>0</v>
      </c>
      <c r="N244" s="68">
        <v>144.16999999999999</v>
      </c>
      <c r="O244" s="68">
        <v>0.35</v>
      </c>
      <c r="P244" s="68"/>
      <c r="Q244" s="69"/>
      <c r="R244" s="68">
        <v>0</v>
      </c>
      <c r="S244" s="69"/>
      <c r="T244" s="69"/>
      <c r="U244" s="68">
        <v>681.43</v>
      </c>
      <c r="V244" s="69"/>
      <c r="W244" s="69"/>
      <c r="X244" s="69"/>
      <c r="Y244" s="69"/>
      <c r="Z244" s="69"/>
      <c r="AA244" s="68">
        <v>40.89</v>
      </c>
      <c r="AB244" s="69"/>
      <c r="AC244" s="68">
        <v>722.32</v>
      </c>
      <c r="AD244" s="68">
        <v>0</v>
      </c>
    </row>
    <row r="245" spans="1:30" ht="12" thickBot="1" x14ac:dyDescent="0.25">
      <c r="A245" s="66" t="s">
        <v>814</v>
      </c>
      <c r="B245" s="447" t="str">
        <f>VLOOKUP($D245,'Retail Rates'!$B$7:$D$35,2,FALSE)</f>
        <v>860</v>
      </c>
      <c r="C245" s="447" t="str">
        <f>VLOOKUP($D245,'Retail Rates'!$B$7:$D$35,3,FALSE)</f>
        <v>CGS</v>
      </c>
      <c r="D245" s="66" t="s">
        <v>34</v>
      </c>
      <c r="E245" s="66" t="s">
        <v>35</v>
      </c>
      <c r="F245" s="66" t="s">
        <v>26</v>
      </c>
      <c r="G245" s="70">
        <v>2</v>
      </c>
      <c r="H245" s="71">
        <v>54</v>
      </c>
      <c r="I245" s="71"/>
      <c r="J245" s="71">
        <v>90</v>
      </c>
      <c r="K245" s="71"/>
      <c r="L245" s="71">
        <v>10.11</v>
      </c>
      <c r="M245" s="71">
        <v>0</v>
      </c>
      <c r="N245" s="71">
        <v>25.61</v>
      </c>
      <c r="O245" s="71">
        <v>0.06</v>
      </c>
      <c r="P245" s="71"/>
      <c r="Q245" s="72"/>
      <c r="R245" s="71">
        <v>0</v>
      </c>
      <c r="S245" s="72"/>
      <c r="T245" s="72"/>
      <c r="U245" s="71">
        <v>125.78</v>
      </c>
      <c r="V245" s="72"/>
      <c r="W245" s="72"/>
      <c r="X245" s="72"/>
      <c r="Y245" s="72"/>
      <c r="Z245" s="72"/>
      <c r="AA245" s="71">
        <v>0</v>
      </c>
      <c r="AB245" s="72"/>
      <c r="AC245" s="71">
        <v>125.78</v>
      </c>
      <c r="AD245" s="71">
        <v>0</v>
      </c>
    </row>
    <row r="246" spans="1:30" ht="12" thickBot="1" x14ac:dyDescent="0.25">
      <c r="A246" s="66" t="s">
        <v>814</v>
      </c>
      <c r="B246" s="447" t="str">
        <f>VLOOKUP($D246,'Retail Rates'!$B$7:$D$35,2,FALSE)</f>
        <v>861</v>
      </c>
      <c r="C246" s="447" t="str">
        <f>VLOOKUP($D246,'Retail Rates'!$B$7:$D$35,3,FALSE)</f>
        <v>CGS</v>
      </c>
      <c r="D246" s="66" t="s">
        <v>41</v>
      </c>
      <c r="E246" s="66" t="s">
        <v>42</v>
      </c>
      <c r="F246" s="66" t="s">
        <v>22</v>
      </c>
      <c r="G246" s="67">
        <v>610</v>
      </c>
      <c r="H246" s="68">
        <v>613</v>
      </c>
      <c r="I246" s="68"/>
      <c r="J246" s="68">
        <v>18600</v>
      </c>
      <c r="K246" s="68"/>
      <c r="L246" s="68">
        <v>116.38</v>
      </c>
      <c r="M246" s="68">
        <v>1.84</v>
      </c>
      <c r="N246" s="68">
        <v>288.2</v>
      </c>
      <c r="O246" s="68">
        <v>0</v>
      </c>
      <c r="P246" s="68"/>
      <c r="Q246" s="69"/>
      <c r="R246" s="68">
        <v>0</v>
      </c>
      <c r="S246" s="69"/>
      <c r="T246" s="69"/>
      <c r="U246" s="68">
        <v>19004.580000000002</v>
      </c>
      <c r="V246" s="69"/>
      <c r="W246" s="69"/>
      <c r="X246" s="69"/>
      <c r="Y246" s="69"/>
      <c r="Z246" s="69"/>
      <c r="AA246" s="68">
        <v>1202.68</v>
      </c>
      <c r="AB246" s="69"/>
      <c r="AC246" s="68">
        <v>20209.099999999999</v>
      </c>
      <c r="AD246" s="68">
        <v>0</v>
      </c>
    </row>
    <row r="247" spans="1:30" x14ac:dyDescent="0.2">
      <c r="N247" s="317"/>
    </row>
    <row r="248" spans="1:30" x14ac:dyDescent="0.2">
      <c r="N248" s="317"/>
    </row>
    <row r="249" spans="1:30" x14ac:dyDescent="0.2">
      <c r="N249" s="317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39997558519241921"/>
  </sheetPr>
  <dimension ref="A1:U192"/>
  <sheetViews>
    <sheetView zoomScale="60" zoomScaleNormal="60" workbookViewId="0">
      <pane xSplit="5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2" width="9.140625" style="550"/>
    <col min="3" max="3" width="14" style="550" bestFit="1" customWidth="1"/>
    <col min="4" max="4" width="9.140625" style="550"/>
    <col min="5" max="5" width="17.28515625" style="550" customWidth="1"/>
    <col min="6" max="6" width="14.28515625" style="550" customWidth="1"/>
    <col min="7" max="7" width="14.7109375" style="550" customWidth="1"/>
    <col min="8" max="9" width="10.42578125" style="550" customWidth="1"/>
    <col min="10" max="10" width="14.42578125" style="550" bestFit="1" customWidth="1"/>
    <col min="11" max="11" width="11.140625" style="550" bestFit="1" customWidth="1"/>
    <col min="12" max="12" width="11.5703125" style="550" bestFit="1" customWidth="1"/>
    <col min="13" max="13" width="11.5703125" style="550" customWidth="1"/>
    <col min="14" max="14" width="13.28515625" style="550" customWidth="1"/>
    <col min="15" max="16" width="9.140625" style="550"/>
    <col min="17" max="17" width="10.28515625" style="398" customWidth="1"/>
    <col min="18" max="18" width="9.140625" style="398"/>
    <col min="19" max="19" width="14.42578125" style="398" bestFit="1" customWidth="1"/>
    <col min="20" max="20" width="11.28515625" style="398" customWidth="1"/>
    <col min="21" max="16384" width="9.140625" style="398"/>
  </cols>
  <sheetData>
    <row r="1" spans="1:19" x14ac:dyDescent="0.25"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9" x14ac:dyDescent="0.25">
      <c r="D2" s="205"/>
      <c r="E2" s="205"/>
      <c r="R2" s="398">
        <v>-1</v>
      </c>
    </row>
    <row r="3" spans="1:19" x14ac:dyDescent="0.25">
      <c r="A3" s="550">
        <v>1</v>
      </c>
      <c r="B3" s="550">
        <f>1+A3</f>
        <v>2</v>
      </c>
      <c r="C3" s="550">
        <f>1+B3</f>
        <v>3</v>
      </c>
      <c r="D3" s="550">
        <f>1+C3</f>
        <v>4</v>
      </c>
      <c r="E3" s="550">
        <f>1+D3</f>
        <v>5</v>
      </c>
      <c r="F3" s="550">
        <f>+E3+1</f>
        <v>6</v>
      </c>
      <c r="G3" s="550">
        <f>+F3+1</f>
        <v>7</v>
      </c>
      <c r="H3" s="550">
        <f>+G3+1</f>
        <v>8</v>
      </c>
      <c r="I3" s="550">
        <f>+H3+1</f>
        <v>9</v>
      </c>
      <c r="J3" s="550">
        <f t="shared" ref="J3:P3" si="0">+I3+1</f>
        <v>10</v>
      </c>
      <c r="K3" s="550">
        <f t="shared" si="0"/>
        <v>11</v>
      </c>
      <c r="L3" s="550">
        <f t="shared" si="0"/>
        <v>12</v>
      </c>
      <c r="M3" s="550">
        <f t="shared" si="0"/>
        <v>13</v>
      </c>
      <c r="N3" s="550">
        <f t="shared" si="0"/>
        <v>14</v>
      </c>
      <c r="O3" s="550">
        <f t="shared" si="0"/>
        <v>15</v>
      </c>
      <c r="P3" s="550">
        <f t="shared" si="0"/>
        <v>16</v>
      </c>
    </row>
    <row r="4" spans="1:19" x14ac:dyDescent="0.25">
      <c r="A4" s="1346"/>
      <c r="B4" s="1347"/>
      <c r="C4" s="1347"/>
      <c r="D4" s="1347"/>
      <c r="E4" s="1347"/>
      <c r="F4" s="1348" t="s">
        <v>779</v>
      </c>
      <c r="G4" s="1349"/>
      <c r="H4" s="1202" t="s">
        <v>287</v>
      </c>
      <c r="I4" s="1202"/>
      <c r="J4" s="1202"/>
      <c r="K4" s="1203"/>
      <c r="L4" s="1203"/>
      <c r="M4" s="1203"/>
      <c r="N4" s="1203"/>
      <c r="O4" s="1203"/>
      <c r="P4" s="1203"/>
    </row>
    <row r="5" spans="1:19" ht="26.25" x14ac:dyDescent="0.25">
      <c r="A5" s="1204" t="s">
        <v>259</v>
      </c>
      <c r="B5" s="1205" t="s">
        <v>245</v>
      </c>
      <c r="C5" s="1205" t="s">
        <v>17</v>
      </c>
      <c r="D5" s="1204" t="s">
        <v>260</v>
      </c>
      <c r="E5" s="1204" t="s">
        <v>261</v>
      </c>
      <c r="F5" s="1350" t="s">
        <v>311</v>
      </c>
      <c r="G5" s="1350" t="s">
        <v>312</v>
      </c>
      <c r="H5" s="1350" t="s">
        <v>313</v>
      </c>
      <c r="I5" s="1350" t="s">
        <v>314</v>
      </c>
      <c r="J5" s="1206" t="s">
        <v>288</v>
      </c>
      <c r="K5" s="1206" t="s">
        <v>280</v>
      </c>
      <c r="L5" s="1206" t="s">
        <v>278</v>
      </c>
      <c r="M5" s="1206" t="s">
        <v>292</v>
      </c>
      <c r="N5" s="1206" t="s">
        <v>292</v>
      </c>
      <c r="O5" s="1206" t="s">
        <v>294</v>
      </c>
      <c r="P5" s="1206" t="s">
        <v>267</v>
      </c>
    </row>
    <row r="6" spans="1:19" x14ac:dyDescent="0.25">
      <c r="A6" s="550">
        <v>1</v>
      </c>
      <c r="B6" s="1207">
        <f>+'Apr11-Mar12 Billed-RETAIL'!B6</f>
        <v>40634</v>
      </c>
      <c r="C6" s="1207" t="str">
        <f>+'Apr11-Mar12 Billed-RETAIL'!C6</f>
        <v>LGCMG865</v>
      </c>
      <c r="D6" s="205" t="str">
        <f>+'Apr11-Mar12 Billed-RETAIL'!D6</f>
        <v>865</v>
      </c>
      <c r="E6" s="205" t="str">
        <f>+'Apr11-Mar12 Billed-RETAIL'!E6</f>
        <v>AAGS-C</v>
      </c>
      <c r="F6" s="1208"/>
      <c r="G6" s="1208"/>
      <c r="H6" s="1209">
        <f>-6-4</f>
        <v>-10</v>
      </c>
      <c r="I6" s="234"/>
      <c r="J6" s="234">
        <v>137.5</v>
      </c>
      <c r="K6" s="234"/>
      <c r="L6" s="234"/>
      <c r="M6" s="234"/>
      <c r="N6" s="234">
        <v>-34.020000000000003</v>
      </c>
      <c r="O6" s="234"/>
      <c r="P6" s="234"/>
    </row>
    <row r="7" spans="1:19" x14ac:dyDescent="0.25">
      <c r="A7" s="550">
        <f>+A6+1</f>
        <v>2</v>
      </c>
      <c r="B7" s="1207">
        <f>+'Apr11-Mar12 Billed-RETAIL'!B7</f>
        <v>40634</v>
      </c>
      <c r="C7" s="1207" t="str">
        <f>+'Apr11-Mar12 Billed-RETAIL'!C7</f>
        <v>LGING866</v>
      </c>
      <c r="D7" s="205" t="str">
        <f>+'Apr11-Mar12 Billed-RETAIL'!D7</f>
        <v>866</v>
      </c>
      <c r="E7" s="205" t="str">
        <f>+'Apr11-Mar12 Billed-RETAIL'!E7</f>
        <v>AAGS-I</v>
      </c>
      <c r="F7" s="1208"/>
      <c r="G7" s="1208"/>
      <c r="H7" s="234"/>
      <c r="I7" s="234"/>
      <c r="J7" s="234"/>
      <c r="K7" s="234"/>
      <c r="L7" s="234"/>
      <c r="M7" s="234"/>
      <c r="N7" s="234">
        <v>0</v>
      </c>
      <c r="O7" s="234"/>
      <c r="P7" s="234"/>
    </row>
    <row r="8" spans="1:19" x14ac:dyDescent="0.25">
      <c r="A8" s="550">
        <f t="shared" ref="A8:A71" si="1">+A7+1</f>
        <v>3</v>
      </c>
      <c r="B8" s="1207">
        <f>+'Apr11-Mar12 Billed-RETAIL'!B8</f>
        <v>40634</v>
      </c>
      <c r="C8" s="1207" t="str">
        <f>+'Apr11-Mar12 Billed-RETAIL'!C8</f>
        <v>LGCMG851</v>
      </c>
      <c r="D8" s="205" t="str">
        <f>+'Apr11-Mar12 Billed-RETAIL'!D8</f>
        <v>851</v>
      </c>
      <c r="E8" s="205" t="str">
        <f>+'Apr11-Mar12 Billed-RETAIL'!E8</f>
        <v>CGS</v>
      </c>
      <c r="F8" s="1351">
        <v>24100</v>
      </c>
      <c r="G8" s="1351">
        <v>1053</v>
      </c>
      <c r="H8" s="234"/>
      <c r="I8" s="234"/>
      <c r="J8" s="234">
        <v>376.05</v>
      </c>
      <c r="K8" s="234">
        <v>-30.71</v>
      </c>
      <c r="L8" s="234">
        <v>-39.58</v>
      </c>
      <c r="M8" s="234"/>
      <c r="N8" s="234">
        <v>-123.67</v>
      </c>
      <c r="O8" s="234"/>
      <c r="P8" s="234"/>
    </row>
    <row r="9" spans="1:19" x14ac:dyDescent="0.25">
      <c r="A9" s="550">
        <f t="shared" si="1"/>
        <v>4</v>
      </c>
      <c r="B9" s="1207">
        <f>+'Apr11-Mar12 Billed-RETAIL'!B9</f>
        <v>40634</v>
      </c>
      <c r="C9" s="1207" t="str">
        <f>+'Apr11-Mar12 Billed-RETAIL'!C9</f>
        <v>LGUMG860</v>
      </c>
      <c r="D9" s="205" t="str">
        <f>+'Apr11-Mar12 Billed-RETAIL'!D9</f>
        <v>860</v>
      </c>
      <c r="E9" s="205" t="str">
        <f>+'Apr11-Mar12 Billed-RETAIL'!E9</f>
        <v>CGS</v>
      </c>
      <c r="F9" s="1351">
        <v>19</v>
      </c>
      <c r="G9" s="1351"/>
      <c r="H9" s="234"/>
      <c r="I9" s="234"/>
      <c r="J9" s="234"/>
      <c r="K9" s="234"/>
      <c r="L9" s="1352">
        <v>0</v>
      </c>
      <c r="M9" s="234"/>
      <c r="N9" s="234">
        <v>0</v>
      </c>
      <c r="O9" s="234"/>
      <c r="P9" s="234"/>
    </row>
    <row r="10" spans="1:19" x14ac:dyDescent="0.25">
      <c r="A10" s="550">
        <f t="shared" si="1"/>
        <v>5</v>
      </c>
      <c r="B10" s="1207">
        <f>+'Apr11-Mar12 Billed-RETAIL'!B10</f>
        <v>40634</v>
      </c>
      <c r="C10" s="1207" t="str">
        <f>+'Apr11-Mar12 Billed-RETAIL'!C10</f>
        <v>LGUMG861</v>
      </c>
      <c r="D10" s="205" t="str">
        <f>+'Apr11-Mar12 Billed-RETAIL'!D10</f>
        <v>861</v>
      </c>
      <c r="E10" s="205" t="str">
        <f>+'Apr11-Mar12 Billed-RETAIL'!E10</f>
        <v>CGS</v>
      </c>
      <c r="F10" s="1351">
        <v>617</v>
      </c>
      <c r="G10" s="1351"/>
      <c r="H10" s="234"/>
      <c r="I10" s="234"/>
      <c r="J10" s="234"/>
      <c r="K10" s="234"/>
      <c r="L10" s="234">
        <v>1.61</v>
      </c>
      <c r="M10" s="234"/>
      <c r="N10" s="234">
        <v>1.61</v>
      </c>
      <c r="O10" s="234"/>
      <c r="P10" s="234"/>
    </row>
    <row r="11" spans="1:19" x14ac:dyDescent="0.25">
      <c r="A11" s="550">
        <f t="shared" si="1"/>
        <v>6</v>
      </c>
      <c r="B11" s="1207">
        <f>+'Apr11-Mar12 Billed-RETAIL'!B11</f>
        <v>40634</v>
      </c>
      <c r="C11" s="1207" t="str">
        <f>+'Apr11-Mar12 Billed-RETAIL'!C11</f>
        <v>LGCMG875</v>
      </c>
      <c r="D11" s="205" t="str">
        <f>+'Apr11-Mar12 Billed-RETAIL'!D11</f>
        <v>875</v>
      </c>
      <c r="E11" s="205" t="str">
        <f>+'Apr11-Mar12 Billed-RETAIL'!E11</f>
        <v>DGGS-C</v>
      </c>
      <c r="F11" s="1208"/>
      <c r="G11" s="1208"/>
      <c r="H11" s="234"/>
      <c r="I11" s="234"/>
      <c r="J11" s="234"/>
      <c r="K11" s="234"/>
      <c r="L11" s="234">
        <v>0</v>
      </c>
      <c r="M11" s="234"/>
      <c r="N11" s="234">
        <v>0</v>
      </c>
      <c r="O11" s="234"/>
      <c r="P11" s="234"/>
    </row>
    <row r="12" spans="1:19" x14ac:dyDescent="0.25">
      <c r="A12" s="550">
        <f t="shared" si="1"/>
        <v>7</v>
      </c>
      <c r="B12" s="1207">
        <f>+'Apr11-Mar12 Billed-RETAIL'!B12</f>
        <v>40634</v>
      </c>
      <c r="C12" s="1207" t="str">
        <f>+'Apr11-Mar12 Billed-RETAIL'!C12</f>
        <v>LGING855</v>
      </c>
      <c r="D12" s="205" t="str">
        <f>+'Apr11-Mar12 Billed-RETAIL'!D12</f>
        <v>855</v>
      </c>
      <c r="E12" s="205" t="str">
        <f>+'Apr11-Mar12 Billed-RETAIL'!E12</f>
        <v>IGS</v>
      </c>
      <c r="F12" s="1208">
        <v>105</v>
      </c>
      <c r="G12" s="1208">
        <v>97</v>
      </c>
      <c r="H12" s="234"/>
      <c r="I12" s="234"/>
      <c r="J12" s="234"/>
      <c r="K12" s="234">
        <v>0</v>
      </c>
      <c r="L12" s="234">
        <v>0</v>
      </c>
      <c r="M12" s="234"/>
      <c r="N12" s="234">
        <v>-124.37</v>
      </c>
      <c r="O12" s="234"/>
      <c r="P12" s="234"/>
    </row>
    <row r="13" spans="1:19" x14ac:dyDescent="0.25">
      <c r="A13" s="550">
        <f t="shared" si="1"/>
        <v>8</v>
      </c>
      <c r="B13" s="1207">
        <f>+'Apr11-Mar12 Billed-RETAIL'!B13</f>
        <v>40634</v>
      </c>
      <c r="C13" s="1207" t="str">
        <f>+'Apr11-Mar12 Billed-RETAIL'!C13</f>
        <v>LGRSG811</v>
      </c>
      <c r="D13" s="205" t="str">
        <f>+'Apr11-Mar12 Billed-RETAIL'!D13</f>
        <v>811</v>
      </c>
      <c r="E13" s="205" t="str">
        <f>+'Apr11-Mar12 Billed-RETAIL'!E13</f>
        <v>RGS</v>
      </c>
      <c r="F13" s="1208"/>
      <c r="G13" s="1208"/>
      <c r="H13" s="1353">
        <f>-524-1</f>
        <v>-525</v>
      </c>
      <c r="I13" s="234"/>
      <c r="J13" s="234">
        <f>-1+13.52</f>
        <v>12.52</v>
      </c>
      <c r="K13" s="234"/>
      <c r="L13" s="234">
        <v>-26.84</v>
      </c>
      <c r="M13" s="234"/>
      <c r="N13" s="234">
        <v>681.8</v>
      </c>
      <c r="O13" s="234"/>
      <c r="P13" s="234"/>
    </row>
    <row r="14" spans="1:19" x14ac:dyDescent="0.25">
      <c r="A14" s="550">
        <f t="shared" si="1"/>
        <v>9</v>
      </c>
      <c r="B14" s="1207">
        <f>+'Apr11-Mar12 Billed-RETAIL'!B14</f>
        <v>40634</v>
      </c>
      <c r="C14" s="1207" t="str">
        <f>+'Apr11-Mar12 Billed-RETAIL'!C14</f>
        <v>LGRSG811S1</v>
      </c>
      <c r="D14" s="205" t="str">
        <f>+'Apr11-Mar12 Billed-RETAIL'!D14</f>
        <v>811</v>
      </c>
      <c r="E14" s="205" t="str">
        <f>+'Apr11-Mar12 Billed-RETAIL'!E14</f>
        <v>RGS</v>
      </c>
      <c r="F14" s="1208"/>
      <c r="G14" s="1208"/>
      <c r="H14" s="234"/>
      <c r="I14" s="234"/>
      <c r="J14" s="234">
        <v>-12</v>
      </c>
      <c r="K14" s="234">
        <v>0</v>
      </c>
      <c r="L14" s="234">
        <v>-397.97</v>
      </c>
      <c r="M14" s="234"/>
      <c r="N14" s="234">
        <v>0</v>
      </c>
      <c r="O14" s="234"/>
      <c r="P14" s="234"/>
    </row>
    <row r="15" spans="1:19" x14ac:dyDescent="0.25">
      <c r="A15" s="550">
        <f t="shared" si="1"/>
        <v>10</v>
      </c>
      <c r="B15" s="1207">
        <f>+'Apr11-Mar12 Billed-RETAIL'!B15</f>
        <v>40634</v>
      </c>
      <c r="C15" s="1207" t="str">
        <f>+'Apr11-Mar12 Billed-RETAIL'!C15</f>
        <v>LGRSG840</v>
      </c>
      <c r="D15" s="205" t="str">
        <f>+'Apr11-Mar12 Billed-RETAIL'!D15</f>
        <v>840</v>
      </c>
      <c r="E15" s="205" t="str">
        <f>+'Apr11-Mar12 Billed-RETAIL'!E15</f>
        <v>RGS</v>
      </c>
      <c r="F15" s="1208"/>
      <c r="G15" s="1208"/>
      <c r="H15" s="234"/>
      <c r="I15" s="234"/>
      <c r="J15" s="234">
        <v>0</v>
      </c>
      <c r="K15" s="234">
        <v>0</v>
      </c>
      <c r="L15" s="234">
        <v>-0.01</v>
      </c>
      <c r="M15" s="234"/>
      <c r="N15" s="234"/>
      <c r="O15" s="234"/>
      <c r="P15" s="234"/>
      <c r="S15" s="1354"/>
    </row>
    <row r="16" spans="1:19" x14ac:dyDescent="0.25">
      <c r="A16" s="550">
        <f t="shared" si="1"/>
        <v>11</v>
      </c>
      <c r="B16" s="1207">
        <f>+'Apr11-Mar12 Billed-RETAIL'!B16</f>
        <v>40634</v>
      </c>
      <c r="C16" s="1207" t="str">
        <f>+'Apr11-Mar12 Billed-RETAIL'!C16</f>
        <v>LGUMG830</v>
      </c>
      <c r="D16" s="205" t="str">
        <f>+'Apr11-Mar12 Billed-RETAIL'!D16</f>
        <v>830</v>
      </c>
      <c r="E16" s="205" t="str">
        <f>+'Apr11-Mar12 Billed-RETAIL'!E16</f>
        <v>RGS</v>
      </c>
      <c r="F16" s="1208"/>
      <c r="G16" s="1208"/>
      <c r="H16" s="1355">
        <v>1</v>
      </c>
      <c r="I16" s="1355"/>
      <c r="J16" s="234">
        <v>0</v>
      </c>
      <c r="K16" s="234">
        <v>0</v>
      </c>
      <c r="L16" s="234">
        <v>0</v>
      </c>
      <c r="M16" s="234"/>
      <c r="N16" s="234">
        <v>0</v>
      </c>
      <c r="O16" s="234"/>
      <c r="P16" s="234"/>
      <c r="S16" s="1354"/>
    </row>
    <row r="17" spans="1:16" x14ac:dyDescent="0.25">
      <c r="A17" s="550">
        <f t="shared" si="1"/>
        <v>12</v>
      </c>
      <c r="B17" s="1207">
        <f>+'Apr11-Mar12 Billed-RETAIL'!B17</f>
        <v>40664</v>
      </c>
      <c r="C17" s="1207" t="str">
        <f>+'Apr11-Mar12 Billed-RETAIL'!C17</f>
        <v>LGCMG865</v>
      </c>
      <c r="D17" s="205" t="str">
        <f>+'Apr11-Mar12 Billed-RETAIL'!D17</f>
        <v>865</v>
      </c>
      <c r="E17" s="205" t="str">
        <f>+'Apr11-Mar12 Billed-RETAIL'!E17</f>
        <v>AAGS-C</v>
      </c>
      <c r="F17" s="1208"/>
      <c r="G17" s="1208"/>
      <c r="H17" s="234"/>
      <c r="I17" s="234"/>
      <c r="J17" s="234">
        <v>0</v>
      </c>
      <c r="K17" s="234">
        <v>0</v>
      </c>
      <c r="L17" s="234">
        <v>0</v>
      </c>
      <c r="M17" s="234"/>
      <c r="N17" s="234">
        <v>-684.12361000000055</v>
      </c>
      <c r="O17" s="234"/>
      <c r="P17" s="234"/>
    </row>
    <row r="18" spans="1:16" x14ac:dyDescent="0.25">
      <c r="A18" s="550">
        <f t="shared" si="1"/>
        <v>13</v>
      </c>
      <c r="B18" s="1207">
        <f>+'Apr11-Mar12 Billed-RETAIL'!B18</f>
        <v>40664</v>
      </c>
      <c r="C18" s="1207" t="str">
        <f>+'Apr11-Mar12 Billed-RETAIL'!C18</f>
        <v>LGING866</v>
      </c>
      <c r="D18" s="205" t="str">
        <f>+'Apr11-Mar12 Billed-RETAIL'!D18</f>
        <v>866</v>
      </c>
      <c r="E18" s="205" t="str">
        <f>+'Apr11-Mar12 Billed-RETAIL'!E18</f>
        <v>AAGS-I</v>
      </c>
      <c r="F18" s="1208"/>
      <c r="G18" s="1208"/>
      <c r="H18" s="234"/>
      <c r="I18" s="234"/>
      <c r="J18" s="234">
        <v>0</v>
      </c>
      <c r="K18" s="234">
        <v>0</v>
      </c>
      <c r="L18" s="234">
        <v>0</v>
      </c>
      <c r="M18" s="234"/>
      <c r="N18" s="234">
        <v>-2270.4736600000033</v>
      </c>
      <c r="O18" s="234"/>
      <c r="P18" s="234"/>
    </row>
    <row r="19" spans="1:16" x14ac:dyDescent="0.25">
      <c r="A19" s="550">
        <f t="shared" si="1"/>
        <v>14</v>
      </c>
      <c r="B19" s="1207">
        <f>+'Apr11-Mar12 Billed-RETAIL'!B19</f>
        <v>40664</v>
      </c>
      <c r="C19" s="1207" t="str">
        <f>+'Apr11-Mar12 Billed-RETAIL'!C19</f>
        <v>LGCMG851</v>
      </c>
      <c r="D19" s="205" t="str">
        <f>+'Apr11-Mar12 Billed-RETAIL'!D19</f>
        <v>851</v>
      </c>
      <c r="E19" s="205" t="str">
        <f>+'Apr11-Mar12 Billed-RETAIL'!E19</f>
        <v>CGS</v>
      </c>
      <c r="F19" s="1351">
        <v>23929</v>
      </c>
      <c r="G19" s="1351">
        <v>1047</v>
      </c>
      <c r="H19" s="234"/>
      <c r="I19" s="234"/>
      <c r="J19" s="234">
        <v>524.04</v>
      </c>
      <c r="K19" s="234">
        <v>124.67</v>
      </c>
      <c r="L19" s="234">
        <v>-15.34</v>
      </c>
      <c r="M19" s="234"/>
      <c r="N19" s="234">
        <v>-91223.147780000232</v>
      </c>
      <c r="O19" s="234"/>
      <c r="P19" s="234"/>
    </row>
    <row r="20" spans="1:16" x14ac:dyDescent="0.25">
      <c r="A20" s="550">
        <f t="shared" si="1"/>
        <v>15</v>
      </c>
      <c r="B20" s="1207">
        <f>+'Apr11-Mar12 Billed-RETAIL'!B20</f>
        <v>40664</v>
      </c>
      <c r="C20" s="1207" t="str">
        <f>+'Apr11-Mar12 Billed-RETAIL'!C20</f>
        <v>LGUMG860</v>
      </c>
      <c r="D20" s="205" t="str">
        <f>+'Apr11-Mar12 Billed-RETAIL'!D20</f>
        <v>860</v>
      </c>
      <c r="E20" s="205" t="str">
        <f>+'Apr11-Mar12 Billed-RETAIL'!E20</f>
        <v>CGS</v>
      </c>
      <c r="F20" s="1351">
        <v>19</v>
      </c>
      <c r="G20" s="1351">
        <v>0</v>
      </c>
      <c r="H20" s="234"/>
      <c r="I20" s="234"/>
      <c r="J20" s="234">
        <v>0</v>
      </c>
      <c r="K20" s="234">
        <v>0</v>
      </c>
      <c r="L20" s="1352">
        <v>0</v>
      </c>
      <c r="M20" s="234"/>
      <c r="N20" s="234">
        <v>-3.3619400000000041</v>
      </c>
      <c r="O20" s="234"/>
      <c r="P20" s="234"/>
    </row>
    <row r="21" spans="1:16" x14ac:dyDescent="0.25">
      <c r="A21" s="550">
        <f t="shared" si="1"/>
        <v>16</v>
      </c>
      <c r="B21" s="1207">
        <f>+'Apr11-Mar12 Billed-RETAIL'!B21</f>
        <v>40664</v>
      </c>
      <c r="C21" s="1207" t="str">
        <f>+'Apr11-Mar12 Billed-RETAIL'!C21</f>
        <v>LGUMG861</v>
      </c>
      <c r="D21" s="205" t="str">
        <f>+'Apr11-Mar12 Billed-RETAIL'!D21</f>
        <v>861</v>
      </c>
      <c r="E21" s="205" t="str">
        <f>+'Apr11-Mar12 Billed-RETAIL'!E21</f>
        <v>CGS</v>
      </c>
      <c r="F21" s="1351">
        <v>617</v>
      </c>
      <c r="G21" s="1351">
        <v>0</v>
      </c>
      <c r="H21" s="234"/>
      <c r="I21" s="234"/>
      <c r="J21" s="234">
        <v>0</v>
      </c>
      <c r="K21" s="234">
        <v>0</v>
      </c>
      <c r="L21" s="234">
        <v>1.61</v>
      </c>
      <c r="M21" s="234"/>
      <c r="N21" s="234">
        <v>-11.002299999999991</v>
      </c>
      <c r="O21" s="234"/>
      <c r="P21" s="234"/>
    </row>
    <row r="22" spans="1:16" x14ac:dyDescent="0.25">
      <c r="A22" s="550">
        <f t="shared" si="1"/>
        <v>17</v>
      </c>
      <c r="B22" s="1207">
        <f>+'Apr11-Mar12 Billed-RETAIL'!B22</f>
        <v>40664</v>
      </c>
      <c r="C22" s="1207" t="str">
        <f>+'Apr11-Mar12 Billed-RETAIL'!C22</f>
        <v>LGCMG875</v>
      </c>
      <c r="D22" s="205" t="str">
        <f>+'Apr11-Mar12 Billed-RETAIL'!D22</f>
        <v>875</v>
      </c>
      <c r="E22" s="205" t="str">
        <f>+'Apr11-Mar12 Billed-RETAIL'!E22</f>
        <v>DGGS-C</v>
      </c>
      <c r="F22" s="1208"/>
      <c r="G22" s="1208"/>
      <c r="H22" s="234"/>
      <c r="I22" s="234"/>
      <c r="J22" s="234">
        <v>0</v>
      </c>
      <c r="K22" s="234">
        <v>0</v>
      </c>
      <c r="L22" s="234">
        <v>0</v>
      </c>
      <c r="M22" s="234"/>
      <c r="N22" s="234">
        <v>0</v>
      </c>
      <c r="O22" s="234"/>
      <c r="P22" s="234"/>
    </row>
    <row r="23" spans="1:16" x14ac:dyDescent="0.25">
      <c r="A23" s="550">
        <f t="shared" si="1"/>
        <v>18</v>
      </c>
      <c r="B23" s="1207">
        <f>+'Apr11-Mar12 Billed-RETAIL'!B23</f>
        <v>40664</v>
      </c>
      <c r="C23" s="1207" t="str">
        <f>+'Apr11-Mar12 Billed-RETAIL'!C23</f>
        <v>LGING855</v>
      </c>
      <c r="D23" s="205" t="str">
        <f>+'Apr11-Mar12 Billed-RETAIL'!D23</f>
        <v>855</v>
      </c>
      <c r="E23" s="205" t="str">
        <f>+'Apr11-Mar12 Billed-RETAIL'!E23</f>
        <v>IGS</v>
      </c>
      <c r="F23" s="1208">
        <v>118</v>
      </c>
      <c r="G23" s="1208">
        <v>100</v>
      </c>
      <c r="H23" s="234"/>
      <c r="I23" s="234"/>
      <c r="J23" s="234">
        <v>13</v>
      </c>
      <c r="K23" s="234">
        <v>73.67</v>
      </c>
      <c r="L23" s="234">
        <v>0</v>
      </c>
      <c r="M23" s="234"/>
      <c r="N23" s="234">
        <v>-7129.9020800000289</v>
      </c>
      <c r="O23" s="234"/>
      <c r="P23" s="234"/>
    </row>
    <row r="24" spans="1:16" x14ac:dyDescent="0.25">
      <c r="A24" s="550">
        <f t="shared" si="1"/>
        <v>19</v>
      </c>
      <c r="B24" s="1207">
        <f>+'Apr11-Mar12 Billed-RETAIL'!B24</f>
        <v>40664</v>
      </c>
      <c r="C24" s="1207" t="str">
        <f>+'Apr11-Mar12 Billed-RETAIL'!C24</f>
        <v>LGRSG811</v>
      </c>
      <c r="D24" s="205" t="str">
        <f>+'Apr11-Mar12 Billed-RETAIL'!D24</f>
        <v>811</v>
      </c>
      <c r="E24" s="205" t="str">
        <f>+'Apr11-Mar12 Billed-RETAIL'!E24</f>
        <v>RGS</v>
      </c>
      <c r="F24" s="1208"/>
      <c r="G24" s="1208"/>
      <c r="H24" s="1353">
        <f>-1272-1</f>
        <v>-1273</v>
      </c>
      <c r="I24" s="234"/>
      <c r="J24" s="234">
        <f>5+12-9.81</f>
        <v>7.1899999999999995</v>
      </c>
      <c r="K24" s="234">
        <v>0</v>
      </c>
      <c r="L24" s="234">
        <v>-30.04</v>
      </c>
      <c r="M24" s="234"/>
      <c r="N24" s="234">
        <v>-157299.58286000043</v>
      </c>
      <c r="O24" s="234"/>
      <c r="P24" s="234"/>
    </row>
    <row r="25" spans="1:16" x14ac:dyDescent="0.25">
      <c r="A25" s="550">
        <f t="shared" si="1"/>
        <v>20</v>
      </c>
      <c r="B25" s="1207">
        <f>+'Apr11-Mar12 Billed-RETAIL'!B25</f>
        <v>40664</v>
      </c>
      <c r="C25" s="1207" t="str">
        <f>+'Apr11-Mar12 Billed-RETAIL'!C25</f>
        <v>LGRSG811S1</v>
      </c>
      <c r="D25" s="205" t="str">
        <f>+'Apr11-Mar12 Billed-RETAIL'!D25</f>
        <v>811</v>
      </c>
      <c r="E25" s="205" t="str">
        <f>+'Apr11-Mar12 Billed-RETAIL'!E25</f>
        <v>RGS</v>
      </c>
      <c r="F25" s="1208"/>
      <c r="G25" s="1208"/>
      <c r="H25" s="234"/>
      <c r="I25" s="234"/>
      <c r="J25" s="234">
        <v>-12</v>
      </c>
      <c r="K25" s="234">
        <v>0</v>
      </c>
      <c r="L25" s="234">
        <v>-142.07</v>
      </c>
      <c r="M25" s="234"/>
      <c r="N25" s="234">
        <v>-2.77503999999999</v>
      </c>
      <c r="O25" s="234"/>
      <c r="P25" s="234"/>
    </row>
    <row r="26" spans="1:16" x14ac:dyDescent="0.25">
      <c r="A26" s="550">
        <f t="shared" si="1"/>
        <v>21</v>
      </c>
      <c r="B26" s="1207">
        <f>+'Apr11-Mar12 Billed-RETAIL'!B26</f>
        <v>40664</v>
      </c>
      <c r="C26" s="1207" t="str">
        <f>+'Apr11-Mar12 Billed-RETAIL'!C26</f>
        <v>LGRSG840</v>
      </c>
      <c r="D26" s="205" t="str">
        <f>+'Apr11-Mar12 Billed-RETAIL'!D26</f>
        <v>840</v>
      </c>
      <c r="E26" s="205" t="str">
        <f>+'Apr11-Mar12 Billed-RETAIL'!E26</f>
        <v>RGS</v>
      </c>
      <c r="F26" s="1208"/>
      <c r="G26" s="1208"/>
      <c r="H26" s="234"/>
      <c r="I26" s="234"/>
      <c r="J26" s="234">
        <v>0</v>
      </c>
      <c r="K26" s="234">
        <v>0</v>
      </c>
      <c r="L26" s="234">
        <v>0</v>
      </c>
      <c r="M26" s="234"/>
      <c r="N26" s="234"/>
      <c r="O26" s="234"/>
      <c r="P26" s="234"/>
    </row>
    <row r="27" spans="1:16" x14ac:dyDescent="0.25">
      <c r="A27" s="550">
        <f t="shared" si="1"/>
        <v>22</v>
      </c>
      <c r="B27" s="1207">
        <f>+'Apr11-Mar12 Billed-RETAIL'!B27</f>
        <v>40664</v>
      </c>
      <c r="C27" s="1207" t="str">
        <f>+'Apr11-Mar12 Billed-RETAIL'!C27</f>
        <v>LGUMG830</v>
      </c>
      <c r="D27" s="205" t="str">
        <f>+'Apr11-Mar12 Billed-RETAIL'!D27</f>
        <v>830</v>
      </c>
      <c r="E27" s="205" t="str">
        <f>+'Apr11-Mar12 Billed-RETAIL'!E27</f>
        <v>RGS</v>
      </c>
      <c r="F27" s="1208"/>
      <c r="G27" s="1208"/>
      <c r="H27" s="1355">
        <v>1</v>
      </c>
      <c r="I27" s="1355"/>
      <c r="J27" s="234">
        <v>0</v>
      </c>
      <c r="K27" s="234">
        <v>0</v>
      </c>
      <c r="L27" s="234">
        <v>0</v>
      </c>
      <c r="M27" s="234"/>
      <c r="N27" s="234">
        <v>-0.34575999999999851</v>
      </c>
      <c r="O27" s="234"/>
      <c r="P27" s="234"/>
    </row>
    <row r="28" spans="1:16" x14ac:dyDescent="0.25">
      <c r="A28" s="550">
        <f t="shared" si="1"/>
        <v>23</v>
      </c>
      <c r="B28" s="1207">
        <f>+'Apr11-Mar12 Billed-RETAIL'!B28</f>
        <v>40695</v>
      </c>
      <c r="C28" s="1207" t="str">
        <f>+'Apr11-Mar12 Billed-RETAIL'!C28</f>
        <v>LGCMG865</v>
      </c>
      <c r="D28" s="205" t="str">
        <f>+'Apr11-Mar12 Billed-RETAIL'!D28</f>
        <v>865</v>
      </c>
      <c r="E28" s="205" t="str">
        <f>+'Apr11-Mar12 Billed-RETAIL'!E28</f>
        <v>AAGS-C</v>
      </c>
      <c r="F28" s="1208"/>
      <c r="G28" s="1208"/>
      <c r="H28" s="1209">
        <v>1</v>
      </c>
      <c r="I28" s="234"/>
      <c r="J28" s="234">
        <v>0</v>
      </c>
      <c r="K28" s="234">
        <v>0</v>
      </c>
      <c r="L28" s="234">
        <v>0</v>
      </c>
      <c r="M28" s="234"/>
      <c r="N28" s="234"/>
      <c r="O28" s="234"/>
      <c r="P28" s="234"/>
    </row>
    <row r="29" spans="1:16" x14ac:dyDescent="0.25">
      <c r="A29" s="550">
        <f t="shared" si="1"/>
        <v>24</v>
      </c>
      <c r="B29" s="1207">
        <f>+'Apr11-Mar12 Billed-RETAIL'!B29</f>
        <v>40695</v>
      </c>
      <c r="C29" s="1207" t="str">
        <f>+'Apr11-Mar12 Billed-RETAIL'!C29</f>
        <v>LGING866</v>
      </c>
      <c r="D29" s="205" t="str">
        <f>+'Apr11-Mar12 Billed-RETAIL'!D29</f>
        <v>866</v>
      </c>
      <c r="E29" s="205" t="str">
        <f>+'Apr11-Mar12 Billed-RETAIL'!E29</f>
        <v>AAGS-I</v>
      </c>
      <c r="F29" s="1208"/>
      <c r="G29" s="1208"/>
      <c r="H29" s="1209">
        <v>1</v>
      </c>
      <c r="I29" s="234"/>
      <c r="J29" s="234">
        <v>0</v>
      </c>
      <c r="K29" s="234">
        <v>0</v>
      </c>
      <c r="L29" s="234">
        <v>0</v>
      </c>
      <c r="M29" s="234"/>
      <c r="N29" s="234"/>
      <c r="O29" s="234"/>
      <c r="P29" s="234"/>
    </row>
    <row r="30" spans="1:16" x14ac:dyDescent="0.25">
      <c r="A30" s="550">
        <f t="shared" si="1"/>
        <v>25</v>
      </c>
      <c r="B30" s="1207">
        <f>+'Apr11-Mar12 Billed-RETAIL'!B30</f>
        <v>40695</v>
      </c>
      <c r="C30" s="1207" t="str">
        <f>+'Apr11-Mar12 Billed-RETAIL'!C30</f>
        <v>LGCMG851</v>
      </c>
      <c r="D30" s="205" t="str">
        <f>+'Apr11-Mar12 Billed-RETAIL'!D30</f>
        <v>851</v>
      </c>
      <c r="E30" s="205" t="str">
        <f>+'Apr11-Mar12 Billed-RETAIL'!E30</f>
        <v>CGS</v>
      </c>
      <c r="F30" s="1351">
        <v>23948</v>
      </c>
      <c r="G30" s="1351">
        <v>1061</v>
      </c>
      <c r="H30" s="234"/>
      <c r="I30" s="234"/>
      <c r="J30" s="234">
        <v>762.83</v>
      </c>
      <c r="K30" s="234">
        <v>-73.650000000000006</v>
      </c>
      <c r="L30" s="234">
        <v>23.84</v>
      </c>
      <c r="M30" s="234"/>
      <c r="N30" s="234"/>
      <c r="O30" s="234"/>
      <c r="P30" s="234"/>
    </row>
    <row r="31" spans="1:16" x14ac:dyDescent="0.25">
      <c r="A31" s="550">
        <f t="shared" si="1"/>
        <v>26</v>
      </c>
      <c r="B31" s="1207">
        <f>+'Apr11-Mar12 Billed-RETAIL'!B31</f>
        <v>40695</v>
      </c>
      <c r="C31" s="1207" t="str">
        <f>+'Apr11-Mar12 Billed-RETAIL'!C31</f>
        <v>LGUMG860</v>
      </c>
      <c r="D31" s="205" t="str">
        <f>+'Apr11-Mar12 Billed-RETAIL'!D31</f>
        <v>860</v>
      </c>
      <c r="E31" s="205" t="str">
        <f>+'Apr11-Mar12 Billed-RETAIL'!E31</f>
        <v>CGS</v>
      </c>
      <c r="F31" s="1351">
        <v>19</v>
      </c>
      <c r="G31" s="1351">
        <v>0</v>
      </c>
      <c r="H31" s="234"/>
      <c r="I31" s="234"/>
      <c r="J31" s="234">
        <v>0</v>
      </c>
      <c r="K31" s="234">
        <v>0</v>
      </c>
      <c r="L31" s="1352">
        <v>0</v>
      </c>
      <c r="M31" s="234"/>
      <c r="N31" s="234"/>
      <c r="O31" s="234"/>
      <c r="P31" s="234"/>
    </row>
    <row r="32" spans="1:16" x14ac:dyDescent="0.25">
      <c r="A32" s="550">
        <f t="shared" si="1"/>
        <v>27</v>
      </c>
      <c r="B32" s="1207">
        <f>+'Apr11-Mar12 Billed-RETAIL'!B32</f>
        <v>40695</v>
      </c>
      <c r="C32" s="1207" t="str">
        <f>+'Apr11-Mar12 Billed-RETAIL'!C32</f>
        <v>LGUMG861</v>
      </c>
      <c r="D32" s="205" t="str">
        <f>+'Apr11-Mar12 Billed-RETAIL'!D32</f>
        <v>861</v>
      </c>
      <c r="E32" s="205" t="str">
        <f>+'Apr11-Mar12 Billed-RETAIL'!E32</f>
        <v>CGS</v>
      </c>
      <c r="F32" s="1351">
        <v>625</v>
      </c>
      <c r="G32" s="1351">
        <v>0</v>
      </c>
      <c r="H32" s="234"/>
      <c r="I32" s="234"/>
      <c r="J32" s="234">
        <v>23</v>
      </c>
      <c r="K32" s="234">
        <v>0</v>
      </c>
      <c r="L32" s="234">
        <v>1.61</v>
      </c>
      <c r="M32" s="234"/>
      <c r="N32" s="234"/>
      <c r="O32" s="234"/>
      <c r="P32" s="234"/>
    </row>
    <row r="33" spans="1:16" x14ac:dyDescent="0.25">
      <c r="A33" s="550">
        <f t="shared" si="1"/>
        <v>28</v>
      </c>
      <c r="B33" s="1207">
        <f>+'Apr11-Mar12 Billed-RETAIL'!B33</f>
        <v>40695</v>
      </c>
      <c r="C33" s="1207" t="str">
        <f>+'Apr11-Mar12 Billed-RETAIL'!C33</f>
        <v>LGCMG875</v>
      </c>
      <c r="D33" s="205" t="str">
        <f>+'Apr11-Mar12 Billed-RETAIL'!D33</f>
        <v>875</v>
      </c>
      <c r="E33" s="205" t="str">
        <f>+'Apr11-Mar12 Billed-RETAIL'!E33</f>
        <v>DGGS-C</v>
      </c>
      <c r="F33" s="1208"/>
      <c r="G33" s="1208"/>
      <c r="H33" s="234"/>
      <c r="I33" s="234"/>
      <c r="J33" s="234">
        <v>0</v>
      </c>
      <c r="K33" s="234">
        <v>0</v>
      </c>
      <c r="L33" s="234">
        <v>0</v>
      </c>
      <c r="M33" s="234"/>
      <c r="N33" s="234"/>
      <c r="O33" s="234"/>
      <c r="P33" s="234"/>
    </row>
    <row r="34" spans="1:16" x14ac:dyDescent="0.25">
      <c r="A34" s="550">
        <f t="shared" si="1"/>
        <v>29</v>
      </c>
      <c r="B34" s="1207">
        <f>+'Apr11-Mar12 Billed-RETAIL'!B34</f>
        <v>40695</v>
      </c>
      <c r="C34" s="1207" t="str">
        <f>+'Apr11-Mar12 Billed-RETAIL'!C34</f>
        <v>LGING855</v>
      </c>
      <c r="D34" s="205" t="str">
        <f>+'Apr11-Mar12 Billed-RETAIL'!D34</f>
        <v>855</v>
      </c>
      <c r="E34" s="205" t="str">
        <f>+'Apr11-Mar12 Billed-RETAIL'!E34</f>
        <v>IGS</v>
      </c>
      <c r="F34" s="1208">
        <v>109</v>
      </c>
      <c r="G34" s="1208">
        <v>102</v>
      </c>
      <c r="H34" s="234"/>
      <c r="I34" s="234"/>
      <c r="J34" s="234">
        <v>0</v>
      </c>
      <c r="K34" s="234">
        <v>0</v>
      </c>
      <c r="L34" s="234">
        <v>0</v>
      </c>
      <c r="M34" s="234"/>
      <c r="N34" s="234"/>
      <c r="O34" s="234"/>
      <c r="P34" s="234"/>
    </row>
    <row r="35" spans="1:16" x14ac:dyDescent="0.25">
      <c r="A35" s="550">
        <f t="shared" si="1"/>
        <v>30</v>
      </c>
      <c r="B35" s="1207">
        <f>+'Apr11-Mar12 Billed-RETAIL'!B35</f>
        <v>40695</v>
      </c>
      <c r="C35" s="1207" t="str">
        <f>+'Apr11-Mar12 Billed-RETAIL'!C35</f>
        <v>LGRSG811</v>
      </c>
      <c r="D35" s="205" t="str">
        <f>+'Apr11-Mar12 Billed-RETAIL'!D35</f>
        <v>811</v>
      </c>
      <c r="E35" s="205" t="str">
        <f>+'Apr11-Mar12 Billed-RETAIL'!E35</f>
        <v>RGS</v>
      </c>
      <c r="F35" s="1208"/>
      <c r="G35" s="1208"/>
      <c r="H35" s="1353">
        <f>-874-1</f>
        <v>-875</v>
      </c>
      <c r="I35" s="234"/>
      <c r="J35" s="234">
        <f>8+7.06</f>
        <v>15.059999999999999</v>
      </c>
      <c r="K35" s="234">
        <v>0</v>
      </c>
      <c r="L35" s="234">
        <v>70.489999999999995</v>
      </c>
      <c r="M35" s="234"/>
      <c r="N35" s="234"/>
      <c r="O35" s="234"/>
      <c r="P35" s="234"/>
    </row>
    <row r="36" spans="1:16" x14ac:dyDescent="0.25">
      <c r="A36" s="550">
        <f t="shared" si="1"/>
        <v>31</v>
      </c>
      <c r="B36" s="1207">
        <f>+'Apr11-Mar12 Billed-RETAIL'!B36</f>
        <v>40695</v>
      </c>
      <c r="C36" s="1207" t="str">
        <f>+'Apr11-Mar12 Billed-RETAIL'!C36</f>
        <v>LGRSG811S1</v>
      </c>
      <c r="D36" s="205" t="str">
        <f>+'Apr11-Mar12 Billed-RETAIL'!D36</f>
        <v>811</v>
      </c>
      <c r="E36" s="205" t="str">
        <f>+'Apr11-Mar12 Billed-RETAIL'!E36</f>
        <v>RGS</v>
      </c>
      <c r="F36" s="1208"/>
      <c r="G36" s="1208"/>
      <c r="H36" s="234"/>
      <c r="I36" s="234"/>
      <c r="J36" s="234">
        <v>-12</v>
      </c>
      <c r="K36" s="234">
        <v>0</v>
      </c>
      <c r="L36" s="234">
        <v>-47.89</v>
      </c>
      <c r="M36" s="234"/>
      <c r="N36" s="234"/>
      <c r="O36" s="234"/>
      <c r="P36" s="234"/>
    </row>
    <row r="37" spans="1:16" x14ac:dyDescent="0.25">
      <c r="A37" s="550">
        <f t="shared" si="1"/>
        <v>32</v>
      </c>
      <c r="B37" s="1207">
        <f>+'Apr11-Mar12 Billed-RETAIL'!B37</f>
        <v>40695</v>
      </c>
      <c r="C37" s="1207" t="str">
        <f>+'Apr11-Mar12 Billed-RETAIL'!C37</f>
        <v>LGRSG840</v>
      </c>
      <c r="D37" s="205" t="str">
        <f>+'Apr11-Mar12 Billed-RETAIL'!D37</f>
        <v>840</v>
      </c>
      <c r="E37" s="205" t="str">
        <f>+'Apr11-Mar12 Billed-RETAIL'!E37</f>
        <v>RGS</v>
      </c>
      <c r="F37" s="1208"/>
      <c r="G37" s="1208"/>
      <c r="H37" s="234"/>
      <c r="I37" s="234"/>
      <c r="J37" s="234">
        <v>0</v>
      </c>
      <c r="K37" s="234">
        <v>0</v>
      </c>
      <c r="L37" s="234">
        <v>-0.01</v>
      </c>
      <c r="M37" s="234"/>
      <c r="N37" s="234"/>
      <c r="O37" s="234"/>
      <c r="P37" s="234"/>
    </row>
    <row r="38" spans="1:16" x14ac:dyDescent="0.25">
      <c r="A38" s="550">
        <f t="shared" si="1"/>
        <v>33</v>
      </c>
      <c r="B38" s="1207">
        <f>+'Apr11-Mar12 Billed-RETAIL'!B38</f>
        <v>40695</v>
      </c>
      <c r="C38" s="1207" t="str">
        <f>+'Apr11-Mar12 Billed-RETAIL'!C38</f>
        <v>LGUMG830</v>
      </c>
      <c r="D38" s="205" t="str">
        <f>+'Apr11-Mar12 Billed-RETAIL'!D38</f>
        <v>830</v>
      </c>
      <c r="E38" s="205" t="str">
        <f>+'Apr11-Mar12 Billed-RETAIL'!E38</f>
        <v>RGS</v>
      </c>
      <c r="F38" s="1208"/>
      <c r="G38" s="1208"/>
      <c r="H38" s="1355">
        <v>1</v>
      </c>
      <c r="I38" s="1355"/>
      <c r="J38" s="234">
        <v>0</v>
      </c>
      <c r="K38" s="234">
        <v>0</v>
      </c>
      <c r="L38" s="234">
        <v>0</v>
      </c>
      <c r="M38" s="234"/>
      <c r="N38" s="234"/>
      <c r="O38" s="234"/>
      <c r="P38" s="234"/>
    </row>
    <row r="39" spans="1:16" x14ac:dyDescent="0.25">
      <c r="A39" s="550">
        <f t="shared" si="1"/>
        <v>34</v>
      </c>
      <c r="B39" s="1207">
        <f>+'Apr11-Mar12 Billed-RETAIL'!B39</f>
        <v>40725</v>
      </c>
      <c r="C39" s="1207" t="str">
        <f>+'Apr11-Mar12 Billed-RETAIL'!C39</f>
        <v>LGCMG865</v>
      </c>
      <c r="D39" s="205" t="str">
        <f>+'Apr11-Mar12 Billed-RETAIL'!D39</f>
        <v>865</v>
      </c>
      <c r="E39" s="205" t="str">
        <f>+'Apr11-Mar12 Billed-RETAIL'!E39</f>
        <v>AAGS-C</v>
      </c>
      <c r="F39" s="1208"/>
      <c r="G39" s="1208"/>
      <c r="H39" s="234"/>
      <c r="I39" s="234"/>
      <c r="J39" s="234">
        <v>0</v>
      </c>
      <c r="K39" s="234">
        <v>0</v>
      </c>
      <c r="L39" s="234">
        <v>0</v>
      </c>
      <c r="M39" s="234"/>
      <c r="N39" s="234"/>
      <c r="O39" s="234"/>
      <c r="P39" s="234"/>
    </row>
    <row r="40" spans="1:16" x14ac:dyDescent="0.25">
      <c r="A40" s="550">
        <f t="shared" si="1"/>
        <v>35</v>
      </c>
      <c r="B40" s="1207">
        <f>+'Apr11-Mar12 Billed-RETAIL'!B40</f>
        <v>40725</v>
      </c>
      <c r="C40" s="1207" t="str">
        <f>+'Apr11-Mar12 Billed-RETAIL'!C40</f>
        <v>LGING866</v>
      </c>
      <c r="D40" s="205" t="str">
        <f>+'Apr11-Mar12 Billed-RETAIL'!D40</f>
        <v>866</v>
      </c>
      <c r="E40" s="205" t="str">
        <f>+'Apr11-Mar12 Billed-RETAIL'!E40</f>
        <v>AAGS-I</v>
      </c>
      <c r="F40" s="1208"/>
      <c r="G40" s="1208"/>
      <c r="H40" s="1209">
        <v>1</v>
      </c>
      <c r="I40" s="234"/>
      <c r="J40" s="234">
        <v>0</v>
      </c>
      <c r="K40" s="234">
        <v>0</v>
      </c>
      <c r="L40" s="234">
        <v>0</v>
      </c>
      <c r="M40" s="234"/>
      <c r="N40" s="234"/>
      <c r="O40" s="234"/>
      <c r="P40" s="234"/>
    </row>
    <row r="41" spans="1:16" x14ac:dyDescent="0.25">
      <c r="A41" s="550">
        <f t="shared" si="1"/>
        <v>36</v>
      </c>
      <c r="B41" s="1207">
        <f>+'Apr11-Mar12 Billed-RETAIL'!B41</f>
        <v>40725</v>
      </c>
      <c r="C41" s="1207" t="str">
        <f>+'Apr11-Mar12 Billed-RETAIL'!C41</f>
        <v>LGCMG851</v>
      </c>
      <c r="D41" s="205" t="str">
        <f>+'Apr11-Mar12 Billed-RETAIL'!D41</f>
        <v>851</v>
      </c>
      <c r="E41" s="205" t="str">
        <f>+'Apr11-Mar12 Billed-RETAIL'!E41</f>
        <v>CGS</v>
      </c>
      <c r="F41" s="1351">
        <v>23254</v>
      </c>
      <c r="G41" s="1351">
        <v>1031</v>
      </c>
      <c r="H41" s="234"/>
      <c r="I41" s="234"/>
      <c r="J41" s="234">
        <f>1157.17+30</f>
        <v>1187.17</v>
      </c>
      <c r="K41" s="234">
        <v>225</v>
      </c>
      <c r="L41" s="234">
        <v>-20.05</v>
      </c>
      <c r="M41" s="234"/>
      <c r="N41" s="234"/>
      <c r="O41" s="234"/>
      <c r="P41" s="234"/>
    </row>
    <row r="42" spans="1:16" x14ac:dyDescent="0.25">
      <c r="A42" s="550">
        <f t="shared" si="1"/>
        <v>37</v>
      </c>
      <c r="B42" s="1207">
        <f>+'Apr11-Mar12 Billed-RETAIL'!B42</f>
        <v>40725</v>
      </c>
      <c r="C42" s="1207" t="str">
        <f>+'Apr11-Mar12 Billed-RETAIL'!C42</f>
        <v>LGUMG860</v>
      </c>
      <c r="D42" s="205" t="str">
        <f>+'Apr11-Mar12 Billed-RETAIL'!D42</f>
        <v>860</v>
      </c>
      <c r="E42" s="205" t="str">
        <f>+'Apr11-Mar12 Billed-RETAIL'!E42</f>
        <v>CGS</v>
      </c>
      <c r="F42" s="1351">
        <v>19</v>
      </c>
      <c r="G42" s="1351">
        <v>0</v>
      </c>
      <c r="H42" s="234"/>
      <c r="I42" s="234"/>
      <c r="J42" s="234">
        <v>0</v>
      </c>
      <c r="K42" s="234">
        <v>0</v>
      </c>
      <c r="L42" s="1352">
        <v>0</v>
      </c>
      <c r="M42" s="234"/>
      <c r="N42" s="234"/>
      <c r="O42" s="234"/>
      <c r="P42" s="234"/>
    </row>
    <row r="43" spans="1:16" x14ac:dyDescent="0.25">
      <c r="A43" s="550">
        <f t="shared" si="1"/>
        <v>38</v>
      </c>
      <c r="B43" s="1207">
        <f>+'Apr11-Mar12 Billed-RETAIL'!B43</f>
        <v>40725</v>
      </c>
      <c r="C43" s="1207" t="str">
        <f>+'Apr11-Mar12 Billed-RETAIL'!C43</f>
        <v>LGUMG861</v>
      </c>
      <c r="D43" s="205" t="str">
        <f>+'Apr11-Mar12 Billed-RETAIL'!D43</f>
        <v>861</v>
      </c>
      <c r="E43" s="205" t="str">
        <f>+'Apr11-Mar12 Billed-RETAIL'!E43</f>
        <v>CGS</v>
      </c>
      <c r="F43" s="1351">
        <v>639</v>
      </c>
      <c r="G43" s="1351">
        <v>0</v>
      </c>
      <c r="H43" s="234"/>
      <c r="I43" s="234"/>
      <c r="J43" s="234">
        <v>-14.36</v>
      </c>
      <c r="K43" s="234">
        <v>0</v>
      </c>
      <c r="L43" s="234">
        <v>1.42</v>
      </c>
      <c r="M43" s="234"/>
      <c r="N43" s="234"/>
      <c r="O43" s="234"/>
      <c r="P43" s="234"/>
    </row>
    <row r="44" spans="1:16" x14ac:dyDescent="0.25">
      <c r="A44" s="550">
        <f t="shared" si="1"/>
        <v>39</v>
      </c>
      <c r="B44" s="1207">
        <f>+'Apr11-Mar12 Billed-RETAIL'!B44</f>
        <v>40725</v>
      </c>
      <c r="C44" s="1207" t="str">
        <f>+'Apr11-Mar12 Billed-RETAIL'!C44</f>
        <v>LGCMG875</v>
      </c>
      <c r="D44" s="205" t="str">
        <f>+'Apr11-Mar12 Billed-RETAIL'!D44</f>
        <v>875</v>
      </c>
      <c r="E44" s="205" t="str">
        <f>+'Apr11-Mar12 Billed-RETAIL'!E44</f>
        <v>DGGS-C</v>
      </c>
      <c r="F44" s="1208"/>
      <c r="G44" s="1208"/>
      <c r="H44" s="234"/>
      <c r="I44" s="234"/>
      <c r="J44" s="234">
        <v>0</v>
      </c>
      <c r="K44" s="234">
        <v>0</v>
      </c>
      <c r="L44" s="234">
        <v>0</v>
      </c>
      <c r="M44" s="234"/>
      <c r="N44" s="234"/>
      <c r="O44" s="234"/>
      <c r="P44" s="234"/>
    </row>
    <row r="45" spans="1:16" x14ac:dyDescent="0.25">
      <c r="A45" s="550">
        <f t="shared" si="1"/>
        <v>40</v>
      </c>
      <c r="B45" s="1207">
        <f>+'Apr11-Mar12 Billed-RETAIL'!B45</f>
        <v>40725</v>
      </c>
      <c r="C45" s="1207" t="str">
        <f>+'Apr11-Mar12 Billed-RETAIL'!C45</f>
        <v>LGING855</v>
      </c>
      <c r="D45" s="205" t="str">
        <f>+'Apr11-Mar12 Billed-RETAIL'!D45</f>
        <v>855</v>
      </c>
      <c r="E45" s="205" t="str">
        <f>+'Apr11-Mar12 Billed-RETAIL'!E45</f>
        <v>IGS</v>
      </c>
      <c r="F45" s="1208">
        <v>108</v>
      </c>
      <c r="G45" s="1208">
        <v>97</v>
      </c>
      <c r="H45" s="234"/>
      <c r="I45" s="234"/>
      <c r="J45" s="234">
        <v>1</v>
      </c>
      <c r="K45" s="234">
        <v>0</v>
      </c>
      <c r="L45" s="234">
        <v>0</v>
      </c>
      <c r="M45" s="234"/>
      <c r="N45" s="234"/>
      <c r="O45" s="234"/>
      <c r="P45" s="234"/>
    </row>
    <row r="46" spans="1:16" x14ac:dyDescent="0.25">
      <c r="A46" s="550">
        <f t="shared" si="1"/>
        <v>41</v>
      </c>
      <c r="B46" s="1207">
        <f>+'Apr11-Mar12 Billed-RETAIL'!B46</f>
        <v>40725</v>
      </c>
      <c r="C46" s="1207" t="str">
        <f>+'Apr11-Mar12 Billed-RETAIL'!C46</f>
        <v>LGRSG811</v>
      </c>
      <c r="D46" s="205" t="str">
        <f>+'Apr11-Mar12 Billed-RETAIL'!D46</f>
        <v>811</v>
      </c>
      <c r="E46" s="205" t="str">
        <f>+'Apr11-Mar12 Billed-RETAIL'!E46</f>
        <v>RGS</v>
      </c>
      <c r="F46" s="1208"/>
      <c r="G46" s="1208"/>
      <c r="H46" s="1353">
        <f>-853-1</f>
        <v>-854</v>
      </c>
      <c r="I46" s="234"/>
      <c r="J46" s="234">
        <f>11+1.16</f>
        <v>12.16</v>
      </c>
      <c r="K46" s="234">
        <v>0</v>
      </c>
      <c r="L46" s="234">
        <v>112.07</v>
      </c>
      <c r="M46" s="234"/>
      <c r="N46" s="234"/>
      <c r="O46" s="234"/>
      <c r="P46" s="234"/>
    </row>
    <row r="47" spans="1:16" x14ac:dyDescent="0.25">
      <c r="A47" s="550">
        <f t="shared" si="1"/>
        <v>42</v>
      </c>
      <c r="B47" s="1207">
        <f>+'Apr11-Mar12 Billed-RETAIL'!B47</f>
        <v>40725</v>
      </c>
      <c r="C47" s="1207" t="str">
        <f>+'Apr11-Mar12 Billed-RETAIL'!C47</f>
        <v>LGRSG811S1</v>
      </c>
      <c r="D47" s="205" t="str">
        <f>+'Apr11-Mar12 Billed-RETAIL'!D47</f>
        <v>811</v>
      </c>
      <c r="E47" s="205" t="str">
        <f>+'Apr11-Mar12 Billed-RETAIL'!E47</f>
        <v>RGS</v>
      </c>
      <c r="F47" s="1208"/>
      <c r="G47" s="1208"/>
      <c r="H47" s="234"/>
      <c r="I47" s="234"/>
      <c r="J47" s="234">
        <v>-12</v>
      </c>
      <c r="K47" s="234">
        <v>0</v>
      </c>
      <c r="L47" s="234">
        <v>-13.18</v>
      </c>
      <c r="M47" s="234"/>
      <c r="N47" s="234"/>
      <c r="O47" s="234"/>
      <c r="P47" s="234"/>
    </row>
    <row r="48" spans="1:16" x14ac:dyDescent="0.25">
      <c r="A48" s="550">
        <f t="shared" si="1"/>
        <v>43</v>
      </c>
      <c r="B48" s="1207">
        <f>+'Apr11-Mar12 Billed-RETAIL'!B48</f>
        <v>40725</v>
      </c>
      <c r="C48" s="1207" t="str">
        <f>+'Apr11-Mar12 Billed-RETAIL'!C48</f>
        <v>LGRSG840</v>
      </c>
      <c r="D48" s="205" t="str">
        <f>+'Apr11-Mar12 Billed-RETAIL'!D48</f>
        <v>840</v>
      </c>
      <c r="E48" s="205" t="str">
        <f>+'Apr11-Mar12 Billed-RETAIL'!E48</f>
        <v>RGS</v>
      </c>
      <c r="F48" s="1208"/>
      <c r="G48" s="1208"/>
      <c r="H48" s="234"/>
      <c r="I48" s="234"/>
      <c r="J48" s="234">
        <v>0</v>
      </c>
      <c r="K48" s="234">
        <v>0</v>
      </c>
      <c r="L48" s="234">
        <v>0</v>
      </c>
      <c r="M48" s="234"/>
      <c r="N48" s="234"/>
      <c r="O48" s="234"/>
      <c r="P48" s="234"/>
    </row>
    <row r="49" spans="1:16" x14ac:dyDescent="0.25">
      <c r="A49" s="550">
        <f t="shared" si="1"/>
        <v>44</v>
      </c>
      <c r="B49" s="1207">
        <f>+'Apr11-Mar12 Billed-RETAIL'!B49</f>
        <v>40725</v>
      </c>
      <c r="C49" s="1207" t="str">
        <f>+'Apr11-Mar12 Billed-RETAIL'!C49</f>
        <v>LGUMG830</v>
      </c>
      <c r="D49" s="205" t="str">
        <f>+'Apr11-Mar12 Billed-RETAIL'!D49</f>
        <v>830</v>
      </c>
      <c r="E49" s="205" t="str">
        <f>+'Apr11-Mar12 Billed-RETAIL'!E49</f>
        <v>RGS</v>
      </c>
      <c r="F49" s="1208"/>
      <c r="G49" s="1208"/>
      <c r="H49" s="1355">
        <v>1</v>
      </c>
      <c r="I49" s="1355"/>
      <c r="J49" s="234">
        <v>0</v>
      </c>
      <c r="K49" s="234">
        <v>0</v>
      </c>
      <c r="L49" s="234">
        <v>0</v>
      </c>
      <c r="M49" s="234"/>
      <c r="N49" s="234"/>
      <c r="O49" s="234"/>
      <c r="P49" s="234"/>
    </row>
    <row r="50" spans="1:16" x14ac:dyDescent="0.25">
      <c r="A50" s="550">
        <f t="shared" si="1"/>
        <v>45</v>
      </c>
      <c r="B50" s="1207">
        <f>+'Apr11-Mar12 Billed-RETAIL'!B50</f>
        <v>40756</v>
      </c>
      <c r="C50" s="1207" t="str">
        <f>+'Apr11-Mar12 Billed-RETAIL'!C50</f>
        <v>LGCMG865</v>
      </c>
      <c r="D50" s="205" t="str">
        <f>+'Apr11-Mar12 Billed-RETAIL'!D50</f>
        <v>865</v>
      </c>
      <c r="E50" s="205" t="str">
        <f>+'Apr11-Mar12 Billed-RETAIL'!E50</f>
        <v>AAGS-C</v>
      </c>
      <c r="F50" s="1208"/>
      <c r="G50" s="1208"/>
      <c r="H50" s="1209">
        <v>1</v>
      </c>
      <c r="I50" s="234"/>
      <c r="J50" s="234">
        <v>0</v>
      </c>
      <c r="K50" s="234">
        <v>0</v>
      </c>
      <c r="L50" s="234">
        <v>0</v>
      </c>
      <c r="M50" s="234"/>
      <c r="N50" s="234"/>
      <c r="O50" s="234"/>
      <c r="P50" s="234"/>
    </row>
    <row r="51" spans="1:16" x14ac:dyDescent="0.25">
      <c r="A51" s="550">
        <f t="shared" si="1"/>
        <v>46</v>
      </c>
      <c r="B51" s="1207">
        <f>+'Apr11-Mar12 Billed-RETAIL'!B51</f>
        <v>40756</v>
      </c>
      <c r="C51" s="1207" t="str">
        <f>+'Apr11-Mar12 Billed-RETAIL'!C51</f>
        <v>LGING866</v>
      </c>
      <c r="D51" s="205" t="str">
        <f>+'Apr11-Mar12 Billed-RETAIL'!D51</f>
        <v>866</v>
      </c>
      <c r="E51" s="205" t="str">
        <f>+'Apr11-Mar12 Billed-RETAIL'!E51</f>
        <v>AAGS-I</v>
      </c>
      <c r="F51" s="1208"/>
      <c r="G51" s="1208"/>
      <c r="H51" s="1209">
        <v>1</v>
      </c>
      <c r="I51" s="234"/>
      <c r="J51" s="234">
        <v>0</v>
      </c>
      <c r="K51" s="234">
        <v>0</v>
      </c>
      <c r="L51" s="234">
        <v>0</v>
      </c>
      <c r="M51" s="234"/>
      <c r="N51" s="234"/>
      <c r="O51" s="234"/>
      <c r="P51" s="234"/>
    </row>
    <row r="52" spans="1:16" x14ac:dyDescent="0.25">
      <c r="A52" s="550">
        <f t="shared" si="1"/>
        <v>47</v>
      </c>
      <c r="B52" s="1207">
        <f>+'Apr11-Mar12 Billed-RETAIL'!B52</f>
        <v>40756</v>
      </c>
      <c r="C52" s="1207" t="str">
        <f>+'Apr11-Mar12 Billed-RETAIL'!C52</f>
        <v>LGCMG851</v>
      </c>
      <c r="D52" s="205" t="str">
        <f>+'Apr11-Mar12 Billed-RETAIL'!D52</f>
        <v>851</v>
      </c>
      <c r="E52" s="205" t="str">
        <f>+'Apr11-Mar12 Billed-RETAIL'!E52</f>
        <v>CGS</v>
      </c>
      <c r="F52" s="1351">
        <v>24599</v>
      </c>
      <c r="G52" s="1351">
        <v>1081</v>
      </c>
      <c r="H52" s="234"/>
      <c r="I52" s="234"/>
      <c r="J52" s="234">
        <v>769.56</v>
      </c>
      <c r="K52" s="234">
        <v>-158.66999999999999</v>
      </c>
      <c r="L52" s="234">
        <v>-0.25</v>
      </c>
      <c r="M52" s="234"/>
      <c r="N52" s="234"/>
      <c r="O52" s="234"/>
      <c r="P52" s="234"/>
    </row>
    <row r="53" spans="1:16" x14ac:dyDescent="0.25">
      <c r="A53" s="550">
        <f t="shared" si="1"/>
        <v>48</v>
      </c>
      <c r="B53" s="1207">
        <f>+'Apr11-Mar12 Billed-RETAIL'!B53</f>
        <v>40756</v>
      </c>
      <c r="C53" s="1207" t="str">
        <f>+'Apr11-Mar12 Billed-RETAIL'!C53</f>
        <v>LGUMG860</v>
      </c>
      <c r="D53" s="205" t="str">
        <f>+'Apr11-Mar12 Billed-RETAIL'!D53</f>
        <v>860</v>
      </c>
      <c r="E53" s="205" t="str">
        <f>+'Apr11-Mar12 Billed-RETAIL'!E53</f>
        <v>CGS</v>
      </c>
      <c r="F53" s="1351">
        <v>19</v>
      </c>
      <c r="G53" s="1351">
        <v>0</v>
      </c>
      <c r="H53" s="234"/>
      <c r="I53" s="234"/>
      <c r="J53" s="234">
        <v>0</v>
      </c>
      <c r="K53" s="234">
        <v>0</v>
      </c>
      <c r="L53" s="1352">
        <v>0</v>
      </c>
      <c r="M53" s="234"/>
      <c r="N53" s="234"/>
      <c r="O53" s="234"/>
      <c r="P53" s="234"/>
    </row>
    <row r="54" spans="1:16" x14ac:dyDescent="0.25">
      <c r="A54" s="550">
        <f t="shared" si="1"/>
        <v>49</v>
      </c>
      <c r="B54" s="1207">
        <f>+'Apr11-Mar12 Billed-RETAIL'!B54</f>
        <v>40756</v>
      </c>
      <c r="C54" s="1207" t="str">
        <f>+'Apr11-Mar12 Billed-RETAIL'!C54</f>
        <v>LGUMG861</v>
      </c>
      <c r="D54" s="205" t="str">
        <f>+'Apr11-Mar12 Billed-RETAIL'!D54</f>
        <v>861</v>
      </c>
      <c r="E54" s="205" t="str">
        <f>+'Apr11-Mar12 Billed-RETAIL'!E54</f>
        <v>CGS</v>
      </c>
      <c r="F54" s="1351">
        <v>621</v>
      </c>
      <c r="G54" s="1351">
        <v>0</v>
      </c>
      <c r="H54" s="234"/>
      <c r="I54" s="234"/>
      <c r="J54" s="234">
        <v>2</v>
      </c>
      <c r="K54" s="234">
        <v>0</v>
      </c>
      <c r="L54" s="234">
        <v>1.62</v>
      </c>
      <c r="M54" s="234"/>
      <c r="N54" s="234"/>
      <c r="O54" s="234"/>
      <c r="P54" s="234"/>
    </row>
    <row r="55" spans="1:16" x14ac:dyDescent="0.25">
      <c r="A55" s="550">
        <f t="shared" si="1"/>
        <v>50</v>
      </c>
      <c r="B55" s="1207">
        <f>+'Apr11-Mar12 Billed-RETAIL'!B55</f>
        <v>40756</v>
      </c>
      <c r="C55" s="1207" t="str">
        <f>+'Apr11-Mar12 Billed-RETAIL'!C55</f>
        <v>LGCMG875</v>
      </c>
      <c r="D55" s="205" t="str">
        <f>+'Apr11-Mar12 Billed-RETAIL'!D55</f>
        <v>875</v>
      </c>
      <c r="E55" s="205" t="str">
        <f>+'Apr11-Mar12 Billed-RETAIL'!E55</f>
        <v>DGGS-C</v>
      </c>
      <c r="F55" s="1208"/>
      <c r="G55" s="1208"/>
      <c r="H55" s="234"/>
      <c r="I55" s="234"/>
      <c r="J55" s="234">
        <v>0</v>
      </c>
      <c r="K55" s="234">
        <v>0</v>
      </c>
      <c r="L55" s="234">
        <v>0</v>
      </c>
      <c r="M55" s="234"/>
      <c r="N55" s="234"/>
      <c r="O55" s="234"/>
      <c r="P55" s="234"/>
    </row>
    <row r="56" spans="1:16" x14ac:dyDescent="0.25">
      <c r="A56" s="550">
        <f t="shared" si="1"/>
        <v>51</v>
      </c>
      <c r="B56" s="1207">
        <f>+'Apr11-Mar12 Billed-RETAIL'!B56</f>
        <v>40756</v>
      </c>
      <c r="C56" s="1207" t="str">
        <f>+'Apr11-Mar12 Billed-RETAIL'!C56</f>
        <v>LGING855</v>
      </c>
      <c r="D56" s="205" t="str">
        <f>+'Apr11-Mar12 Billed-RETAIL'!D56</f>
        <v>855</v>
      </c>
      <c r="E56" s="205" t="str">
        <f>+'Apr11-Mar12 Billed-RETAIL'!E56</f>
        <v>IGS</v>
      </c>
      <c r="F56" s="1208">
        <v>124</v>
      </c>
      <c r="G56" s="1208">
        <v>109</v>
      </c>
      <c r="H56" s="234"/>
      <c r="I56" s="234"/>
      <c r="J56" s="234">
        <v>0</v>
      </c>
      <c r="K56" s="234">
        <v>0</v>
      </c>
      <c r="L56" s="234">
        <v>0</v>
      </c>
      <c r="M56" s="234"/>
      <c r="N56" s="234"/>
      <c r="O56" s="234"/>
      <c r="P56" s="234"/>
    </row>
    <row r="57" spans="1:16" x14ac:dyDescent="0.25">
      <c r="A57" s="550">
        <f t="shared" si="1"/>
        <v>52</v>
      </c>
      <c r="B57" s="1207">
        <f>+'Apr11-Mar12 Billed-RETAIL'!B57</f>
        <v>40756</v>
      </c>
      <c r="C57" s="1207" t="str">
        <f>+'Apr11-Mar12 Billed-RETAIL'!C57</f>
        <v>LGRSG811</v>
      </c>
      <c r="D57" s="205" t="str">
        <f>+'Apr11-Mar12 Billed-RETAIL'!D57</f>
        <v>811</v>
      </c>
      <c r="E57" s="205" t="str">
        <f>+'Apr11-Mar12 Billed-RETAIL'!E57</f>
        <v>RGS</v>
      </c>
      <c r="F57" s="1208"/>
      <c r="G57" s="1208"/>
      <c r="H57" s="1353">
        <f>-573-1</f>
        <v>-574</v>
      </c>
      <c r="I57" s="234"/>
      <c r="J57" s="234">
        <f>14-3.98</f>
        <v>10.02</v>
      </c>
      <c r="K57" s="234">
        <v>0</v>
      </c>
      <c r="L57" s="234">
        <v>90.74</v>
      </c>
      <c r="M57" s="234"/>
      <c r="N57" s="234"/>
      <c r="O57" s="234"/>
      <c r="P57" s="234"/>
    </row>
    <row r="58" spans="1:16" x14ac:dyDescent="0.25">
      <c r="A58" s="550">
        <f t="shared" si="1"/>
        <v>53</v>
      </c>
      <c r="B58" s="1207">
        <f>+'Apr11-Mar12 Billed-RETAIL'!B58</f>
        <v>40756</v>
      </c>
      <c r="C58" s="1207" t="str">
        <f>+'Apr11-Mar12 Billed-RETAIL'!C58</f>
        <v>LGRSG811S1</v>
      </c>
      <c r="D58" s="205" t="str">
        <f>+'Apr11-Mar12 Billed-RETAIL'!D58</f>
        <v>811</v>
      </c>
      <c r="E58" s="205" t="str">
        <f>+'Apr11-Mar12 Billed-RETAIL'!E58</f>
        <v>RGS</v>
      </c>
      <c r="F58" s="1208"/>
      <c r="G58" s="1208"/>
      <c r="H58" s="234"/>
      <c r="I58" s="234"/>
      <c r="J58" s="234">
        <v>-12</v>
      </c>
      <c r="K58" s="234">
        <v>0</v>
      </c>
      <c r="L58" s="234">
        <v>-7.27</v>
      </c>
      <c r="M58" s="234"/>
      <c r="N58" s="234"/>
      <c r="O58" s="234"/>
      <c r="P58" s="234"/>
    </row>
    <row r="59" spans="1:16" x14ac:dyDescent="0.25">
      <c r="A59" s="550">
        <f t="shared" si="1"/>
        <v>54</v>
      </c>
      <c r="B59" s="1207">
        <f>+'Apr11-Mar12 Billed-RETAIL'!B59</f>
        <v>40756</v>
      </c>
      <c r="C59" s="1207" t="str">
        <f>+'Apr11-Mar12 Billed-RETAIL'!C59</f>
        <v>LGRSG840</v>
      </c>
      <c r="D59" s="205" t="str">
        <f>+'Apr11-Mar12 Billed-RETAIL'!D59</f>
        <v>840</v>
      </c>
      <c r="E59" s="205" t="str">
        <f>+'Apr11-Mar12 Billed-RETAIL'!E59</f>
        <v>RGS</v>
      </c>
      <c r="F59" s="1208"/>
      <c r="G59" s="1208"/>
      <c r="H59" s="234"/>
      <c r="I59" s="234"/>
      <c r="J59" s="234">
        <v>0</v>
      </c>
      <c r="K59" s="234">
        <v>0</v>
      </c>
      <c r="L59" s="234">
        <v>-0.01</v>
      </c>
      <c r="M59" s="234"/>
      <c r="N59" s="234"/>
      <c r="O59" s="234"/>
      <c r="P59" s="234"/>
    </row>
    <row r="60" spans="1:16" x14ac:dyDescent="0.25">
      <c r="A60" s="550">
        <f t="shared" si="1"/>
        <v>55</v>
      </c>
      <c r="B60" s="1207">
        <f>+'Apr11-Mar12 Billed-RETAIL'!B60</f>
        <v>40756</v>
      </c>
      <c r="C60" s="1207" t="str">
        <f>+'Apr11-Mar12 Billed-RETAIL'!C60</f>
        <v>LGUMG830</v>
      </c>
      <c r="D60" s="205" t="str">
        <f>+'Apr11-Mar12 Billed-RETAIL'!D60</f>
        <v>830</v>
      </c>
      <c r="E60" s="205" t="str">
        <f>+'Apr11-Mar12 Billed-RETAIL'!E60</f>
        <v>RGS</v>
      </c>
      <c r="F60" s="1208"/>
      <c r="G60" s="1208"/>
      <c r="H60" s="1355">
        <v>1</v>
      </c>
      <c r="I60" s="1355"/>
      <c r="J60" s="234">
        <v>0</v>
      </c>
      <c r="K60" s="234">
        <v>0</v>
      </c>
      <c r="L60" s="234">
        <v>0</v>
      </c>
      <c r="M60" s="234"/>
      <c r="N60" s="234"/>
      <c r="O60" s="234"/>
      <c r="P60" s="234"/>
    </row>
    <row r="61" spans="1:16" x14ac:dyDescent="0.25">
      <c r="A61" s="550">
        <f t="shared" si="1"/>
        <v>56</v>
      </c>
      <c r="B61" s="1207">
        <f>+'Apr11-Mar12 Billed-RETAIL'!B61</f>
        <v>40787</v>
      </c>
      <c r="C61" s="1207" t="str">
        <f>+'Apr11-Mar12 Billed-RETAIL'!C61</f>
        <v>LGCMG865</v>
      </c>
      <c r="D61" s="205" t="str">
        <f>+'Apr11-Mar12 Billed-RETAIL'!D61</f>
        <v>865</v>
      </c>
      <c r="E61" s="205" t="str">
        <f>+'Apr11-Mar12 Billed-RETAIL'!E61</f>
        <v>AAGS-C</v>
      </c>
      <c r="F61" s="1208"/>
      <c r="G61" s="1208"/>
      <c r="H61" s="234"/>
      <c r="I61" s="234"/>
      <c r="J61" s="234">
        <v>0</v>
      </c>
      <c r="K61" s="234">
        <v>0</v>
      </c>
      <c r="L61" s="234">
        <v>0</v>
      </c>
      <c r="M61" s="234"/>
      <c r="N61" s="234"/>
      <c r="O61" s="234"/>
      <c r="P61" s="234"/>
    </row>
    <row r="62" spans="1:16" x14ac:dyDescent="0.25">
      <c r="A62" s="550">
        <f t="shared" si="1"/>
        <v>57</v>
      </c>
      <c r="B62" s="1207">
        <f>+'Apr11-Mar12 Billed-RETAIL'!B62</f>
        <v>40787</v>
      </c>
      <c r="C62" s="1207" t="str">
        <f>+'Apr11-Mar12 Billed-RETAIL'!C62</f>
        <v>LGING866</v>
      </c>
      <c r="D62" s="205" t="str">
        <f>+'Apr11-Mar12 Billed-RETAIL'!D62</f>
        <v>866</v>
      </c>
      <c r="E62" s="205" t="str">
        <f>+'Apr11-Mar12 Billed-RETAIL'!E62</f>
        <v>AAGS-I</v>
      </c>
      <c r="F62" s="1208"/>
      <c r="G62" s="1208"/>
      <c r="H62" s="234"/>
      <c r="I62" s="234"/>
      <c r="J62" s="234">
        <v>0</v>
      </c>
      <c r="K62" s="234">
        <v>0</v>
      </c>
      <c r="L62" s="234">
        <v>0</v>
      </c>
      <c r="M62" s="234"/>
      <c r="N62" s="234"/>
      <c r="O62" s="234"/>
      <c r="P62" s="234"/>
    </row>
    <row r="63" spans="1:16" x14ac:dyDescent="0.25">
      <c r="A63" s="550">
        <f t="shared" si="1"/>
        <v>58</v>
      </c>
      <c r="B63" s="1207">
        <f>+'Apr11-Mar12 Billed-RETAIL'!B63</f>
        <v>40787</v>
      </c>
      <c r="C63" s="1207" t="str">
        <f>+'Apr11-Mar12 Billed-RETAIL'!C63</f>
        <v>LGCMG851</v>
      </c>
      <c r="D63" s="205" t="str">
        <f>+'Apr11-Mar12 Billed-RETAIL'!D63</f>
        <v>851</v>
      </c>
      <c r="E63" s="205" t="str">
        <f>+'Apr11-Mar12 Billed-RETAIL'!E63</f>
        <v>CGS</v>
      </c>
      <c r="F63" s="1351">
        <v>23929</v>
      </c>
      <c r="G63" s="1351">
        <v>1068</v>
      </c>
      <c r="H63" s="234"/>
      <c r="I63" s="234"/>
      <c r="J63" s="234">
        <v>592.98</v>
      </c>
      <c r="K63" s="234">
        <v>-266.3</v>
      </c>
      <c r="L63" s="234">
        <v>-1.73</v>
      </c>
      <c r="M63" s="234"/>
      <c r="N63" s="234"/>
      <c r="O63" s="234"/>
      <c r="P63" s="234"/>
    </row>
    <row r="64" spans="1:16" x14ac:dyDescent="0.25">
      <c r="A64" s="550">
        <f t="shared" si="1"/>
        <v>59</v>
      </c>
      <c r="B64" s="1207">
        <f>+'Apr11-Mar12 Billed-RETAIL'!B64</f>
        <v>40787</v>
      </c>
      <c r="C64" s="1207" t="str">
        <f>+'Apr11-Mar12 Billed-RETAIL'!C64</f>
        <v>LGUMG860</v>
      </c>
      <c r="D64" s="205" t="str">
        <f>+'Apr11-Mar12 Billed-RETAIL'!D64</f>
        <v>860</v>
      </c>
      <c r="E64" s="205" t="str">
        <f>+'Apr11-Mar12 Billed-RETAIL'!E64</f>
        <v>CGS</v>
      </c>
      <c r="F64" s="1351">
        <v>19</v>
      </c>
      <c r="G64" s="1351">
        <v>0</v>
      </c>
      <c r="H64" s="234"/>
      <c r="I64" s="234"/>
      <c r="J64" s="234">
        <v>0</v>
      </c>
      <c r="K64" s="234">
        <v>0</v>
      </c>
      <c r="L64" s="1352">
        <v>0</v>
      </c>
      <c r="M64" s="234"/>
      <c r="N64" s="234"/>
      <c r="O64" s="234"/>
      <c r="P64" s="234"/>
    </row>
    <row r="65" spans="1:16" x14ac:dyDescent="0.25">
      <c r="A65" s="550">
        <f t="shared" si="1"/>
        <v>60</v>
      </c>
      <c r="B65" s="1207">
        <f>+'Apr11-Mar12 Billed-RETAIL'!B65</f>
        <v>40787</v>
      </c>
      <c r="C65" s="1207" t="str">
        <f>+'Apr11-Mar12 Billed-RETAIL'!C65</f>
        <v>LGUMG861</v>
      </c>
      <c r="D65" s="205" t="str">
        <f>+'Apr11-Mar12 Billed-RETAIL'!D65</f>
        <v>861</v>
      </c>
      <c r="E65" s="205" t="str">
        <f>+'Apr11-Mar12 Billed-RETAIL'!E65</f>
        <v>CGS</v>
      </c>
      <c r="F65" s="1351">
        <v>620</v>
      </c>
      <c r="G65" s="1351">
        <v>0</v>
      </c>
      <c r="H65" s="234"/>
      <c r="I65" s="234"/>
      <c r="J65" s="234">
        <v>0</v>
      </c>
      <c r="K65" s="234">
        <v>0</v>
      </c>
      <c r="L65" s="234">
        <v>1.61</v>
      </c>
      <c r="M65" s="234"/>
      <c r="N65" s="234"/>
      <c r="O65" s="234"/>
      <c r="P65" s="234"/>
    </row>
    <row r="66" spans="1:16" x14ac:dyDescent="0.25">
      <c r="A66" s="550">
        <f t="shared" si="1"/>
        <v>61</v>
      </c>
      <c r="B66" s="1207">
        <f>+'Apr11-Mar12 Billed-RETAIL'!B66</f>
        <v>40787</v>
      </c>
      <c r="C66" s="1207" t="str">
        <f>+'Apr11-Mar12 Billed-RETAIL'!C66</f>
        <v>LGCMG875</v>
      </c>
      <c r="D66" s="205" t="str">
        <f>+'Apr11-Mar12 Billed-RETAIL'!D66</f>
        <v>875</v>
      </c>
      <c r="E66" s="205" t="str">
        <f>+'Apr11-Mar12 Billed-RETAIL'!E66</f>
        <v>DGGS-C</v>
      </c>
      <c r="F66" s="1208"/>
      <c r="G66" s="1208"/>
      <c r="H66" s="234"/>
      <c r="I66" s="234"/>
      <c r="J66" s="234">
        <v>0</v>
      </c>
      <c r="K66" s="234">
        <v>0</v>
      </c>
      <c r="L66" s="234">
        <v>0</v>
      </c>
      <c r="M66" s="234"/>
      <c r="N66" s="234"/>
      <c r="O66" s="234"/>
      <c r="P66" s="234"/>
    </row>
    <row r="67" spans="1:16" x14ac:dyDescent="0.25">
      <c r="A67" s="550">
        <f t="shared" si="1"/>
        <v>62</v>
      </c>
      <c r="B67" s="1207">
        <f>+'Apr11-Mar12 Billed-RETAIL'!B67</f>
        <v>40787</v>
      </c>
      <c r="C67" s="1207" t="str">
        <f>+'Apr11-Mar12 Billed-RETAIL'!C67</f>
        <v>LGING855</v>
      </c>
      <c r="D67" s="205" t="str">
        <f>+'Apr11-Mar12 Billed-RETAIL'!D67</f>
        <v>855</v>
      </c>
      <c r="E67" s="205" t="str">
        <f>+'Apr11-Mar12 Billed-RETAIL'!E67</f>
        <v>IGS</v>
      </c>
      <c r="F67" s="1208">
        <v>113</v>
      </c>
      <c r="G67" s="1208">
        <v>101</v>
      </c>
      <c r="H67" s="234"/>
      <c r="I67" s="234"/>
      <c r="J67" s="234">
        <v>-26</v>
      </c>
      <c r="K67" s="234">
        <v>0</v>
      </c>
      <c r="L67" s="234">
        <v>0</v>
      </c>
      <c r="M67" s="234"/>
      <c r="N67" s="234"/>
      <c r="O67" s="234"/>
      <c r="P67" s="234"/>
    </row>
    <row r="68" spans="1:16" x14ac:dyDescent="0.25">
      <c r="A68" s="550">
        <f t="shared" si="1"/>
        <v>63</v>
      </c>
      <c r="B68" s="1207">
        <f>+'Apr11-Mar12 Billed-RETAIL'!B68</f>
        <v>40787</v>
      </c>
      <c r="C68" s="1207" t="str">
        <f>+'Apr11-Mar12 Billed-RETAIL'!C68</f>
        <v>LGRSG811</v>
      </c>
      <c r="D68" s="205" t="str">
        <f>+'Apr11-Mar12 Billed-RETAIL'!D68</f>
        <v>811</v>
      </c>
      <c r="E68" s="205" t="str">
        <f>+'Apr11-Mar12 Billed-RETAIL'!E68</f>
        <v>RGS</v>
      </c>
      <c r="F68" s="1208"/>
      <c r="G68" s="1208"/>
      <c r="H68" s="1353">
        <f>-434-1</f>
        <v>-435</v>
      </c>
      <c r="I68" s="234"/>
      <c r="J68" s="234">
        <f>14-3.7</f>
        <v>10.3</v>
      </c>
      <c r="K68" s="234">
        <v>0</v>
      </c>
      <c r="L68" s="234">
        <v>59.89</v>
      </c>
      <c r="M68" s="234"/>
      <c r="N68" s="234"/>
      <c r="O68" s="234"/>
      <c r="P68" s="234"/>
    </row>
    <row r="69" spans="1:16" x14ac:dyDescent="0.25">
      <c r="A69" s="550">
        <f t="shared" si="1"/>
        <v>64</v>
      </c>
      <c r="B69" s="1207">
        <f>+'Apr11-Mar12 Billed-RETAIL'!B69</f>
        <v>40787</v>
      </c>
      <c r="C69" s="1207" t="str">
        <f>+'Apr11-Mar12 Billed-RETAIL'!C69</f>
        <v>LGRSG811S1</v>
      </c>
      <c r="D69" s="205" t="str">
        <f>+'Apr11-Mar12 Billed-RETAIL'!D69</f>
        <v>811</v>
      </c>
      <c r="E69" s="205" t="str">
        <f>+'Apr11-Mar12 Billed-RETAIL'!E69</f>
        <v>RGS</v>
      </c>
      <c r="F69" s="1208"/>
      <c r="G69" s="1208"/>
      <c r="H69" s="234"/>
      <c r="I69" s="234"/>
      <c r="J69" s="234">
        <v>-12</v>
      </c>
      <c r="K69" s="234">
        <v>0</v>
      </c>
      <c r="L69" s="234">
        <v>-45.74</v>
      </c>
      <c r="M69" s="234"/>
      <c r="N69" s="234"/>
      <c r="O69" s="234"/>
      <c r="P69" s="234"/>
    </row>
    <row r="70" spans="1:16" x14ac:dyDescent="0.25">
      <c r="A70" s="550">
        <f t="shared" si="1"/>
        <v>65</v>
      </c>
      <c r="B70" s="1207">
        <f>+'Apr11-Mar12 Billed-RETAIL'!B70</f>
        <v>40787</v>
      </c>
      <c r="C70" s="1207" t="str">
        <f>+'Apr11-Mar12 Billed-RETAIL'!C70</f>
        <v>LGRSG840</v>
      </c>
      <c r="D70" s="205" t="str">
        <f>+'Apr11-Mar12 Billed-RETAIL'!D70</f>
        <v>840</v>
      </c>
      <c r="E70" s="205" t="str">
        <f>+'Apr11-Mar12 Billed-RETAIL'!E70</f>
        <v>RGS</v>
      </c>
      <c r="F70" s="1208"/>
      <c r="G70" s="1208"/>
      <c r="H70" s="234"/>
      <c r="I70" s="234"/>
      <c r="J70" s="234">
        <v>0</v>
      </c>
      <c r="K70" s="234">
        <v>0</v>
      </c>
      <c r="L70" s="234">
        <v>-0.01</v>
      </c>
      <c r="M70" s="234"/>
      <c r="N70" s="234"/>
      <c r="O70" s="234"/>
      <c r="P70" s="234"/>
    </row>
    <row r="71" spans="1:16" x14ac:dyDescent="0.25">
      <c r="A71" s="550">
        <f t="shared" si="1"/>
        <v>66</v>
      </c>
      <c r="B71" s="1207">
        <f>+'Apr11-Mar12 Billed-RETAIL'!B71</f>
        <v>40787</v>
      </c>
      <c r="C71" s="1207" t="str">
        <f>+'Apr11-Mar12 Billed-RETAIL'!C71</f>
        <v>LGUMG830</v>
      </c>
      <c r="D71" s="205" t="str">
        <f>+'Apr11-Mar12 Billed-RETAIL'!D71</f>
        <v>830</v>
      </c>
      <c r="E71" s="205" t="str">
        <f>+'Apr11-Mar12 Billed-RETAIL'!E71</f>
        <v>RGS</v>
      </c>
      <c r="F71" s="1208"/>
      <c r="G71" s="1208"/>
      <c r="H71" s="1355">
        <v>1</v>
      </c>
      <c r="I71" s="1355"/>
      <c r="J71" s="234">
        <v>0</v>
      </c>
      <c r="K71" s="234">
        <v>0</v>
      </c>
      <c r="L71" s="234">
        <v>0</v>
      </c>
      <c r="M71" s="234"/>
      <c r="N71" s="234"/>
      <c r="O71" s="234"/>
      <c r="P71" s="234"/>
    </row>
    <row r="72" spans="1:16" x14ac:dyDescent="0.25">
      <c r="A72" s="550">
        <f t="shared" ref="A72:A135" si="2">+A71+1</f>
        <v>67</v>
      </c>
      <c r="B72" s="1207">
        <f>+'Apr11-Mar12 Billed-RETAIL'!B72</f>
        <v>40817</v>
      </c>
      <c r="C72" s="1207" t="str">
        <f>+'Apr11-Mar12 Billed-RETAIL'!C72</f>
        <v>LGCMG865</v>
      </c>
      <c r="D72" s="205" t="str">
        <f>+'Apr11-Mar12 Billed-RETAIL'!D72</f>
        <v>865</v>
      </c>
      <c r="E72" s="205" t="str">
        <f>+'Apr11-Mar12 Billed-RETAIL'!E72</f>
        <v>AAGS-C</v>
      </c>
      <c r="F72" s="1208"/>
      <c r="G72" s="1208"/>
      <c r="H72" s="234"/>
      <c r="I72" s="234"/>
      <c r="J72" s="234">
        <v>0</v>
      </c>
      <c r="K72" s="234">
        <v>0</v>
      </c>
      <c r="L72" s="234">
        <v>0</v>
      </c>
      <c r="M72" s="234"/>
      <c r="N72" s="234"/>
      <c r="O72" s="234"/>
      <c r="P72" s="234"/>
    </row>
    <row r="73" spans="1:16" x14ac:dyDescent="0.25">
      <c r="A73" s="550">
        <f t="shared" si="2"/>
        <v>68</v>
      </c>
      <c r="B73" s="1207">
        <f>+'Apr11-Mar12 Billed-RETAIL'!B73</f>
        <v>40817</v>
      </c>
      <c r="C73" s="1207" t="str">
        <f>+'Apr11-Mar12 Billed-RETAIL'!C73</f>
        <v>LGING866</v>
      </c>
      <c r="D73" s="205" t="str">
        <f>+'Apr11-Mar12 Billed-RETAIL'!D73</f>
        <v>866</v>
      </c>
      <c r="E73" s="205" t="str">
        <f>+'Apr11-Mar12 Billed-RETAIL'!E73</f>
        <v>AAGS-I</v>
      </c>
      <c r="F73" s="1208"/>
      <c r="G73" s="1208"/>
      <c r="H73" s="234"/>
      <c r="I73" s="234"/>
      <c r="J73" s="234">
        <v>0</v>
      </c>
      <c r="K73" s="234">
        <v>0</v>
      </c>
      <c r="L73" s="234">
        <v>0</v>
      </c>
      <c r="M73" s="234"/>
      <c r="N73" s="234"/>
      <c r="O73" s="234"/>
      <c r="P73" s="234"/>
    </row>
    <row r="74" spans="1:16" x14ac:dyDescent="0.25">
      <c r="A74" s="550">
        <f t="shared" si="2"/>
        <v>69</v>
      </c>
      <c r="B74" s="1207">
        <f>+'Apr11-Mar12 Billed-RETAIL'!B74</f>
        <v>40817</v>
      </c>
      <c r="C74" s="1207" t="str">
        <f>+'Apr11-Mar12 Billed-RETAIL'!C74</f>
        <v>LGCMG851</v>
      </c>
      <c r="D74" s="205" t="str">
        <f>+'Apr11-Mar12 Billed-RETAIL'!D74</f>
        <v>851</v>
      </c>
      <c r="E74" s="205" t="str">
        <f>+'Apr11-Mar12 Billed-RETAIL'!E74</f>
        <v>CGS</v>
      </c>
      <c r="F74" s="1351">
        <v>23724</v>
      </c>
      <c r="G74" s="1351">
        <v>1042</v>
      </c>
      <c r="H74" s="234"/>
      <c r="I74" s="234"/>
      <c r="J74" s="234">
        <v>-165.27</v>
      </c>
      <c r="K74" s="234">
        <v>67.989999999999995</v>
      </c>
      <c r="L74" s="234">
        <v>-59.87</v>
      </c>
      <c r="M74" s="234"/>
      <c r="N74" s="234"/>
      <c r="O74" s="234"/>
      <c r="P74" s="234"/>
    </row>
    <row r="75" spans="1:16" x14ac:dyDescent="0.25">
      <c r="A75" s="550">
        <f t="shared" si="2"/>
        <v>70</v>
      </c>
      <c r="B75" s="1207">
        <f>+'Apr11-Mar12 Billed-RETAIL'!B75</f>
        <v>40817</v>
      </c>
      <c r="C75" s="1207" t="str">
        <f>+'Apr11-Mar12 Billed-RETAIL'!C75</f>
        <v>LGUMG860</v>
      </c>
      <c r="D75" s="205" t="str">
        <f>+'Apr11-Mar12 Billed-RETAIL'!D75</f>
        <v>860</v>
      </c>
      <c r="E75" s="205" t="str">
        <f>+'Apr11-Mar12 Billed-RETAIL'!E75</f>
        <v>CGS</v>
      </c>
      <c r="F75" s="1351">
        <v>19</v>
      </c>
      <c r="G75" s="1351">
        <v>0</v>
      </c>
      <c r="H75" s="234"/>
      <c r="I75" s="234"/>
      <c r="J75" s="234">
        <v>0</v>
      </c>
      <c r="K75" s="234">
        <v>0</v>
      </c>
      <c r="L75" s="1352">
        <v>0</v>
      </c>
      <c r="M75" s="234"/>
      <c r="N75" s="234"/>
      <c r="O75" s="234"/>
      <c r="P75" s="234"/>
    </row>
    <row r="76" spans="1:16" x14ac:dyDescent="0.25">
      <c r="A76" s="550">
        <f t="shared" si="2"/>
        <v>71</v>
      </c>
      <c r="B76" s="1207">
        <f>+'Apr11-Mar12 Billed-RETAIL'!B76</f>
        <v>40817</v>
      </c>
      <c r="C76" s="1207" t="str">
        <f>+'Apr11-Mar12 Billed-RETAIL'!C76</f>
        <v>LGUMG861</v>
      </c>
      <c r="D76" s="205" t="str">
        <f>+'Apr11-Mar12 Billed-RETAIL'!D76</f>
        <v>861</v>
      </c>
      <c r="E76" s="205" t="str">
        <f>+'Apr11-Mar12 Billed-RETAIL'!E76</f>
        <v>CGS</v>
      </c>
      <c r="F76" s="1351">
        <v>620</v>
      </c>
      <c r="G76" s="1351">
        <v>0</v>
      </c>
      <c r="H76" s="234"/>
      <c r="I76" s="234"/>
      <c r="J76" s="234">
        <v>0</v>
      </c>
      <c r="K76" s="234">
        <v>0</v>
      </c>
      <c r="L76" s="234">
        <v>1.61</v>
      </c>
      <c r="M76" s="234"/>
      <c r="N76" s="234"/>
      <c r="O76" s="234"/>
      <c r="P76" s="234"/>
    </row>
    <row r="77" spans="1:16" x14ac:dyDescent="0.25">
      <c r="A77" s="550">
        <f t="shared" si="2"/>
        <v>72</v>
      </c>
      <c r="B77" s="1207">
        <f>+'Apr11-Mar12 Billed-RETAIL'!B77</f>
        <v>40817</v>
      </c>
      <c r="C77" s="1207" t="str">
        <f>+'Apr11-Mar12 Billed-RETAIL'!C77</f>
        <v>LGCMG875</v>
      </c>
      <c r="D77" s="205" t="str">
        <f>+'Apr11-Mar12 Billed-RETAIL'!D77</f>
        <v>875</v>
      </c>
      <c r="E77" s="205" t="str">
        <f>+'Apr11-Mar12 Billed-RETAIL'!E77</f>
        <v>DGGS-C</v>
      </c>
      <c r="F77" s="1351"/>
      <c r="G77" s="1351"/>
      <c r="H77" s="234"/>
      <c r="I77" s="234"/>
      <c r="J77" s="234">
        <v>0</v>
      </c>
      <c r="K77" s="234">
        <v>0</v>
      </c>
      <c r="L77" s="234">
        <v>0</v>
      </c>
      <c r="M77" s="234"/>
      <c r="N77" s="234"/>
      <c r="O77" s="234"/>
      <c r="P77" s="234"/>
    </row>
    <row r="78" spans="1:16" x14ac:dyDescent="0.25">
      <c r="A78" s="550">
        <f t="shared" si="2"/>
        <v>73</v>
      </c>
      <c r="B78" s="1207">
        <f>+'Apr11-Mar12 Billed-RETAIL'!B78</f>
        <v>40817</v>
      </c>
      <c r="C78" s="1207" t="str">
        <f>+'Apr11-Mar12 Billed-RETAIL'!C78</f>
        <v>LGING855</v>
      </c>
      <c r="D78" s="205" t="str">
        <f>+'Apr11-Mar12 Billed-RETAIL'!D78</f>
        <v>855</v>
      </c>
      <c r="E78" s="205" t="str">
        <f>+'Apr11-Mar12 Billed-RETAIL'!E78</f>
        <v>IGS</v>
      </c>
      <c r="F78" s="1208">
        <v>115</v>
      </c>
      <c r="G78" s="1208">
        <v>101</v>
      </c>
      <c r="H78" s="234"/>
      <c r="I78" s="1209"/>
      <c r="J78" s="234">
        <v>0</v>
      </c>
      <c r="K78" s="234">
        <v>0</v>
      </c>
      <c r="L78" s="234">
        <v>0</v>
      </c>
      <c r="M78" s="234"/>
      <c r="N78" s="234"/>
      <c r="O78" s="234"/>
      <c r="P78" s="234"/>
    </row>
    <row r="79" spans="1:16" x14ac:dyDescent="0.25">
      <c r="A79" s="550">
        <f t="shared" si="2"/>
        <v>74</v>
      </c>
      <c r="B79" s="1207">
        <f>+'Apr11-Mar12 Billed-RETAIL'!B79</f>
        <v>40817</v>
      </c>
      <c r="C79" s="1207" t="str">
        <f>+'Apr11-Mar12 Billed-RETAIL'!C79</f>
        <v>LGRSG811</v>
      </c>
      <c r="D79" s="205" t="str">
        <f>+'Apr11-Mar12 Billed-RETAIL'!D79</f>
        <v>811</v>
      </c>
      <c r="E79" s="205" t="str">
        <f>+'Apr11-Mar12 Billed-RETAIL'!E79</f>
        <v>RGS</v>
      </c>
      <c r="F79" s="1351"/>
      <c r="G79" s="1351"/>
      <c r="H79" s="1353">
        <f>-899-1+6</f>
        <v>-894</v>
      </c>
      <c r="I79" s="234"/>
      <c r="J79" s="234">
        <f>8+7.34-75</f>
        <v>-59.66</v>
      </c>
      <c r="K79" s="234">
        <v>0</v>
      </c>
      <c r="L79" s="234">
        <v>74.11</v>
      </c>
      <c r="M79" s="234"/>
      <c r="N79" s="234"/>
      <c r="O79" s="234"/>
      <c r="P79" s="234"/>
    </row>
    <row r="80" spans="1:16" x14ac:dyDescent="0.25">
      <c r="A80" s="550">
        <f t="shared" si="2"/>
        <v>75</v>
      </c>
      <c r="B80" s="1207">
        <f>+'Apr11-Mar12 Billed-RETAIL'!B80</f>
        <v>40817</v>
      </c>
      <c r="C80" s="1207" t="str">
        <f>+'Apr11-Mar12 Billed-RETAIL'!C80</f>
        <v>LGRSG811S1</v>
      </c>
      <c r="D80" s="205" t="str">
        <f>+'Apr11-Mar12 Billed-RETAIL'!D80</f>
        <v>811</v>
      </c>
      <c r="E80" s="205" t="str">
        <f>+'Apr11-Mar12 Billed-RETAIL'!E80</f>
        <v>RGS</v>
      </c>
      <c r="F80" s="1351"/>
      <c r="G80" s="1351"/>
      <c r="H80" s="234"/>
      <c r="I80" s="234"/>
      <c r="J80" s="234">
        <v>-12</v>
      </c>
      <c r="K80" s="234">
        <v>0</v>
      </c>
      <c r="L80" s="234">
        <v>-167.36</v>
      </c>
      <c r="M80" s="234"/>
      <c r="N80" s="234"/>
      <c r="O80" s="234"/>
      <c r="P80" s="234"/>
    </row>
    <row r="81" spans="1:16" x14ac:dyDescent="0.25">
      <c r="A81" s="550">
        <f t="shared" si="2"/>
        <v>76</v>
      </c>
      <c r="B81" s="1207">
        <f>+'Apr11-Mar12 Billed-RETAIL'!B81</f>
        <v>40817</v>
      </c>
      <c r="C81" s="1207" t="str">
        <f>+'Apr11-Mar12 Billed-RETAIL'!C81</f>
        <v>LGRSG840</v>
      </c>
      <c r="D81" s="205" t="str">
        <f>+'Apr11-Mar12 Billed-RETAIL'!D81</f>
        <v>840</v>
      </c>
      <c r="E81" s="205" t="str">
        <f>+'Apr11-Mar12 Billed-RETAIL'!E81</f>
        <v>RGS</v>
      </c>
      <c r="F81" s="1351"/>
      <c r="G81" s="1351"/>
      <c r="H81" s="234"/>
      <c r="I81" s="234"/>
      <c r="J81" s="234">
        <v>0</v>
      </c>
      <c r="K81" s="234">
        <v>0</v>
      </c>
      <c r="L81" s="234">
        <v>-0.01</v>
      </c>
      <c r="M81" s="234"/>
      <c r="N81" s="234"/>
      <c r="O81" s="234"/>
      <c r="P81" s="234"/>
    </row>
    <row r="82" spans="1:16" x14ac:dyDescent="0.25">
      <c r="A82" s="550">
        <f t="shared" si="2"/>
        <v>77</v>
      </c>
      <c r="B82" s="1207">
        <f>+'Apr11-Mar12 Billed-RETAIL'!B82</f>
        <v>40817</v>
      </c>
      <c r="C82" s="1207" t="str">
        <f>+'Apr11-Mar12 Billed-RETAIL'!C82</f>
        <v>LGUMG830</v>
      </c>
      <c r="D82" s="205" t="str">
        <f>+'Apr11-Mar12 Billed-RETAIL'!D82</f>
        <v>830</v>
      </c>
      <c r="E82" s="205" t="str">
        <f>+'Apr11-Mar12 Billed-RETAIL'!E82</f>
        <v>RGS</v>
      </c>
      <c r="F82" s="1351"/>
      <c r="G82" s="1351"/>
      <c r="H82" s="1355">
        <v>1</v>
      </c>
      <c r="I82" s="234"/>
      <c r="J82" s="234">
        <v>0</v>
      </c>
      <c r="K82" s="234">
        <v>0</v>
      </c>
      <c r="L82" s="234">
        <v>0</v>
      </c>
      <c r="M82" s="234"/>
      <c r="N82" s="234"/>
      <c r="O82" s="234"/>
      <c r="P82" s="234"/>
    </row>
    <row r="83" spans="1:16" x14ac:dyDescent="0.25">
      <c r="A83" s="550">
        <f t="shared" si="2"/>
        <v>78</v>
      </c>
      <c r="B83" s="1207">
        <f>+'Apr11-Mar12 Billed-RETAIL'!B83</f>
        <v>40848</v>
      </c>
      <c r="C83" s="1207" t="str">
        <f>+'Apr11-Mar12 Billed-RETAIL'!C83</f>
        <v>LGCMG865</v>
      </c>
      <c r="D83" s="205" t="str">
        <f>+'Apr11-Mar12 Billed-RETAIL'!D83</f>
        <v>865</v>
      </c>
      <c r="E83" s="205" t="str">
        <f>+'Apr11-Mar12 Billed-RETAIL'!E83</f>
        <v>AAGS-C</v>
      </c>
      <c r="F83" s="1351"/>
      <c r="G83" s="1351"/>
      <c r="H83" s="1209">
        <v>4</v>
      </c>
      <c r="I83" s="234"/>
      <c r="J83" s="234">
        <v>27.51</v>
      </c>
      <c r="K83" s="234">
        <v>0</v>
      </c>
      <c r="L83" s="234">
        <v>0</v>
      </c>
      <c r="M83" s="234"/>
      <c r="N83" s="234"/>
      <c r="O83" s="234"/>
      <c r="P83" s="234"/>
    </row>
    <row r="84" spans="1:16" x14ac:dyDescent="0.25">
      <c r="A84" s="550">
        <f t="shared" si="2"/>
        <v>79</v>
      </c>
      <c r="B84" s="1207">
        <f>+'Apr11-Mar12 Billed-RETAIL'!B84</f>
        <v>40848</v>
      </c>
      <c r="C84" s="1207" t="str">
        <f>+'Apr11-Mar12 Billed-RETAIL'!C84</f>
        <v>LGING866</v>
      </c>
      <c r="D84" s="205" t="str">
        <f>+'Apr11-Mar12 Billed-RETAIL'!D84</f>
        <v>866</v>
      </c>
      <c r="E84" s="205" t="str">
        <f>+'Apr11-Mar12 Billed-RETAIL'!E84</f>
        <v>AAGS-I</v>
      </c>
      <c r="F84" s="1351"/>
      <c r="G84" s="1351"/>
      <c r="H84" s="1209">
        <v>1</v>
      </c>
      <c r="I84" s="234"/>
      <c r="J84" s="234">
        <v>0</v>
      </c>
      <c r="K84" s="234">
        <v>0</v>
      </c>
      <c r="L84" s="234">
        <v>0</v>
      </c>
      <c r="M84" s="234"/>
      <c r="N84" s="234"/>
      <c r="O84" s="234"/>
      <c r="P84" s="234"/>
    </row>
    <row r="85" spans="1:16" x14ac:dyDescent="0.25">
      <c r="A85" s="550">
        <f t="shared" si="2"/>
        <v>80</v>
      </c>
      <c r="B85" s="1207">
        <f>+'Apr11-Mar12 Billed-RETAIL'!B85</f>
        <v>40848</v>
      </c>
      <c r="C85" s="1207" t="str">
        <f>+'Apr11-Mar12 Billed-RETAIL'!C85</f>
        <v>LGCMG851</v>
      </c>
      <c r="D85" s="205" t="str">
        <f>+'Apr11-Mar12 Billed-RETAIL'!D85</f>
        <v>851</v>
      </c>
      <c r="E85" s="205" t="str">
        <f>+'Apr11-Mar12 Billed-RETAIL'!E85</f>
        <v>CGS</v>
      </c>
      <c r="F85" s="1351">
        <v>23209</v>
      </c>
      <c r="G85" s="1351">
        <v>1029</v>
      </c>
      <c r="H85" s="234"/>
      <c r="I85" s="234"/>
      <c r="J85" s="234">
        <v>175.21</v>
      </c>
      <c r="K85" s="234">
        <f>-68+170</f>
        <v>102</v>
      </c>
      <c r="L85" s="234">
        <v>-17.829999999999998</v>
      </c>
      <c r="M85" s="234"/>
      <c r="N85" s="234"/>
      <c r="O85" s="234"/>
      <c r="P85" s="234"/>
    </row>
    <row r="86" spans="1:16" x14ac:dyDescent="0.25">
      <c r="A86" s="550">
        <f t="shared" si="2"/>
        <v>81</v>
      </c>
      <c r="B86" s="1207">
        <f>+'Apr11-Mar12 Billed-RETAIL'!B86</f>
        <v>40848</v>
      </c>
      <c r="C86" s="1207" t="str">
        <f>+'Apr11-Mar12 Billed-RETAIL'!C86</f>
        <v>LGUMG860</v>
      </c>
      <c r="D86" s="205" t="str">
        <f>+'Apr11-Mar12 Billed-RETAIL'!D86</f>
        <v>860</v>
      </c>
      <c r="E86" s="205" t="str">
        <f>+'Apr11-Mar12 Billed-RETAIL'!E86</f>
        <v>CGS</v>
      </c>
      <c r="F86" s="1351">
        <v>19</v>
      </c>
      <c r="G86" s="1351">
        <v>0</v>
      </c>
      <c r="H86" s="234"/>
      <c r="I86" s="234"/>
      <c r="J86" s="234">
        <v>0</v>
      </c>
      <c r="K86" s="234">
        <v>0</v>
      </c>
      <c r="L86" s="1352">
        <v>0</v>
      </c>
      <c r="M86" s="234"/>
      <c r="N86" s="234"/>
      <c r="O86" s="234"/>
      <c r="P86" s="234"/>
    </row>
    <row r="87" spans="1:16" x14ac:dyDescent="0.25">
      <c r="A87" s="550">
        <f t="shared" si="2"/>
        <v>82</v>
      </c>
      <c r="B87" s="1207">
        <f>+'Apr11-Mar12 Billed-RETAIL'!B87</f>
        <v>40848</v>
      </c>
      <c r="C87" s="1207" t="str">
        <f>+'Apr11-Mar12 Billed-RETAIL'!C87</f>
        <v>LGUMG861</v>
      </c>
      <c r="D87" s="205" t="str">
        <f>+'Apr11-Mar12 Billed-RETAIL'!D87</f>
        <v>861</v>
      </c>
      <c r="E87" s="205" t="str">
        <f>+'Apr11-Mar12 Billed-RETAIL'!E87</f>
        <v>CGS</v>
      </c>
      <c r="F87" s="1351">
        <v>620</v>
      </c>
      <c r="G87" s="1351">
        <v>0</v>
      </c>
      <c r="H87" s="234"/>
      <c r="I87" s="234"/>
      <c r="J87" s="234">
        <v>0</v>
      </c>
      <c r="K87" s="234">
        <v>0</v>
      </c>
      <c r="L87" s="234">
        <v>1.61</v>
      </c>
      <c r="M87" s="234"/>
      <c r="N87" s="234"/>
      <c r="O87" s="234"/>
      <c r="P87" s="234"/>
    </row>
    <row r="88" spans="1:16" x14ac:dyDescent="0.25">
      <c r="A88" s="550">
        <f t="shared" si="2"/>
        <v>83</v>
      </c>
      <c r="B88" s="1207">
        <f>+'Apr11-Mar12 Billed-RETAIL'!B88</f>
        <v>40848</v>
      </c>
      <c r="C88" s="1207" t="str">
        <f>+'Apr11-Mar12 Billed-RETAIL'!C88</f>
        <v>LGCMG875</v>
      </c>
      <c r="D88" s="205" t="str">
        <f>+'Apr11-Mar12 Billed-RETAIL'!D88</f>
        <v>875</v>
      </c>
      <c r="E88" s="205" t="str">
        <f>+'Apr11-Mar12 Billed-RETAIL'!E88</f>
        <v>DGGS-C</v>
      </c>
      <c r="F88" s="1351"/>
      <c r="G88" s="1351"/>
      <c r="H88" s="234"/>
      <c r="I88" s="234"/>
      <c r="J88" s="234">
        <v>0</v>
      </c>
      <c r="K88" s="234">
        <v>0</v>
      </c>
      <c r="L88" s="234">
        <v>0</v>
      </c>
      <c r="M88" s="234"/>
      <c r="N88" s="234"/>
      <c r="O88" s="234"/>
      <c r="P88" s="234"/>
    </row>
    <row r="89" spans="1:16" x14ac:dyDescent="0.25">
      <c r="A89" s="550">
        <f t="shared" si="2"/>
        <v>84</v>
      </c>
      <c r="B89" s="1207">
        <f>+'Apr11-Mar12 Billed-RETAIL'!B89</f>
        <v>40848</v>
      </c>
      <c r="C89" s="1207" t="str">
        <f>+'Apr11-Mar12 Billed-RETAIL'!C89</f>
        <v>LGING855</v>
      </c>
      <c r="D89" s="205" t="str">
        <f>+'Apr11-Mar12 Billed-RETAIL'!D89</f>
        <v>855</v>
      </c>
      <c r="E89" s="205" t="str">
        <f>+'Apr11-Mar12 Billed-RETAIL'!E89</f>
        <v>IGS</v>
      </c>
      <c r="F89" s="1208">
        <v>113</v>
      </c>
      <c r="G89" s="1208">
        <v>105</v>
      </c>
      <c r="H89" s="234"/>
      <c r="I89" s="1209"/>
      <c r="J89" s="234">
        <v>0</v>
      </c>
      <c r="K89" s="234">
        <f>--34</f>
        <v>34</v>
      </c>
      <c r="L89" s="234">
        <v>0</v>
      </c>
      <c r="M89" s="234"/>
      <c r="N89" s="234"/>
      <c r="O89" s="234"/>
      <c r="P89" s="234"/>
    </row>
    <row r="90" spans="1:16" x14ac:dyDescent="0.25">
      <c r="A90" s="550">
        <f t="shared" si="2"/>
        <v>85</v>
      </c>
      <c r="B90" s="1207">
        <f>+'Apr11-Mar12 Billed-RETAIL'!B90</f>
        <v>40848</v>
      </c>
      <c r="C90" s="1207" t="str">
        <f>+'Apr11-Mar12 Billed-RETAIL'!C90</f>
        <v>LGRSG811</v>
      </c>
      <c r="D90" s="205" t="str">
        <f>+'Apr11-Mar12 Billed-RETAIL'!D90</f>
        <v>811</v>
      </c>
      <c r="E90" s="205" t="str">
        <f>+'Apr11-Mar12 Billed-RETAIL'!E90</f>
        <v>RGS</v>
      </c>
      <c r="F90" s="1351"/>
      <c r="G90" s="1351"/>
      <c r="H90" s="1353">
        <f>-905-1</f>
        <v>-906</v>
      </c>
      <c r="I90" s="234"/>
      <c r="J90" s="234">
        <f>16-7.71+0.3</f>
        <v>8.59</v>
      </c>
      <c r="K90" s="234">
        <v>0</v>
      </c>
      <c r="L90" s="234">
        <v>10.55</v>
      </c>
      <c r="M90" s="234"/>
      <c r="N90" s="234"/>
      <c r="O90" s="234"/>
      <c r="P90" s="234"/>
    </row>
    <row r="91" spans="1:16" x14ac:dyDescent="0.25">
      <c r="A91" s="550">
        <f t="shared" si="2"/>
        <v>86</v>
      </c>
      <c r="B91" s="1207">
        <f>+'Apr11-Mar12 Billed-RETAIL'!B91</f>
        <v>40848</v>
      </c>
      <c r="C91" s="1207" t="str">
        <f>+'Apr11-Mar12 Billed-RETAIL'!C91</f>
        <v>LGRSG811S1</v>
      </c>
      <c r="D91" s="205" t="str">
        <f>+'Apr11-Mar12 Billed-RETAIL'!D91</f>
        <v>811</v>
      </c>
      <c r="E91" s="205" t="str">
        <f>+'Apr11-Mar12 Billed-RETAIL'!E91</f>
        <v>RGS</v>
      </c>
      <c r="F91" s="1351"/>
      <c r="G91" s="1351"/>
      <c r="H91" s="234"/>
      <c r="I91" s="234"/>
      <c r="J91" s="234">
        <v>-12</v>
      </c>
      <c r="K91" s="234">
        <v>0</v>
      </c>
      <c r="L91" s="234">
        <v>-462.82</v>
      </c>
      <c r="M91" s="234"/>
      <c r="N91" s="234"/>
      <c r="O91" s="234"/>
      <c r="P91" s="234"/>
    </row>
    <row r="92" spans="1:16" x14ac:dyDescent="0.25">
      <c r="A92" s="550">
        <f t="shared" si="2"/>
        <v>87</v>
      </c>
      <c r="B92" s="1207">
        <f>+'Apr11-Mar12 Billed-RETAIL'!B92</f>
        <v>40848</v>
      </c>
      <c r="C92" s="1207" t="str">
        <f>+'Apr11-Mar12 Billed-RETAIL'!C92</f>
        <v>LGRSG840</v>
      </c>
      <c r="D92" s="205" t="str">
        <f>+'Apr11-Mar12 Billed-RETAIL'!D92</f>
        <v>840</v>
      </c>
      <c r="E92" s="205" t="str">
        <f>+'Apr11-Mar12 Billed-RETAIL'!E92</f>
        <v>RGS</v>
      </c>
      <c r="F92" s="1351"/>
      <c r="G92" s="1351"/>
      <c r="H92" s="234"/>
      <c r="I92" s="234"/>
      <c r="J92" s="234">
        <v>0</v>
      </c>
      <c r="K92" s="234">
        <v>0</v>
      </c>
      <c r="L92" s="234">
        <v>0.01</v>
      </c>
      <c r="M92" s="234"/>
      <c r="N92" s="234"/>
      <c r="O92" s="234"/>
      <c r="P92" s="234"/>
    </row>
    <row r="93" spans="1:16" x14ac:dyDescent="0.25">
      <c r="A93" s="550">
        <f t="shared" si="2"/>
        <v>88</v>
      </c>
      <c r="B93" s="1207">
        <f>+'Apr11-Mar12 Billed-RETAIL'!B93</f>
        <v>40848</v>
      </c>
      <c r="C93" s="1207" t="str">
        <f>+'Apr11-Mar12 Billed-RETAIL'!C93</f>
        <v>LGUMG830</v>
      </c>
      <c r="D93" s="205" t="str">
        <f>+'Apr11-Mar12 Billed-RETAIL'!D93</f>
        <v>830</v>
      </c>
      <c r="E93" s="205" t="str">
        <f>+'Apr11-Mar12 Billed-RETAIL'!E93</f>
        <v>RGS</v>
      </c>
      <c r="F93" s="1351"/>
      <c r="G93" s="1351"/>
      <c r="H93" s="1355">
        <v>1</v>
      </c>
      <c r="I93" s="234"/>
      <c r="J93" s="234">
        <v>0</v>
      </c>
      <c r="K93" s="234">
        <v>0</v>
      </c>
      <c r="L93" s="234">
        <v>0</v>
      </c>
      <c r="M93" s="234"/>
      <c r="N93" s="234"/>
      <c r="O93" s="234"/>
      <c r="P93" s="234"/>
    </row>
    <row r="94" spans="1:16" x14ac:dyDescent="0.25">
      <c r="A94" s="550">
        <f t="shared" si="2"/>
        <v>89</v>
      </c>
      <c r="B94" s="1207">
        <f>+'Apr11-Mar12 Billed-RETAIL'!B94</f>
        <v>40878</v>
      </c>
      <c r="C94" s="1207" t="str">
        <f>+'Apr11-Mar12 Billed-RETAIL'!C94</f>
        <v>LGCMG865</v>
      </c>
      <c r="D94" s="205" t="str">
        <f>+'Apr11-Mar12 Billed-RETAIL'!D94</f>
        <v>865</v>
      </c>
      <c r="E94" s="205" t="str">
        <f>+'Apr11-Mar12 Billed-RETAIL'!E94</f>
        <v>AAGS-C</v>
      </c>
      <c r="F94" s="1351"/>
      <c r="G94" s="1351"/>
      <c r="H94" s="1209">
        <v>1</v>
      </c>
      <c r="I94" s="234"/>
      <c r="J94" s="234">
        <v>0</v>
      </c>
      <c r="K94" s="234">
        <v>0</v>
      </c>
      <c r="L94" s="234">
        <v>0</v>
      </c>
      <c r="M94" s="234"/>
      <c r="N94" s="234"/>
      <c r="O94" s="234"/>
      <c r="P94" s="234"/>
    </row>
    <row r="95" spans="1:16" x14ac:dyDescent="0.25">
      <c r="A95" s="550">
        <f t="shared" si="2"/>
        <v>90</v>
      </c>
      <c r="B95" s="1207">
        <f>+'Apr11-Mar12 Billed-RETAIL'!B95</f>
        <v>40878</v>
      </c>
      <c r="C95" s="1207" t="str">
        <f>+'Apr11-Mar12 Billed-RETAIL'!C95</f>
        <v>LGING866</v>
      </c>
      <c r="D95" s="205" t="str">
        <f>+'Apr11-Mar12 Billed-RETAIL'!D95</f>
        <v>866</v>
      </c>
      <c r="E95" s="205" t="str">
        <f>+'Apr11-Mar12 Billed-RETAIL'!E95</f>
        <v>AAGS-I</v>
      </c>
      <c r="F95" s="1351"/>
      <c r="G95" s="1351"/>
      <c r="H95" s="1209">
        <v>2</v>
      </c>
      <c r="I95" s="234"/>
      <c r="J95" s="234">
        <v>0</v>
      </c>
      <c r="K95" s="234">
        <v>0</v>
      </c>
      <c r="L95" s="234">
        <v>0</v>
      </c>
      <c r="M95" s="234"/>
      <c r="N95" s="234"/>
      <c r="O95" s="234"/>
      <c r="P95" s="234"/>
    </row>
    <row r="96" spans="1:16" x14ac:dyDescent="0.25">
      <c r="A96" s="550">
        <f t="shared" si="2"/>
        <v>91</v>
      </c>
      <c r="B96" s="1207">
        <f>+'Apr11-Mar12 Billed-RETAIL'!B96</f>
        <v>40878</v>
      </c>
      <c r="C96" s="1207" t="str">
        <f>+'Apr11-Mar12 Billed-RETAIL'!C96</f>
        <v>LGCMG851</v>
      </c>
      <c r="D96" s="205" t="str">
        <f>+'Apr11-Mar12 Billed-RETAIL'!D96</f>
        <v>851</v>
      </c>
      <c r="E96" s="205" t="str">
        <f>+'Apr11-Mar12 Billed-RETAIL'!E96</f>
        <v>CGS</v>
      </c>
      <c r="F96" s="1351">
        <v>24405</v>
      </c>
      <c r="G96" s="1351">
        <v>1052</v>
      </c>
      <c r="H96" s="234"/>
      <c r="I96" s="234"/>
      <c r="J96" s="234">
        <v>-326.7</v>
      </c>
      <c r="K96" s="234">
        <v>51</v>
      </c>
      <c r="L96" s="234">
        <v>-1.74</v>
      </c>
      <c r="M96" s="234"/>
      <c r="N96" s="234"/>
      <c r="O96" s="234"/>
      <c r="P96" s="234"/>
    </row>
    <row r="97" spans="1:16" x14ac:dyDescent="0.25">
      <c r="A97" s="550">
        <f t="shared" si="2"/>
        <v>92</v>
      </c>
      <c r="B97" s="1207">
        <f>+'Apr11-Mar12 Billed-RETAIL'!B97</f>
        <v>40878</v>
      </c>
      <c r="C97" s="1207" t="str">
        <f>+'Apr11-Mar12 Billed-RETAIL'!C97</f>
        <v>LGUMG860</v>
      </c>
      <c r="D97" s="205" t="str">
        <f>+'Apr11-Mar12 Billed-RETAIL'!D97</f>
        <v>860</v>
      </c>
      <c r="E97" s="205" t="str">
        <f>+'Apr11-Mar12 Billed-RETAIL'!E97</f>
        <v>CGS</v>
      </c>
      <c r="F97" s="1351">
        <v>19</v>
      </c>
      <c r="G97" s="1351">
        <v>0</v>
      </c>
      <c r="H97" s="234"/>
      <c r="I97" s="234"/>
      <c r="J97" s="234">
        <v>0</v>
      </c>
      <c r="K97" s="234">
        <v>0</v>
      </c>
      <c r="L97" s="1352">
        <v>0</v>
      </c>
      <c r="M97" s="234"/>
      <c r="N97" s="234"/>
      <c r="O97" s="234"/>
      <c r="P97" s="234"/>
    </row>
    <row r="98" spans="1:16" x14ac:dyDescent="0.25">
      <c r="A98" s="550">
        <f t="shared" si="2"/>
        <v>93</v>
      </c>
      <c r="B98" s="1207">
        <f>+'Apr11-Mar12 Billed-RETAIL'!B98</f>
        <v>40878</v>
      </c>
      <c r="C98" s="1207" t="str">
        <f>+'Apr11-Mar12 Billed-RETAIL'!C98</f>
        <v>LGUMG861</v>
      </c>
      <c r="D98" s="205" t="str">
        <f>+'Apr11-Mar12 Billed-RETAIL'!D98</f>
        <v>861</v>
      </c>
      <c r="E98" s="205" t="str">
        <f>+'Apr11-Mar12 Billed-RETAIL'!E98</f>
        <v>CGS</v>
      </c>
      <c r="F98" s="1351">
        <v>616</v>
      </c>
      <c r="G98" s="1351">
        <v>0</v>
      </c>
      <c r="H98" s="234"/>
      <c r="I98" s="234"/>
      <c r="J98" s="234">
        <v>0</v>
      </c>
      <c r="K98" s="234">
        <v>0</v>
      </c>
      <c r="L98" s="234">
        <v>1.6</v>
      </c>
      <c r="M98" s="234"/>
      <c r="N98" s="234"/>
      <c r="O98" s="234"/>
      <c r="P98" s="234"/>
    </row>
    <row r="99" spans="1:16" x14ac:dyDescent="0.25">
      <c r="A99" s="550">
        <f t="shared" si="2"/>
        <v>94</v>
      </c>
      <c r="B99" s="1207">
        <f>+'Apr11-Mar12 Billed-RETAIL'!B99</f>
        <v>40878</v>
      </c>
      <c r="C99" s="1207" t="str">
        <f>+'Apr11-Mar12 Billed-RETAIL'!C99</f>
        <v>LGCMG875</v>
      </c>
      <c r="D99" s="205" t="str">
        <f>+'Apr11-Mar12 Billed-RETAIL'!D99</f>
        <v>875</v>
      </c>
      <c r="E99" s="205" t="str">
        <f>+'Apr11-Mar12 Billed-RETAIL'!E99</f>
        <v>DGGS-C</v>
      </c>
      <c r="F99" s="1351"/>
      <c r="G99" s="1351"/>
      <c r="H99" s="234"/>
      <c r="I99" s="234"/>
      <c r="J99" s="234">
        <v>0</v>
      </c>
      <c r="K99" s="234">
        <v>0</v>
      </c>
      <c r="L99" s="234">
        <v>0</v>
      </c>
      <c r="M99" s="234"/>
      <c r="N99" s="234"/>
      <c r="O99" s="234"/>
      <c r="P99" s="234"/>
    </row>
    <row r="100" spans="1:16" x14ac:dyDescent="0.25">
      <c r="A100" s="550">
        <f t="shared" si="2"/>
        <v>95</v>
      </c>
      <c r="B100" s="1207">
        <f>+'Apr11-Mar12 Billed-RETAIL'!B100</f>
        <v>40878</v>
      </c>
      <c r="C100" s="1207" t="str">
        <f>+'Apr11-Mar12 Billed-RETAIL'!C100</f>
        <v>LGING855</v>
      </c>
      <c r="D100" s="205" t="str">
        <f>+'Apr11-Mar12 Billed-RETAIL'!D100</f>
        <v>855</v>
      </c>
      <c r="E100" s="205" t="str">
        <f>+'Apr11-Mar12 Billed-RETAIL'!E100</f>
        <v>IGS</v>
      </c>
      <c r="F100" s="1208">
        <v>107</v>
      </c>
      <c r="G100" s="1208">
        <v>94</v>
      </c>
      <c r="H100" s="234"/>
      <c r="I100" s="1209"/>
      <c r="J100" s="234">
        <v>0</v>
      </c>
      <c r="K100" s="234">
        <v>0</v>
      </c>
      <c r="L100" s="234">
        <v>0</v>
      </c>
      <c r="M100" s="234"/>
      <c r="N100" s="234"/>
      <c r="O100" s="234"/>
      <c r="P100" s="234"/>
    </row>
    <row r="101" spans="1:16" x14ac:dyDescent="0.25">
      <c r="A101" s="550">
        <f t="shared" si="2"/>
        <v>96</v>
      </c>
      <c r="B101" s="1207">
        <f>+'Apr11-Mar12 Billed-RETAIL'!B101</f>
        <v>40878</v>
      </c>
      <c r="C101" s="1207" t="str">
        <f>+'Apr11-Mar12 Billed-RETAIL'!C101</f>
        <v>LGRSG811</v>
      </c>
      <c r="D101" s="205" t="str">
        <f>+'Apr11-Mar12 Billed-RETAIL'!D101</f>
        <v>811</v>
      </c>
      <c r="E101" s="205" t="str">
        <f>+'Apr11-Mar12 Billed-RETAIL'!E101</f>
        <v>RGS</v>
      </c>
      <c r="F101" s="1351"/>
      <c r="G101" s="1351"/>
      <c r="H101" s="1353">
        <f>1625-1</f>
        <v>1624</v>
      </c>
      <c r="I101" s="234"/>
      <c r="J101" s="234">
        <f>10+4.08</f>
        <v>14.08</v>
      </c>
      <c r="K101" s="234">
        <v>0</v>
      </c>
      <c r="L101" s="234">
        <v>-24.16</v>
      </c>
      <c r="M101" s="234"/>
      <c r="N101" s="234"/>
      <c r="O101" s="234"/>
      <c r="P101" s="234"/>
    </row>
    <row r="102" spans="1:16" x14ac:dyDescent="0.25">
      <c r="A102" s="550">
        <f t="shared" si="2"/>
        <v>97</v>
      </c>
      <c r="B102" s="1207">
        <f>+'Apr11-Mar12 Billed-RETAIL'!B102</f>
        <v>40878</v>
      </c>
      <c r="C102" s="1207" t="str">
        <f>+'Apr11-Mar12 Billed-RETAIL'!C102</f>
        <v>LGRSG811S1</v>
      </c>
      <c r="D102" s="205" t="str">
        <f>+'Apr11-Mar12 Billed-RETAIL'!D102</f>
        <v>811</v>
      </c>
      <c r="E102" s="205" t="str">
        <f>+'Apr11-Mar12 Billed-RETAIL'!E102</f>
        <v>RGS</v>
      </c>
      <c r="F102" s="1351"/>
      <c r="G102" s="1351"/>
      <c r="H102" s="234"/>
      <c r="I102" s="234"/>
      <c r="J102" s="234">
        <v>-12</v>
      </c>
      <c r="K102" s="234">
        <v>0</v>
      </c>
      <c r="L102" s="234">
        <v>-592.51</v>
      </c>
      <c r="M102" s="234"/>
      <c r="N102" s="234"/>
      <c r="O102" s="234"/>
      <c r="P102" s="234"/>
    </row>
    <row r="103" spans="1:16" x14ac:dyDescent="0.25">
      <c r="A103" s="550">
        <f t="shared" si="2"/>
        <v>98</v>
      </c>
      <c r="B103" s="1207">
        <f>+'Apr11-Mar12 Billed-RETAIL'!B103</f>
        <v>40878</v>
      </c>
      <c r="C103" s="1207" t="str">
        <f>+'Apr11-Mar12 Billed-RETAIL'!C103</f>
        <v>LGRSG840</v>
      </c>
      <c r="D103" s="205" t="str">
        <f>+'Apr11-Mar12 Billed-RETAIL'!D103</f>
        <v>840</v>
      </c>
      <c r="E103" s="205" t="str">
        <f>+'Apr11-Mar12 Billed-RETAIL'!E103</f>
        <v>RGS</v>
      </c>
      <c r="F103" s="1351"/>
      <c r="G103" s="1351"/>
      <c r="H103" s="234"/>
      <c r="I103" s="234"/>
      <c r="J103" s="234">
        <v>0</v>
      </c>
      <c r="K103" s="234">
        <v>0</v>
      </c>
      <c r="L103" s="234">
        <v>-0.01</v>
      </c>
      <c r="M103" s="234"/>
      <c r="N103" s="234"/>
      <c r="O103" s="234"/>
      <c r="P103" s="234"/>
    </row>
    <row r="104" spans="1:16" x14ac:dyDescent="0.25">
      <c r="A104" s="550">
        <f t="shared" si="2"/>
        <v>99</v>
      </c>
      <c r="B104" s="1207">
        <f>+'Apr11-Mar12 Billed-RETAIL'!B104</f>
        <v>40878</v>
      </c>
      <c r="C104" s="1207" t="str">
        <f>+'Apr11-Mar12 Billed-RETAIL'!C104</f>
        <v>LGUMG830</v>
      </c>
      <c r="D104" s="205" t="str">
        <f>+'Apr11-Mar12 Billed-RETAIL'!D104</f>
        <v>830</v>
      </c>
      <c r="E104" s="205" t="str">
        <f>+'Apr11-Mar12 Billed-RETAIL'!E104</f>
        <v>RGS</v>
      </c>
      <c r="F104" s="1351"/>
      <c r="G104" s="1351"/>
      <c r="H104" s="1355">
        <v>1</v>
      </c>
      <c r="I104" s="234"/>
      <c r="J104" s="234">
        <v>0</v>
      </c>
      <c r="K104" s="234">
        <v>0</v>
      </c>
      <c r="L104" s="234">
        <v>0</v>
      </c>
      <c r="M104" s="234"/>
      <c r="N104" s="234"/>
      <c r="O104" s="234"/>
      <c r="P104" s="234"/>
    </row>
    <row r="105" spans="1:16" x14ac:dyDescent="0.25">
      <c r="A105" s="550">
        <f t="shared" si="2"/>
        <v>100</v>
      </c>
      <c r="B105" s="1207">
        <f>+'Apr11-Mar12 Billed-RETAIL'!B105</f>
        <v>40909</v>
      </c>
      <c r="C105" s="1207" t="str">
        <f>+'Apr11-Mar12 Billed-RETAIL'!C105</f>
        <v>LGCMG865</v>
      </c>
      <c r="D105" s="205" t="str">
        <f>+'Apr11-Mar12 Billed-RETAIL'!D105</f>
        <v>865</v>
      </c>
      <c r="E105" s="205" t="str">
        <f>+'Apr11-Mar12 Billed-RETAIL'!E105</f>
        <v>AAGS-C</v>
      </c>
      <c r="F105" s="1351"/>
      <c r="G105" s="1351"/>
      <c r="H105" s="1209">
        <v>-1</v>
      </c>
      <c r="I105" s="234"/>
      <c r="J105" s="234">
        <v>0</v>
      </c>
      <c r="K105" s="234">
        <v>0</v>
      </c>
      <c r="L105" s="234">
        <v>0</v>
      </c>
      <c r="M105" s="234"/>
      <c r="N105" s="234"/>
      <c r="O105" s="234"/>
      <c r="P105" s="234"/>
    </row>
    <row r="106" spans="1:16" x14ac:dyDescent="0.25">
      <c r="A106" s="550">
        <f t="shared" si="2"/>
        <v>101</v>
      </c>
      <c r="B106" s="1207">
        <f>+'Apr11-Mar12 Billed-RETAIL'!B106</f>
        <v>40909</v>
      </c>
      <c r="C106" s="1207" t="str">
        <f>+'Apr11-Mar12 Billed-RETAIL'!C106</f>
        <v>LGING866</v>
      </c>
      <c r="D106" s="205" t="str">
        <f>+'Apr11-Mar12 Billed-RETAIL'!D106</f>
        <v>866</v>
      </c>
      <c r="E106" s="205" t="str">
        <f>+'Apr11-Mar12 Billed-RETAIL'!E106</f>
        <v>AAGS-I</v>
      </c>
      <c r="F106" s="1351"/>
      <c r="G106" s="1351"/>
      <c r="H106" s="1209"/>
      <c r="I106" s="234"/>
      <c r="J106" s="234">
        <v>0</v>
      </c>
      <c r="K106" s="234">
        <v>0</v>
      </c>
      <c r="L106" s="234">
        <v>0</v>
      </c>
      <c r="M106" s="234"/>
      <c r="N106" s="234"/>
      <c r="O106" s="234"/>
      <c r="P106" s="234"/>
    </row>
    <row r="107" spans="1:16" x14ac:dyDescent="0.25">
      <c r="A107" s="550">
        <f t="shared" si="2"/>
        <v>102</v>
      </c>
      <c r="B107" s="1207">
        <f>+'Apr11-Mar12 Billed-RETAIL'!B107</f>
        <v>40909</v>
      </c>
      <c r="C107" s="1207" t="str">
        <f>+'Apr11-Mar12 Billed-RETAIL'!C107</f>
        <v>LGCMG851</v>
      </c>
      <c r="D107" s="205" t="str">
        <f>+'Apr11-Mar12 Billed-RETAIL'!D107</f>
        <v>851</v>
      </c>
      <c r="E107" s="205" t="str">
        <f>+'Apr11-Mar12 Billed-RETAIL'!E107</f>
        <v>CGS</v>
      </c>
      <c r="F107" s="1351">
        <v>24681</v>
      </c>
      <c r="G107" s="1351">
        <v>1072</v>
      </c>
      <c r="H107" s="234"/>
      <c r="I107" s="234"/>
      <c r="J107" s="234">
        <v>181.13</v>
      </c>
      <c r="K107" s="234">
        <v>-11.33</v>
      </c>
      <c r="L107" s="234">
        <v>-6.43</v>
      </c>
      <c r="M107" s="234"/>
      <c r="N107" s="234"/>
      <c r="O107" s="234"/>
      <c r="P107" s="234"/>
    </row>
    <row r="108" spans="1:16" x14ac:dyDescent="0.25">
      <c r="A108" s="550">
        <f t="shared" si="2"/>
        <v>103</v>
      </c>
      <c r="B108" s="1207">
        <f>+'Apr11-Mar12 Billed-RETAIL'!B108</f>
        <v>40909</v>
      </c>
      <c r="C108" s="1207" t="str">
        <f>+'Apr11-Mar12 Billed-RETAIL'!C108</f>
        <v>LGUMG860</v>
      </c>
      <c r="D108" s="205" t="str">
        <f>+'Apr11-Mar12 Billed-RETAIL'!D108</f>
        <v>860</v>
      </c>
      <c r="E108" s="205" t="str">
        <f>+'Apr11-Mar12 Billed-RETAIL'!E108</f>
        <v>CGS</v>
      </c>
      <c r="F108" s="1351">
        <v>19</v>
      </c>
      <c r="G108" s="1351">
        <v>0</v>
      </c>
      <c r="H108" s="234"/>
      <c r="I108" s="234"/>
      <c r="J108" s="234">
        <v>0</v>
      </c>
      <c r="K108" s="234">
        <v>0</v>
      </c>
      <c r="L108" s="1352">
        <v>0</v>
      </c>
      <c r="M108" s="234"/>
      <c r="N108" s="234"/>
      <c r="O108" s="234"/>
      <c r="P108" s="234"/>
    </row>
    <row r="109" spans="1:16" x14ac:dyDescent="0.25">
      <c r="A109" s="550">
        <f t="shared" si="2"/>
        <v>104</v>
      </c>
      <c r="B109" s="1207">
        <f>+'Apr11-Mar12 Billed-RETAIL'!B109</f>
        <v>40909</v>
      </c>
      <c r="C109" s="1207" t="str">
        <f>+'Apr11-Mar12 Billed-RETAIL'!C109</f>
        <v>LGUMG861</v>
      </c>
      <c r="D109" s="205" t="str">
        <f>+'Apr11-Mar12 Billed-RETAIL'!D109</f>
        <v>861</v>
      </c>
      <c r="E109" s="205" t="str">
        <f>+'Apr11-Mar12 Billed-RETAIL'!E109</f>
        <v>CGS</v>
      </c>
      <c r="F109" s="1351">
        <v>624</v>
      </c>
      <c r="G109" s="1351">
        <v>0</v>
      </c>
      <c r="H109" s="234"/>
      <c r="I109" s="234"/>
      <c r="J109" s="234">
        <v>8</v>
      </c>
      <c r="K109" s="234">
        <v>0</v>
      </c>
      <c r="L109" s="234">
        <v>1.62</v>
      </c>
      <c r="M109" s="234"/>
      <c r="N109" s="234"/>
      <c r="O109" s="234"/>
      <c r="P109" s="234"/>
    </row>
    <row r="110" spans="1:16" x14ac:dyDescent="0.25">
      <c r="A110" s="550">
        <f t="shared" si="2"/>
        <v>105</v>
      </c>
      <c r="B110" s="1207">
        <f>+'Apr11-Mar12 Billed-RETAIL'!B110</f>
        <v>40909</v>
      </c>
      <c r="C110" s="1207" t="str">
        <f>+'Apr11-Mar12 Billed-RETAIL'!C110</f>
        <v>LGCMG875</v>
      </c>
      <c r="D110" s="205" t="str">
        <f>+'Apr11-Mar12 Billed-RETAIL'!D110</f>
        <v>875</v>
      </c>
      <c r="E110" s="205" t="str">
        <f>+'Apr11-Mar12 Billed-RETAIL'!E110</f>
        <v>DGGS-C</v>
      </c>
      <c r="F110" s="1208"/>
      <c r="G110" s="1208"/>
      <c r="H110" s="234"/>
      <c r="I110" s="234"/>
      <c r="J110" s="234">
        <v>0</v>
      </c>
      <c r="K110" s="234">
        <v>0</v>
      </c>
      <c r="L110" s="234">
        <v>0</v>
      </c>
      <c r="M110" s="234"/>
      <c r="N110" s="234"/>
      <c r="O110" s="234"/>
      <c r="P110" s="234"/>
    </row>
    <row r="111" spans="1:16" x14ac:dyDescent="0.25">
      <c r="A111" s="550">
        <f t="shared" si="2"/>
        <v>106</v>
      </c>
      <c r="B111" s="1207">
        <f>+'Apr11-Mar12 Billed-RETAIL'!B111</f>
        <v>40909</v>
      </c>
      <c r="C111" s="1207" t="str">
        <f>+'Apr11-Mar12 Billed-RETAIL'!C111</f>
        <v>LGING855</v>
      </c>
      <c r="D111" s="205" t="str">
        <f>+'Apr11-Mar12 Billed-RETAIL'!D111</f>
        <v>855</v>
      </c>
      <c r="E111" s="205" t="str">
        <f>+'Apr11-Mar12 Billed-RETAIL'!E111</f>
        <v>IGS</v>
      </c>
      <c r="F111" s="1208">
        <v>119</v>
      </c>
      <c r="G111" s="1208">
        <v>104</v>
      </c>
      <c r="H111" s="234"/>
      <c r="I111" s="1209"/>
      <c r="J111" s="234">
        <v>0</v>
      </c>
      <c r="K111" s="234">
        <v>-73.680000000000007</v>
      </c>
      <c r="L111" s="234">
        <v>0</v>
      </c>
      <c r="M111" s="234"/>
      <c r="N111" s="234"/>
      <c r="O111" s="234"/>
      <c r="P111" s="234"/>
    </row>
    <row r="112" spans="1:16" x14ac:dyDescent="0.25">
      <c r="A112" s="550">
        <f t="shared" si="2"/>
        <v>107</v>
      </c>
      <c r="B112" s="1207">
        <f>+'Apr11-Mar12 Billed-RETAIL'!B112</f>
        <v>40909</v>
      </c>
      <c r="C112" s="1207" t="str">
        <f>+'Apr11-Mar12 Billed-RETAIL'!C112</f>
        <v>LGRSG811</v>
      </c>
      <c r="D112" s="205" t="str">
        <f>+'Apr11-Mar12 Billed-RETAIL'!D112</f>
        <v>811</v>
      </c>
      <c r="E112" s="205" t="str">
        <f>+'Apr11-Mar12 Billed-RETAIL'!E112</f>
        <v>RGS</v>
      </c>
      <c r="F112" s="1208"/>
      <c r="G112" s="1208"/>
      <c r="H112" s="1353">
        <f>1439-1</f>
        <v>1438</v>
      </c>
      <c r="I112" s="234"/>
      <c r="J112" s="234">
        <f>4+12-8.5</f>
        <v>7.5</v>
      </c>
      <c r="K112" s="234">
        <v>0</v>
      </c>
      <c r="L112" s="234">
        <v>-51.69</v>
      </c>
      <c r="M112" s="234"/>
      <c r="N112" s="234"/>
      <c r="O112" s="234"/>
      <c r="P112" s="234"/>
    </row>
    <row r="113" spans="1:16" x14ac:dyDescent="0.25">
      <c r="A113" s="550">
        <f t="shared" si="2"/>
        <v>108</v>
      </c>
      <c r="B113" s="1207">
        <f>+'Apr11-Mar12 Billed-RETAIL'!B113</f>
        <v>40909</v>
      </c>
      <c r="C113" s="1207" t="str">
        <f>+'Apr11-Mar12 Billed-RETAIL'!C113</f>
        <v>LGRSG811S1</v>
      </c>
      <c r="D113" s="205" t="str">
        <f>+'Apr11-Mar12 Billed-RETAIL'!D113</f>
        <v>811</v>
      </c>
      <c r="E113" s="205" t="str">
        <f>+'Apr11-Mar12 Billed-RETAIL'!E113</f>
        <v>RGS</v>
      </c>
      <c r="F113" s="1208"/>
      <c r="G113" s="1208"/>
      <c r="H113" s="234"/>
      <c r="I113" s="234"/>
      <c r="J113" s="234">
        <v>-12</v>
      </c>
      <c r="K113" s="234">
        <v>0</v>
      </c>
      <c r="L113" s="234">
        <v>-942.86</v>
      </c>
      <c r="M113" s="234"/>
      <c r="N113" s="234"/>
      <c r="O113" s="234"/>
      <c r="P113" s="234"/>
    </row>
    <row r="114" spans="1:16" x14ac:dyDescent="0.25">
      <c r="A114" s="550">
        <f t="shared" si="2"/>
        <v>109</v>
      </c>
      <c r="B114" s="1207">
        <f>+'Apr11-Mar12 Billed-RETAIL'!B114</f>
        <v>40909</v>
      </c>
      <c r="C114" s="1207" t="str">
        <f>+'Apr11-Mar12 Billed-RETAIL'!C114</f>
        <v>LGRSG840</v>
      </c>
      <c r="D114" s="205" t="str">
        <f>+'Apr11-Mar12 Billed-RETAIL'!D114</f>
        <v>840</v>
      </c>
      <c r="E114" s="205" t="str">
        <f>+'Apr11-Mar12 Billed-RETAIL'!E114</f>
        <v>RGS</v>
      </c>
      <c r="F114" s="1208"/>
      <c r="G114" s="1208"/>
      <c r="H114" s="234"/>
      <c r="I114" s="234"/>
      <c r="J114" s="234"/>
      <c r="K114" s="234"/>
      <c r="L114" s="234">
        <v>0</v>
      </c>
      <c r="M114" s="234"/>
      <c r="N114" s="234"/>
      <c r="O114" s="234"/>
      <c r="P114" s="234"/>
    </row>
    <row r="115" spans="1:16" x14ac:dyDescent="0.25">
      <c r="A115" s="550">
        <f t="shared" si="2"/>
        <v>110</v>
      </c>
      <c r="B115" s="1207">
        <f>+'Apr11-Mar12 Billed-RETAIL'!B115</f>
        <v>40909</v>
      </c>
      <c r="C115" s="1207" t="str">
        <f>+'Apr11-Mar12 Billed-RETAIL'!C115</f>
        <v>LGUMG830</v>
      </c>
      <c r="D115" s="205" t="str">
        <f>+'Apr11-Mar12 Billed-RETAIL'!D115</f>
        <v>830</v>
      </c>
      <c r="E115" s="205" t="str">
        <f>+'Apr11-Mar12 Billed-RETAIL'!E115</f>
        <v>RGS</v>
      </c>
      <c r="F115" s="1208"/>
      <c r="G115" s="1208"/>
      <c r="H115" s="1355">
        <v>1</v>
      </c>
      <c r="I115" s="234"/>
      <c r="J115" s="234"/>
      <c r="K115" s="234"/>
      <c r="L115" s="234"/>
      <c r="M115" s="234"/>
      <c r="N115" s="234"/>
      <c r="O115" s="234"/>
      <c r="P115" s="234"/>
    </row>
    <row r="116" spans="1:16" x14ac:dyDescent="0.25">
      <c r="A116" s="550">
        <f t="shared" si="2"/>
        <v>111</v>
      </c>
      <c r="B116" s="1207">
        <f>+'Apr11-Mar12 Billed-RETAIL'!B116</f>
        <v>40940</v>
      </c>
      <c r="C116" s="1207" t="str">
        <f>+'Apr11-Mar12 Billed-RETAIL'!C116</f>
        <v>LGCMG865</v>
      </c>
      <c r="D116" s="205" t="str">
        <f>+'Apr11-Mar12 Billed-RETAIL'!D116</f>
        <v>865</v>
      </c>
      <c r="E116" s="205" t="str">
        <f>+'Apr11-Mar12 Billed-RETAIL'!E116</f>
        <v>AAGS-C</v>
      </c>
      <c r="F116" s="1208"/>
      <c r="G116" s="1208"/>
      <c r="H116" s="234"/>
      <c r="I116" s="234"/>
      <c r="J116" s="234"/>
      <c r="K116" s="234"/>
      <c r="L116" s="234"/>
      <c r="M116" s="234"/>
      <c r="N116" s="234"/>
      <c r="O116" s="234"/>
      <c r="P116" s="234"/>
    </row>
    <row r="117" spans="1:16" x14ac:dyDescent="0.25">
      <c r="A117" s="550">
        <f t="shared" si="2"/>
        <v>112</v>
      </c>
      <c r="B117" s="1207">
        <f>+'Apr11-Mar12 Billed-RETAIL'!B117</f>
        <v>40940</v>
      </c>
      <c r="C117" s="1207" t="str">
        <f>+'Apr11-Mar12 Billed-RETAIL'!C117</f>
        <v>LGING866</v>
      </c>
      <c r="D117" s="205" t="str">
        <f>+'Apr11-Mar12 Billed-RETAIL'!D117</f>
        <v>866</v>
      </c>
      <c r="E117" s="205" t="str">
        <f>+'Apr11-Mar12 Billed-RETAIL'!E117</f>
        <v>AAGS-I</v>
      </c>
      <c r="F117" s="1208"/>
      <c r="G117" s="1208"/>
      <c r="H117" s="234"/>
      <c r="I117" s="234"/>
      <c r="J117" s="234"/>
      <c r="K117" s="234"/>
      <c r="L117" s="234"/>
      <c r="M117" s="234"/>
      <c r="N117" s="234"/>
      <c r="O117" s="234"/>
      <c r="P117" s="234"/>
    </row>
    <row r="118" spans="1:16" x14ac:dyDescent="0.25">
      <c r="A118" s="550">
        <f t="shared" si="2"/>
        <v>113</v>
      </c>
      <c r="B118" s="1207">
        <f>+'Apr11-Mar12 Billed-RETAIL'!B118</f>
        <v>40940</v>
      </c>
      <c r="C118" s="1207" t="str">
        <f>+'Apr11-Mar12 Billed-RETAIL'!C118</f>
        <v>LGCMG851</v>
      </c>
      <c r="D118" s="205" t="str">
        <f>+'Apr11-Mar12 Billed-RETAIL'!D118</f>
        <v>851</v>
      </c>
      <c r="E118" s="205" t="str">
        <f>+'Apr11-Mar12 Billed-RETAIL'!E118</f>
        <v>CGS</v>
      </c>
      <c r="F118" s="1351">
        <v>24300</v>
      </c>
      <c r="G118" s="1351">
        <v>1039</v>
      </c>
      <c r="H118" s="234"/>
      <c r="I118" s="234"/>
      <c r="J118" s="234">
        <v>51.45</v>
      </c>
      <c r="K118" s="234">
        <v>-147.33000000000001</v>
      </c>
      <c r="L118" s="234">
        <v>-54.8</v>
      </c>
      <c r="M118" s="234"/>
      <c r="N118" s="234"/>
      <c r="O118" s="234"/>
      <c r="P118" s="234"/>
    </row>
    <row r="119" spans="1:16" x14ac:dyDescent="0.25">
      <c r="A119" s="550">
        <f t="shared" si="2"/>
        <v>114</v>
      </c>
      <c r="B119" s="1207">
        <f>+'Apr11-Mar12 Billed-RETAIL'!B119</f>
        <v>40940</v>
      </c>
      <c r="C119" s="1207" t="str">
        <f>+'Apr11-Mar12 Billed-RETAIL'!C119</f>
        <v>LGUMG860</v>
      </c>
      <c r="D119" s="205" t="str">
        <f>+'Apr11-Mar12 Billed-RETAIL'!D119</f>
        <v>860</v>
      </c>
      <c r="E119" s="205" t="str">
        <f>+'Apr11-Mar12 Billed-RETAIL'!E119</f>
        <v>CGS</v>
      </c>
      <c r="F119" s="1351">
        <v>19</v>
      </c>
      <c r="G119" s="1351"/>
      <c r="H119" s="234"/>
      <c r="I119" s="234"/>
      <c r="J119" s="234">
        <v>0</v>
      </c>
      <c r="K119" s="234">
        <v>0</v>
      </c>
      <c r="L119" s="234"/>
      <c r="M119" s="234"/>
      <c r="N119" s="234"/>
      <c r="O119" s="234"/>
      <c r="P119" s="234"/>
    </row>
    <row r="120" spans="1:16" x14ac:dyDescent="0.25">
      <c r="A120" s="550">
        <f t="shared" si="2"/>
        <v>115</v>
      </c>
      <c r="B120" s="1207">
        <f>+'Apr11-Mar12 Billed-RETAIL'!B120</f>
        <v>40940</v>
      </c>
      <c r="C120" s="1207" t="str">
        <f>+'Apr11-Mar12 Billed-RETAIL'!C120</f>
        <v>LGUMG861</v>
      </c>
      <c r="D120" s="205" t="str">
        <f>+'Apr11-Mar12 Billed-RETAIL'!D120</f>
        <v>861</v>
      </c>
      <c r="E120" s="205" t="str">
        <f>+'Apr11-Mar12 Billed-RETAIL'!E120</f>
        <v>CGS</v>
      </c>
      <c r="F120" s="1351">
        <v>620</v>
      </c>
      <c r="G120" s="1351"/>
      <c r="H120" s="234"/>
      <c r="I120" s="234"/>
      <c r="J120" s="234">
        <v>0</v>
      </c>
      <c r="K120" s="234">
        <v>0</v>
      </c>
      <c r="L120" s="234">
        <v>1.61</v>
      </c>
      <c r="M120" s="234"/>
      <c r="N120" s="234"/>
      <c r="O120" s="234"/>
      <c r="P120" s="234"/>
    </row>
    <row r="121" spans="1:16" x14ac:dyDescent="0.25">
      <c r="A121" s="550">
        <f t="shared" si="2"/>
        <v>116</v>
      </c>
      <c r="B121" s="1207">
        <f>+'Apr11-Mar12 Billed-RETAIL'!B121</f>
        <v>40940</v>
      </c>
      <c r="C121" s="1207" t="str">
        <f>+'Apr11-Mar12 Billed-RETAIL'!C121</f>
        <v>LGCMG875</v>
      </c>
      <c r="D121" s="205" t="str">
        <f>+'Apr11-Mar12 Billed-RETAIL'!D121</f>
        <v>875</v>
      </c>
      <c r="E121" s="205" t="str">
        <f>+'Apr11-Mar12 Billed-RETAIL'!E121</f>
        <v>DGGS-C</v>
      </c>
      <c r="F121" s="1208"/>
      <c r="G121" s="1208"/>
      <c r="H121" s="234"/>
      <c r="I121" s="234"/>
      <c r="J121" s="234"/>
      <c r="K121" s="234"/>
      <c r="L121" s="234"/>
      <c r="M121" s="234"/>
      <c r="N121" s="234"/>
      <c r="O121" s="234"/>
      <c r="P121" s="234"/>
    </row>
    <row r="122" spans="1:16" x14ac:dyDescent="0.25">
      <c r="A122" s="550">
        <f t="shared" si="2"/>
        <v>117</v>
      </c>
      <c r="B122" s="1207">
        <f>+'Apr11-Mar12 Billed-RETAIL'!B122</f>
        <v>40940</v>
      </c>
      <c r="C122" s="1207" t="str">
        <f>+'Apr11-Mar12 Billed-RETAIL'!C122</f>
        <v>LGING855</v>
      </c>
      <c r="D122" s="205" t="str">
        <f>+'Apr11-Mar12 Billed-RETAIL'!D122</f>
        <v>855</v>
      </c>
      <c r="E122" s="205" t="str">
        <f>+'Apr11-Mar12 Billed-RETAIL'!E122</f>
        <v>IGS</v>
      </c>
      <c r="F122" s="1208">
        <v>113</v>
      </c>
      <c r="G122" s="1208">
        <v>95</v>
      </c>
      <c r="H122" s="234"/>
      <c r="I122" s="1209"/>
      <c r="J122" s="234">
        <v>-13</v>
      </c>
      <c r="K122" s="234">
        <v>-56.67</v>
      </c>
      <c r="L122" s="234"/>
      <c r="M122" s="234"/>
      <c r="N122" s="234"/>
      <c r="O122" s="234"/>
      <c r="P122" s="234"/>
    </row>
    <row r="123" spans="1:16" x14ac:dyDescent="0.25">
      <c r="A123" s="550">
        <f t="shared" si="2"/>
        <v>118</v>
      </c>
      <c r="B123" s="1207">
        <f>+'Apr11-Mar12 Billed-RETAIL'!B123</f>
        <v>40940</v>
      </c>
      <c r="C123" s="1207" t="str">
        <f>+'Apr11-Mar12 Billed-RETAIL'!C123</f>
        <v>LGRSG811</v>
      </c>
      <c r="D123" s="205" t="str">
        <f>+'Apr11-Mar12 Billed-RETAIL'!D123</f>
        <v>811</v>
      </c>
      <c r="E123" s="205" t="str">
        <f>+'Apr11-Mar12 Billed-RETAIL'!E123</f>
        <v>RGS</v>
      </c>
      <c r="F123" s="1208"/>
      <c r="G123" s="1208"/>
      <c r="H123" s="1353">
        <f>-710-1</f>
        <v>-711</v>
      </c>
      <c r="I123" s="234"/>
      <c r="J123" s="234">
        <f>4-7.16</f>
        <v>-3.16</v>
      </c>
      <c r="K123" s="234"/>
      <c r="L123" s="234">
        <v>9.6300000000000008</v>
      </c>
      <c r="M123" s="234"/>
      <c r="N123" s="234"/>
      <c r="O123" s="234"/>
      <c r="P123" s="234"/>
    </row>
    <row r="124" spans="1:16" x14ac:dyDescent="0.25">
      <c r="A124" s="550">
        <f t="shared" si="2"/>
        <v>119</v>
      </c>
      <c r="B124" s="1207">
        <f>+'Apr11-Mar12 Billed-RETAIL'!B124</f>
        <v>40940</v>
      </c>
      <c r="C124" s="1207" t="str">
        <f>+'Apr11-Mar12 Billed-RETAIL'!C124</f>
        <v>LGRSG811S1</v>
      </c>
      <c r="D124" s="205" t="str">
        <f>+'Apr11-Mar12 Billed-RETAIL'!D124</f>
        <v>811</v>
      </c>
      <c r="E124" s="205" t="str">
        <f>+'Apr11-Mar12 Billed-RETAIL'!E124</f>
        <v>RGS</v>
      </c>
      <c r="F124" s="1208"/>
      <c r="G124" s="1208"/>
      <c r="H124" s="234"/>
      <c r="I124" s="234"/>
      <c r="J124" s="234"/>
      <c r="K124" s="234"/>
      <c r="L124" s="234"/>
      <c r="M124" s="234"/>
      <c r="N124" s="234"/>
      <c r="O124" s="234"/>
      <c r="P124" s="234"/>
    </row>
    <row r="125" spans="1:16" x14ac:dyDescent="0.25">
      <c r="A125" s="550">
        <f t="shared" si="2"/>
        <v>120</v>
      </c>
      <c r="B125" s="1207">
        <f>+'Apr11-Mar12 Billed-RETAIL'!B125</f>
        <v>40940</v>
      </c>
      <c r="C125" s="1207" t="str">
        <f>+'Apr11-Mar12 Billed-RETAIL'!C125</f>
        <v>LGRSG840</v>
      </c>
      <c r="D125" s="205" t="str">
        <f>+'Apr11-Mar12 Billed-RETAIL'!D125</f>
        <v>840</v>
      </c>
      <c r="E125" s="205" t="str">
        <f>+'Apr11-Mar12 Billed-RETAIL'!E125</f>
        <v>RGS</v>
      </c>
      <c r="F125" s="1208"/>
      <c r="G125" s="1208"/>
      <c r="H125" s="234"/>
      <c r="I125" s="234"/>
      <c r="J125" s="234"/>
      <c r="K125" s="234"/>
      <c r="L125" s="234">
        <v>0</v>
      </c>
      <c r="M125" s="234"/>
      <c r="N125" s="234"/>
      <c r="O125" s="234"/>
      <c r="P125" s="234"/>
    </row>
    <row r="126" spans="1:16" x14ac:dyDescent="0.25">
      <c r="A126" s="550">
        <f t="shared" si="2"/>
        <v>121</v>
      </c>
      <c r="B126" s="1207">
        <f>+'Apr11-Mar12 Billed-RETAIL'!B126</f>
        <v>40940</v>
      </c>
      <c r="C126" s="1207" t="str">
        <f>+'Apr11-Mar12 Billed-RETAIL'!C126</f>
        <v>LGUMG830</v>
      </c>
      <c r="D126" s="205" t="str">
        <f>+'Apr11-Mar12 Billed-RETAIL'!D126</f>
        <v>830</v>
      </c>
      <c r="E126" s="205" t="str">
        <f>+'Apr11-Mar12 Billed-RETAIL'!E126</f>
        <v>RGS</v>
      </c>
      <c r="F126" s="1208"/>
      <c r="G126" s="1208"/>
      <c r="H126" s="1355">
        <v>1</v>
      </c>
      <c r="I126" s="234"/>
      <c r="J126" s="234"/>
      <c r="K126" s="234"/>
      <c r="L126" s="234"/>
      <c r="M126" s="234"/>
      <c r="N126" s="234"/>
      <c r="O126" s="234"/>
      <c r="P126" s="234"/>
    </row>
    <row r="127" spans="1:16" x14ac:dyDescent="0.25">
      <c r="A127" s="550">
        <f t="shared" si="2"/>
        <v>122</v>
      </c>
      <c r="B127" s="1207">
        <f>+'Apr11-Mar12 Billed-RETAIL'!B127</f>
        <v>40969</v>
      </c>
      <c r="C127" s="1207" t="str">
        <f>+'Apr11-Mar12 Billed-RETAIL'!C127</f>
        <v>LGCMG865</v>
      </c>
      <c r="D127" s="205" t="str">
        <f>+'Apr11-Mar12 Billed-RETAIL'!D127</f>
        <v>865</v>
      </c>
      <c r="E127" s="205" t="str">
        <f>+'Apr11-Mar12 Billed-RETAIL'!E127</f>
        <v>AAGS-C</v>
      </c>
      <c r="F127" s="1208"/>
      <c r="G127" s="1208"/>
      <c r="H127" s="1209"/>
      <c r="I127" s="234"/>
      <c r="J127" s="234"/>
      <c r="K127" s="234"/>
      <c r="L127" s="234">
        <v>0</v>
      </c>
      <c r="M127" s="234"/>
      <c r="N127" s="234"/>
      <c r="O127" s="234"/>
      <c r="P127" s="234"/>
    </row>
    <row r="128" spans="1:16" x14ac:dyDescent="0.25">
      <c r="A128" s="550">
        <f t="shared" si="2"/>
        <v>123</v>
      </c>
      <c r="B128" s="1207">
        <f>+'Apr11-Mar12 Billed-RETAIL'!B128</f>
        <v>40969</v>
      </c>
      <c r="C128" s="1207" t="str">
        <f>+'Apr11-Mar12 Billed-RETAIL'!C128</f>
        <v>LGING866</v>
      </c>
      <c r="D128" s="205" t="str">
        <f>+'Apr11-Mar12 Billed-RETAIL'!D128</f>
        <v>866</v>
      </c>
      <c r="E128" s="205" t="str">
        <f>+'Apr11-Mar12 Billed-RETAIL'!E128</f>
        <v>AAGS-I</v>
      </c>
      <c r="F128" s="1208"/>
      <c r="G128" s="1208"/>
      <c r="H128" s="234"/>
      <c r="I128" s="234"/>
      <c r="J128" s="234"/>
      <c r="K128" s="234"/>
      <c r="L128" s="234">
        <v>0</v>
      </c>
      <c r="M128" s="234"/>
      <c r="N128" s="234"/>
      <c r="O128" s="234"/>
      <c r="P128" s="234"/>
    </row>
    <row r="129" spans="1:16" x14ac:dyDescent="0.25">
      <c r="A129" s="550">
        <f t="shared" si="2"/>
        <v>124</v>
      </c>
      <c r="B129" s="1207">
        <f>+'Apr11-Mar12 Billed-RETAIL'!B129</f>
        <v>40969</v>
      </c>
      <c r="C129" s="1207" t="str">
        <f>+'Apr11-Mar12 Billed-RETAIL'!C129</f>
        <v>LGCMG851</v>
      </c>
      <c r="D129" s="205" t="str">
        <f>+'Apr11-Mar12 Billed-RETAIL'!D129</f>
        <v>851</v>
      </c>
      <c r="E129" s="205" t="str">
        <f>+'Apr11-Mar12 Billed-RETAIL'!E129</f>
        <v>CGS</v>
      </c>
      <c r="F129" s="1351">
        <v>24166</v>
      </c>
      <c r="G129" s="1351">
        <v>1068</v>
      </c>
      <c r="H129" s="234"/>
      <c r="I129" s="234"/>
      <c r="J129" s="234">
        <v>40.54</v>
      </c>
      <c r="K129" s="550">
        <v>0</v>
      </c>
      <c r="L129" s="234">
        <v>3.61</v>
      </c>
      <c r="M129" s="234"/>
      <c r="N129" s="234"/>
      <c r="O129" s="234"/>
      <c r="P129" s="234"/>
    </row>
    <row r="130" spans="1:16" x14ac:dyDescent="0.25">
      <c r="A130" s="550">
        <f t="shared" si="2"/>
        <v>125</v>
      </c>
      <c r="B130" s="1207">
        <f>+'Apr11-Mar12 Billed-RETAIL'!B130</f>
        <v>40969</v>
      </c>
      <c r="C130" s="1207" t="str">
        <f>+'Apr11-Mar12 Billed-RETAIL'!C130</f>
        <v>LGUMG860</v>
      </c>
      <c r="D130" s="205" t="str">
        <f>+'Apr11-Mar12 Billed-RETAIL'!D130</f>
        <v>860</v>
      </c>
      <c r="E130" s="205" t="str">
        <f>+'Apr11-Mar12 Billed-RETAIL'!E130</f>
        <v>CGS</v>
      </c>
      <c r="F130" s="1351">
        <v>19</v>
      </c>
      <c r="G130" s="1351">
        <v>0</v>
      </c>
      <c r="H130" s="234"/>
      <c r="I130" s="234"/>
      <c r="J130" s="234">
        <v>0</v>
      </c>
      <c r="K130" s="234">
        <v>0</v>
      </c>
      <c r="L130" s="234">
        <v>0</v>
      </c>
      <c r="M130" s="234"/>
      <c r="N130" s="234"/>
      <c r="O130" s="234"/>
      <c r="P130" s="234"/>
    </row>
    <row r="131" spans="1:16" x14ac:dyDescent="0.25">
      <c r="A131" s="550">
        <f t="shared" si="2"/>
        <v>126</v>
      </c>
      <c r="B131" s="1207">
        <f>+'Apr11-Mar12 Billed-RETAIL'!B131</f>
        <v>40969</v>
      </c>
      <c r="C131" s="1207" t="str">
        <f>+'Apr11-Mar12 Billed-RETAIL'!C131</f>
        <v>LGUMG861</v>
      </c>
      <c r="D131" s="205" t="str">
        <f>+'Apr11-Mar12 Billed-RETAIL'!D131</f>
        <v>861</v>
      </c>
      <c r="E131" s="205" t="str">
        <f>+'Apr11-Mar12 Billed-RETAIL'!E131</f>
        <v>CGS</v>
      </c>
      <c r="F131" s="1351">
        <v>620</v>
      </c>
      <c r="G131" s="1351">
        <v>0</v>
      </c>
      <c r="H131" s="234"/>
      <c r="I131" s="234"/>
      <c r="J131" s="234">
        <v>0</v>
      </c>
      <c r="K131" s="234">
        <v>0</v>
      </c>
      <c r="L131" s="234">
        <v>1.61</v>
      </c>
      <c r="M131" s="234"/>
      <c r="N131" s="234"/>
      <c r="O131" s="234"/>
      <c r="P131" s="234"/>
    </row>
    <row r="132" spans="1:16" x14ac:dyDescent="0.25">
      <c r="A132" s="550">
        <f t="shared" si="2"/>
        <v>127</v>
      </c>
      <c r="B132" s="1207">
        <f>+'Apr11-Mar12 Billed-RETAIL'!B132</f>
        <v>40969</v>
      </c>
      <c r="C132" s="1207" t="str">
        <f>+'Apr11-Mar12 Billed-RETAIL'!C132</f>
        <v>LGCMG875</v>
      </c>
      <c r="D132" s="205" t="str">
        <f>+'Apr11-Mar12 Billed-RETAIL'!D132</f>
        <v>875</v>
      </c>
      <c r="E132" s="205" t="str">
        <f>+'Apr11-Mar12 Billed-RETAIL'!E132</f>
        <v>DGGS-C</v>
      </c>
      <c r="F132" s="1208"/>
      <c r="G132" s="1208"/>
      <c r="H132" s="234"/>
      <c r="I132" s="234"/>
      <c r="J132" s="234"/>
      <c r="K132" s="234"/>
      <c r="L132" s="234"/>
      <c r="M132" s="234"/>
      <c r="N132" s="234"/>
      <c r="O132" s="234"/>
      <c r="P132" s="234"/>
    </row>
    <row r="133" spans="1:16" x14ac:dyDescent="0.25">
      <c r="A133" s="550">
        <f t="shared" si="2"/>
        <v>128</v>
      </c>
      <c r="B133" s="1207">
        <f>+'Apr11-Mar12 Billed-RETAIL'!B133</f>
        <v>40969</v>
      </c>
      <c r="C133" s="1207" t="str">
        <f>+'Apr11-Mar12 Billed-RETAIL'!C133</f>
        <v>LGING855</v>
      </c>
      <c r="D133" s="205" t="str">
        <f>+'Apr11-Mar12 Billed-RETAIL'!D133</f>
        <v>855</v>
      </c>
      <c r="E133" s="205" t="str">
        <f>+'Apr11-Mar12 Billed-RETAIL'!E133</f>
        <v>IGS</v>
      </c>
      <c r="F133" s="1208">
        <v>114</v>
      </c>
      <c r="G133" s="1208">
        <v>100</v>
      </c>
      <c r="H133" s="234"/>
      <c r="I133" s="1209"/>
      <c r="J133" s="234">
        <v>12</v>
      </c>
      <c r="K133" s="234">
        <v>0</v>
      </c>
      <c r="L133" s="234">
        <v>-0.04</v>
      </c>
      <c r="M133" s="234"/>
      <c r="N133" s="234"/>
      <c r="O133" s="234"/>
      <c r="P133" s="234"/>
    </row>
    <row r="134" spans="1:16" x14ac:dyDescent="0.25">
      <c r="A134" s="550">
        <f t="shared" si="2"/>
        <v>129</v>
      </c>
      <c r="B134" s="1207">
        <f>+'Apr11-Mar12 Billed-RETAIL'!B134</f>
        <v>40969</v>
      </c>
      <c r="C134" s="1207" t="str">
        <f>+'Apr11-Mar12 Billed-RETAIL'!C134</f>
        <v>LGRSG811</v>
      </c>
      <c r="D134" s="205" t="str">
        <f>+'Apr11-Mar12 Billed-RETAIL'!D134</f>
        <v>811</v>
      </c>
      <c r="E134" s="205" t="str">
        <f>+'Apr11-Mar12 Billed-RETAIL'!E134</f>
        <v>RGS</v>
      </c>
      <c r="F134" s="1208"/>
      <c r="G134" s="1208"/>
      <c r="H134" s="1353">
        <f>-534-1</f>
        <v>-535</v>
      </c>
      <c r="I134" s="234"/>
      <c r="J134" s="234">
        <v>-2.23</v>
      </c>
      <c r="K134" s="234"/>
      <c r="L134" s="234">
        <v>2.2200000000000002</v>
      </c>
      <c r="M134" s="234"/>
      <c r="N134" s="234"/>
      <c r="O134" s="234"/>
      <c r="P134" s="234"/>
    </row>
    <row r="135" spans="1:16" x14ac:dyDescent="0.25">
      <c r="A135" s="550">
        <f t="shared" si="2"/>
        <v>130</v>
      </c>
      <c r="B135" s="1207">
        <f>+'Apr11-Mar12 Billed-RETAIL'!B135</f>
        <v>40969</v>
      </c>
      <c r="C135" s="1207" t="str">
        <f>+'Apr11-Mar12 Billed-RETAIL'!C135</f>
        <v>LGRSG811S1</v>
      </c>
      <c r="D135" s="205" t="str">
        <f>+'Apr11-Mar12 Billed-RETAIL'!D135</f>
        <v>811</v>
      </c>
      <c r="E135" s="205" t="str">
        <f>+'Apr11-Mar12 Billed-RETAIL'!E135</f>
        <v>RGS</v>
      </c>
      <c r="F135" s="1208"/>
      <c r="G135" s="1208"/>
      <c r="H135" s="234"/>
      <c r="I135" s="234"/>
      <c r="J135" s="234"/>
      <c r="K135" s="234"/>
      <c r="L135" s="234"/>
      <c r="M135" s="234"/>
      <c r="N135" s="234"/>
      <c r="O135" s="234"/>
      <c r="P135" s="234"/>
    </row>
    <row r="136" spans="1:16" x14ac:dyDescent="0.25">
      <c r="A136" s="550">
        <f t="shared" ref="A136:A146" si="3">+A135+1</f>
        <v>131</v>
      </c>
      <c r="B136" s="1207">
        <f>+'Apr11-Mar12 Billed-RETAIL'!B136</f>
        <v>40969</v>
      </c>
      <c r="C136" s="1207" t="str">
        <f>+'Apr11-Mar12 Billed-RETAIL'!C136</f>
        <v>LGRSG840</v>
      </c>
      <c r="D136" s="205" t="str">
        <f>+'Apr11-Mar12 Billed-RETAIL'!D136</f>
        <v>840</v>
      </c>
      <c r="E136" s="205" t="str">
        <f>+'Apr11-Mar12 Billed-RETAIL'!E136</f>
        <v>RGS</v>
      </c>
      <c r="F136" s="1208"/>
      <c r="G136" s="1208"/>
      <c r="H136" s="234"/>
      <c r="I136" s="234"/>
      <c r="J136" s="234">
        <v>-0.56999999999999995</v>
      </c>
      <c r="K136" s="234"/>
      <c r="L136" s="234">
        <v>0</v>
      </c>
      <c r="M136" s="234"/>
      <c r="N136" s="234"/>
      <c r="O136" s="234"/>
      <c r="P136" s="234"/>
    </row>
    <row r="137" spans="1:16" x14ac:dyDescent="0.25">
      <c r="A137" s="550">
        <f t="shared" si="3"/>
        <v>132</v>
      </c>
      <c r="B137" s="1207">
        <f>+'Apr11-Mar12 Billed-RETAIL'!B137</f>
        <v>40969</v>
      </c>
      <c r="C137" s="1207" t="str">
        <f>+'Apr11-Mar12 Billed-RETAIL'!C137</f>
        <v>LGUMG830</v>
      </c>
      <c r="D137" s="205" t="str">
        <f>+'Apr11-Mar12 Billed-RETAIL'!D137</f>
        <v>830</v>
      </c>
      <c r="E137" s="205" t="str">
        <f>+'Apr11-Mar12 Billed-RETAIL'!E137</f>
        <v>RGS</v>
      </c>
      <c r="F137" s="1208"/>
      <c r="G137" s="1208"/>
      <c r="H137" s="1355">
        <v>1</v>
      </c>
      <c r="I137" s="234"/>
      <c r="J137" s="234"/>
      <c r="K137" s="234"/>
      <c r="L137" s="234"/>
      <c r="M137" s="234"/>
      <c r="N137" s="234"/>
      <c r="O137" s="234"/>
      <c r="P137" s="234"/>
    </row>
    <row r="138" spans="1:16" x14ac:dyDescent="0.25">
      <c r="A138" s="550">
        <f t="shared" si="3"/>
        <v>133</v>
      </c>
      <c r="B138" s="1207"/>
      <c r="C138" s="1207"/>
      <c r="D138" s="205"/>
      <c r="E138" s="205"/>
    </row>
    <row r="139" spans="1:16" x14ac:dyDescent="0.25">
      <c r="A139" s="550">
        <f t="shared" si="3"/>
        <v>134</v>
      </c>
      <c r="B139" s="1207"/>
      <c r="C139" s="1207"/>
      <c r="D139" s="205"/>
      <c r="E139" s="205"/>
    </row>
    <row r="140" spans="1:16" x14ac:dyDescent="0.25">
      <c r="A140" s="550">
        <f t="shared" si="3"/>
        <v>135</v>
      </c>
      <c r="B140" s="1207"/>
      <c r="C140" s="1207"/>
      <c r="D140" s="205"/>
      <c r="E140" s="205"/>
    </row>
    <row r="141" spans="1:16" x14ac:dyDescent="0.25">
      <c r="A141" s="550">
        <f t="shared" si="3"/>
        <v>136</v>
      </c>
      <c r="B141" s="1207"/>
      <c r="C141" s="1207"/>
      <c r="D141" s="205"/>
      <c r="E141" s="205"/>
    </row>
    <row r="142" spans="1:16" x14ac:dyDescent="0.25">
      <c r="A142" s="550">
        <f t="shared" si="3"/>
        <v>137</v>
      </c>
      <c r="B142" s="1207"/>
      <c r="C142" s="1207"/>
      <c r="D142" s="205"/>
      <c r="E142" s="205"/>
    </row>
    <row r="143" spans="1:16" x14ac:dyDescent="0.25">
      <c r="A143" s="550">
        <f t="shared" si="3"/>
        <v>138</v>
      </c>
      <c r="B143" s="1207"/>
      <c r="C143" s="1207"/>
      <c r="D143" s="205"/>
      <c r="E143" s="205"/>
    </row>
    <row r="144" spans="1:16" x14ac:dyDescent="0.25">
      <c r="A144" s="550">
        <f t="shared" si="3"/>
        <v>139</v>
      </c>
      <c r="B144" s="1207"/>
      <c r="C144" s="1207"/>
      <c r="D144" s="205"/>
      <c r="E144" s="205"/>
    </row>
    <row r="145" spans="1:21" x14ac:dyDescent="0.25">
      <c r="A145" s="550">
        <f t="shared" si="3"/>
        <v>140</v>
      </c>
      <c r="B145" s="1207"/>
      <c r="C145" s="1207"/>
      <c r="D145" s="205"/>
      <c r="E145" s="205"/>
    </row>
    <row r="146" spans="1:21" x14ac:dyDescent="0.25">
      <c r="A146" s="550">
        <f t="shared" si="3"/>
        <v>141</v>
      </c>
      <c r="B146" s="1207"/>
      <c r="C146" s="1207"/>
      <c r="D146" s="205"/>
      <c r="E146" s="205"/>
    </row>
    <row r="148" spans="1:21" x14ac:dyDescent="0.25">
      <c r="E148" s="1356"/>
      <c r="F148" s="1210"/>
      <c r="G148" s="234"/>
      <c r="I148" s="234"/>
      <c r="J148" s="234"/>
      <c r="K148" s="234"/>
      <c r="L148" s="234"/>
    </row>
    <row r="149" spans="1:21" x14ac:dyDescent="0.25">
      <c r="E149" s="1356"/>
      <c r="F149" s="1355"/>
      <c r="G149" s="1355"/>
      <c r="J149" s="234"/>
      <c r="K149" s="1207"/>
      <c r="L149" s="234"/>
      <c r="M149" s="1355"/>
      <c r="N149" s="1355"/>
    </row>
    <row r="150" spans="1:21" x14ac:dyDescent="0.25">
      <c r="E150" s="1356"/>
      <c r="F150" s="1355"/>
      <c r="G150" s="1355"/>
      <c r="K150" s="1207"/>
      <c r="L150" s="234"/>
    </row>
    <row r="151" spans="1:21" x14ac:dyDescent="0.25">
      <c r="E151" s="1356"/>
      <c r="F151" s="1355"/>
      <c r="G151" s="1355"/>
      <c r="K151" s="1207"/>
      <c r="L151" s="234"/>
    </row>
    <row r="152" spans="1:21" x14ac:dyDescent="0.25">
      <c r="C152" s="1356"/>
      <c r="E152" s="1356"/>
      <c r="F152" s="1210"/>
      <c r="G152" s="234"/>
      <c r="K152" s="1207"/>
      <c r="L152" s="234"/>
    </row>
    <row r="153" spans="1:21" x14ac:dyDescent="0.25">
      <c r="C153" s="1356"/>
      <c r="E153" s="1356"/>
      <c r="F153" s="1210"/>
      <c r="G153" s="234"/>
      <c r="K153" s="1207"/>
      <c r="L153" s="234"/>
    </row>
    <row r="154" spans="1:21" x14ac:dyDescent="0.25">
      <c r="C154" s="1356"/>
      <c r="E154" s="1356"/>
      <c r="F154" s="1210"/>
      <c r="G154" s="234"/>
      <c r="K154" s="1207"/>
      <c r="L154" s="234"/>
    </row>
    <row r="155" spans="1:21" x14ac:dyDescent="0.25">
      <c r="C155" s="1356"/>
      <c r="E155" s="1356"/>
      <c r="F155" s="1210"/>
      <c r="G155" s="234"/>
      <c r="K155" s="1207"/>
      <c r="L155" s="234"/>
    </row>
    <row r="156" spans="1:21" x14ac:dyDescent="0.25">
      <c r="C156" s="1356"/>
      <c r="E156" s="1356"/>
      <c r="F156" s="1210"/>
      <c r="G156" s="234"/>
      <c r="K156" s="1207"/>
      <c r="L156" s="234"/>
    </row>
    <row r="157" spans="1:21" x14ac:dyDescent="0.25">
      <c r="C157" s="1356"/>
      <c r="E157" s="1356"/>
      <c r="F157" s="1210"/>
      <c r="G157" s="234"/>
      <c r="K157" s="1207"/>
      <c r="L157" s="234"/>
    </row>
    <row r="158" spans="1:21" x14ac:dyDescent="0.25">
      <c r="C158" s="1356"/>
      <c r="E158" s="1356"/>
      <c r="F158" s="1210"/>
      <c r="G158" s="234"/>
      <c r="H158" s="234"/>
      <c r="I158" s="234"/>
      <c r="J158" s="234"/>
      <c r="K158" s="1207"/>
      <c r="L158" s="234"/>
      <c r="M158" s="234"/>
      <c r="N158" s="234"/>
      <c r="O158" s="234"/>
      <c r="P158" s="234"/>
      <c r="Q158" s="1354"/>
      <c r="R158" s="1354"/>
      <c r="S158" s="1354"/>
      <c r="T158" s="1354"/>
      <c r="U158" s="1354"/>
    </row>
    <row r="159" spans="1:21" x14ac:dyDescent="0.25">
      <c r="C159" s="1356"/>
      <c r="E159" s="1356"/>
      <c r="F159" s="1210"/>
      <c r="G159" s="234"/>
      <c r="H159" s="234"/>
      <c r="I159" s="234"/>
      <c r="J159" s="234"/>
      <c r="K159" s="1207"/>
      <c r="L159" s="234"/>
      <c r="M159" s="234"/>
      <c r="N159" s="234"/>
      <c r="O159" s="234"/>
      <c r="P159" s="234"/>
      <c r="Q159" s="1354"/>
      <c r="R159" s="1354"/>
      <c r="S159" s="1354"/>
      <c r="T159" s="1354"/>
      <c r="U159" s="1354"/>
    </row>
    <row r="160" spans="1:21" x14ac:dyDescent="0.25">
      <c r="C160" s="1356"/>
      <c r="K160" s="1207"/>
      <c r="L160" s="234"/>
    </row>
    <row r="161" spans="8:14" x14ac:dyDescent="0.25">
      <c r="H161" s="1353"/>
      <c r="I161" s="1353"/>
      <c r="J161" s="234"/>
      <c r="K161" s="1207"/>
      <c r="L161" s="234"/>
      <c r="N161" s="234"/>
    </row>
    <row r="162" spans="8:14" x14ac:dyDescent="0.25">
      <c r="H162" s="1353"/>
      <c r="I162" s="1353"/>
      <c r="K162" s="1207"/>
      <c r="L162" s="234"/>
    </row>
    <row r="163" spans="8:14" x14ac:dyDescent="0.25">
      <c r="H163" s="1353"/>
      <c r="I163" s="1353"/>
      <c r="K163" s="1207"/>
      <c r="L163" s="234"/>
    </row>
    <row r="164" spans="8:14" x14ac:dyDescent="0.25">
      <c r="H164" s="1353"/>
      <c r="I164" s="1353"/>
      <c r="K164" s="1207"/>
      <c r="L164" s="234"/>
    </row>
    <row r="165" spans="8:14" x14ac:dyDescent="0.25">
      <c r="H165" s="1353"/>
      <c r="I165" s="1353"/>
      <c r="K165" s="1207"/>
      <c r="L165" s="234"/>
    </row>
    <row r="166" spans="8:14" x14ac:dyDescent="0.25">
      <c r="H166" s="1353"/>
      <c r="I166" s="1353"/>
      <c r="K166" s="1207"/>
      <c r="L166" s="234"/>
    </row>
    <row r="167" spans="8:14" x14ac:dyDescent="0.25">
      <c r="H167" s="1353"/>
      <c r="I167" s="1353"/>
      <c r="K167" s="1207"/>
      <c r="L167" s="234"/>
    </row>
    <row r="168" spans="8:14" x14ac:dyDescent="0.25">
      <c r="H168" s="1353"/>
      <c r="I168" s="1353"/>
      <c r="K168" s="1207"/>
      <c r="L168" s="234"/>
    </row>
    <row r="169" spans="8:14" x14ac:dyDescent="0.25">
      <c r="H169" s="1353"/>
      <c r="I169" s="1353"/>
      <c r="K169" s="1207"/>
      <c r="L169" s="234"/>
    </row>
    <row r="170" spans="8:14" x14ac:dyDescent="0.25">
      <c r="H170" s="1353"/>
      <c r="I170" s="1353"/>
      <c r="K170" s="1207"/>
      <c r="L170" s="234"/>
    </row>
    <row r="171" spans="8:14" x14ac:dyDescent="0.25">
      <c r="H171" s="1353"/>
      <c r="I171" s="1353"/>
      <c r="K171" s="1207"/>
      <c r="L171" s="234"/>
    </row>
    <row r="172" spans="8:14" x14ac:dyDescent="0.25">
      <c r="H172" s="1353"/>
      <c r="I172" s="1353"/>
      <c r="K172" s="1207"/>
      <c r="L172" s="234"/>
    </row>
    <row r="173" spans="8:14" x14ac:dyDescent="0.25">
      <c r="H173" s="1353"/>
      <c r="I173" s="1353"/>
      <c r="K173" s="1207"/>
      <c r="L173" s="234"/>
    </row>
    <row r="174" spans="8:14" x14ac:dyDescent="0.25">
      <c r="H174" s="1353"/>
      <c r="I174" s="1353"/>
      <c r="K174" s="1207"/>
      <c r="L174" s="234"/>
    </row>
    <row r="175" spans="8:14" x14ac:dyDescent="0.25">
      <c r="H175" s="1353"/>
      <c r="I175" s="1353"/>
      <c r="K175" s="1207"/>
      <c r="L175" s="234"/>
    </row>
    <row r="176" spans="8:14" x14ac:dyDescent="0.25">
      <c r="H176" s="1353"/>
      <c r="I176" s="1353"/>
      <c r="K176" s="1207"/>
      <c r="L176" s="234"/>
    </row>
    <row r="177" spans="8:12" x14ac:dyDescent="0.25">
      <c r="H177" s="1353"/>
      <c r="I177" s="1353"/>
      <c r="K177" s="1207"/>
      <c r="L177" s="234"/>
    </row>
    <row r="178" spans="8:12" x14ac:dyDescent="0.25">
      <c r="H178" s="1353"/>
      <c r="I178" s="1353"/>
      <c r="K178" s="1207"/>
      <c r="L178" s="234"/>
    </row>
    <row r="179" spans="8:12" x14ac:dyDescent="0.25">
      <c r="H179" s="1353"/>
      <c r="I179" s="1353"/>
      <c r="K179" s="1207"/>
      <c r="L179" s="234"/>
    </row>
    <row r="180" spans="8:12" x14ac:dyDescent="0.25">
      <c r="H180" s="1353"/>
      <c r="I180" s="1353"/>
      <c r="K180" s="1207"/>
      <c r="L180" s="234"/>
    </row>
    <row r="181" spans="8:12" x14ac:dyDescent="0.25">
      <c r="H181" s="1353"/>
      <c r="I181" s="1353"/>
      <c r="K181" s="1207"/>
      <c r="L181" s="234"/>
    </row>
    <row r="182" spans="8:12" x14ac:dyDescent="0.25">
      <c r="H182" s="1353"/>
      <c r="I182" s="1353"/>
      <c r="K182" s="1207"/>
      <c r="L182" s="234"/>
    </row>
    <row r="183" spans="8:12" x14ac:dyDescent="0.25">
      <c r="H183" s="1353"/>
      <c r="I183" s="1353"/>
      <c r="K183" s="1207"/>
      <c r="L183" s="234"/>
    </row>
    <row r="184" spans="8:12" x14ac:dyDescent="0.25">
      <c r="H184" s="1353"/>
      <c r="I184" s="1353"/>
      <c r="K184" s="1207"/>
      <c r="L184" s="234"/>
    </row>
    <row r="185" spans="8:12" x14ac:dyDescent="0.25">
      <c r="H185" s="1353"/>
      <c r="I185" s="1353"/>
      <c r="K185" s="1207"/>
      <c r="L185" s="234"/>
    </row>
    <row r="186" spans="8:12" x14ac:dyDescent="0.25">
      <c r="H186" s="1353"/>
      <c r="I186" s="1353"/>
      <c r="K186" s="1207"/>
      <c r="L186" s="234"/>
    </row>
    <row r="187" spans="8:12" x14ac:dyDescent="0.25">
      <c r="H187" s="1353"/>
      <c r="I187" s="1353"/>
      <c r="K187" s="1207"/>
      <c r="L187" s="234"/>
    </row>
    <row r="188" spans="8:12" x14ac:dyDescent="0.25">
      <c r="H188" s="1353"/>
      <c r="I188" s="1353"/>
      <c r="K188" s="1207"/>
      <c r="L188" s="234"/>
    </row>
    <row r="189" spans="8:12" x14ac:dyDescent="0.25">
      <c r="H189" s="1353"/>
      <c r="I189" s="1353"/>
      <c r="K189" s="1207"/>
      <c r="L189" s="234"/>
    </row>
    <row r="190" spans="8:12" x14ac:dyDescent="0.25">
      <c r="H190" s="1353"/>
      <c r="I190" s="1353"/>
      <c r="K190" s="1207"/>
    </row>
    <row r="191" spans="8:12" x14ac:dyDescent="0.25">
      <c r="H191" s="1353"/>
      <c r="I191" s="1353"/>
      <c r="K191" s="1207"/>
    </row>
    <row r="192" spans="8:12" x14ac:dyDescent="0.25">
      <c r="H192" s="1353"/>
      <c r="I192" s="1353"/>
      <c r="K192" s="1207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39997558519241921"/>
  </sheetPr>
  <dimension ref="A1:M755"/>
  <sheetViews>
    <sheetView showGridLines="0" zoomScale="80" zoomScaleNormal="80" workbookViewId="0"/>
  </sheetViews>
  <sheetFormatPr defaultRowHeight="15" x14ac:dyDescent="0.25"/>
  <cols>
    <col min="1" max="1" width="12.28515625" style="518" customWidth="1"/>
    <col min="2" max="2" width="11.42578125" style="518" customWidth="1"/>
    <col min="3" max="3" width="10" style="518" bestFit="1" customWidth="1"/>
    <col min="4" max="4" width="31.28515625" style="518" bestFit="1" customWidth="1"/>
    <col min="5" max="5" width="23" style="518" bestFit="1" customWidth="1"/>
    <col min="6" max="6" width="16.5703125" style="518" bestFit="1" customWidth="1"/>
    <col min="7" max="7" width="13" customWidth="1"/>
    <col min="8" max="8" width="12.85546875" customWidth="1"/>
    <col min="9" max="9" width="15.42578125" bestFit="1" customWidth="1"/>
    <col min="10" max="10" width="19.140625" bestFit="1" customWidth="1"/>
    <col min="13" max="13" width="9.85546875" bestFit="1" customWidth="1"/>
  </cols>
  <sheetData>
    <row r="1" spans="1:13" ht="15.75" customHeight="1" x14ac:dyDescent="0.25">
      <c r="A1" s="517" t="s">
        <v>813</v>
      </c>
    </row>
    <row r="2" spans="1:13" x14ac:dyDescent="0.25">
      <c r="A2" s="519"/>
    </row>
    <row r="3" spans="1:13" ht="15.75" thickBot="1" x14ac:dyDescent="0.3">
      <c r="A3" s="519"/>
    </row>
    <row r="4" spans="1:13" ht="23.25" customHeight="1" thickBot="1" x14ac:dyDescent="0.3">
      <c r="A4" s="520"/>
      <c r="B4" s="521"/>
      <c r="C4" s="521"/>
      <c r="D4" s="521"/>
      <c r="E4" s="522"/>
      <c r="F4" s="523"/>
      <c r="G4" s="524" t="s">
        <v>3</v>
      </c>
      <c r="H4" s="524" t="s">
        <v>816</v>
      </c>
      <c r="I4" s="524" t="s">
        <v>817</v>
      </c>
      <c r="J4" s="524" t="s">
        <v>232</v>
      </c>
    </row>
    <row r="5" spans="1:13" ht="15.75" customHeight="1" thickBot="1" x14ac:dyDescent="0.3">
      <c r="A5" s="516" t="s">
        <v>239</v>
      </c>
      <c r="B5" s="516" t="s">
        <v>818</v>
      </c>
      <c r="C5" s="525" t="s">
        <v>17</v>
      </c>
      <c r="D5" s="526" t="s">
        <v>128</v>
      </c>
      <c r="E5" s="516" t="s">
        <v>815</v>
      </c>
      <c r="F5" s="516" t="s">
        <v>819</v>
      </c>
      <c r="G5" s="527" t="s">
        <v>19</v>
      </c>
      <c r="H5" s="527" t="s">
        <v>20</v>
      </c>
      <c r="I5" s="527" t="s">
        <v>20</v>
      </c>
      <c r="J5" s="527" t="s">
        <v>20</v>
      </c>
    </row>
    <row r="6" spans="1:13" ht="15.75" customHeight="1" thickBot="1" x14ac:dyDescent="0.3">
      <c r="A6" s="558">
        <v>40634</v>
      </c>
      <c r="B6" s="558">
        <v>40603</v>
      </c>
      <c r="C6" s="516" t="s">
        <v>97</v>
      </c>
      <c r="D6" s="516" t="s">
        <v>98</v>
      </c>
      <c r="E6" s="516" t="s">
        <v>820</v>
      </c>
      <c r="F6" s="516" t="s">
        <v>821</v>
      </c>
      <c r="G6" s="528"/>
      <c r="H6" s="529">
        <v>2760</v>
      </c>
      <c r="I6" s="528"/>
      <c r="J6" s="528"/>
    </row>
    <row r="7" spans="1:13" ht="15.75" customHeight="1" thickBot="1" x14ac:dyDescent="0.3">
      <c r="A7" s="558">
        <v>40634</v>
      </c>
      <c r="B7" s="558">
        <v>40603</v>
      </c>
      <c r="C7" s="516" t="s">
        <v>97</v>
      </c>
      <c r="D7" s="516" t="s">
        <v>98</v>
      </c>
      <c r="E7" s="516" t="s">
        <v>822</v>
      </c>
      <c r="F7" s="516" t="s">
        <v>823</v>
      </c>
      <c r="G7" s="530"/>
      <c r="H7" s="530"/>
      <c r="I7" s="530"/>
      <c r="J7" s="531">
        <v>371.62</v>
      </c>
    </row>
    <row r="8" spans="1:13" ht="15.75" customHeight="1" thickBot="1" x14ac:dyDescent="0.3">
      <c r="A8" s="558">
        <v>40634</v>
      </c>
      <c r="B8" s="558">
        <v>40603</v>
      </c>
      <c r="C8" s="516" t="s">
        <v>97</v>
      </c>
      <c r="D8" s="516" t="s">
        <v>98</v>
      </c>
      <c r="E8" s="516" t="s">
        <v>824</v>
      </c>
      <c r="F8" s="516" t="s">
        <v>294</v>
      </c>
      <c r="G8" s="528"/>
      <c r="H8" s="529">
        <v>0.56999999999999995</v>
      </c>
      <c r="I8" s="528"/>
      <c r="J8" s="528"/>
    </row>
    <row r="9" spans="1:13" ht="15.75" customHeight="1" thickBot="1" x14ac:dyDescent="0.3">
      <c r="A9" s="558">
        <v>40634</v>
      </c>
      <c r="B9" s="558">
        <v>40603</v>
      </c>
      <c r="C9" s="516" t="s">
        <v>97</v>
      </c>
      <c r="D9" s="516" t="s">
        <v>98</v>
      </c>
      <c r="E9" s="516" t="s">
        <v>825</v>
      </c>
      <c r="F9" s="516" t="s">
        <v>812</v>
      </c>
      <c r="G9" s="531">
        <v>807</v>
      </c>
      <c r="H9" s="530"/>
      <c r="I9" s="531">
        <v>34.700000000000003</v>
      </c>
      <c r="J9" s="530"/>
    </row>
    <row r="10" spans="1:13" ht="15.75" customHeight="1" thickBot="1" x14ac:dyDescent="0.3">
      <c r="A10" s="558">
        <v>40634</v>
      </c>
      <c r="B10" s="558">
        <v>40603</v>
      </c>
      <c r="C10" s="516" t="s">
        <v>97</v>
      </c>
      <c r="D10" s="516" t="s">
        <v>98</v>
      </c>
      <c r="E10" s="516" t="s">
        <v>816</v>
      </c>
      <c r="F10" s="516" t="s">
        <v>812</v>
      </c>
      <c r="G10" s="529">
        <v>807075</v>
      </c>
      <c r="H10" s="529">
        <v>34704.22</v>
      </c>
      <c r="I10" s="528"/>
      <c r="J10" s="528"/>
    </row>
    <row r="11" spans="1:13" ht="15.75" customHeight="1" thickBot="1" x14ac:dyDescent="0.3">
      <c r="A11" s="558">
        <v>40634</v>
      </c>
      <c r="B11" s="558">
        <v>40603</v>
      </c>
      <c r="C11" s="516" t="s">
        <v>97</v>
      </c>
      <c r="D11" s="516" t="s">
        <v>98</v>
      </c>
      <c r="E11" s="516" t="s">
        <v>826</v>
      </c>
      <c r="F11" s="516" t="s">
        <v>294</v>
      </c>
      <c r="G11" s="530"/>
      <c r="H11" s="531">
        <v>573.01</v>
      </c>
      <c r="I11" s="530"/>
      <c r="J11" s="530"/>
    </row>
    <row r="12" spans="1:13" ht="15.75" customHeight="1" thickBot="1" x14ac:dyDescent="0.3">
      <c r="A12" s="558">
        <v>40634</v>
      </c>
      <c r="B12" s="558">
        <v>40603</v>
      </c>
      <c r="C12" s="516" t="s">
        <v>97</v>
      </c>
      <c r="D12" s="516" t="s">
        <v>98</v>
      </c>
      <c r="E12" s="516" t="s">
        <v>827</v>
      </c>
      <c r="F12" s="516" t="s">
        <v>828</v>
      </c>
      <c r="G12" s="528"/>
      <c r="H12" s="528"/>
      <c r="I12" s="528"/>
      <c r="J12" s="529">
        <v>-279.36</v>
      </c>
    </row>
    <row r="13" spans="1:13" ht="15.75" customHeight="1" thickBot="1" x14ac:dyDescent="0.3">
      <c r="A13" s="558">
        <v>40634</v>
      </c>
      <c r="B13" s="558">
        <v>40603</v>
      </c>
      <c r="C13" s="516" t="s">
        <v>97</v>
      </c>
      <c r="D13" s="516" t="s">
        <v>98</v>
      </c>
      <c r="E13" s="516" t="s">
        <v>829</v>
      </c>
      <c r="F13" s="516" t="s">
        <v>830</v>
      </c>
      <c r="G13" s="530"/>
      <c r="H13" s="531">
        <v>257.60000000000002</v>
      </c>
      <c r="I13" s="530"/>
      <c r="J13" s="530"/>
      <c r="M13" s="514"/>
    </row>
    <row r="14" spans="1:13" ht="15.75" customHeight="1" thickBot="1" x14ac:dyDescent="0.3">
      <c r="A14" s="558">
        <v>40634</v>
      </c>
      <c r="B14" s="558">
        <v>40603</v>
      </c>
      <c r="C14" s="516" t="s">
        <v>97</v>
      </c>
      <c r="D14" s="516" t="s">
        <v>98</v>
      </c>
      <c r="E14" s="532" t="s">
        <v>831</v>
      </c>
      <c r="F14" s="533"/>
      <c r="G14" s="534">
        <v>807882</v>
      </c>
      <c r="H14" s="534">
        <v>38295.4</v>
      </c>
      <c r="I14" s="534">
        <v>34.700000000000003</v>
      </c>
      <c r="J14" s="534">
        <v>92.26</v>
      </c>
    </row>
    <row r="15" spans="1:13" ht="15.75" customHeight="1" thickBot="1" x14ac:dyDescent="0.3">
      <c r="A15" s="558">
        <v>40634</v>
      </c>
      <c r="B15" s="558">
        <v>40603</v>
      </c>
      <c r="C15" s="516" t="s">
        <v>106</v>
      </c>
      <c r="D15" s="516" t="s">
        <v>107</v>
      </c>
      <c r="E15" s="516" t="s">
        <v>820</v>
      </c>
      <c r="F15" s="516" t="s">
        <v>821</v>
      </c>
      <c r="G15" s="530"/>
      <c r="H15" s="531">
        <v>230</v>
      </c>
      <c r="I15" s="530"/>
      <c r="J15" s="530"/>
    </row>
    <row r="16" spans="1:13" ht="15.75" customHeight="1" thickBot="1" x14ac:dyDescent="0.3">
      <c r="A16" s="558">
        <v>40634</v>
      </c>
      <c r="B16" s="558">
        <v>40603</v>
      </c>
      <c r="C16" s="516" t="s">
        <v>106</v>
      </c>
      <c r="D16" s="516" t="s">
        <v>107</v>
      </c>
      <c r="E16" s="516" t="s">
        <v>832</v>
      </c>
      <c r="F16" s="516" t="s">
        <v>833</v>
      </c>
      <c r="G16" s="528"/>
      <c r="H16" s="528"/>
      <c r="I16" s="529">
        <v>781</v>
      </c>
      <c r="J16" s="528"/>
    </row>
    <row r="17" spans="1:13" ht="15.75" customHeight="1" thickBot="1" x14ac:dyDescent="0.3">
      <c r="A17" s="558">
        <v>40634</v>
      </c>
      <c r="B17" s="558">
        <v>40603</v>
      </c>
      <c r="C17" s="516" t="s">
        <v>106</v>
      </c>
      <c r="D17" s="516" t="s">
        <v>107</v>
      </c>
      <c r="E17" s="516" t="s">
        <v>816</v>
      </c>
      <c r="F17" s="516" t="s">
        <v>812</v>
      </c>
      <c r="G17" s="531">
        <v>438480</v>
      </c>
      <c r="H17" s="531">
        <v>2135.4</v>
      </c>
      <c r="I17" s="530"/>
      <c r="J17" s="530"/>
    </row>
    <row r="18" spans="1:13" ht="15.75" customHeight="1" thickBot="1" x14ac:dyDescent="0.3">
      <c r="A18" s="558">
        <v>40634</v>
      </c>
      <c r="B18" s="558">
        <v>40603</v>
      </c>
      <c r="C18" s="516" t="s">
        <v>106</v>
      </c>
      <c r="D18" s="516" t="s">
        <v>107</v>
      </c>
      <c r="E18" s="516" t="s">
        <v>816</v>
      </c>
      <c r="F18" s="516" t="s">
        <v>834</v>
      </c>
      <c r="G18" s="528"/>
      <c r="H18" s="529">
        <v>18225</v>
      </c>
      <c r="I18" s="528"/>
      <c r="J18" s="528"/>
    </row>
    <row r="19" spans="1:13" ht="15.75" customHeight="1" thickBot="1" x14ac:dyDescent="0.3">
      <c r="A19" s="558">
        <v>40634</v>
      </c>
      <c r="B19" s="558">
        <v>40603</v>
      </c>
      <c r="C19" s="516" t="s">
        <v>106</v>
      </c>
      <c r="D19" s="516" t="s">
        <v>107</v>
      </c>
      <c r="E19" s="516" t="s">
        <v>816</v>
      </c>
      <c r="F19" s="535" t="s">
        <v>831</v>
      </c>
      <c r="G19" s="534">
        <v>438480</v>
      </c>
      <c r="H19" s="534">
        <v>20360.400000000001</v>
      </c>
      <c r="I19" s="536"/>
      <c r="J19" s="536"/>
    </row>
    <row r="20" spans="1:13" ht="15.75" customHeight="1" thickBot="1" x14ac:dyDescent="0.3">
      <c r="A20" s="558">
        <v>40634</v>
      </c>
      <c r="B20" s="558">
        <v>40603</v>
      </c>
      <c r="C20" s="516" t="s">
        <v>106</v>
      </c>
      <c r="D20" s="516" t="s">
        <v>107</v>
      </c>
      <c r="E20" s="516" t="s">
        <v>827</v>
      </c>
      <c r="F20" s="516" t="s">
        <v>828</v>
      </c>
      <c r="G20" s="528"/>
      <c r="H20" s="528"/>
      <c r="I20" s="528"/>
      <c r="J20" s="529">
        <v>-4512.4399999999996</v>
      </c>
    </row>
    <row r="21" spans="1:13" ht="15.75" customHeight="1" thickBot="1" x14ac:dyDescent="0.3">
      <c r="A21" s="558">
        <v>40634</v>
      </c>
      <c r="B21" s="558">
        <v>40603</v>
      </c>
      <c r="C21" s="516" t="s">
        <v>106</v>
      </c>
      <c r="D21" s="516" t="s">
        <v>107</v>
      </c>
      <c r="E21" s="516" t="s">
        <v>829</v>
      </c>
      <c r="F21" s="516" t="s">
        <v>830</v>
      </c>
      <c r="G21" s="530"/>
      <c r="H21" s="531">
        <v>2393.21</v>
      </c>
      <c r="I21" s="530"/>
      <c r="J21" s="530"/>
      <c r="M21" s="514"/>
    </row>
    <row r="22" spans="1:13" ht="15.75" customHeight="1" thickBot="1" x14ac:dyDescent="0.3">
      <c r="A22" s="558">
        <v>40634</v>
      </c>
      <c r="B22" s="558">
        <v>40603</v>
      </c>
      <c r="C22" s="516" t="s">
        <v>106</v>
      </c>
      <c r="D22" s="516" t="s">
        <v>107</v>
      </c>
      <c r="E22" s="532" t="s">
        <v>831</v>
      </c>
      <c r="F22" s="533"/>
      <c r="G22" s="534">
        <v>438480</v>
      </c>
      <c r="H22" s="534">
        <v>22983.61</v>
      </c>
      <c r="I22" s="534">
        <v>781</v>
      </c>
      <c r="J22" s="534">
        <v>-4512.4399999999996</v>
      </c>
    </row>
    <row r="23" spans="1:13" ht="15.75" thickBot="1" x14ac:dyDescent="0.3">
      <c r="A23" s="558">
        <v>40634</v>
      </c>
      <c r="B23" s="558">
        <v>40603</v>
      </c>
      <c r="C23" s="516" t="s">
        <v>99</v>
      </c>
      <c r="D23" s="516" t="s">
        <v>100</v>
      </c>
      <c r="E23" s="516" t="s">
        <v>820</v>
      </c>
      <c r="F23" s="516" t="s">
        <v>821</v>
      </c>
      <c r="G23" s="530"/>
      <c r="H23" s="531">
        <v>13340</v>
      </c>
      <c r="I23" s="530"/>
      <c r="J23" s="530"/>
    </row>
    <row r="24" spans="1:13" ht="15.75" thickBot="1" x14ac:dyDescent="0.3">
      <c r="A24" s="558">
        <v>40634</v>
      </c>
      <c r="B24" s="558">
        <v>40603</v>
      </c>
      <c r="C24" s="516" t="s">
        <v>99</v>
      </c>
      <c r="D24" s="516" t="s">
        <v>100</v>
      </c>
      <c r="E24" s="516" t="s">
        <v>816</v>
      </c>
      <c r="F24" s="516" t="s">
        <v>812</v>
      </c>
      <c r="G24" s="529">
        <v>7452742</v>
      </c>
      <c r="H24" s="529">
        <v>320467.94</v>
      </c>
      <c r="I24" s="528"/>
      <c r="J24" s="528"/>
    </row>
    <row r="25" spans="1:13" ht="15.75" thickBot="1" x14ac:dyDescent="0.3">
      <c r="A25" s="558">
        <v>40634</v>
      </c>
      <c r="B25" s="558">
        <v>40603</v>
      </c>
      <c r="C25" s="516" t="s">
        <v>99</v>
      </c>
      <c r="D25" s="516" t="s">
        <v>100</v>
      </c>
      <c r="E25" s="516" t="s">
        <v>827</v>
      </c>
      <c r="F25" s="516" t="s">
        <v>828</v>
      </c>
      <c r="G25" s="530"/>
      <c r="H25" s="530"/>
      <c r="I25" s="530"/>
      <c r="J25" s="531">
        <v>-3274.72</v>
      </c>
    </row>
    <row r="26" spans="1:13" ht="15.75" thickBot="1" x14ac:dyDescent="0.3">
      <c r="A26" s="558">
        <v>40634</v>
      </c>
      <c r="B26" s="558">
        <v>40603</v>
      </c>
      <c r="C26" s="516" t="s">
        <v>99</v>
      </c>
      <c r="D26" s="516" t="s">
        <v>100</v>
      </c>
      <c r="E26" s="516" t="s">
        <v>829</v>
      </c>
      <c r="F26" s="516" t="s">
        <v>830</v>
      </c>
      <c r="G26" s="528"/>
      <c r="H26" s="529">
        <v>6241.46</v>
      </c>
      <c r="I26" s="528"/>
      <c r="J26" s="528"/>
      <c r="M26" s="514"/>
    </row>
    <row r="27" spans="1:13" ht="15.75" thickBot="1" x14ac:dyDescent="0.3">
      <c r="A27" s="558">
        <v>40634</v>
      </c>
      <c r="B27" s="558">
        <v>40603</v>
      </c>
      <c r="C27" s="516" t="s">
        <v>99</v>
      </c>
      <c r="D27" s="516" t="s">
        <v>100</v>
      </c>
      <c r="E27" s="532" t="s">
        <v>831</v>
      </c>
      <c r="F27" s="533"/>
      <c r="G27" s="534">
        <v>7452742</v>
      </c>
      <c r="H27" s="534">
        <v>340049.4</v>
      </c>
      <c r="I27" s="534">
        <v>0</v>
      </c>
      <c r="J27" s="534">
        <v>-3274.72</v>
      </c>
    </row>
    <row r="28" spans="1:13" ht="15.75" customHeight="1" thickBot="1" x14ac:dyDescent="0.3">
      <c r="A28" s="558">
        <v>40634</v>
      </c>
      <c r="B28" s="558">
        <v>40603</v>
      </c>
      <c r="C28" s="532" t="s">
        <v>831</v>
      </c>
      <c r="D28" s="537"/>
      <c r="E28" s="537"/>
      <c r="F28" s="533"/>
      <c r="G28" s="534">
        <v>8699104</v>
      </c>
      <c r="H28" s="534">
        <v>401328.41</v>
      </c>
      <c r="I28" s="534">
        <v>815.7</v>
      </c>
      <c r="J28" s="534">
        <v>-7694.9</v>
      </c>
    </row>
    <row r="29" spans="1:13" ht="15.75" customHeight="1" thickBot="1" x14ac:dyDescent="0.3">
      <c r="A29" s="558">
        <v>40634</v>
      </c>
      <c r="B29" s="558">
        <v>40634</v>
      </c>
      <c r="C29" s="516" t="s">
        <v>63</v>
      </c>
      <c r="D29" s="516" t="s">
        <v>64</v>
      </c>
      <c r="E29" s="516" t="s">
        <v>820</v>
      </c>
      <c r="F29" s="516" t="s">
        <v>821</v>
      </c>
      <c r="G29" s="530"/>
      <c r="H29" s="531">
        <v>153</v>
      </c>
      <c r="I29" s="530"/>
      <c r="J29" s="530"/>
    </row>
    <row r="30" spans="1:13" ht="15.75" customHeight="1" thickBot="1" x14ac:dyDescent="0.3">
      <c r="A30" s="558">
        <v>40634</v>
      </c>
      <c r="B30" s="558">
        <v>40634</v>
      </c>
      <c r="C30" s="516" t="s">
        <v>63</v>
      </c>
      <c r="D30" s="516" t="s">
        <v>64</v>
      </c>
      <c r="E30" s="516" t="s">
        <v>832</v>
      </c>
      <c r="F30" s="516" t="s">
        <v>833</v>
      </c>
      <c r="G30" s="528"/>
      <c r="H30" s="528"/>
      <c r="I30" s="529">
        <v>170</v>
      </c>
      <c r="J30" s="528"/>
    </row>
    <row r="31" spans="1:13" ht="15.75" customHeight="1" thickBot="1" x14ac:dyDescent="0.3">
      <c r="A31" s="558">
        <v>40634</v>
      </c>
      <c r="B31" s="558">
        <v>40634</v>
      </c>
      <c r="C31" s="516" t="s">
        <v>63</v>
      </c>
      <c r="D31" s="516" t="s">
        <v>64</v>
      </c>
      <c r="E31" s="516" t="s">
        <v>824</v>
      </c>
      <c r="F31" s="516" t="s">
        <v>294</v>
      </c>
      <c r="G31" s="530"/>
      <c r="H31" s="531">
        <v>5.89</v>
      </c>
      <c r="I31" s="530"/>
      <c r="J31" s="530"/>
    </row>
    <row r="32" spans="1:13" ht="15.75" customHeight="1" thickBot="1" x14ac:dyDescent="0.3">
      <c r="A32" s="558">
        <v>40634</v>
      </c>
      <c r="B32" s="558">
        <v>40634</v>
      </c>
      <c r="C32" s="516" t="s">
        <v>63</v>
      </c>
      <c r="D32" s="516" t="s">
        <v>64</v>
      </c>
      <c r="E32" s="516" t="s">
        <v>825</v>
      </c>
      <c r="F32" s="516" t="s">
        <v>812</v>
      </c>
      <c r="G32" s="529">
        <v>6618</v>
      </c>
      <c r="H32" s="528"/>
      <c r="I32" s="529">
        <v>958.12</v>
      </c>
      <c r="J32" s="528"/>
    </row>
    <row r="33" spans="1:10" ht="15.75" customHeight="1" thickBot="1" x14ac:dyDescent="0.3">
      <c r="A33" s="558">
        <v>40634</v>
      </c>
      <c r="B33" s="558">
        <v>40634</v>
      </c>
      <c r="C33" s="516" t="s">
        <v>63</v>
      </c>
      <c r="D33" s="516" t="s">
        <v>64</v>
      </c>
      <c r="E33" s="516" t="s">
        <v>292</v>
      </c>
      <c r="F33" s="516" t="s">
        <v>292</v>
      </c>
      <c r="G33" s="530"/>
      <c r="H33" s="531">
        <v>3489.01</v>
      </c>
      <c r="I33" s="530"/>
      <c r="J33" s="530"/>
    </row>
    <row r="34" spans="1:10" ht="15.75" customHeight="1" thickBot="1" x14ac:dyDescent="0.3">
      <c r="A34" s="558">
        <v>40634</v>
      </c>
      <c r="B34" s="558">
        <v>40634</v>
      </c>
      <c r="C34" s="516" t="s">
        <v>63</v>
      </c>
      <c r="D34" s="516" t="s">
        <v>64</v>
      </c>
      <c r="E34" s="532" t="s">
        <v>831</v>
      </c>
      <c r="F34" s="533"/>
      <c r="G34" s="534">
        <v>6618</v>
      </c>
      <c r="H34" s="534">
        <v>3647.9</v>
      </c>
      <c r="I34" s="534">
        <v>1128.1199999999999</v>
      </c>
      <c r="J34" s="534">
        <v>0</v>
      </c>
    </row>
    <row r="35" spans="1:10" ht="15.75" customHeight="1" thickBot="1" x14ac:dyDescent="0.3">
      <c r="A35" s="558">
        <v>40634</v>
      </c>
      <c r="B35" s="558">
        <v>40634</v>
      </c>
      <c r="C35" s="516" t="s">
        <v>66</v>
      </c>
      <c r="D35" s="516" t="s">
        <v>67</v>
      </c>
      <c r="E35" s="516" t="s">
        <v>820</v>
      </c>
      <c r="F35" s="516" t="s">
        <v>821</v>
      </c>
      <c r="G35" s="530"/>
      <c r="H35" s="531">
        <v>459</v>
      </c>
      <c r="I35" s="530"/>
      <c r="J35" s="530"/>
    </row>
    <row r="36" spans="1:10" ht="15.75" customHeight="1" thickBot="1" x14ac:dyDescent="0.3">
      <c r="A36" s="558">
        <v>40634</v>
      </c>
      <c r="B36" s="558">
        <v>40634</v>
      </c>
      <c r="C36" s="516" t="s">
        <v>66</v>
      </c>
      <c r="D36" s="516" t="s">
        <v>67</v>
      </c>
      <c r="E36" s="516" t="s">
        <v>832</v>
      </c>
      <c r="F36" s="516" t="s">
        <v>833</v>
      </c>
      <c r="G36" s="528"/>
      <c r="H36" s="528"/>
      <c r="I36" s="529">
        <v>510</v>
      </c>
      <c r="J36" s="528"/>
    </row>
    <row r="37" spans="1:10" ht="15.75" customHeight="1" thickBot="1" x14ac:dyDescent="0.3">
      <c r="A37" s="558">
        <v>40634</v>
      </c>
      <c r="B37" s="558">
        <v>40634</v>
      </c>
      <c r="C37" s="516" t="s">
        <v>66</v>
      </c>
      <c r="D37" s="516" t="s">
        <v>67</v>
      </c>
      <c r="E37" s="516" t="s">
        <v>825</v>
      </c>
      <c r="F37" s="516" t="s">
        <v>812</v>
      </c>
      <c r="G37" s="531">
        <v>1394</v>
      </c>
      <c r="H37" s="530"/>
      <c r="I37" s="531">
        <v>245.47</v>
      </c>
      <c r="J37" s="530"/>
    </row>
    <row r="38" spans="1:10" ht="15.75" customHeight="1" thickBot="1" x14ac:dyDescent="0.3">
      <c r="A38" s="558">
        <v>40634</v>
      </c>
      <c r="B38" s="558">
        <v>40634</v>
      </c>
      <c r="C38" s="516" t="s">
        <v>66</v>
      </c>
      <c r="D38" s="516" t="s">
        <v>67</v>
      </c>
      <c r="E38" s="516" t="s">
        <v>816</v>
      </c>
      <c r="F38" s="516" t="s">
        <v>812</v>
      </c>
      <c r="G38" s="529">
        <v>22912</v>
      </c>
      <c r="H38" s="529">
        <v>3362.73</v>
      </c>
      <c r="I38" s="528"/>
      <c r="J38" s="528"/>
    </row>
    <row r="39" spans="1:10" ht="15.75" customHeight="1" thickBot="1" x14ac:dyDescent="0.3">
      <c r="A39" s="558">
        <v>40634</v>
      </c>
      <c r="B39" s="558">
        <v>40634</v>
      </c>
      <c r="C39" s="516" t="s">
        <v>66</v>
      </c>
      <c r="D39" s="516" t="s">
        <v>67</v>
      </c>
      <c r="E39" s="516" t="s">
        <v>816</v>
      </c>
      <c r="F39" s="516" t="s">
        <v>835</v>
      </c>
      <c r="G39" s="530"/>
      <c r="H39" s="531">
        <v>2025.2</v>
      </c>
      <c r="I39" s="530"/>
      <c r="J39" s="530"/>
    </row>
    <row r="40" spans="1:10" ht="15.75" customHeight="1" thickBot="1" x14ac:dyDescent="0.3">
      <c r="A40" s="558">
        <v>40634</v>
      </c>
      <c r="B40" s="558">
        <v>40634</v>
      </c>
      <c r="C40" s="516" t="s">
        <v>66</v>
      </c>
      <c r="D40" s="516" t="s">
        <v>67</v>
      </c>
      <c r="E40" s="516" t="s">
        <v>816</v>
      </c>
      <c r="F40" s="535" t="s">
        <v>831</v>
      </c>
      <c r="G40" s="534">
        <v>22912</v>
      </c>
      <c r="H40" s="534">
        <v>5387.93</v>
      </c>
      <c r="I40" s="536"/>
      <c r="J40" s="536"/>
    </row>
    <row r="41" spans="1:10" ht="15.75" customHeight="1" thickBot="1" x14ac:dyDescent="0.3">
      <c r="A41" s="558">
        <v>40634</v>
      </c>
      <c r="B41" s="558">
        <v>40634</v>
      </c>
      <c r="C41" s="516" t="s">
        <v>66</v>
      </c>
      <c r="D41" s="516" t="s">
        <v>67</v>
      </c>
      <c r="E41" s="516" t="s">
        <v>292</v>
      </c>
      <c r="F41" s="516" t="s">
        <v>292</v>
      </c>
      <c r="G41" s="530"/>
      <c r="H41" s="531">
        <v>734.92</v>
      </c>
      <c r="I41" s="530"/>
      <c r="J41" s="530"/>
    </row>
    <row r="42" spans="1:10" ht="15.75" customHeight="1" thickBot="1" x14ac:dyDescent="0.3">
      <c r="A42" s="558">
        <v>40634</v>
      </c>
      <c r="B42" s="558">
        <v>40634</v>
      </c>
      <c r="C42" s="516" t="s">
        <v>66</v>
      </c>
      <c r="D42" s="516" t="s">
        <v>67</v>
      </c>
      <c r="E42" s="516" t="s">
        <v>827</v>
      </c>
      <c r="F42" s="516" t="s">
        <v>828</v>
      </c>
      <c r="G42" s="528"/>
      <c r="H42" s="528"/>
      <c r="I42" s="528"/>
      <c r="J42" s="529">
        <v>-232.96</v>
      </c>
    </row>
    <row r="43" spans="1:10" ht="15.75" customHeight="1" thickBot="1" x14ac:dyDescent="0.3">
      <c r="A43" s="558">
        <v>40634</v>
      </c>
      <c r="B43" s="558">
        <v>40634</v>
      </c>
      <c r="C43" s="516" t="s">
        <v>66</v>
      </c>
      <c r="D43" s="516" t="s">
        <v>67</v>
      </c>
      <c r="E43" s="532" t="s">
        <v>831</v>
      </c>
      <c r="F43" s="533"/>
      <c r="G43" s="534">
        <v>24306</v>
      </c>
      <c r="H43" s="534">
        <v>6581.85</v>
      </c>
      <c r="I43" s="534">
        <v>755.47</v>
      </c>
      <c r="J43" s="534">
        <v>-232.96</v>
      </c>
    </row>
    <row r="44" spans="1:10" ht="15.75" thickBot="1" x14ac:dyDescent="0.3">
      <c r="A44" s="558">
        <v>40634</v>
      </c>
      <c r="B44" s="558">
        <v>40634</v>
      </c>
      <c r="C44" s="516" t="s">
        <v>99</v>
      </c>
      <c r="D44" s="516" t="s">
        <v>100</v>
      </c>
      <c r="E44" s="516" t="s">
        <v>820</v>
      </c>
      <c r="F44" s="516" t="s">
        <v>821</v>
      </c>
      <c r="G44" s="528"/>
      <c r="H44" s="529">
        <v>690</v>
      </c>
      <c r="I44" s="528"/>
      <c r="J44" s="528"/>
    </row>
    <row r="45" spans="1:10" ht="15.75" thickBot="1" x14ac:dyDescent="0.3">
      <c r="A45" s="558">
        <v>40634</v>
      </c>
      <c r="B45" s="558">
        <v>40634</v>
      </c>
      <c r="C45" s="516" t="s">
        <v>99</v>
      </c>
      <c r="D45" s="516" t="s">
        <v>100</v>
      </c>
      <c r="E45" s="516" t="s">
        <v>816</v>
      </c>
      <c r="F45" s="516" t="s">
        <v>812</v>
      </c>
      <c r="G45" s="531">
        <v>1784258</v>
      </c>
      <c r="H45" s="531">
        <v>76723.100000000006</v>
      </c>
      <c r="I45" s="530"/>
      <c r="J45" s="530"/>
    </row>
    <row r="46" spans="1:10" ht="15.75" thickBot="1" x14ac:dyDescent="0.3">
      <c r="A46" s="558">
        <v>40634</v>
      </c>
      <c r="B46" s="558">
        <v>40634</v>
      </c>
      <c r="C46" s="516" t="s">
        <v>99</v>
      </c>
      <c r="D46" s="516" t="s">
        <v>100</v>
      </c>
      <c r="E46" s="532" t="s">
        <v>831</v>
      </c>
      <c r="F46" s="533"/>
      <c r="G46" s="534">
        <v>1784258</v>
      </c>
      <c r="H46" s="534">
        <v>77413.100000000006</v>
      </c>
      <c r="I46" s="534">
        <v>0</v>
      </c>
      <c r="J46" s="534">
        <v>0</v>
      </c>
    </row>
    <row r="47" spans="1:10" ht="15.75" customHeight="1" thickBot="1" x14ac:dyDescent="0.3">
      <c r="A47" s="558">
        <v>40634</v>
      </c>
      <c r="B47" s="558">
        <v>40634</v>
      </c>
      <c r="C47" s="516" t="s">
        <v>102</v>
      </c>
      <c r="D47" s="516" t="s">
        <v>103</v>
      </c>
      <c r="E47" s="516" t="s">
        <v>820</v>
      </c>
      <c r="F47" s="516" t="s">
        <v>821</v>
      </c>
      <c r="G47" s="530"/>
      <c r="H47" s="531">
        <v>5175</v>
      </c>
      <c r="I47" s="530"/>
      <c r="J47" s="530"/>
    </row>
    <row r="48" spans="1:10" ht="15.75" customHeight="1" thickBot="1" x14ac:dyDescent="0.3">
      <c r="A48" s="558">
        <v>40634</v>
      </c>
      <c r="B48" s="558">
        <v>40634</v>
      </c>
      <c r="C48" s="516" t="s">
        <v>102</v>
      </c>
      <c r="D48" s="516" t="s">
        <v>103</v>
      </c>
      <c r="E48" s="516" t="s">
        <v>822</v>
      </c>
      <c r="F48" s="516" t="s">
        <v>823</v>
      </c>
      <c r="G48" s="528"/>
      <c r="H48" s="528"/>
      <c r="I48" s="528"/>
      <c r="J48" s="529">
        <v>53516.08</v>
      </c>
    </row>
    <row r="49" spans="1:13" ht="15.75" customHeight="1" thickBot="1" x14ac:dyDescent="0.3">
      <c r="A49" s="558">
        <v>40634</v>
      </c>
      <c r="B49" s="558">
        <v>40634</v>
      </c>
      <c r="C49" s="516" t="s">
        <v>102</v>
      </c>
      <c r="D49" s="516" t="s">
        <v>103</v>
      </c>
      <c r="E49" s="516" t="s">
        <v>827</v>
      </c>
      <c r="F49" s="516" t="s">
        <v>828</v>
      </c>
      <c r="G49" s="530"/>
      <c r="H49" s="530"/>
      <c r="I49" s="530"/>
      <c r="J49" s="531">
        <v>-25208.36</v>
      </c>
    </row>
    <row r="50" spans="1:13" ht="15.75" customHeight="1" thickBot="1" x14ac:dyDescent="0.3">
      <c r="A50" s="558">
        <v>40634</v>
      </c>
      <c r="B50" s="558">
        <v>40634</v>
      </c>
      <c r="C50" s="516" t="s">
        <v>102</v>
      </c>
      <c r="D50" s="516" t="s">
        <v>103</v>
      </c>
      <c r="E50" s="516" t="s">
        <v>829</v>
      </c>
      <c r="F50" s="516" t="s">
        <v>830</v>
      </c>
      <c r="G50" s="528"/>
      <c r="H50" s="529">
        <v>21752.22</v>
      </c>
      <c r="I50" s="528"/>
      <c r="J50" s="528"/>
      <c r="M50" s="514"/>
    </row>
    <row r="51" spans="1:13" ht="15.75" customHeight="1" thickBot="1" x14ac:dyDescent="0.3">
      <c r="A51" s="558">
        <v>40634</v>
      </c>
      <c r="B51" s="558">
        <v>40634</v>
      </c>
      <c r="C51" s="516" t="s">
        <v>102</v>
      </c>
      <c r="D51" s="516" t="s">
        <v>103</v>
      </c>
      <c r="E51" s="532" t="s">
        <v>831</v>
      </c>
      <c r="F51" s="533"/>
      <c r="G51" s="536"/>
      <c r="H51" s="534">
        <v>26927.22</v>
      </c>
      <c r="I51" s="536"/>
      <c r="J51" s="534">
        <v>28307.72</v>
      </c>
    </row>
    <row r="52" spans="1:13" ht="15.75" customHeight="1" thickBot="1" x14ac:dyDescent="0.3">
      <c r="A52" s="558">
        <v>40634</v>
      </c>
      <c r="B52" s="558">
        <v>40634</v>
      </c>
      <c r="C52" s="516" t="s">
        <v>109</v>
      </c>
      <c r="D52" s="516" t="s">
        <v>110</v>
      </c>
      <c r="E52" s="516" t="s">
        <v>820</v>
      </c>
      <c r="F52" s="516" t="s">
        <v>821</v>
      </c>
      <c r="G52" s="528"/>
      <c r="H52" s="529">
        <v>230</v>
      </c>
      <c r="I52" s="528"/>
      <c r="J52" s="528"/>
    </row>
    <row r="53" spans="1:13" ht="15.75" customHeight="1" thickBot="1" x14ac:dyDescent="0.3">
      <c r="A53" s="558">
        <v>40634</v>
      </c>
      <c r="B53" s="558">
        <v>40634</v>
      </c>
      <c r="C53" s="516" t="s">
        <v>109</v>
      </c>
      <c r="D53" s="516" t="s">
        <v>110</v>
      </c>
      <c r="E53" s="516" t="s">
        <v>822</v>
      </c>
      <c r="F53" s="516" t="s">
        <v>823</v>
      </c>
      <c r="G53" s="530"/>
      <c r="H53" s="530"/>
      <c r="I53" s="530"/>
      <c r="J53" s="531">
        <v>4275.28</v>
      </c>
    </row>
    <row r="54" spans="1:13" ht="15.75" customHeight="1" thickBot="1" x14ac:dyDescent="0.3">
      <c r="A54" s="558">
        <v>40634</v>
      </c>
      <c r="B54" s="558">
        <v>40634</v>
      </c>
      <c r="C54" s="516" t="s">
        <v>109</v>
      </c>
      <c r="D54" s="516" t="s">
        <v>110</v>
      </c>
      <c r="E54" s="516" t="s">
        <v>832</v>
      </c>
      <c r="F54" s="516" t="s">
        <v>833</v>
      </c>
      <c r="G54" s="528"/>
      <c r="H54" s="528"/>
      <c r="I54" s="529">
        <v>275</v>
      </c>
      <c r="J54" s="528"/>
    </row>
    <row r="55" spans="1:13" ht="15.75" customHeight="1" thickBot="1" x14ac:dyDescent="0.3">
      <c r="A55" s="558">
        <v>40634</v>
      </c>
      <c r="B55" s="558">
        <v>40634</v>
      </c>
      <c r="C55" s="516" t="s">
        <v>109</v>
      </c>
      <c r="D55" s="516" t="s">
        <v>110</v>
      </c>
      <c r="E55" s="516" t="s">
        <v>825</v>
      </c>
      <c r="F55" s="516" t="s">
        <v>812</v>
      </c>
      <c r="G55" s="531">
        <v>9284</v>
      </c>
      <c r="H55" s="530"/>
      <c r="I55" s="531">
        <v>97.39</v>
      </c>
      <c r="J55" s="530"/>
    </row>
    <row r="56" spans="1:13" ht="15.75" customHeight="1" thickBot="1" x14ac:dyDescent="0.3">
      <c r="A56" s="558">
        <v>40634</v>
      </c>
      <c r="B56" s="558">
        <v>40634</v>
      </c>
      <c r="C56" s="516" t="s">
        <v>109</v>
      </c>
      <c r="D56" s="516" t="s">
        <v>110</v>
      </c>
      <c r="E56" s="516" t="s">
        <v>816</v>
      </c>
      <c r="F56" s="516" t="s">
        <v>812</v>
      </c>
      <c r="G56" s="529">
        <v>568290</v>
      </c>
      <c r="H56" s="529">
        <v>5961.36</v>
      </c>
      <c r="I56" s="528"/>
      <c r="J56" s="528"/>
    </row>
    <row r="57" spans="1:13" ht="15.75" customHeight="1" thickBot="1" x14ac:dyDescent="0.3">
      <c r="A57" s="558">
        <v>40634</v>
      </c>
      <c r="B57" s="558">
        <v>40634</v>
      </c>
      <c r="C57" s="516" t="s">
        <v>109</v>
      </c>
      <c r="D57" s="516" t="s">
        <v>110</v>
      </c>
      <c r="E57" s="516" t="s">
        <v>816</v>
      </c>
      <c r="F57" s="516" t="s">
        <v>834</v>
      </c>
      <c r="G57" s="530"/>
      <c r="H57" s="531">
        <v>6369.83</v>
      </c>
      <c r="I57" s="530"/>
      <c r="J57" s="530"/>
    </row>
    <row r="58" spans="1:13" ht="15.75" customHeight="1" thickBot="1" x14ac:dyDescent="0.3">
      <c r="A58" s="558">
        <v>40634</v>
      </c>
      <c r="B58" s="558">
        <v>40634</v>
      </c>
      <c r="C58" s="516" t="s">
        <v>109</v>
      </c>
      <c r="D58" s="516" t="s">
        <v>110</v>
      </c>
      <c r="E58" s="516" t="s">
        <v>816</v>
      </c>
      <c r="F58" s="535" t="s">
        <v>831</v>
      </c>
      <c r="G58" s="534">
        <v>568290</v>
      </c>
      <c r="H58" s="534">
        <v>12331.19</v>
      </c>
      <c r="I58" s="536"/>
      <c r="J58" s="536"/>
    </row>
    <row r="59" spans="1:13" ht="15.75" customHeight="1" thickBot="1" x14ac:dyDescent="0.3">
      <c r="A59" s="558">
        <v>40634</v>
      </c>
      <c r="B59" s="558">
        <v>40634</v>
      </c>
      <c r="C59" s="516" t="s">
        <v>109</v>
      </c>
      <c r="D59" s="516" t="s">
        <v>110</v>
      </c>
      <c r="E59" s="516" t="s">
        <v>829</v>
      </c>
      <c r="F59" s="516" t="s">
        <v>830</v>
      </c>
      <c r="G59" s="530"/>
      <c r="H59" s="531">
        <v>3081.01</v>
      </c>
      <c r="I59" s="530"/>
      <c r="J59" s="530"/>
      <c r="M59" s="514"/>
    </row>
    <row r="60" spans="1:13" ht="15.75" customHeight="1" thickBot="1" x14ac:dyDescent="0.3">
      <c r="A60" s="558">
        <v>40634</v>
      </c>
      <c r="B60" s="558">
        <v>40634</v>
      </c>
      <c r="C60" s="516" t="s">
        <v>109</v>
      </c>
      <c r="D60" s="516" t="s">
        <v>110</v>
      </c>
      <c r="E60" s="532" t="s">
        <v>831</v>
      </c>
      <c r="F60" s="533"/>
      <c r="G60" s="534">
        <v>577574</v>
      </c>
      <c r="H60" s="534">
        <v>15642.2</v>
      </c>
      <c r="I60" s="534">
        <v>372.39</v>
      </c>
      <c r="J60" s="534">
        <v>4275.28</v>
      </c>
    </row>
    <row r="61" spans="1:13" ht="15.75" customHeight="1" thickBot="1" x14ac:dyDescent="0.3">
      <c r="A61" s="558">
        <v>40634</v>
      </c>
      <c r="B61" s="558">
        <v>40634</v>
      </c>
      <c r="C61" s="532" t="s">
        <v>831</v>
      </c>
      <c r="D61" s="537"/>
      <c r="E61" s="537"/>
      <c r="F61" s="533"/>
      <c r="G61" s="534">
        <v>2392756</v>
      </c>
      <c r="H61" s="534">
        <v>130212.27</v>
      </c>
      <c r="I61" s="534">
        <v>2255.98</v>
      </c>
      <c r="J61" s="534">
        <v>32350.04</v>
      </c>
    </row>
    <row r="62" spans="1:13" ht="15.75" customHeight="1" thickBot="1" x14ac:dyDescent="0.3">
      <c r="A62" s="558">
        <v>40634</v>
      </c>
      <c r="B62" s="532" t="s">
        <v>831</v>
      </c>
      <c r="C62" s="537"/>
      <c r="D62" s="537"/>
      <c r="E62" s="537"/>
      <c r="F62" s="533"/>
      <c r="G62" s="534">
        <v>11091860</v>
      </c>
      <c r="H62" s="534">
        <v>531540.68000000005</v>
      </c>
      <c r="I62" s="534">
        <v>3071.68</v>
      </c>
      <c r="J62" s="534">
        <v>24655.14</v>
      </c>
    </row>
    <row r="63" spans="1:13" ht="15.75" customHeight="1" thickBot="1" x14ac:dyDescent="0.3">
      <c r="A63" s="558">
        <v>40664</v>
      </c>
      <c r="B63" s="558">
        <v>40634</v>
      </c>
      <c r="C63" s="516" t="s">
        <v>97</v>
      </c>
      <c r="D63" s="516" t="s">
        <v>98</v>
      </c>
      <c r="E63" s="516" t="s">
        <v>820</v>
      </c>
      <c r="F63" s="516" t="s">
        <v>821</v>
      </c>
      <c r="G63" s="530"/>
      <c r="H63" s="531">
        <v>2760</v>
      </c>
      <c r="I63" s="530"/>
      <c r="J63" s="530"/>
    </row>
    <row r="64" spans="1:13" ht="15.75" customHeight="1" thickBot="1" x14ac:dyDescent="0.3">
      <c r="A64" s="558">
        <v>40664</v>
      </c>
      <c r="B64" s="558">
        <v>40634</v>
      </c>
      <c r="C64" s="516" t="s">
        <v>97</v>
      </c>
      <c r="D64" s="516" t="s">
        <v>98</v>
      </c>
      <c r="E64" s="516" t="s">
        <v>822</v>
      </c>
      <c r="F64" s="516" t="s">
        <v>823</v>
      </c>
      <c r="G64" s="528"/>
      <c r="H64" s="528"/>
      <c r="I64" s="528"/>
      <c r="J64" s="529">
        <v>432.84</v>
      </c>
    </row>
    <row r="65" spans="1:10" ht="15.75" customHeight="1" thickBot="1" x14ac:dyDescent="0.3">
      <c r="A65" s="558">
        <v>40664</v>
      </c>
      <c r="B65" s="558">
        <v>40634</v>
      </c>
      <c r="C65" s="516" t="s">
        <v>97</v>
      </c>
      <c r="D65" s="516" t="s">
        <v>98</v>
      </c>
      <c r="E65" s="516" t="s">
        <v>824</v>
      </c>
      <c r="F65" s="516" t="s">
        <v>294</v>
      </c>
      <c r="G65" s="530"/>
      <c r="H65" s="531">
        <v>0.84</v>
      </c>
      <c r="I65" s="530"/>
      <c r="J65" s="530"/>
    </row>
    <row r="66" spans="1:10" ht="15.75" customHeight="1" thickBot="1" x14ac:dyDescent="0.3">
      <c r="A66" s="558">
        <v>40664</v>
      </c>
      <c r="B66" s="558">
        <v>40634</v>
      </c>
      <c r="C66" s="516" t="s">
        <v>97</v>
      </c>
      <c r="D66" s="516" t="s">
        <v>98</v>
      </c>
      <c r="E66" s="516" t="s">
        <v>825</v>
      </c>
      <c r="F66" s="516" t="s">
        <v>812</v>
      </c>
      <c r="G66" s="529">
        <v>943</v>
      </c>
      <c r="H66" s="528"/>
      <c r="I66" s="529">
        <v>40.549999999999997</v>
      </c>
      <c r="J66" s="528"/>
    </row>
    <row r="67" spans="1:10" ht="15.75" customHeight="1" thickBot="1" x14ac:dyDescent="0.3">
      <c r="A67" s="558">
        <v>40664</v>
      </c>
      <c r="B67" s="558">
        <v>40634</v>
      </c>
      <c r="C67" s="516" t="s">
        <v>97</v>
      </c>
      <c r="D67" s="516" t="s">
        <v>98</v>
      </c>
      <c r="E67" s="516" t="s">
        <v>816</v>
      </c>
      <c r="F67" s="516" t="s">
        <v>812</v>
      </c>
      <c r="G67" s="531">
        <v>592758</v>
      </c>
      <c r="H67" s="531">
        <v>25488.6</v>
      </c>
      <c r="I67" s="530"/>
      <c r="J67" s="530"/>
    </row>
    <row r="68" spans="1:10" ht="15.75" customHeight="1" thickBot="1" x14ac:dyDescent="0.3">
      <c r="A68" s="558">
        <v>40664</v>
      </c>
      <c r="B68" s="558">
        <v>40634</v>
      </c>
      <c r="C68" s="516" t="s">
        <v>97</v>
      </c>
      <c r="D68" s="516" t="s">
        <v>98</v>
      </c>
      <c r="E68" s="516" t="s">
        <v>826</v>
      </c>
      <c r="F68" s="516" t="s">
        <v>294</v>
      </c>
      <c r="G68" s="528"/>
      <c r="H68" s="529">
        <v>527.54999999999995</v>
      </c>
      <c r="I68" s="528"/>
      <c r="J68" s="528"/>
    </row>
    <row r="69" spans="1:10" ht="15.75" customHeight="1" thickBot="1" x14ac:dyDescent="0.3">
      <c r="A69" s="558">
        <v>40664</v>
      </c>
      <c r="B69" s="558">
        <v>40634</v>
      </c>
      <c r="C69" s="516" t="s">
        <v>97</v>
      </c>
      <c r="D69" s="516" t="s">
        <v>98</v>
      </c>
      <c r="E69" s="516" t="s">
        <v>827</v>
      </c>
      <c r="F69" s="516" t="s">
        <v>828</v>
      </c>
      <c r="G69" s="530"/>
      <c r="H69" s="530"/>
      <c r="I69" s="530"/>
      <c r="J69" s="531">
        <v>-1198.08</v>
      </c>
    </row>
    <row r="70" spans="1:10" ht="15.75" customHeight="1" thickBot="1" x14ac:dyDescent="0.3">
      <c r="A70" s="558">
        <v>40664</v>
      </c>
      <c r="B70" s="558">
        <v>40634</v>
      </c>
      <c r="C70" s="516" t="s">
        <v>97</v>
      </c>
      <c r="D70" s="516" t="s">
        <v>98</v>
      </c>
      <c r="E70" s="516" t="s">
        <v>829</v>
      </c>
      <c r="F70" s="516" t="s">
        <v>830</v>
      </c>
      <c r="G70" s="528"/>
      <c r="H70" s="529">
        <v>45.3</v>
      </c>
      <c r="I70" s="528"/>
      <c r="J70" s="528"/>
    </row>
    <row r="71" spans="1:10" ht="15.75" customHeight="1" thickBot="1" x14ac:dyDescent="0.3">
      <c r="A71" s="558">
        <v>40664</v>
      </c>
      <c r="B71" s="558">
        <v>40634</v>
      </c>
      <c r="C71" s="516" t="s">
        <v>97</v>
      </c>
      <c r="D71" s="516" t="s">
        <v>98</v>
      </c>
      <c r="E71" s="532" t="s">
        <v>831</v>
      </c>
      <c r="F71" s="533"/>
      <c r="G71" s="534">
        <v>593701</v>
      </c>
      <c r="H71" s="534">
        <v>28822.29</v>
      </c>
      <c r="I71" s="534">
        <v>40.549999999999997</v>
      </c>
      <c r="J71" s="534">
        <v>-765.24</v>
      </c>
    </row>
    <row r="72" spans="1:10" ht="15.75" customHeight="1" thickBot="1" x14ac:dyDescent="0.3">
      <c r="A72" s="558">
        <v>40664</v>
      </c>
      <c r="B72" s="558">
        <v>40634</v>
      </c>
      <c r="C72" s="516" t="s">
        <v>106</v>
      </c>
      <c r="D72" s="516" t="s">
        <v>107</v>
      </c>
      <c r="E72" s="516" t="s">
        <v>820</v>
      </c>
      <c r="F72" s="516" t="s">
        <v>821</v>
      </c>
      <c r="G72" s="528"/>
      <c r="H72" s="529">
        <v>230</v>
      </c>
      <c r="I72" s="528"/>
      <c r="J72" s="528"/>
    </row>
    <row r="73" spans="1:10" ht="15.75" customHeight="1" thickBot="1" x14ac:dyDescent="0.3">
      <c r="A73" s="558">
        <v>40664</v>
      </c>
      <c r="B73" s="558">
        <v>40634</v>
      </c>
      <c r="C73" s="516" t="s">
        <v>106</v>
      </c>
      <c r="D73" s="516" t="s">
        <v>107</v>
      </c>
      <c r="E73" s="516" t="s">
        <v>832</v>
      </c>
      <c r="F73" s="516" t="s">
        <v>833</v>
      </c>
      <c r="G73" s="530"/>
      <c r="H73" s="530"/>
      <c r="I73" s="531">
        <v>781</v>
      </c>
      <c r="J73" s="530"/>
    </row>
    <row r="74" spans="1:10" ht="15.75" customHeight="1" thickBot="1" x14ac:dyDescent="0.3">
      <c r="A74" s="558">
        <v>40664</v>
      </c>
      <c r="B74" s="558">
        <v>40634</v>
      </c>
      <c r="C74" s="516" t="s">
        <v>106</v>
      </c>
      <c r="D74" s="516" t="s">
        <v>107</v>
      </c>
      <c r="E74" s="516" t="s">
        <v>816</v>
      </c>
      <c r="F74" s="516" t="s">
        <v>812</v>
      </c>
      <c r="G74" s="529">
        <v>112201</v>
      </c>
      <c r="H74" s="529">
        <v>546.41999999999996</v>
      </c>
      <c r="I74" s="528"/>
      <c r="J74" s="528"/>
    </row>
    <row r="75" spans="1:10" ht="15.75" customHeight="1" thickBot="1" x14ac:dyDescent="0.3">
      <c r="A75" s="558">
        <v>40664</v>
      </c>
      <c r="B75" s="558">
        <v>40634</v>
      </c>
      <c r="C75" s="516" t="s">
        <v>106</v>
      </c>
      <c r="D75" s="516" t="s">
        <v>107</v>
      </c>
      <c r="E75" s="516" t="s">
        <v>816</v>
      </c>
      <c r="F75" s="516" t="s">
        <v>834</v>
      </c>
      <c r="G75" s="530"/>
      <c r="H75" s="531">
        <v>18225</v>
      </c>
      <c r="I75" s="530"/>
      <c r="J75" s="530"/>
    </row>
    <row r="76" spans="1:10" ht="15.75" customHeight="1" thickBot="1" x14ac:dyDescent="0.3">
      <c r="A76" s="558">
        <v>40664</v>
      </c>
      <c r="B76" s="558">
        <v>40634</v>
      </c>
      <c r="C76" s="516" t="s">
        <v>106</v>
      </c>
      <c r="D76" s="516" t="s">
        <v>107</v>
      </c>
      <c r="E76" s="516" t="s">
        <v>816</v>
      </c>
      <c r="F76" s="535" t="s">
        <v>831</v>
      </c>
      <c r="G76" s="534">
        <v>112201</v>
      </c>
      <c r="H76" s="534">
        <v>18771.419999999998</v>
      </c>
      <c r="I76" s="536"/>
      <c r="J76" s="536"/>
    </row>
    <row r="77" spans="1:10" ht="15.75" customHeight="1" thickBot="1" x14ac:dyDescent="0.3">
      <c r="A77" s="558">
        <v>40664</v>
      </c>
      <c r="B77" s="558">
        <v>40634</v>
      </c>
      <c r="C77" s="516" t="s">
        <v>106</v>
      </c>
      <c r="D77" s="516" t="s">
        <v>107</v>
      </c>
      <c r="E77" s="516" t="s">
        <v>827</v>
      </c>
      <c r="F77" s="516" t="s">
        <v>828</v>
      </c>
      <c r="G77" s="530"/>
      <c r="H77" s="530"/>
      <c r="I77" s="530"/>
      <c r="J77" s="531">
        <v>-3544.32</v>
      </c>
    </row>
    <row r="78" spans="1:10" ht="15.75" customHeight="1" thickBot="1" x14ac:dyDescent="0.3">
      <c r="A78" s="558">
        <v>40664</v>
      </c>
      <c r="B78" s="558">
        <v>40634</v>
      </c>
      <c r="C78" s="516" t="s">
        <v>106</v>
      </c>
      <c r="D78" s="516" t="s">
        <v>107</v>
      </c>
      <c r="E78" s="516" t="s">
        <v>829</v>
      </c>
      <c r="F78" s="516" t="s">
        <v>830</v>
      </c>
      <c r="G78" s="528"/>
      <c r="H78" s="529">
        <v>1758.64</v>
      </c>
      <c r="I78" s="528"/>
      <c r="J78" s="528"/>
    </row>
    <row r="79" spans="1:10" ht="15.75" customHeight="1" thickBot="1" x14ac:dyDescent="0.3">
      <c r="A79" s="558">
        <v>40664</v>
      </c>
      <c r="B79" s="558">
        <v>40634</v>
      </c>
      <c r="C79" s="516" t="s">
        <v>106</v>
      </c>
      <c r="D79" s="516" t="s">
        <v>107</v>
      </c>
      <c r="E79" s="532" t="s">
        <v>831</v>
      </c>
      <c r="F79" s="533"/>
      <c r="G79" s="534">
        <v>112201</v>
      </c>
      <c r="H79" s="534">
        <v>20760.060000000001</v>
      </c>
      <c r="I79" s="534">
        <v>781</v>
      </c>
      <c r="J79" s="534">
        <v>-3544.32</v>
      </c>
    </row>
    <row r="80" spans="1:10" ht="15.75" customHeight="1" thickBot="1" x14ac:dyDescent="0.3">
      <c r="A80" s="558">
        <v>40664</v>
      </c>
      <c r="B80" s="558">
        <v>40634</v>
      </c>
      <c r="C80" s="516" t="s">
        <v>66</v>
      </c>
      <c r="D80" s="516" t="s">
        <v>67</v>
      </c>
      <c r="E80" s="516" t="s">
        <v>820</v>
      </c>
      <c r="F80" s="516" t="s">
        <v>821</v>
      </c>
      <c r="G80" s="528"/>
      <c r="H80" s="529">
        <v>-153</v>
      </c>
      <c r="I80" s="528"/>
      <c r="J80" s="528"/>
    </row>
    <row r="81" spans="1:10" ht="15.75" customHeight="1" thickBot="1" x14ac:dyDescent="0.3">
      <c r="A81" s="558">
        <v>40664</v>
      </c>
      <c r="B81" s="558">
        <v>40634</v>
      </c>
      <c r="C81" s="516" t="s">
        <v>66</v>
      </c>
      <c r="D81" s="516" t="s">
        <v>67</v>
      </c>
      <c r="E81" s="516" t="s">
        <v>832</v>
      </c>
      <c r="F81" s="516" t="s">
        <v>833</v>
      </c>
      <c r="G81" s="530"/>
      <c r="H81" s="530"/>
      <c r="I81" s="531">
        <v>-170</v>
      </c>
      <c r="J81" s="530"/>
    </row>
    <row r="82" spans="1:10" ht="15.75" customHeight="1" thickBot="1" x14ac:dyDescent="0.3">
      <c r="A82" s="558">
        <v>40664</v>
      </c>
      <c r="B82" s="558">
        <v>40634</v>
      </c>
      <c r="C82" s="516" t="s">
        <v>66</v>
      </c>
      <c r="D82" s="516" t="s">
        <v>67</v>
      </c>
      <c r="E82" s="516" t="s">
        <v>816</v>
      </c>
      <c r="F82" s="516" t="s">
        <v>812</v>
      </c>
      <c r="G82" s="529">
        <v>-2251</v>
      </c>
      <c r="H82" s="529">
        <v>-365.64</v>
      </c>
      <c r="I82" s="528"/>
      <c r="J82" s="528"/>
    </row>
    <row r="83" spans="1:10" ht="15.75" customHeight="1" thickBot="1" x14ac:dyDescent="0.3">
      <c r="A83" s="558">
        <v>40664</v>
      </c>
      <c r="B83" s="558">
        <v>40634</v>
      </c>
      <c r="C83" s="516" t="s">
        <v>66</v>
      </c>
      <c r="D83" s="516" t="s">
        <v>67</v>
      </c>
      <c r="E83" s="516" t="s">
        <v>816</v>
      </c>
      <c r="F83" s="516" t="s">
        <v>835</v>
      </c>
      <c r="G83" s="530"/>
      <c r="H83" s="531">
        <v>-198.97</v>
      </c>
      <c r="I83" s="530"/>
      <c r="J83" s="530"/>
    </row>
    <row r="84" spans="1:10" ht="15.75" customHeight="1" thickBot="1" x14ac:dyDescent="0.3">
      <c r="A84" s="558">
        <v>40664</v>
      </c>
      <c r="B84" s="558">
        <v>40634</v>
      </c>
      <c r="C84" s="516" t="s">
        <v>66</v>
      </c>
      <c r="D84" s="516" t="s">
        <v>67</v>
      </c>
      <c r="E84" s="516" t="s">
        <v>816</v>
      </c>
      <c r="F84" s="535" t="s">
        <v>831</v>
      </c>
      <c r="G84" s="534">
        <v>-2251</v>
      </c>
      <c r="H84" s="534">
        <v>-564.61</v>
      </c>
      <c r="I84" s="536"/>
      <c r="J84" s="536"/>
    </row>
    <row r="85" spans="1:10" ht="15.75" customHeight="1" thickBot="1" x14ac:dyDescent="0.3">
      <c r="A85" s="558">
        <v>40664</v>
      </c>
      <c r="B85" s="558">
        <v>40634</v>
      </c>
      <c r="C85" s="516" t="s">
        <v>66</v>
      </c>
      <c r="D85" s="516" t="s">
        <v>67</v>
      </c>
      <c r="E85" s="532" t="s">
        <v>831</v>
      </c>
      <c r="F85" s="533"/>
      <c r="G85" s="534">
        <v>-2251</v>
      </c>
      <c r="H85" s="534">
        <v>-717.61</v>
      </c>
      <c r="I85" s="534">
        <v>-170</v>
      </c>
      <c r="J85" s="534">
        <v>0</v>
      </c>
    </row>
    <row r="86" spans="1:10" ht="15.75" thickBot="1" x14ac:dyDescent="0.3">
      <c r="A86" s="558">
        <v>40664</v>
      </c>
      <c r="B86" s="558">
        <v>40634</v>
      </c>
      <c r="C86" s="516" t="s">
        <v>99</v>
      </c>
      <c r="D86" s="516" t="s">
        <v>100</v>
      </c>
      <c r="E86" s="516" t="s">
        <v>820</v>
      </c>
      <c r="F86" s="516" t="s">
        <v>821</v>
      </c>
      <c r="G86" s="528"/>
      <c r="H86" s="529">
        <v>13340</v>
      </c>
      <c r="I86" s="528"/>
      <c r="J86" s="528"/>
    </row>
    <row r="87" spans="1:10" ht="15.75" thickBot="1" x14ac:dyDescent="0.3">
      <c r="A87" s="558">
        <v>40664</v>
      </c>
      <c r="B87" s="558">
        <v>40634</v>
      </c>
      <c r="C87" s="516" t="s">
        <v>99</v>
      </c>
      <c r="D87" s="516" t="s">
        <v>100</v>
      </c>
      <c r="E87" s="516" t="s">
        <v>822</v>
      </c>
      <c r="F87" s="516" t="s">
        <v>823</v>
      </c>
      <c r="G87" s="530"/>
      <c r="H87" s="530"/>
      <c r="I87" s="530"/>
      <c r="J87" s="531">
        <v>2568.56</v>
      </c>
    </row>
    <row r="88" spans="1:10" ht="15.75" thickBot="1" x14ac:dyDescent="0.3">
      <c r="A88" s="558">
        <v>40664</v>
      </c>
      <c r="B88" s="558">
        <v>40634</v>
      </c>
      <c r="C88" s="516" t="s">
        <v>99</v>
      </c>
      <c r="D88" s="516" t="s">
        <v>100</v>
      </c>
      <c r="E88" s="516" t="s">
        <v>825</v>
      </c>
      <c r="F88" s="516" t="s">
        <v>812</v>
      </c>
      <c r="G88" s="529">
        <v>5596</v>
      </c>
      <c r="H88" s="528"/>
      <c r="I88" s="529">
        <v>240.63</v>
      </c>
      <c r="J88" s="528"/>
    </row>
    <row r="89" spans="1:10" ht="15.75" thickBot="1" x14ac:dyDescent="0.3">
      <c r="A89" s="558">
        <v>40664</v>
      </c>
      <c r="B89" s="558">
        <v>40634</v>
      </c>
      <c r="C89" s="516" t="s">
        <v>99</v>
      </c>
      <c r="D89" s="516" t="s">
        <v>100</v>
      </c>
      <c r="E89" s="516" t="s">
        <v>816</v>
      </c>
      <c r="F89" s="516" t="s">
        <v>812</v>
      </c>
      <c r="G89" s="531">
        <v>5796362</v>
      </c>
      <c r="H89" s="531">
        <v>249243.59</v>
      </c>
      <c r="I89" s="530"/>
      <c r="J89" s="530"/>
    </row>
    <row r="90" spans="1:10" ht="15.75" thickBot="1" x14ac:dyDescent="0.3">
      <c r="A90" s="558">
        <v>40664</v>
      </c>
      <c r="B90" s="558">
        <v>40634</v>
      </c>
      <c r="C90" s="516" t="s">
        <v>99</v>
      </c>
      <c r="D90" s="516" t="s">
        <v>100</v>
      </c>
      <c r="E90" s="516" t="s">
        <v>827</v>
      </c>
      <c r="F90" s="516" t="s">
        <v>828</v>
      </c>
      <c r="G90" s="528"/>
      <c r="H90" s="528"/>
      <c r="I90" s="528"/>
      <c r="J90" s="529">
        <v>-1318.72</v>
      </c>
    </row>
    <row r="91" spans="1:10" ht="15.75" thickBot="1" x14ac:dyDescent="0.3">
      <c r="A91" s="558">
        <v>40664</v>
      </c>
      <c r="B91" s="558">
        <v>40634</v>
      </c>
      <c r="C91" s="516" t="s">
        <v>99</v>
      </c>
      <c r="D91" s="516" t="s">
        <v>100</v>
      </c>
      <c r="E91" s="516" t="s">
        <v>829</v>
      </c>
      <c r="F91" s="516" t="s">
        <v>830</v>
      </c>
      <c r="G91" s="530"/>
      <c r="H91" s="531">
        <v>6166.31</v>
      </c>
      <c r="I91" s="530"/>
      <c r="J91" s="530"/>
    </row>
    <row r="92" spans="1:10" ht="15.75" thickBot="1" x14ac:dyDescent="0.3">
      <c r="A92" s="558">
        <v>40664</v>
      </c>
      <c r="B92" s="558">
        <v>40634</v>
      </c>
      <c r="C92" s="516" t="s">
        <v>99</v>
      </c>
      <c r="D92" s="516" t="s">
        <v>100</v>
      </c>
      <c r="E92" s="532" t="s">
        <v>831</v>
      </c>
      <c r="F92" s="533"/>
      <c r="G92" s="534">
        <v>5801958</v>
      </c>
      <c r="H92" s="534">
        <v>268749.90000000002</v>
      </c>
      <c r="I92" s="534">
        <v>240.63</v>
      </c>
      <c r="J92" s="534">
        <v>1249.8399999999999</v>
      </c>
    </row>
    <row r="93" spans="1:10" ht="15.75" customHeight="1" thickBot="1" x14ac:dyDescent="0.3">
      <c r="A93" s="558">
        <v>40664</v>
      </c>
      <c r="B93" s="558">
        <v>40634</v>
      </c>
      <c r="C93" s="516" t="s">
        <v>113</v>
      </c>
      <c r="D93" s="516" t="s">
        <v>114</v>
      </c>
      <c r="E93" s="516" t="s">
        <v>832</v>
      </c>
      <c r="F93" s="516" t="s">
        <v>833</v>
      </c>
      <c r="G93" s="530"/>
      <c r="H93" s="530"/>
      <c r="I93" s="531">
        <v>781</v>
      </c>
      <c r="J93" s="530"/>
    </row>
    <row r="94" spans="1:10" ht="15.75" customHeight="1" thickBot="1" x14ac:dyDescent="0.3">
      <c r="A94" s="558">
        <v>40664</v>
      </c>
      <c r="B94" s="558">
        <v>40634</v>
      </c>
      <c r="C94" s="516" t="s">
        <v>113</v>
      </c>
      <c r="D94" s="516" t="s">
        <v>114</v>
      </c>
      <c r="E94" s="516" t="s">
        <v>816</v>
      </c>
      <c r="F94" s="516" t="s">
        <v>812</v>
      </c>
      <c r="G94" s="529">
        <v>90805</v>
      </c>
      <c r="H94" s="529">
        <v>442.22</v>
      </c>
      <c r="I94" s="528"/>
      <c r="J94" s="528"/>
    </row>
    <row r="95" spans="1:10" ht="15.75" customHeight="1" thickBot="1" x14ac:dyDescent="0.3">
      <c r="A95" s="558">
        <v>40664</v>
      </c>
      <c r="B95" s="558">
        <v>40634</v>
      </c>
      <c r="C95" s="516" t="s">
        <v>113</v>
      </c>
      <c r="D95" s="516" t="s">
        <v>114</v>
      </c>
      <c r="E95" s="516" t="s">
        <v>816</v>
      </c>
      <c r="F95" s="516" t="s">
        <v>834</v>
      </c>
      <c r="G95" s="530"/>
      <c r="H95" s="531">
        <v>104976</v>
      </c>
      <c r="I95" s="530"/>
      <c r="J95" s="530"/>
    </row>
    <row r="96" spans="1:10" ht="15.75" customHeight="1" thickBot="1" x14ac:dyDescent="0.3">
      <c r="A96" s="558">
        <v>40664</v>
      </c>
      <c r="B96" s="558">
        <v>40634</v>
      </c>
      <c r="C96" s="516" t="s">
        <v>113</v>
      </c>
      <c r="D96" s="516" t="s">
        <v>114</v>
      </c>
      <c r="E96" s="516" t="s">
        <v>816</v>
      </c>
      <c r="F96" s="535" t="s">
        <v>831</v>
      </c>
      <c r="G96" s="534">
        <v>90805</v>
      </c>
      <c r="H96" s="534">
        <v>105418.22</v>
      </c>
      <c r="I96" s="536"/>
      <c r="J96" s="536"/>
    </row>
    <row r="97" spans="1:10" ht="15.75" customHeight="1" thickBot="1" x14ac:dyDescent="0.3">
      <c r="A97" s="558">
        <v>40664</v>
      </c>
      <c r="B97" s="558">
        <v>40634</v>
      </c>
      <c r="C97" s="516" t="s">
        <v>113</v>
      </c>
      <c r="D97" s="516" t="s">
        <v>114</v>
      </c>
      <c r="E97" s="516" t="s">
        <v>829</v>
      </c>
      <c r="F97" s="516" t="s">
        <v>830</v>
      </c>
      <c r="G97" s="530"/>
      <c r="H97" s="531">
        <v>5333.96</v>
      </c>
      <c r="I97" s="530"/>
      <c r="J97" s="530"/>
    </row>
    <row r="98" spans="1:10" ht="15.75" customHeight="1" thickBot="1" x14ac:dyDescent="0.3">
      <c r="A98" s="558">
        <v>40664</v>
      </c>
      <c r="B98" s="558">
        <v>40634</v>
      </c>
      <c r="C98" s="516" t="s">
        <v>113</v>
      </c>
      <c r="D98" s="516" t="s">
        <v>114</v>
      </c>
      <c r="E98" s="532" t="s">
        <v>831</v>
      </c>
      <c r="F98" s="533"/>
      <c r="G98" s="534">
        <v>90805</v>
      </c>
      <c r="H98" s="534">
        <v>110752.18</v>
      </c>
      <c r="I98" s="534">
        <v>781</v>
      </c>
      <c r="J98" s="534">
        <v>0</v>
      </c>
    </row>
    <row r="99" spans="1:10" ht="15.75" customHeight="1" thickBot="1" x14ac:dyDescent="0.3">
      <c r="A99" s="558">
        <v>40664</v>
      </c>
      <c r="B99" s="558">
        <v>40634</v>
      </c>
      <c r="C99" s="532" t="s">
        <v>831</v>
      </c>
      <c r="D99" s="537"/>
      <c r="E99" s="537"/>
      <c r="F99" s="533"/>
      <c r="G99" s="534">
        <v>6596414</v>
      </c>
      <c r="H99" s="534">
        <v>428366.82</v>
      </c>
      <c r="I99" s="534">
        <v>1673.18</v>
      </c>
      <c r="J99" s="534">
        <v>-3059.72</v>
      </c>
    </row>
    <row r="100" spans="1:10" ht="15.75" customHeight="1" thickBot="1" x14ac:dyDescent="0.3">
      <c r="A100" s="558">
        <v>40664</v>
      </c>
      <c r="B100" s="558">
        <v>40664</v>
      </c>
      <c r="C100" s="516" t="s">
        <v>63</v>
      </c>
      <c r="D100" s="516" t="s">
        <v>64</v>
      </c>
      <c r="E100" s="516" t="s">
        <v>820</v>
      </c>
      <c r="F100" s="516" t="s">
        <v>821</v>
      </c>
      <c r="G100" s="528"/>
      <c r="H100" s="529">
        <v>153</v>
      </c>
      <c r="I100" s="528"/>
      <c r="J100" s="528"/>
    </row>
    <row r="101" spans="1:10" ht="15.75" customHeight="1" thickBot="1" x14ac:dyDescent="0.3">
      <c r="A101" s="558">
        <v>40664</v>
      </c>
      <c r="B101" s="558">
        <v>40664</v>
      </c>
      <c r="C101" s="516" t="s">
        <v>63</v>
      </c>
      <c r="D101" s="516" t="s">
        <v>64</v>
      </c>
      <c r="E101" s="516" t="s">
        <v>832</v>
      </c>
      <c r="F101" s="516" t="s">
        <v>833</v>
      </c>
      <c r="G101" s="530"/>
      <c r="H101" s="530"/>
      <c r="I101" s="531">
        <v>170</v>
      </c>
      <c r="J101" s="530"/>
    </row>
    <row r="102" spans="1:10" ht="15.75" customHeight="1" thickBot="1" x14ac:dyDescent="0.3">
      <c r="A102" s="558">
        <v>40664</v>
      </c>
      <c r="B102" s="558">
        <v>40664</v>
      </c>
      <c r="C102" s="516" t="s">
        <v>63</v>
      </c>
      <c r="D102" s="516" t="s">
        <v>64</v>
      </c>
      <c r="E102" s="516" t="s">
        <v>824</v>
      </c>
      <c r="F102" s="516" t="s">
        <v>294</v>
      </c>
      <c r="G102" s="528"/>
      <c r="H102" s="529">
        <v>2.08</v>
      </c>
      <c r="I102" s="528"/>
      <c r="J102" s="528"/>
    </row>
    <row r="103" spans="1:10" ht="15.75" customHeight="1" thickBot="1" x14ac:dyDescent="0.3">
      <c r="A103" s="558">
        <v>40664</v>
      </c>
      <c r="B103" s="558">
        <v>40664</v>
      </c>
      <c r="C103" s="516" t="s">
        <v>63</v>
      </c>
      <c r="D103" s="516" t="s">
        <v>64</v>
      </c>
      <c r="E103" s="516" t="s">
        <v>825</v>
      </c>
      <c r="F103" s="516" t="s">
        <v>812</v>
      </c>
      <c r="G103" s="531">
        <v>2339</v>
      </c>
      <c r="H103" s="530"/>
      <c r="I103" s="531">
        <v>370.96</v>
      </c>
      <c r="J103" s="530"/>
    </row>
    <row r="104" spans="1:10" ht="15.75" customHeight="1" thickBot="1" x14ac:dyDescent="0.3">
      <c r="A104" s="558">
        <v>40664</v>
      </c>
      <c r="B104" s="558">
        <v>40664</v>
      </c>
      <c r="C104" s="516" t="s">
        <v>63</v>
      </c>
      <c r="D104" s="516" t="s">
        <v>64</v>
      </c>
      <c r="E104" s="516" t="s">
        <v>292</v>
      </c>
      <c r="F104" s="516" t="s">
        <v>292</v>
      </c>
      <c r="G104" s="528"/>
      <c r="H104" s="529">
        <v>1266.25</v>
      </c>
      <c r="I104" s="528"/>
      <c r="J104" s="528"/>
    </row>
    <row r="105" spans="1:10" ht="15.75" customHeight="1" thickBot="1" x14ac:dyDescent="0.3">
      <c r="A105" s="558">
        <v>40664</v>
      </c>
      <c r="B105" s="558">
        <v>40664</v>
      </c>
      <c r="C105" s="516" t="s">
        <v>63</v>
      </c>
      <c r="D105" s="516" t="s">
        <v>64</v>
      </c>
      <c r="E105" s="532" t="s">
        <v>831</v>
      </c>
      <c r="F105" s="533"/>
      <c r="G105" s="534">
        <v>2339</v>
      </c>
      <c r="H105" s="534">
        <v>1421.33</v>
      </c>
      <c r="I105" s="534">
        <v>540.96</v>
      </c>
      <c r="J105" s="534">
        <v>0</v>
      </c>
    </row>
    <row r="106" spans="1:10" ht="15.75" customHeight="1" thickBot="1" x14ac:dyDescent="0.3">
      <c r="A106" s="558">
        <v>40664</v>
      </c>
      <c r="B106" s="558">
        <v>40664</v>
      </c>
      <c r="C106" s="516" t="s">
        <v>66</v>
      </c>
      <c r="D106" s="516" t="s">
        <v>67</v>
      </c>
      <c r="E106" s="516" t="s">
        <v>820</v>
      </c>
      <c r="F106" s="516" t="s">
        <v>821</v>
      </c>
      <c r="G106" s="528"/>
      <c r="H106" s="529">
        <v>306</v>
      </c>
      <c r="I106" s="528"/>
      <c r="J106" s="528"/>
    </row>
    <row r="107" spans="1:10" ht="15.75" customHeight="1" thickBot="1" x14ac:dyDescent="0.3">
      <c r="A107" s="558">
        <v>40664</v>
      </c>
      <c r="B107" s="558">
        <v>40664</v>
      </c>
      <c r="C107" s="516" t="s">
        <v>66</v>
      </c>
      <c r="D107" s="516" t="s">
        <v>67</v>
      </c>
      <c r="E107" s="516" t="s">
        <v>832</v>
      </c>
      <c r="F107" s="516" t="s">
        <v>833</v>
      </c>
      <c r="G107" s="530"/>
      <c r="H107" s="530"/>
      <c r="I107" s="531">
        <v>340</v>
      </c>
      <c r="J107" s="530"/>
    </row>
    <row r="108" spans="1:10" ht="15.75" customHeight="1" thickBot="1" x14ac:dyDescent="0.3">
      <c r="A108" s="558">
        <v>40664</v>
      </c>
      <c r="B108" s="558">
        <v>40664</v>
      </c>
      <c r="C108" s="516" t="s">
        <v>66</v>
      </c>
      <c r="D108" s="516" t="s">
        <v>67</v>
      </c>
      <c r="E108" s="516" t="s">
        <v>825</v>
      </c>
      <c r="F108" s="516" t="s">
        <v>812</v>
      </c>
      <c r="G108" s="529">
        <v>2633</v>
      </c>
      <c r="H108" s="528"/>
      <c r="I108" s="529">
        <v>419.2</v>
      </c>
      <c r="J108" s="528"/>
    </row>
    <row r="109" spans="1:10" ht="15.75" customHeight="1" thickBot="1" x14ac:dyDescent="0.3">
      <c r="A109" s="558">
        <v>40664</v>
      </c>
      <c r="B109" s="558">
        <v>40664</v>
      </c>
      <c r="C109" s="516" t="s">
        <v>66</v>
      </c>
      <c r="D109" s="516" t="s">
        <v>67</v>
      </c>
      <c r="E109" s="516" t="s">
        <v>816</v>
      </c>
      <c r="F109" s="516" t="s">
        <v>812</v>
      </c>
      <c r="G109" s="531">
        <v>20868</v>
      </c>
      <c r="H109" s="531">
        <v>3026.11</v>
      </c>
      <c r="I109" s="530"/>
      <c r="J109" s="530"/>
    </row>
    <row r="110" spans="1:10" ht="15.75" customHeight="1" thickBot="1" x14ac:dyDescent="0.3">
      <c r="A110" s="558">
        <v>40664</v>
      </c>
      <c r="B110" s="558">
        <v>40664</v>
      </c>
      <c r="C110" s="516" t="s">
        <v>66</v>
      </c>
      <c r="D110" s="516" t="s">
        <v>67</v>
      </c>
      <c r="E110" s="516" t="s">
        <v>816</v>
      </c>
      <c r="F110" s="516" t="s">
        <v>835</v>
      </c>
      <c r="G110" s="528"/>
      <c r="H110" s="529">
        <v>1841.55</v>
      </c>
      <c r="I110" s="528"/>
      <c r="J110" s="528"/>
    </row>
    <row r="111" spans="1:10" ht="15.75" customHeight="1" thickBot="1" x14ac:dyDescent="0.3">
      <c r="A111" s="558">
        <v>40664</v>
      </c>
      <c r="B111" s="558">
        <v>40664</v>
      </c>
      <c r="C111" s="516" t="s">
        <v>66</v>
      </c>
      <c r="D111" s="516" t="s">
        <v>67</v>
      </c>
      <c r="E111" s="516" t="s">
        <v>816</v>
      </c>
      <c r="F111" s="535" t="s">
        <v>831</v>
      </c>
      <c r="G111" s="534">
        <v>20868</v>
      </c>
      <c r="H111" s="534">
        <v>4867.66</v>
      </c>
      <c r="I111" s="536"/>
      <c r="J111" s="536"/>
    </row>
    <row r="112" spans="1:10" ht="15.75" customHeight="1" thickBot="1" x14ac:dyDescent="0.3">
      <c r="A112" s="558">
        <v>40664</v>
      </c>
      <c r="B112" s="558">
        <v>40664</v>
      </c>
      <c r="C112" s="516" t="s">
        <v>66</v>
      </c>
      <c r="D112" s="516" t="s">
        <v>67</v>
      </c>
      <c r="E112" s="516" t="s">
        <v>292</v>
      </c>
      <c r="F112" s="516" t="s">
        <v>292</v>
      </c>
      <c r="G112" s="528"/>
      <c r="H112" s="529">
        <v>1469.45</v>
      </c>
      <c r="I112" s="528"/>
      <c r="J112" s="528"/>
    </row>
    <row r="113" spans="1:10" ht="15.75" customHeight="1" thickBot="1" x14ac:dyDescent="0.3">
      <c r="A113" s="558">
        <v>40664</v>
      </c>
      <c r="B113" s="558">
        <v>40664</v>
      </c>
      <c r="C113" s="516" t="s">
        <v>66</v>
      </c>
      <c r="D113" s="516" t="s">
        <v>67</v>
      </c>
      <c r="E113" s="516" t="s">
        <v>827</v>
      </c>
      <c r="F113" s="516" t="s">
        <v>828</v>
      </c>
      <c r="G113" s="530"/>
      <c r="H113" s="530"/>
      <c r="I113" s="530"/>
      <c r="J113" s="531">
        <v>-125.7</v>
      </c>
    </row>
    <row r="114" spans="1:10" ht="15.75" customHeight="1" thickBot="1" x14ac:dyDescent="0.3">
      <c r="A114" s="558">
        <v>40664</v>
      </c>
      <c r="B114" s="558">
        <v>40664</v>
      </c>
      <c r="C114" s="516" t="s">
        <v>66</v>
      </c>
      <c r="D114" s="516" t="s">
        <v>67</v>
      </c>
      <c r="E114" s="532" t="s">
        <v>831</v>
      </c>
      <c r="F114" s="533"/>
      <c r="G114" s="534">
        <v>23501</v>
      </c>
      <c r="H114" s="534">
        <v>6643.11</v>
      </c>
      <c r="I114" s="534">
        <v>759.2</v>
      </c>
      <c r="J114" s="534">
        <v>-125.7</v>
      </c>
    </row>
    <row r="115" spans="1:10" ht="15.75" thickBot="1" x14ac:dyDescent="0.3">
      <c r="A115" s="558">
        <v>40664</v>
      </c>
      <c r="B115" s="558">
        <v>40664</v>
      </c>
      <c r="C115" s="516" t="s">
        <v>99</v>
      </c>
      <c r="D115" s="516" t="s">
        <v>100</v>
      </c>
      <c r="E115" s="516" t="s">
        <v>820</v>
      </c>
      <c r="F115" s="516" t="s">
        <v>821</v>
      </c>
      <c r="G115" s="530"/>
      <c r="H115" s="531">
        <v>690</v>
      </c>
      <c r="I115" s="530"/>
      <c r="J115" s="530"/>
    </row>
    <row r="116" spans="1:10" ht="15.75" thickBot="1" x14ac:dyDescent="0.3">
      <c r="A116" s="558">
        <v>40664</v>
      </c>
      <c r="B116" s="558">
        <v>40664</v>
      </c>
      <c r="C116" s="516" t="s">
        <v>99</v>
      </c>
      <c r="D116" s="516" t="s">
        <v>100</v>
      </c>
      <c r="E116" s="516" t="s">
        <v>816</v>
      </c>
      <c r="F116" s="516" t="s">
        <v>812</v>
      </c>
      <c r="G116" s="529">
        <v>828487</v>
      </c>
      <c r="H116" s="529">
        <v>35624.93</v>
      </c>
      <c r="I116" s="528"/>
      <c r="J116" s="528"/>
    </row>
    <row r="117" spans="1:10" ht="15.75" thickBot="1" x14ac:dyDescent="0.3">
      <c r="A117" s="558">
        <v>40664</v>
      </c>
      <c r="B117" s="558">
        <v>40664</v>
      </c>
      <c r="C117" s="516" t="s">
        <v>99</v>
      </c>
      <c r="D117" s="516" t="s">
        <v>100</v>
      </c>
      <c r="E117" s="532" t="s">
        <v>831</v>
      </c>
      <c r="F117" s="533"/>
      <c r="G117" s="534">
        <v>828487</v>
      </c>
      <c r="H117" s="534">
        <v>36314.93</v>
      </c>
      <c r="I117" s="534">
        <v>0</v>
      </c>
      <c r="J117" s="534">
        <v>0</v>
      </c>
    </row>
    <row r="118" spans="1:10" ht="15.75" customHeight="1" thickBot="1" x14ac:dyDescent="0.3">
      <c r="A118" s="558">
        <v>40664</v>
      </c>
      <c r="B118" s="558">
        <v>40664</v>
      </c>
      <c r="C118" s="516" t="s">
        <v>102</v>
      </c>
      <c r="D118" s="516" t="s">
        <v>103</v>
      </c>
      <c r="E118" s="516" t="s">
        <v>820</v>
      </c>
      <c r="F118" s="516" t="s">
        <v>821</v>
      </c>
      <c r="G118" s="528"/>
      <c r="H118" s="529">
        <v>5175</v>
      </c>
      <c r="I118" s="528"/>
      <c r="J118" s="528"/>
    </row>
    <row r="119" spans="1:10" ht="15.75" customHeight="1" thickBot="1" x14ac:dyDescent="0.3">
      <c r="A119" s="558">
        <v>40664</v>
      </c>
      <c r="B119" s="558">
        <v>40664</v>
      </c>
      <c r="C119" s="516" t="s">
        <v>102</v>
      </c>
      <c r="D119" s="516" t="s">
        <v>103</v>
      </c>
      <c r="E119" s="516" t="s">
        <v>822</v>
      </c>
      <c r="F119" s="516" t="s">
        <v>823</v>
      </c>
      <c r="G119" s="530"/>
      <c r="H119" s="530"/>
      <c r="I119" s="530"/>
      <c r="J119" s="531">
        <v>24230.22</v>
      </c>
    </row>
    <row r="120" spans="1:10" ht="15.75" customHeight="1" thickBot="1" x14ac:dyDescent="0.3">
      <c r="A120" s="558">
        <v>40664</v>
      </c>
      <c r="B120" s="558">
        <v>40664</v>
      </c>
      <c r="C120" s="516" t="s">
        <v>102</v>
      </c>
      <c r="D120" s="516" t="s">
        <v>103</v>
      </c>
      <c r="E120" s="516" t="s">
        <v>827</v>
      </c>
      <c r="F120" s="516" t="s">
        <v>828</v>
      </c>
      <c r="G120" s="528"/>
      <c r="H120" s="528"/>
      <c r="I120" s="528"/>
      <c r="J120" s="529">
        <v>-54837.120000000003</v>
      </c>
    </row>
    <row r="121" spans="1:10" ht="15.75" customHeight="1" thickBot="1" x14ac:dyDescent="0.3">
      <c r="A121" s="558">
        <v>40664</v>
      </c>
      <c r="B121" s="558">
        <v>40664</v>
      </c>
      <c r="C121" s="516" t="s">
        <v>102</v>
      </c>
      <c r="D121" s="516" t="s">
        <v>103</v>
      </c>
      <c r="E121" s="516" t="s">
        <v>829</v>
      </c>
      <c r="F121" s="516" t="s">
        <v>830</v>
      </c>
      <c r="G121" s="530"/>
      <c r="H121" s="531">
        <v>22658.720000000001</v>
      </c>
      <c r="I121" s="530"/>
      <c r="J121" s="530"/>
    </row>
    <row r="122" spans="1:10" ht="15.75" customHeight="1" thickBot="1" x14ac:dyDescent="0.3">
      <c r="A122" s="558">
        <v>40664</v>
      </c>
      <c r="B122" s="558">
        <v>40664</v>
      </c>
      <c r="C122" s="516" t="s">
        <v>102</v>
      </c>
      <c r="D122" s="516" t="s">
        <v>103</v>
      </c>
      <c r="E122" s="532" t="s">
        <v>831</v>
      </c>
      <c r="F122" s="533"/>
      <c r="G122" s="536"/>
      <c r="H122" s="534">
        <v>27833.72</v>
      </c>
      <c r="I122" s="536"/>
      <c r="J122" s="534">
        <v>-30606.9</v>
      </c>
    </row>
    <row r="123" spans="1:10" ht="15.75" customHeight="1" thickBot="1" x14ac:dyDescent="0.3">
      <c r="A123" s="558">
        <v>40664</v>
      </c>
      <c r="B123" s="558">
        <v>40664</v>
      </c>
      <c r="C123" s="516" t="s">
        <v>109</v>
      </c>
      <c r="D123" s="516" t="s">
        <v>110</v>
      </c>
      <c r="E123" s="516" t="s">
        <v>820</v>
      </c>
      <c r="F123" s="516" t="s">
        <v>821</v>
      </c>
      <c r="G123" s="530"/>
      <c r="H123" s="531">
        <v>230</v>
      </c>
      <c r="I123" s="530"/>
      <c r="J123" s="530"/>
    </row>
    <row r="124" spans="1:10" ht="15.75" customHeight="1" thickBot="1" x14ac:dyDescent="0.3">
      <c r="A124" s="558">
        <v>40664</v>
      </c>
      <c r="B124" s="558">
        <v>40664</v>
      </c>
      <c r="C124" s="516" t="s">
        <v>109</v>
      </c>
      <c r="D124" s="516" t="s">
        <v>110</v>
      </c>
      <c r="E124" s="516" t="s">
        <v>832</v>
      </c>
      <c r="F124" s="516" t="s">
        <v>833</v>
      </c>
      <c r="G124" s="528"/>
      <c r="H124" s="528"/>
      <c r="I124" s="529">
        <v>275</v>
      </c>
      <c r="J124" s="528"/>
    </row>
    <row r="125" spans="1:10" ht="15.75" customHeight="1" thickBot="1" x14ac:dyDescent="0.3">
      <c r="A125" s="558">
        <v>40664</v>
      </c>
      <c r="B125" s="558">
        <v>40664</v>
      </c>
      <c r="C125" s="516" t="s">
        <v>109</v>
      </c>
      <c r="D125" s="516" t="s">
        <v>110</v>
      </c>
      <c r="E125" s="516" t="s">
        <v>816</v>
      </c>
      <c r="F125" s="516" t="s">
        <v>812</v>
      </c>
      <c r="G125" s="531">
        <v>488716</v>
      </c>
      <c r="H125" s="531">
        <v>5126.63</v>
      </c>
      <c r="I125" s="530"/>
      <c r="J125" s="530"/>
    </row>
    <row r="126" spans="1:10" ht="15.75" customHeight="1" thickBot="1" x14ac:dyDescent="0.3">
      <c r="A126" s="558">
        <v>40664</v>
      </c>
      <c r="B126" s="558">
        <v>40664</v>
      </c>
      <c r="C126" s="516" t="s">
        <v>109</v>
      </c>
      <c r="D126" s="516" t="s">
        <v>110</v>
      </c>
      <c r="E126" s="516" t="s">
        <v>816</v>
      </c>
      <c r="F126" s="516" t="s">
        <v>834</v>
      </c>
      <c r="G126" s="528"/>
      <c r="H126" s="529">
        <v>6369.83</v>
      </c>
      <c r="I126" s="528"/>
      <c r="J126" s="528"/>
    </row>
    <row r="127" spans="1:10" ht="15.75" customHeight="1" thickBot="1" x14ac:dyDescent="0.3">
      <c r="A127" s="558">
        <v>40664</v>
      </c>
      <c r="B127" s="558">
        <v>40664</v>
      </c>
      <c r="C127" s="516" t="s">
        <v>109</v>
      </c>
      <c r="D127" s="516" t="s">
        <v>110</v>
      </c>
      <c r="E127" s="516" t="s">
        <v>816</v>
      </c>
      <c r="F127" s="535" t="s">
        <v>831</v>
      </c>
      <c r="G127" s="534">
        <v>488716</v>
      </c>
      <c r="H127" s="534">
        <v>11496.46</v>
      </c>
      <c r="I127" s="536"/>
      <c r="J127" s="536"/>
    </row>
    <row r="128" spans="1:10" ht="15.75" customHeight="1" thickBot="1" x14ac:dyDescent="0.3">
      <c r="A128" s="558">
        <v>40664</v>
      </c>
      <c r="B128" s="558">
        <v>40664</v>
      </c>
      <c r="C128" s="516" t="s">
        <v>109</v>
      </c>
      <c r="D128" s="516" t="s">
        <v>110</v>
      </c>
      <c r="E128" s="516" t="s">
        <v>827</v>
      </c>
      <c r="F128" s="516" t="s">
        <v>828</v>
      </c>
      <c r="G128" s="528"/>
      <c r="H128" s="528"/>
      <c r="I128" s="528"/>
      <c r="J128" s="529">
        <v>-4546.88</v>
      </c>
    </row>
    <row r="129" spans="1:10" ht="15.75" customHeight="1" thickBot="1" x14ac:dyDescent="0.3">
      <c r="A129" s="558">
        <v>40664</v>
      </c>
      <c r="B129" s="558">
        <v>40664</v>
      </c>
      <c r="C129" s="516" t="s">
        <v>109</v>
      </c>
      <c r="D129" s="516" t="s">
        <v>110</v>
      </c>
      <c r="E129" s="516" t="s">
        <v>829</v>
      </c>
      <c r="F129" s="516" t="s">
        <v>830</v>
      </c>
      <c r="G129" s="530"/>
      <c r="H129" s="531">
        <v>4250.03</v>
      </c>
      <c r="I129" s="530"/>
      <c r="J129" s="530"/>
    </row>
    <row r="130" spans="1:10" ht="15.75" customHeight="1" thickBot="1" x14ac:dyDescent="0.3">
      <c r="A130" s="558">
        <v>40664</v>
      </c>
      <c r="B130" s="558">
        <v>40664</v>
      </c>
      <c r="C130" s="516" t="s">
        <v>109</v>
      </c>
      <c r="D130" s="516" t="s">
        <v>110</v>
      </c>
      <c r="E130" s="532" t="s">
        <v>831</v>
      </c>
      <c r="F130" s="533"/>
      <c r="G130" s="534">
        <v>488716</v>
      </c>
      <c r="H130" s="534">
        <v>15976.49</v>
      </c>
      <c r="I130" s="534">
        <v>275</v>
      </c>
      <c r="J130" s="534">
        <v>-4546.88</v>
      </c>
    </row>
    <row r="131" spans="1:10" ht="15.75" customHeight="1" thickBot="1" x14ac:dyDescent="0.3">
      <c r="A131" s="558">
        <v>40664</v>
      </c>
      <c r="B131" s="558">
        <v>40664</v>
      </c>
      <c r="C131" s="516" t="s">
        <v>113</v>
      </c>
      <c r="D131" s="516" t="s">
        <v>114</v>
      </c>
      <c r="E131" s="516" t="s">
        <v>832</v>
      </c>
      <c r="F131" s="516" t="s">
        <v>833</v>
      </c>
      <c r="G131" s="530"/>
      <c r="H131" s="530"/>
      <c r="I131" s="531">
        <v>781</v>
      </c>
      <c r="J131" s="530"/>
    </row>
    <row r="132" spans="1:10" ht="15.75" customHeight="1" thickBot="1" x14ac:dyDescent="0.3">
      <c r="A132" s="558">
        <v>40664</v>
      </c>
      <c r="B132" s="558">
        <v>40664</v>
      </c>
      <c r="C132" s="516" t="s">
        <v>113</v>
      </c>
      <c r="D132" s="516" t="s">
        <v>114</v>
      </c>
      <c r="E132" s="516" t="s">
        <v>816</v>
      </c>
      <c r="F132" s="516" t="s">
        <v>812</v>
      </c>
      <c r="G132" s="529">
        <v>335520</v>
      </c>
      <c r="H132" s="529">
        <v>1633.98</v>
      </c>
      <c r="I132" s="528"/>
      <c r="J132" s="528"/>
    </row>
    <row r="133" spans="1:10" ht="15.75" customHeight="1" thickBot="1" x14ac:dyDescent="0.3">
      <c r="A133" s="558">
        <v>40664</v>
      </c>
      <c r="B133" s="558">
        <v>40664</v>
      </c>
      <c r="C133" s="516" t="s">
        <v>113</v>
      </c>
      <c r="D133" s="516" t="s">
        <v>114</v>
      </c>
      <c r="E133" s="516" t="s">
        <v>816</v>
      </c>
      <c r="F133" s="516" t="s">
        <v>834</v>
      </c>
      <c r="G133" s="530"/>
      <c r="H133" s="531">
        <v>104976</v>
      </c>
      <c r="I133" s="530"/>
      <c r="J133" s="530"/>
    </row>
    <row r="134" spans="1:10" ht="15.75" customHeight="1" thickBot="1" x14ac:dyDescent="0.3">
      <c r="A134" s="558">
        <v>40664</v>
      </c>
      <c r="B134" s="558">
        <v>40664</v>
      </c>
      <c r="C134" s="516" t="s">
        <v>113</v>
      </c>
      <c r="D134" s="516" t="s">
        <v>114</v>
      </c>
      <c r="E134" s="516" t="s">
        <v>816</v>
      </c>
      <c r="F134" s="535" t="s">
        <v>831</v>
      </c>
      <c r="G134" s="534">
        <v>335520</v>
      </c>
      <c r="H134" s="534">
        <v>106609.98</v>
      </c>
      <c r="I134" s="536"/>
      <c r="J134" s="536"/>
    </row>
    <row r="135" spans="1:10" ht="15.75" customHeight="1" thickBot="1" x14ac:dyDescent="0.3">
      <c r="A135" s="558">
        <v>40664</v>
      </c>
      <c r="B135" s="558">
        <v>40664</v>
      </c>
      <c r="C135" s="516" t="s">
        <v>113</v>
      </c>
      <c r="D135" s="516" t="s">
        <v>114</v>
      </c>
      <c r="E135" s="516" t="s">
        <v>827</v>
      </c>
      <c r="F135" s="516" t="s">
        <v>828</v>
      </c>
      <c r="G135" s="530"/>
      <c r="H135" s="530"/>
      <c r="I135" s="530"/>
      <c r="J135" s="531">
        <v>-2082.4299999999998</v>
      </c>
    </row>
    <row r="136" spans="1:10" ht="15.75" customHeight="1" thickBot="1" x14ac:dyDescent="0.3">
      <c r="A136" s="558">
        <v>40664</v>
      </c>
      <c r="B136" s="558">
        <v>40664</v>
      </c>
      <c r="C136" s="516" t="s">
        <v>113</v>
      </c>
      <c r="D136" s="516" t="s">
        <v>114</v>
      </c>
      <c r="E136" s="516" t="s">
        <v>829</v>
      </c>
      <c r="F136" s="516" t="s">
        <v>830</v>
      </c>
      <c r="G136" s="528"/>
      <c r="H136" s="529">
        <v>1205.45</v>
      </c>
      <c r="I136" s="528"/>
      <c r="J136" s="528"/>
    </row>
    <row r="137" spans="1:10" ht="15.75" customHeight="1" thickBot="1" x14ac:dyDescent="0.3">
      <c r="A137" s="558">
        <v>40664</v>
      </c>
      <c r="B137" s="558">
        <v>40664</v>
      </c>
      <c r="C137" s="516" t="s">
        <v>113</v>
      </c>
      <c r="D137" s="516" t="s">
        <v>114</v>
      </c>
      <c r="E137" s="532" t="s">
        <v>831</v>
      </c>
      <c r="F137" s="533"/>
      <c r="G137" s="534">
        <v>335520</v>
      </c>
      <c r="H137" s="534">
        <v>107815.43</v>
      </c>
      <c r="I137" s="534">
        <v>781</v>
      </c>
      <c r="J137" s="534">
        <v>-2082.4299999999998</v>
      </c>
    </row>
    <row r="138" spans="1:10" ht="15.75" customHeight="1" thickBot="1" x14ac:dyDescent="0.3">
      <c r="A138" s="558">
        <v>40664</v>
      </c>
      <c r="B138" s="558">
        <v>40664</v>
      </c>
      <c r="C138" s="532" t="s">
        <v>831</v>
      </c>
      <c r="D138" s="537"/>
      <c r="E138" s="537"/>
      <c r="F138" s="533"/>
      <c r="G138" s="534">
        <v>1678563</v>
      </c>
      <c r="H138" s="534">
        <v>196005.01</v>
      </c>
      <c r="I138" s="534">
        <v>2356.16</v>
      </c>
      <c r="J138" s="534">
        <v>-37361.910000000003</v>
      </c>
    </row>
    <row r="139" spans="1:10" ht="15.75" customHeight="1" thickBot="1" x14ac:dyDescent="0.3">
      <c r="A139" s="558">
        <v>40664</v>
      </c>
      <c r="B139" s="532" t="s">
        <v>831</v>
      </c>
      <c r="C139" s="537"/>
      <c r="D139" s="537"/>
      <c r="E139" s="537"/>
      <c r="F139" s="533"/>
      <c r="G139" s="534">
        <v>8274977</v>
      </c>
      <c r="H139" s="534">
        <v>624371.82999999996</v>
      </c>
      <c r="I139" s="534">
        <v>4029.34</v>
      </c>
      <c r="J139" s="534">
        <v>-40421.629999999997</v>
      </c>
    </row>
    <row r="140" spans="1:10" ht="15.75" customHeight="1" thickBot="1" x14ac:dyDescent="0.3">
      <c r="A140" s="558">
        <v>40695</v>
      </c>
      <c r="B140" s="558">
        <v>40575</v>
      </c>
      <c r="C140" s="516" t="s">
        <v>66</v>
      </c>
      <c r="D140" s="516" t="s">
        <v>67</v>
      </c>
      <c r="E140" s="516" t="s">
        <v>825</v>
      </c>
      <c r="F140" s="516" t="s">
        <v>812</v>
      </c>
      <c r="G140" s="529">
        <v>-4843</v>
      </c>
      <c r="H140" s="528"/>
      <c r="I140" s="529">
        <v>-921.24</v>
      </c>
      <c r="J140" s="528"/>
    </row>
    <row r="141" spans="1:10" ht="15.75" customHeight="1" thickBot="1" x14ac:dyDescent="0.3">
      <c r="A141" s="558">
        <v>40695</v>
      </c>
      <c r="B141" s="558">
        <v>40575</v>
      </c>
      <c r="C141" s="516" t="s">
        <v>66</v>
      </c>
      <c r="D141" s="516" t="s">
        <v>67</v>
      </c>
      <c r="E141" s="516" t="s">
        <v>816</v>
      </c>
      <c r="F141" s="516" t="s">
        <v>812</v>
      </c>
      <c r="G141" s="531">
        <v>4843</v>
      </c>
      <c r="H141" s="531">
        <v>921.24</v>
      </c>
      <c r="I141" s="530"/>
      <c r="J141" s="530"/>
    </row>
    <row r="142" spans="1:10" ht="15.75" customHeight="1" thickBot="1" x14ac:dyDescent="0.3">
      <c r="A142" s="558">
        <v>40695</v>
      </c>
      <c r="B142" s="558">
        <v>40575</v>
      </c>
      <c r="C142" s="516" t="s">
        <v>66</v>
      </c>
      <c r="D142" s="516" t="s">
        <v>67</v>
      </c>
      <c r="E142" s="516" t="s">
        <v>816</v>
      </c>
      <c r="F142" s="516" t="s">
        <v>835</v>
      </c>
      <c r="G142" s="528"/>
      <c r="H142" s="529">
        <v>427.49</v>
      </c>
      <c r="I142" s="528"/>
      <c r="J142" s="528"/>
    </row>
    <row r="143" spans="1:10" ht="15.75" customHeight="1" thickBot="1" x14ac:dyDescent="0.3">
      <c r="A143" s="558">
        <v>40695</v>
      </c>
      <c r="B143" s="558">
        <v>40575</v>
      </c>
      <c r="C143" s="516" t="s">
        <v>66</v>
      </c>
      <c r="D143" s="516" t="s">
        <v>67</v>
      </c>
      <c r="E143" s="516" t="s">
        <v>816</v>
      </c>
      <c r="F143" s="535" t="s">
        <v>831</v>
      </c>
      <c r="G143" s="534">
        <v>4843</v>
      </c>
      <c r="H143" s="534">
        <v>1348.73</v>
      </c>
      <c r="I143" s="536"/>
      <c r="J143" s="536"/>
    </row>
    <row r="144" spans="1:10" ht="15.75" customHeight="1" thickBot="1" x14ac:dyDescent="0.3">
      <c r="A144" s="558">
        <v>40695</v>
      </c>
      <c r="B144" s="558">
        <v>40575</v>
      </c>
      <c r="C144" s="516" t="s">
        <v>66</v>
      </c>
      <c r="D144" s="516" t="s">
        <v>67</v>
      </c>
      <c r="E144" s="516" t="s">
        <v>292</v>
      </c>
      <c r="F144" s="516" t="s">
        <v>292</v>
      </c>
      <c r="G144" s="528"/>
      <c r="H144" s="529">
        <v>-2563.52</v>
      </c>
      <c r="I144" s="528"/>
      <c r="J144" s="528"/>
    </row>
    <row r="145" spans="1:10" ht="15.75" customHeight="1" thickBot="1" x14ac:dyDescent="0.3">
      <c r="A145" s="558">
        <v>40695</v>
      </c>
      <c r="B145" s="558">
        <v>40575</v>
      </c>
      <c r="C145" s="516" t="s">
        <v>66</v>
      </c>
      <c r="D145" s="516" t="s">
        <v>67</v>
      </c>
      <c r="E145" s="516" t="s">
        <v>827</v>
      </c>
      <c r="F145" s="516" t="s">
        <v>828</v>
      </c>
      <c r="G145" s="530"/>
      <c r="H145" s="530"/>
      <c r="I145" s="530"/>
      <c r="J145" s="531">
        <v>-370.14</v>
      </c>
    </row>
    <row r="146" spans="1:10" ht="15.75" customHeight="1" thickBot="1" x14ac:dyDescent="0.3">
      <c r="A146" s="558">
        <v>40695</v>
      </c>
      <c r="B146" s="558">
        <v>40575</v>
      </c>
      <c r="C146" s="516" t="s">
        <v>66</v>
      </c>
      <c r="D146" s="516" t="s">
        <v>67</v>
      </c>
      <c r="E146" s="532" t="s">
        <v>831</v>
      </c>
      <c r="F146" s="533"/>
      <c r="G146" s="534">
        <v>0</v>
      </c>
      <c r="H146" s="534">
        <v>-1214.79</v>
      </c>
      <c r="I146" s="534">
        <v>-921.24</v>
      </c>
      <c r="J146" s="534">
        <v>-370.14</v>
      </c>
    </row>
    <row r="147" spans="1:10" ht="15.75" customHeight="1" thickBot="1" x14ac:dyDescent="0.3">
      <c r="A147" s="558">
        <v>40695</v>
      </c>
      <c r="B147" s="558">
        <v>40664</v>
      </c>
      <c r="C147" s="516" t="s">
        <v>97</v>
      </c>
      <c r="D147" s="516" t="s">
        <v>98</v>
      </c>
      <c r="E147" s="516" t="s">
        <v>820</v>
      </c>
      <c r="F147" s="516" t="s">
        <v>821</v>
      </c>
      <c r="G147" s="530"/>
      <c r="H147" s="531">
        <v>2760</v>
      </c>
      <c r="I147" s="530"/>
      <c r="J147" s="530"/>
    </row>
    <row r="148" spans="1:10" ht="15.75" customHeight="1" thickBot="1" x14ac:dyDescent="0.3">
      <c r="A148" s="558">
        <v>40695</v>
      </c>
      <c r="B148" s="558">
        <v>40664</v>
      </c>
      <c r="C148" s="516" t="s">
        <v>97</v>
      </c>
      <c r="D148" s="516" t="s">
        <v>98</v>
      </c>
      <c r="E148" s="516" t="s">
        <v>822</v>
      </c>
      <c r="F148" s="516" t="s">
        <v>823</v>
      </c>
      <c r="G148" s="528"/>
      <c r="H148" s="528"/>
      <c r="I148" s="528"/>
      <c r="J148" s="529">
        <v>118.83</v>
      </c>
    </row>
    <row r="149" spans="1:10" ht="15.75" customHeight="1" thickBot="1" x14ac:dyDescent="0.3">
      <c r="A149" s="558">
        <v>40695</v>
      </c>
      <c r="B149" s="558">
        <v>40664</v>
      </c>
      <c r="C149" s="516" t="s">
        <v>97</v>
      </c>
      <c r="D149" s="516" t="s">
        <v>98</v>
      </c>
      <c r="E149" s="516" t="s">
        <v>824</v>
      </c>
      <c r="F149" s="516" t="s">
        <v>294</v>
      </c>
      <c r="G149" s="530"/>
      <c r="H149" s="531">
        <v>0.22</v>
      </c>
      <c r="I149" s="530"/>
      <c r="J149" s="530"/>
    </row>
    <row r="150" spans="1:10" ht="15.75" customHeight="1" thickBot="1" x14ac:dyDescent="0.3">
      <c r="A150" s="558">
        <v>40695</v>
      </c>
      <c r="B150" s="558">
        <v>40664</v>
      </c>
      <c r="C150" s="516" t="s">
        <v>97</v>
      </c>
      <c r="D150" s="516" t="s">
        <v>98</v>
      </c>
      <c r="E150" s="516" t="s">
        <v>825</v>
      </c>
      <c r="F150" s="516" t="s">
        <v>812</v>
      </c>
      <c r="G150" s="529">
        <v>245</v>
      </c>
      <c r="H150" s="528"/>
      <c r="I150" s="529">
        <v>10.54</v>
      </c>
      <c r="J150" s="528"/>
    </row>
    <row r="151" spans="1:10" ht="15.75" customHeight="1" thickBot="1" x14ac:dyDescent="0.3">
      <c r="A151" s="558">
        <v>40695</v>
      </c>
      <c r="B151" s="558">
        <v>40664</v>
      </c>
      <c r="C151" s="516" t="s">
        <v>97</v>
      </c>
      <c r="D151" s="516" t="s">
        <v>98</v>
      </c>
      <c r="E151" s="516" t="s">
        <v>816</v>
      </c>
      <c r="F151" s="516" t="s">
        <v>812</v>
      </c>
      <c r="G151" s="531">
        <v>539249</v>
      </c>
      <c r="H151" s="531">
        <v>23187.72</v>
      </c>
      <c r="I151" s="530"/>
      <c r="J151" s="530"/>
    </row>
    <row r="152" spans="1:10" ht="15.75" customHeight="1" thickBot="1" x14ac:dyDescent="0.3">
      <c r="A152" s="558">
        <v>40695</v>
      </c>
      <c r="B152" s="558">
        <v>40664</v>
      </c>
      <c r="C152" s="516" t="s">
        <v>97</v>
      </c>
      <c r="D152" s="516" t="s">
        <v>98</v>
      </c>
      <c r="E152" s="516" t="s">
        <v>826</v>
      </c>
      <c r="F152" s="516" t="s">
        <v>294</v>
      </c>
      <c r="G152" s="528"/>
      <c r="H152" s="529">
        <v>479.93</v>
      </c>
      <c r="I152" s="528"/>
      <c r="J152" s="528"/>
    </row>
    <row r="153" spans="1:10" ht="15.75" customHeight="1" thickBot="1" x14ac:dyDescent="0.3">
      <c r="A153" s="558">
        <v>40695</v>
      </c>
      <c r="B153" s="558">
        <v>40664</v>
      </c>
      <c r="C153" s="516" t="s">
        <v>97</v>
      </c>
      <c r="D153" s="516" t="s">
        <v>98</v>
      </c>
      <c r="E153" s="516" t="s">
        <v>827</v>
      </c>
      <c r="F153" s="516" t="s">
        <v>828</v>
      </c>
      <c r="G153" s="530"/>
      <c r="H153" s="530"/>
      <c r="I153" s="530"/>
      <c r="J153" s="531">
        <v>-888.28</v>
      </c>
    </row>
    <row r="154" spans="1:10" ht="15.75" customHeight="1" thickBot="1" x14ac:dyDescent="0.3">
      <c r="A154" s="558">
        <v>40695</v>
      </c>
      <c r="B154" s="558">
        <v>40664</v>
      </c>
      <c r="C154" s="516" t="s">
        <v>97</v>
      </c>
      <c r="D154" s="516" t="s">
        <v>98</v>
      </c>
      <c r="E154" s="516" t="s">
        <v>829</v>
      </c>
      <c r="F154" s="516" t="s">
        <v>830</v>
      </c>
      <c r="G154" s="528"/>
      <c r="H154" s="529">
        <v>170.3</v>
      </c>
      <c r="I154" s="528"/>
      <c r="J154" s="528"/>
    </row>
    <row r="155" spans="1:10" ht="15.75" customHeight="1" thickBot="1" x14ac:dyDescent="0.3">
      <c r="A155" s="558">
        <v>40695</v>
      </c>
      <c r="B155" s="558">
        <v>40664</v>
      </c>
      <c r="C155" s="516" t="s">
        <v>97</v>
      </c>
      <c r="D155" s="516" t="s">
        <v>98</v>
      </c>
      <c r="E155" s="532" t="s">
        <v>831</v>
      </c>
      <c r="F155" s="533"/>
      <c r="G155" s="534">
        <v>539494</v>
      </c>
      <c r="H155" s="534">
        <v>26598.17</v>
      </c>
      <c r="I155" s="534">
        <v>10.54</v>
      </c>
      <c r="J155" s="534">
        <v>-769.45</v>
      </c>
    </row>
    <row r="156" spans="1:10" ht="15.75" customHeight="1" thickBot="1" x14ac:dyDescent="0.3">
      <c r="A156" s="558">
        <v>40695</v>
      </c>
      <c r="B156" s="558">
        <v>40664</v>
      </c>
      <c r="C156" s="516" t="s">
        <v>106</v>
      </c>
      <c r="D156" s="516" t="s">
        <v>107</v>
      </c>
      <c r="E156" s="516" t="s">
        <v>820</v>
      </c>
      <c r="F156" s="516" t="s">
        <v>821</v>
      </c>
      <c r="G156" s="528"/>
      <c r="H156" s="529">
        <v>230</v>
      </c>
      <c r="I156" s="528"/>
      <c r="J156" s="528"/>
    </row>
    <row r="157" spans="1:10" ht="15.75" customHeight="1" thickBot="1" x14ac:dyDescent="0.3">
      <c r="A157" s="558">
        <v>40695</v>
      </c>
      <c r="B157" s="558">
        <v>40664</v>
      </c>
      <c r="C157" s="516" t="s">
        <v>106</v>
      </c>
      <c r="D157" s="516" t="s">
        <v>107</v>
      </c>
      <c r="E157" s="516" t="s">
        <v>832</v>
      </c>
      <c r="F157" s="516" t="s">
        <v>833</v>
      </c>
      <c r="G157" s="530"/>
      <c r="H157" s="530"/>
      <c r="I157" s="531">
        <v>781</v>
      </c>
      <c r="J157" s="530"/>
    </row>
    <row r="158" spans="1:10" ht="15.75" customHeight="1" thickBot="1" x14ac:dyDescent="0.3">
      <c r="A158" s="558">
        <v>40695</v>
      </c>
      <c r="B158" s="558">
        <v>40664</v>
      </c>
      <c r="C158" s="516" t="s">
        <v>106</v>
      </c>
      <c r="D158" s="516" t="s">
        <v>107</v>
      </c>
      <c r="E158" s="516" t="s">
        <v>816</v>
      </c>
      <c r="F158" s="516" t="s">
        <v>812</v>
      </c>
      <c r="G158" s="529">
        <v>54366</v>
      </c>
      <c r="H158" s="529">
        <v>264.76</v>
      </c>
      <c r="I158" s="528"/>
      <c r="J158" s="528"/>
    </row>
    <row r="159" spans="1:10" ht="15.75" customHeight="1" thickBot="1" x14ac:dyDescent="0.3">
      <c r="A159" s="558">
        <v>40695</v>
      </c>
      <c r="B159" s="558">
        <v>40664</v>
      </c>
      <c r="C159" s="516" t="s">
        <v>106</v>
      </c>
      <c r="D159" s="516" t="s">
        <v>107</v>
      </c>
      <c r="E159" s="516" t="s">
        <v>816</v>
      </c>
      <c r="F159" s="516" t="s">
        <v>834</v>
      </c>
      <c r="G159" s="530"/>
      <c r="H159" s="531">
        <v>18225</v>
      </c>
      <c r="I159" s="530"/>
      <c r="J159" s="530"/>
    </row>
    <row r="160" spans="1:10" ht="15.75" customHeight="1" thickBot="1" x14ac:dyDescent="0.3">
      <c r="A160" s="558">
        <v>40695</v>
      </c>
      <c r="B160" s="558">
        <v>40664</v>
      </c>
      <c r="C160" s="516" t="s">
        <v>106</v>
      </c>
      <c r="D160" s="516" t="s">
        <v>107</v>
      </c>
      <c r="E160" s="516" t="s">
        <v>816</v>
      </c>
      <c r="F160" s="535" t="s">
        <v>831</v>
      </c>
      <c r="G160" s="534">
        <v>54366</v>
      </c>
      <c r="H160" s="534">
        <v>18489.759999999998</v>
      </c>
      <c r="I160" s="536"/>
      <c r="J160" s="536"/>
    </row>
    <row r="161" spans="1:10" ht="15.75" customHeight="1" thickBot="1" x14ac:dyDescent="0.3">
      <c r="A161" s="558">
        <v>40695</v>
      </c>
      <c r="B161" s="558">
        <v>40664</v>
      </c>
      <c r="C161" s="516" t="s">
        <v>106</v>
      </c>
      <c r="D161" s="516" t="s">
        <v>107</v>
      </c>
      <c r="E161" s="516" t="s">
        <v>827</v>
      </c>
      <c r="F161" s="516" t="s">
        <v>828</v>
      </c>
      <c r="G161" s="530"/>
      <c r="H161" s="530"/>
      <c r="I161" s="530"/>
      <c r="J161" s="531">
        <v>-913.42</v>
      </c>
    </row>
    <row r="162" spans="1:10" ht="15.75" customHeight="1" thickBot="1" x14ac:dyDescent="0.3">
      <c r="A162" s="558">
        <v>40695</v>
      </c>
      <c r="B162" s="558">
        <v>40664</v>
      </c>
      <c r="C162" s="516" t="s">
        <v>106</v>
      </c>
      <c r="D162" s="516" t="s">
        <v>107</v>
      </c>
      <c r="E162" s="516" t="s">
        <v>829</v>
      </c>
      <c r="F162" s="516" t="s">
        <v>830</v>
      </c>
      <c r="G162" s="528"/>
      <c r="H162" s="529">
        <v>919.57</v>
      </c>
      <c r="I162" s="528"/>
      <c r="J162" s="528"/>
    </row>
    <row r="163" spans="1:10" ht="15.75" customHeight="1" thickBot="1" x14ac:dyDescent="0.3">
      <c r="A163" s="558">
        <v>40695</v>
      </c>
      <c r="B163" s="558">
        <v>40664</v>
      </c>
      <c r="C163" s="516" t="s">
        <v>106</v>
      </c>
      <c r="D163" s="516" t="s">
        <v>107</v>
      </c>
      <c r="E163" s="532" t="s">
        <v>831</v>
      </c>
      <c r="F163" s="533"/>
      <c r="G163" s="534">
        <v>54366</v>
      </c>
      <c r="H163" s="534">
        <v>19639.330000000002</v>
      </c>
      <c r="I163" s="534">
        <v>781</v>
      </c>
      <c r="J163" s="534">
        <v>-913.42</v>
      </c>
    </row>
    <row r="164" spans="1:10" ht="15.75" thickBot="1" x14ac:dyDescent="0.3">
      <c r="A164" s="558">
        <v>40695</v>
      </c>
      <c r="B164" s="558">
        <v>40664</v>
      </c>
      <c r="C164" s="516" t="s">
        <v>99</v>
      </c>
      <c r="D164" s="516" t="s">
        <v>100</v>
      </c>
      <c r="E164" s="516" t="s">
        <v>820</v>
      </c>
      <c r="F164" s="516" t="s">
        <v>821</v>
      </c>
      <c r="G164" s="528"/>
      <c r="H164" s="529">
        <v>13340</v>
      </c>
      <c r="I164" s="528"/>
      <c r="J164" s="528"/>
    </row>
    <row r="165" spans="1:10" ht="15.75" thickBot="1" x14ac:dyDescent="0.3">
      <c r="A165" s="558">
        <v>40695</v>
      </c>
      <c r="B165" s="558">
        <v>40664</v>
      </c>
      <c r="C165" s="516" t="s">
        <v>99</v>
      </c>
      <c r="D165" s="516" t="s">
        <v>100</v>
      </c>
      <c r="E165" s="516" t="s">
        <v>816</v>
      </c>
      <c r="F165" s="516" t="s">
        <v>812</v>
      </c>
      <c r="G165" s="531">
        <v>5576435</v>
      </c>
      <c r="H165" s="531">
        <v>239786.75</v>
      </c>
      <c r="I165" s="530"/>
      <c r="J165" s="530"/>
    </row>
    <row r="166" spans="1:10" ht="15.75" thickBot="1" x14ac:dyDescent="0.3">
      <c r="A166" s="558">
        <v>40695</v>
      </c>
      <c r="B166" s="558">
        <v>40664</v>
      </c>
      <c r="C166" s="516" t="s">
        <v>99</v>
      </c>
      <c r="D166" s="516" t="s">
        <v>100</v>
      </c>
      <c r="E166" s="516" t="s">
        <v>827</v>
      </c>
      <c r="F166" s="516" t="s">
        <v>828</v>
      </c>
      <c r="G166" s="528"/>
      <c r="H166" s="528"/>
      <c r="I166" s="528"/>
      <c r="J166" s="529">
        <v>-2710.93</v>
      </c>
    </row>
    <row r="167" spans="1:10" ht="15.75" thickBot="1" x14ac:dyDescent="0.3">
      <c r="A167" s="558">
        <v>40695</v>
      </c>
      <c r="B167" s="558">
        <v>40664</v>
      </c>
      <c r="C167" s="516" t="s">
        <v>99</v>
      </c>
      <c r="D167" s="516" t="s">
        <v>100</v>
      </c>
      <c r="E167" s="516" t="s">
        <v>829</v>
      </c>
      <c r="F167" s="516" t="s">
        <v>830</v>
      </c>
      <c r="G167" s="530"/>
      <c r="H167" s="531">
        <v>6536.15</v>
      </c>
      <c r="I167" s="530"/>
      <c r="J167" s="530"/>
    </row>
    <row r="168" spans="1:10" ht="15.75" thickBot="1" x14ac:dyDescent="0.3">
      <c r="A168" s="558">
        <v>40695</v>
      </c>
      <c r="B168" s="558">
        <v>40664</v>
      </c>
      <c r="C168" s="516" t="s">
        <v>99</v>
      </c>
      <c r="D168" s="516" t="s">
        <v>100</v>
      </c>
      <c r="E168" s="532" t="s">
        <v>831</v>
      </c>
      <c r="F168" s="533"/>
      <c r="G168" s="534">
        <v>5576435</v>
      </c>
      <c r="H168" s="534">
        <v>259662.9</v>
      </c>
      <c r="I168" s="534">
        <v>0</v>
      </c>
      <c r="J168" s="534">
        <v>-2710.93</v>
      </c>
    </row>
    <row r="169" spans="1:10" ht="15.75" customHeight="1" thickBot="1" x14ac:dyDescent="0.3">
      <c r="A169" s="558">
        <v>40695</v>
      </c>
      <c r="B169" s="558">
        <v>40664</v>
      </c>
      <c r="C169" s="532" t="s">
        <v>831</v>
      </c>
      <c r="D169" s="537"/>
      <c r="E169" s="537"/>
      <c r="F169" s="533"/>
      <c r="G169" s="534">
        <v>6170295</v>
      </c>
      <c r="H169" s="534">
        <v>305900.40000000002</v>
      </c>
      <c r="I169" s="534">
        <v>791.54</v>
      </c>
      <c r="J169" s="534">
        <v>-4393.8</v>
      </c>
    </row>
    <row r="170" spans="1:10" ht="15.75" customHeight="1" thickBot="1" x14ac:dyDescent="0.3">
      <c r="A170" s="558">
        <v>40695</v>
      </c>
      <c r="B170" s="558">
        <v>40695</v>
      </c>
      <c r="C170" s="516" t="s">
        <v>63</v>
      </c>
      <c r="D170" s="516" t="s">
        <v>64</v>
      </c>
      <c r="E170" s="516" t="s">
        <v>820</v>
      </c>
      <c r="F170" s="516" t="s">
        <v>821</v>
      </c>
      <c r="G170" s="528"/>
      <c r="H170" s="529">
        <v>153</v>
      </c>
      <c r="I170" s="528"/>
      <c r="J170" s="528"/>
    </row>
    <row r="171" spans="1:10" ht="15.75" customHeight="1" thickBot="1" x14ac:dyDescent="0.3">
      <c r="A171" s="558">
        <v>40695</v>
      </c>
      <c r="B171" s="558">
        <v>40695</v>
      </c>
      <c r="C171" s="516" t="s">
        <v>63</v>
      </c>
      <c r="D171" s="516" t="s">
        <v>64</v>
      </c>
      <c r="E171" s="516" t="s">
        <v>832</v>
      </c>
      <c r="F171" s="516" t="s">
        <v>833</v>
      </c>
      <c r="G171" s="530"/>
      <c r="H171" s="530"/>
      <c r="I171" s="531">
        <v>170</v>
      </c>
      <c r="J171" s="530"/>
    </row>
    <row r="172" spans="1:10" ht="15.75" customHeight="1" thickBot="1" x14ac:dyDescent="0.3">
      <c r="A172" s="558">
        <v>40695</v>
      </c>
      <c r="B172" s="558">
        <v>40695</v>
      </c>
      <c r="C172" s="516" t="s">
        <v>63</v>
      </c>
      <c r="D172" s="516" t="s">
        <v>64</v>
      </c>
      <c r="E172" s="516" t="s">
        <v>824</v>
      </c>
      <c r="F172" s="516" t="s">
        <v>294</v>
      </c>
      <c r="G172" s="528"/>
      <c r="H172" s="529">
        <v>1.1200000000000001</v>
      </c>
      <c r="I172" s="528"/>
      <c r="J172" s="528"/>
    </row>
    <row r="173" spans="1:10" ht="15.75" customHeight="1" thickBot="1" x14ac:dyDescent="0.3">
      <c r="A173" s="558">
        <v>40695</v>
      </c>
      <c r="B173" s="558">
        <v>40695</v>
      </c>
      <c r="C173" s="516" t="s">
        <v>63</v>
      </c>
      <c r="D173" s="516" t="s">
        <v>64</v>
      </c>
      <c r="E173" s="516" t="s">
        <v>825</v>
      </c>
      <c r="F173" s="516" t="s">
        <v>812</v>
      </c>
      <c r="G173" s="531">
        <v>1168</v>
      </c>
      <c r="H173" s="530"/>
      <c r="I173" s="531">
        <v>210.27</v>
      </c>
      <c r="J173" s="530"/>
    </row>
    <row r="174" spans="1:10" ht="15.75" customHeight="1" thickBot="1" x14ac:dyDescent="0.3">
      <c r="A174" s="558">
        <v>40695</v>
      </c>
      <c r="B174" s="558">
        <v>40695</v>
      </c>
      <c r="C174" s="516" t="s">
        <v>63</v>
      </c>
      <c r="D174" s="516" t="s">
        <v>64</v>
      </c>
      <c r="E174" s="516" t="s">
        <v>292</v>
      </c>
      <c r="F174" s="516" t="s">
        <v>292</v>
      </c>
      <c r="G174" s="528"/>
      <c r="H174" s="529">
        <v>655.75</v>
      </c>
      <c r="I174" s="528"/>
      <c r="J174" s="528"/>
    </row>
    <row r="175" spans="1:10" ht="15.75" customHeight="1" thickBot="1" x14ac:dyDescent="0.3">
      <c r="A175" s="558">
        <v>40695</v>
      </c>
      <c r="B175" s="558">
        <v>40695</v>
      </c>
      <c r="C175" s="516" t="s">
        <v>63</v>
      </c>
      <c r="D175" s="516" t="s">
        <v>64</v>
      </c>
      <c r="E175" s="532" t="s">
        <v>831</v>
      </c>
      <c r="F175" s="533"/>
      <c r="G175" s="534">
        <v>1168</v>
      </c>
      <c r="H175" s="534">
        <v>809.87</v>
      </c>
      <c r="I175" s="534">
        <v>380.27</v>
      </c>
      <c r="J175" s="534">
        <v>0</v>
      </c>
    </row>
    <row r="176" spans="1:10" ht="15.75" customHeight="1" thickBot="1" x14ac:dyDescent="0.3">
      <c r="A176" s="558">
        <v>40695</v>
      </c>
      <c r="B176" s="558">
        <v>40695</v>
      </c>
      <c r="C176" s="516" t="s">
        <v>66</v>
      </c>
      <c r="D176" s="516" t="s">
        <v>67</v>
      </c>
      <c r="E176" s="516" t="s">
        <v>820</v>
      </c>
      <c r="F176" s="516" t="s">
        <v>821</v>
      </c>
      <c r="G176" s="528"/>
      <c r="H176" s="529">
        <v>306</v>
      </c>
      <c r="I176" s="528"/>
      <c r="J176" s="528"/>
    </row>
    <row r="177" spans="1:10" ht="15.75" customHeight="1" thickBot="1" x14ac:dyDescent="0.3">
      <c r="A177" s="558">
        <v>40695</v>
      </c>
      <c r="B177" s="558">
        <v>40695</v>
      </c>
      <c r="C177" s="516" t="s">
        <v>66</v>
      </c>
      <c r="D177" s="516" t="s">
        <v>67</v>
      </c>
      <c r="E177" s="516" t="s">
        <v>832</v>
      </c>
      <c r="F177" s="516" t="s">
        <v>833</v>
      </c>
      <c r="G177" s="530"/>
      <c r="H177" s="530"/>
      <c r="I177" s="531">
        <v>340</v>
      </c>
      <c r="J177" s="530"/>
    </row>
    <row r="178" spans="1:10" ht="15.75" customHeight="1" thickBot="1" x14ac:dyDescent="0.3">
      <c r="A178" s="558">
        <v>40695</v>
      </c>
      <c r="B178" s="558">
        <v>40695</v>
      </c>
      <c r="C178" s="516" t="s">
        <v>66</v>
      </c>
      <c r="D178" s="516" t="s">
        <v>67</v>
      </c>
      <c r="E178" s="516" t="s">
        <v>825</v>
      </c>
      <c r="F178" s="516" t="s">
        <v>812</v>
      </c>
      <c r="G178" s="529">
        <v>15150</v>
      </c>
      <c r="H178" s="528"/>
      <c r="I178" s="529">
        <v>2224.34</v>
      </c>
      <c r="J178" s="528"/>
    </row>
    <row r="179" spans="1:10" ht="15.75" customHeight="1" thickBot="1" x14ac:dyDescent="0.3">
      <c r="A179" s="558">
        <v>40695</v>
      </c>
      <c r="B179" s="558">
        <v>40695</v>
      </c>
      <c r="C179" s="516" t="s">
        <v>66</v>
      </c>
      <c r="D179" s="516" t="s">
        <v>67</v>
      </c>
      <c r="E179" s="516" t="s">
        <v>816</v>
      </c>
      <c r="F179" s="516" t="s">
        <v>812</v>
      </c>
      <c r="G179" s="531">
        <v>54580</v>
      </c>
      <c r="H179" s="531">
        <v>7753.21</v>
      </c>
      <c r="I179" s="530"/>
      <c r="J179" s="530"/>
    </row>
    <row r="180" spans="1:10" ht="15.75" customHeight="1" thickBot="1" x14ac:dyDescent="0.3">
      <c r="A180" s="558">
        <v>40695</v>
      </c>
      <c r="B180" s="558">
        <v>40695</v>
      </c>
      <c r="C180" s="516" t="s">
        <v>66</v>
      </c>
      <c r="D180" s="516" t="s">
        <v>67</v>
      </c>
      <c r="E180" s="516" t="s">
        <v>816</v>
      </c>
      <c r="F180" s="516" t="s">
        <v>835</v>
      </c>
      <c r="G180" s="528"/>
      <c r="H180" s="529">
        <v>4815.59</v>
      </c>
      <c r="I180" s="528"/>
      <c r="J180" s="528"/>
    </row>
    <row r="181" spans="1:10" ht="15.75" customHeight="1" thickBot="1" x14ac:dyDescent="0.3">
      <c r="A181" s="558">
        <v>40695</v>
      </c>
      <c r="B181" s="558">
        <v>40695</v>
      </c>
      <c r="C181" s="516" t="s">
        <v>66</v>
      </c>
      <c r="D181" s="516" t="s">
        <v>67</v>
      </c>
      <c r="E181" s="516" t="s">
        <v>816</v>
      </c>
      <c r="F181" s="535" t="s">
        <v>831</v>
      </c>
      <c r="G181" s="534">
        <v>54580</v>
      </c>
      <c r="H181" s="534">
        <v>12568.8</v>
      </c>
      <c r="I181" s="536"/>
      <c r="J181" s="536"/>
    </row>
    <row r="182" spans="1:10" ht="15.75" customHeight="1" thickBot="1" x14ac:dyDescent="0.3">
      <c r="A182" s="558">
        <v>40695</v>
      </c>
      <c r="B182" s="558">
        <v>40695</v>
      </c>
      <c r="C182" s="516" t="s">
        <v>66</v>
      </c>
      <c r="D182" s="516" t="s">
        <v>67</v>
      </c>
      <c r="E182" s="516" t="s">
        <v>292</v>
      </c>
      <c r="F182" s="516" t="s">
        <v>292</v>
      </c>
      <c r="G182" s="528"/>
      <c r="H182" s="529">
        <v>8505.66</v>
      </c>
      <c r="I182" s="528"/>
      <c r="J182" s="528"/>
    </row>
    <row r="183" spans="1:10" ht="15.75" customHeight="1" thickBot="1" x14ac:dyDescent="0.3">
      <c r="A183" s="558">
        <v>40695</v>
      </c>
      <c r="B183" s="558">
        <v>40695</v>
      </c>
      <c r="C183" s="516" t="s">
        <v>66</v>
      </c>
      <c r="D183" s="516" t="s">
        <v>67</v>
      </c>
      <c r="E183" s="532" t="s">
        <v>831</v>
      </c>
      <c r="F183" s="533"/>
      <c r="G183" s="534">
        <v>69730</v>
      </c>
      <c r="H183" s="534">
        <v>21380.46</v>
      </c>
      <c r="I183" s="534">
        <v>2564.34</v>
      </c>
      <c r="J183" s="534">
        <v>0</v>
      </c>
    </row>
    <row r="184" spans="1:10" ht="15.75" thickBot="1" x14ac:dyDescent="0.3">
      <c r="A184" s="558">
        <v>40695</v>
      </c>
      <c r="B184" s="558">
        <v>40695</v>
      </c>
      <c r="C184" s="516" t="s">
        <v>99</v>
      </c>
      <c r="D184" s="516" t="s">
        <v>100</v>
      </c>
      <c r="E184" s="516" t="s">
        <v>820</v>
      </c>
      <c r="F184" s="516" t="s">
        <v>821</v>
      </c>
      <c r="G184" s="528"/>
      <c r="H184" s="529">
        <v>690</v>
      </c>
      <c r="I184" s="528"/>
      <c r="J184" s="528"/>
    </row>
    <row r="185" spans="1:10" ht="15.75" thickBot="1" x14ac:dyDescent="0.3">
      <c r="A185" s="558">
        <v>40695</v>
      </c>
      <c r="B185" s="558">
        <v>40695</v>
      </c>
      <c r="C185" s="516" t="s">
        <v>99</v>
      </c>
      <c r="D185" s="516" t="s">
        <v>100</v>
      </c>
      <c r="E185" s="516" t="s">
        <v>816</v>
      </c>
      <c r="F185" s="516" t="s">
        <v>812</v>
      </c>
      <c r="G185" s="531">
        <v>860866</v>
      </c>
      <c r="H185" s="531">
        <v>37017.24</v>
      </c>
      <c r="I185" s="530"/>
      <c r="J185" s="530"/>
    </row>
    <row r="186" spans="1:10" ht="15.75" thickBot="1" x14ac:dyDescent="0.3">
      <c r="A186" s="558">
        <v>40695</v>
      </c>
      <c r="B186" s="558">
        <v>40695</v>
      </c>
      <c r="C186" s="516" t="s">
        <v>99</v>
      </c>
      <c r="D186" s="516" t="s">
        <v>100</v>
      </c>
      <c r="E186" s="532" t="s">
        <v>831</v>
      </c>
      <c r="F186" s="533"/>
      <c r="G186" s="534">
        <v>860866</v>
      </c>
      <c r="H186" s="534">
        <v>37707.24</v>
      </c>
      <c r="I186" s="534">
        <v>0</v>
      </c>
      <c r="J186" s="534">
        <v>0</v>
      </c>
    </row>
    <row r="187" spans="1:10" ht="15.75" customHeight="1" thickBot="1" x14ac:dyDescent="0.3">
      <c r="A187" s="558">
        <v>40695</v>
      </c>
      <c r="B187" s="558">
        <v>40695</v>
      </c>
      <c r="C187" s="516" t="s">
        <v>102</v>
      </c>
      <c r="D187" s="516" t="s">
        <v>103</v>
      </c>
      <c r="E187" s="516" t="s">
        <v>820</v>
      </c>
      <c r="F187" s="516" t="s">
        <v>821</v>
      </c>
      <c r="G187" s="530"/>
      <c r="H187" s="531">
        <v>5175</v>
      </c>
      <c r="I187" s="530"/>
      <c r="J187" s="530"/>
    </row>
    <row r="188" spans="1:10" ht="15.75" customHeight="1" thickBot="1" x14ac:dyDescent="0.3">
      <c r="A188" s="558">
        <v>40695</v>
      </c>
      <c r="B188" s="558">
        <v>40695</v>
      </c>
      <c r="C188" s="516" t="s">
        <v>102</v>
      </c>
      <c r="D188" s="516" t="s">
        <v>103</v>
      </c>
      <c r="E188" s="516" t="s">
        <v>822</v>
      </c>
      <c r="F188" s="516" t="s">
        <v>823</v>
      </c>
      <c r="G188" s="528"/>
      <c r="H188" s="528"/>
      <c r="I188" s="528"/>
      <c r="J188" s="529">
        <v>4126.87</v>
      </c>
    </row>
    <row r="189" spans="1:10" ht="15.75" customHeight="1" thickBot="1" x14ac:dyDescent="0.3">
      <c r="A189" s="558">
        <v>40695</v>
      </c>
      <c r="B189" s="558">
        <v>40695</v>
      </c>
      <c r="C189" s="516" t="s">
        <v>102</v>
      </c>
      <c r="D189" s="516" t="s">
        <v>103</v>
      </c>
      <c r="E189" s="516" t="s">
        <v>827</v>
      </c>
      <c r="F189" s="516" t="s">
        <v>828</v>
      </c>
      <c r="G189" s="530"/>
      <c r="H189" s="530"/>
      <c r="I189" s="530"/>
      <c r="J189" s="531">
        <v>-50003.46</v>
      </c>
    </row>
    <row r="190" spans="1:10" ht="15.75" customHeight="1" thickBot="1" x14ac:dyDescent="0.3">
      <c r="A190" s="558">
        <v>40695</v>
      </c>
      <c r="B190" s="558">
        <v>40695</v>
      </c>
      <c r="C190" s="516" t="s">
        <v>102</v>
      </c>
      <c r="D190" s="516" t="s">
        <v>103</v>
      </c>
      <c r="E190" s="516" t="s">
        <v>829</v>
      </c>
      <c r="F190" s="516" t="s">
        <v>830</v>
      </c>
      <c r="G190" s="528"/>
      <c r="H190" s="529">
        <v>22803.4</v>
      </c>
      <c r="I190" s="528"/>
      <c r="J190" s="528"/>
    </row>
    <row r="191" spans="1:10" ht="15.75" customHeight="1" thickBot="1" x14ac:dyDescent="0.3">
      <c r="A191" s="558">
        <v>40695</v>
      </c>
      <c r="B191" s="558">
        <v>40695</v>
      </c>
      <c r="C191" s="516" t="s">
        <v>102</v>
      </c>
      <c r="D191" s="516" t="s">
        <v>103</v>
      </c>
      <c r="E191" s="532" t="s">
        <v>831</v>
      </c>
      <c r="F191" s="533"/>
      <c r="G191" s="536"/>
      <c r="H191" s="534">
        <v>27978.400000000001</v>
      </c>
      <c r="I191" s="536"/>
      <c r="J191" s="534">
        <v>-45876.59</v>
      </c>
    </row>
    <row r="192" spans="1:10" ht="15.75" customHeight="1" thickBot="1" x14ac:dyDescent="0.3">
      <c r="A192" s="558">
        <v>40695</v>
      </c>
      <c r="B192" s="558">
        <v>40695</v>
      </c>
      <c r="C192" s="516" t="s">
        <v>109</v>
      </c>
      <c r="D192" s="516" t="s">
        <v>110</v>
      </c>
      <c r="E192" s="516" t="s">
        <v>820</v>
      </c>
      <c r="F192" s="516" t="s">
        <v>821</v>
      </c>
      <c r="G192" s="528"/>
      <c r="H192" s="529">
        <v>230</v>
      </c>
      <c r="I192" s="528"/>
      <c r="J192" s="528"/>
    </row>
    <row r="193" spans="1:10" ht="15.75" customHeight="1" thickBot="1" x14ac:dyDescent="0.3">
      <c r="A193" s="558">
        <v>40695</v>
      </c>
      <c r="B193" s="558">
        <v>40695</v>
      </c>
      <c r="C193" s="516" t="s">
        <v>109</v>
      </c>
      <c r="D193" s="516" t="s">
        <v>110</v>
      </c>
      <c r="E193" s="516" t="s">
        <v>832</v>
      </c>
      <c r="F193" s="516" t="s">
        <v>833</v>
      </c>
      <c r="G193" s="530"/>
      <c r="H193" s="530"/>
      <c r="I193" s="531">
        <v>275</v>
      </c>
      <c r="J193" s="530"/>
    </row>
    <row r="194" spans="1:10" ht="15.75" customHeight="1" thickBot="1" x14ac:dyDescent="0.3">
      <c r="A194" s="558">
        <v>40695</v>
      </c>
      <c r="B194" s="558">
        <v>40695</v>
      </c>
      <c r="C194" s="516" t="s">
        <v>109</v>
      </c>
      <c r="D194" s="516" t="s">
        <v>110</v>
      </c>
      <c r="E194" s="516" t="s">
        <v>816</v>
      </c>
      <c r="F194" s="516" t="s">
        <v>812</v>
      </c>
      <c r="G194" s="529">
        <v>553503</v>
      </c>
      <c r="H194" s="529">
        <v>5806.25</v>
      </c>
      <c r="I194" s="528"/>
      <c r="J194" s="528"/>
    </row>
    <row r="195" spans="1:10" ht="15.75" customHeight="1" thickBot="1" x14ac:dyDescent="0.3">
      <c r="A195" s="558">
        <v>40695</v>
      </c>
      <c r="B195" s="558">
        <v>40695</v>
      </c>
      <c r="C195" s="516" t="s">
        <v>109</v>
      </c>
      <c r="D195" s="516" t="s">
        <v>110</v>
      </c>
      <c r="E195" s="516" t="s">
        <v>816</v>
      </c>
      <c r="F195" s="516" t="s">
        <v>834</v>
      </c>
      <c r="G195" s="530"/>
      <c r="H195" s="531">
        <v>6369.83</v>
      </c>
      <c r="I195" s="530"/>
      <c r="J195" s="530"/>
    </row>
    <row r="196" spans="1:10" ht="15.75" customHeight="1" thickBot="1" x14ac:dyDescent="0.3">
      <c r="A196" s="558">
        <v>40695</v>
      </c>
      <c r="B196" s="558">
        <v>40695</v>
      </c>
      <c r="C196" s="516" t="s">
        <v>109</v>
      </c>
      <c r="D196" s="516" t="s">
        <v>110</v>
      </c>
      <c r="E196" s="516" t="s">
        <v>816</v>
      </c>
      <c r="F196" s="535" t="s">
        <v>831</v>
      </c>
      <c r="G196" s="534">
        <v>553503</v>
      </c>
      <c r="H196" s="534">
        <v>12176.08</v>
      </c>
      <c r="I196" s="536"/>
      <c r="J196" s="536"/>
    </row>
    <row r="197" spans="1:10" ht="15.75" customHeight="1" thickBot="1" x14ac:dyDescent="0.3">
      <c r="A197" s="558">
        <v>40695</v>
      </c>
      <c r="B197" s="558">
        <v>40695</v>
      </c>
      <c r="C197" s="516" t="s">
        <v>109</v>
      </c>
      <c r="D197" s="516" t="s">
        <v>110</v>
      </c>
      <c r="E197" s="516" t="s">
        <v>827</v>
      </c>
      <c r="F197" s="516" t="s">
        <v>828</v>
      </c>
      <c r="G197" s="530"/>
      <c r="H197" s="530"/>
      <c r="I197" s="530"/>
      <c r="J197" s="531">
        <v>-3946.98</v>
      </c>
    </row>
    <row r="198" spans="1:10" ht="15.75" customHeight="1" thickBot="1" x14ac:dyDescent="0.3">
      <c r="A198" s="558">
        <v>40695</v>
      </c>
      <c r="B198" s="558">
        <v>40695</v>
      </c>
      <c r="C198" s="516" t="s">
        <v>109</v>
      </c>
      <c r="D198" s="516" t="s">
        <v>110</v>
      </c>
      <c r="E198" s="516" t="s">
        <v>829</v>
      </c>
      <c r="F198" s="516" t="s">
        <v>830</v>
      </c>
      <c r="G198" s="528"/>
      <c r="H198" s="529">
        <v>2456.34</v>
      </c>
      <c r="I198" s="528"/>
      <c r="J198" s="528"/>
    </row>
    <row r="199" spans="1:10" ht="15.75" customHeight="1" thickBot="1" x14ac:dyDescent="0.3">
      <c r="A199" s="558">
        <v>40695</v>
      </c>
      <c r="B199" s="558">
        <v>40695</v>
      </c>
      <c r="C199" s="516" t="s">
        <v>109</v>
      </c>
      <c r="D199" s="516" t="s">
        <v>110</v>
      </c>
      <c r="E199" s="532" t="s">
        <v>831</v>
      </c>
      <c r="F199" s="533"/>
      <c r="G199" s="534">
        <v>553503</v>
      </c>
      <c r="H199" s="534">
        <v>14862.42</v>
      </c>
      <c r="I199" s="534">
        <v>275</v>
      </c>
      <c r="J199" s="534">
        <v>-3946.98</v>
      </c>
    </row>
    <row r="200" spans="1:10" ht="15.75" customHeight="1" thickBot="1" x14ac:dyDescent="0.3">
      <c r="A200" s="558">
        <v>40695</v>
      </c>
      <c r="B200" s="558">
        <v>40695</v>
      </c>
      <c r="C200" s="516" t="s">
        <v>113</v>
      </c>
      <c r="D200" s="516" t="s">
        <v>114</v>
      </c>
      <c r="E200" s="516" t="s">
        <v>832</v>
      </c>
      <c r="F200" s="516" t="s">
        <v>833</v>
      </c>
      <c r="G200" s="528"/>
      <c r="H200" s="528"/>
      <c r="I200" s="529">
        <v>781</v>
      </c>
      <c r="J200" s="528"/>
    </row>
    <row r="201" spans="1:10" ht="15.75" customHeight="1" thickBot="1" x14ac:dyDescent="0.3">
      <c r="A201" s="558">
        <v>40695</v>
      </c>
      <c r="B201" s="558">
        <v>40695</v>
      </c>
      <c r="C201" s="516" t="s">
        <v>113</v>
      </c>
      <c r="D201" s="516" t="s">
        <v>114</v>
      </c>
      <c r="E201" s="516" t="s">
        <v>816</v>
      </c>
      <c r="F201" s="516" t="s">
        <v>812</v>
      </c>
      <c r="G201" s="531">
        <v>700119</v>
      </c>
      <c r="H201" s="531">
        <v>3409.58</v>
      </c>
      <c r="I201" s="530"/>
      <c r="J201" s="530"/>
    </row>
    <row r="202" spans="1:10" ht="15.75" customHeight="1" thickBot="1" x14ac:dyDescent="0.3">
      <c r="A202" s="558">
        <v>40695</v>
      </c>
      <c r="B202" s="558">
        <v>40695</v>
      </c>
      <c r="C202" s="516" t="s">
        <v>113</v>
      </c>
      <c r="D202" s="516" t="s">
        <v>114</v>
      </c>
      <c r="E202" s="516" t="s">
        <v>816</v>
      </c>
      <c r="F202" s="516" t="s">
        <v>834</v>
      </c>
      <c r="G202" s="528"/>
      <c r="H202" s="529">
        <v>104976</v>
      </c>
      <c r="I202" s="528"/>
      <c r="J202" s="528"/>
    </row>
    <row r="203" spans="1:10" ht="15.75" customHeight="1" thickBot="1" x14ac:dyDescent="0.3">
      <c r="A203" s="558">
        <v>40695</v>
      </c>
      <c r="B203" s="558">
        <v>40695</v>
      </c>
      <c r="C203" s="516" t="s">
        <v>113</v>
      </c>
      <c r="D203" s="516" t="s">
        <v>114</v>
      </c>
      <c r="E203" s="516" t="s">
        <v>816</v>
      </c>
      <c r="F203" s="535" t="s">
        <v>831</v>
      </c>
      <c r="G203" s="534">
        <v>700119</v>
      </c>
      <c r="H203" s="534">
        <v>108385.58</v>
      </c>
      <c r="I203" s="536"/>
      <c r="J203" s="536"/>
    </row>
    <row r="204" spans="1:10" ht="15.75" customHeight="1" thickBot="1" x14ac:dyDescent="0.3">
      <c r="A204" s="558">
        <v>40695</v>
      </c>
      <c r="B204" s="558">
        <v>40695</v>
      </c>
      <c r="C204" s="516" t="s">
        <v>113</v>
      </c>
      <c r="D204" s="516" t="s">
        <v>114</v>
      </c>
      <c r="E204" s="516" t="s">
        <v>836</v>
      </c>
      <c r="F204" s="516" t="s">
        <v>828</v>
      </c>
      <c r="G204" s="528"/>
      <c r="H204" s="528"/>
      <c r="I204" s="528"/>
      <c r="J204" s="529">
        <v>33225.64</v>
      </c>
    </row>
    <row r="205" spans="1:10" ht="15.75" customHeight="1" thickBot="1" x14ac:dyDescent="0.3">
      <c r="A205" s="558">
        <v>40695</v>
      </c>
      <c r="B205" s="558">
        <v>40695</v>
      </c>
      <c r="C205" s="516" t="s">
        <v>113</v>
      </c>
      <c r="D205" s="516" t="s">
        <v>114</v>
      </c>
      <c r="E205" s="516" t="s">
        <v>829</v>
      </c>
      <c r="F205" s="516" t="s">
        <v>830</v>
      </c>
      <c r="G205" s="530"/>
      <c r="H205" s="531">
        <v>952.46</v>
      </c>
      <c r="I205" s="530"/>
      <c r="J205" s="530"/>
    </row>
    <row r="206" spans="1:10" ht="15.75" customHeight="1" thickBot="1" x14ac:dyDescent="0.3">
      <c r="A206" s="558">
        <v>40695</v>
      </c>
      <c r="B206" s="558">
        <v>40695</v>
      </c>
      <c r="C206" s="516" t="s">
        <v>113</v>
      </c>
      <c r="D206" s="516" t="s">
        <v>114</v>
      </c>
      <c r="E206" s="532" t="s">
        <v>831</v>
      </c>
      <c r="F206" s="533"/>
      <c r="G206" s="534">
        <v>700119</v>
      </c>
      <c r="H206" s="534">
        <v>109338.04</v>
      </c>
      <c r="I206" s="534">
        <v>781</v>
      </c>
      <c r="J206" s="534">
        <v>33225.64</v>
      </c>
    </row>
    <row r="207" spans="1:10" ht="15.75" customHeight="1" thickBot="1" x14ac:dyDescent="0.3">
      <c r="A207" s="558">
        <v>40695</v>
      </c>
      <c r="B207" s="558">
        <v>40695</v>
      </c>
      <c r="C207" s="532" t="s">
        <v>831</v>
      </c>
      <c r="D207" s="537"/>
      <c r="E207" s="537"/>
      <c r="F207" s="533"/>
      <c r="G207" s="534">
        <v>2185386</v>
      </c>
      <c r="H207" s="534">
        <v>212076.43</v>
      </c>
      <c r="I207" s="534">
        <v>4000.61</v>
      </c>
      <c r="J207" s="534">
        <v>-16597.93</v>
      </c>
    </row>
    <row r="208" spans="1:10" ht="15.75" customHeight="1" thickBot="1" x14ac:dyDescent="0.3">
      <c r="A208" s="558">
        <v>40695</v>
      </c>
      <c r="B208" s="532" t="s">
        <v>831</v>
      </c>
      <c r="C208" s="537"/>
      <c r="D208" s="537"/>
      <c r="E208" s="537"/>
      <c r="F208" s="533"/>
      <c r="G208" s="534">
        <v>8355681</v>
      </c>
      <c r="H208" s="534">
        <v>516762.04</v>
      </c>
      <c r="I208" s="534">
        <v>3870.91</v>
      </c>
      <c r="J208" s="534">
        <v>-21361.87</v>
      </c>
    </row>
    <row r="209" spans="1:10" ht="15.75" customHeight="1" thickBot="1" x14ac:dyDescent="0.3">
      <c r="A209" s="558">
        <v>40725</v>
      </c>
      <c r="B209" s="558">
        <v>40695</v>
      </c>
      <c r="C209" s="516" t="s">
        <v>97</v>
      </c>
      <c r="D209" s="516" t="s">
        <v>98</v>
      </c>
      <c r="E209" s="516" t="s">
        <v>820</v>
      </c>
      <c r="F209" s="516" t="s">
        <v>821</v>
      </c>
      <c r="G209" s="530"/>
      <c r="H209" s="531">
        <v>2760</v>
      </c>
      <c r="I209" s="530"/>
      <c r="J209" s="530"/>
    </row>
    <row r="210" spans="1:10" ht="15.75" customHeight="1" thickBot="1" x14ac:dyDescent="0.3">
      <c r="A210" s="558">
        <v>40725</v>
      </c>
      <c r="B210" s="558">
        <v>40695</v>
      </c>
      <c r="C210" s="516" t="s">
        <v>97</v>
      </c>
      <c r="D210" s="516" t="s">
        <v>98</v>
      </c>
      <c r="E210" s="516" t="s">
        <v>822</v>
      </c>
      <c r="F210" s="516" t="s">
        <v>823</v>
      </c>
      <c r="G210" s="528"/>
      <c r="H210" s="528"/>
      <c r="I210" s="528"/>
      <c r="J210" s="529">
        <v>232.62</v>
      </c>
    </row>
    <row r="211" spans="1:10" ht="15.75" customHeight="1" thickBot="1" x14ac:dyDescent="0.3">
      <c r="A211" s="558">
        <v>40725</v>
      </c>
      <c r="B211" s="558">
        <v>40695</v>
      </c>
      <c r="C211" s="516" t="s">
        <v>97</v>
      </c>
      <c r="D211" s="516" t="s">
        <v>98</v>
      </c>
      <c r="E211" s="516" t="s">
        <v>824</v>
      </c>
      <c r="F211" s="516" t="s">
        <v>294</v>
      </c>
      <c r="G211" s="530"/>
      <c r="H211" s="531">
        <v>0.43</v>
      </c>
      <c r="I211" s="530"/>
      <c r="J211" s="530"/>
    </row>
    <row r="212" spans="1:10" ht="15.75" customHeight="1" thickBot="1" x14ac:dyDescent="0.3">
      <c r="A212" s="558">
        <v>40725</v>
      </c>
      <c r="B212" s="558">
        <v>40695</v>
      </c>
      <c r="C212" s="516" t="s">
        <v>97</v>
      </c>
      <c r="D212" s="516" t="s">
        <v>98</v>
      </c>
      <c r="E212" s="516" t="s">
        <v>825</v>
      </c>
      <c r="F212" s="516" t="s">
        <v>812</v>
      </c>
      <c r="G212" s="529">
        <v>453</v>
      </c>
      <c r="H212" s="528"/>
      <c r="I212" s="529">
        <v>19.48</v>
      </c>
      <c r="J212" s="528"/>
    </row>
    <row r="213" spans="1:10" ht="15.75" customHeight="1" thickBot="1" x14ac:dyDescent="0.3">
      <c r="A213" s="558">
        <v>40725</v>
      </c>
      <c r="B213" s="558">
        <v>40695</v>
      </c>
      <c r="C213" s="516" t="s">
        <v>97</v>
      </c>
      <c r="D213" s="516" t="s">
        <v>98</v>
      </c>
      <c r="E213" s="516" t="s">
        <v>816</v>
      </c>
      <c r="F213" s="516" t="s">
        <v>812</v>
      </c>
      <c r="G213" s="531">
        <v>433106</v>
      </c>
      <c r="H213" s="531">
        <v>18623.580000000002</v>
      </c>
      <c r="I213" s="530"/>
      <c r="J213" s="530"/>
    </row>
    <row r="214" spans="1:10" ht="15.75" customHeight="1" thickBot="1" x14ac:dyDescent="0.3">
      <c r="A214" s="558">
        <v>40725</v>
      </c>
      <c r="B214" s="558">
        <v>40695</v>
      </c>
      <c r="C214" s="516" t="s">
        <v>97</v>
      </c>
      <c r="D214" s="516" t="s">
        <v>98</v>
      </c>
      <c r="E214" s="516" t="s">
        <v>826</v>
      </c>
      <c r="F214" s="516" t="s">
        <v>294</v>
      </c>
      <c r="G214" s="528"/>
      <c r="H214" s="529">
        <v>415.79</v>
      </c>
      <c r="I214" s="528"/>
      <c r="J214" s="528"/>
    </row>
    <row r="215" spans="1:10" ht="15.75" customHeight="1" thickBot="1" x14ac:dyDescent="0.3">
      <c r="A215" s="558">
        <v>40725</v>
      </c>
      <c r="B215" s="558">
        <v>40695</v>
      </c>
      <c r="C215" s="516" t="s">
        <v>97</v>
      </c>
      <c r="D215" s="516" t="s">
        <v>98</v>
      </c>
      <c r="E215" s="516" t="s">
        <v>827</v>
      </c>
      <c r="F215" s="516" t="s">
        <v>828</v>
      </c>
      <c r="G215" s="530"/>
      <c r="H215" s="530"/>
      <c r="I215" s="530"/>
      <c r="J215" s="531">
        <v>-663.4</v>
      </c>
    </row>
    <row r="216" spans="1:10" ht="15.75" customHeight="1" thickBot="1" x14ac:dyDescent="0.3">
      <c r="A216" s="558">
        <v>40725</v>
      </c>
      <c r="B216" s="558">
        <v>40695</v>
      </c>
      <c r="C216" s="516" t="s">
        <v>97</v>
      </c>
      <c r="D216" s="516" t="s">
        <v>98</v>
      </c>
      <c r="E216" s="516" t="s">
        <v>829</v>
      </c>
      <c r="F216" s="516" t="s">
        <v>830</v>
      </c>
      <c r="G216" s="528"/>
      <c r="H216" s="529">
        <v>16.309999999999999</v>
      </c>
      <c r="I216" s="528"/>
      <c r="J216" s="528"/>
    </row>
    <row r="217" spans="1:10" ht="15.75" customHeight="1" thickBot="1" x14ac:dyDescent="0.3">
      <c r="A217" s="558">
        <v>40725</v>
      </c>
      <c r="B217" s="558">
        <v>40695</v>
      </c>
      <c r="C217" s="516" t="s">
        <v>97</v>
      </c>
      <c r="D217" s="516" t="s">
        <v>98</v>
      </c>
      <c r="E217" s="532" t="s">
        <v>831</v>
      </c>
      <c r="F217" s="533"/>
      <c r="G217" s="534">
        <v>433559</v>
      </c>
      <c r="H217" s="534">
        <v>21816.11</v>
      </c>
      <c r="I217" s="534">
        <v>19.48</v>
      </c>
      <c r="J217" s="534">
        <v>-430.78</v>
      </c>
    </row>
    <row r="218" spans="1:10" ht="15.75" customHeight="1" thickBot="1" x14ac:dyDescent="0.3">
      <c r="A218" s="558">
        <v>40725</v>
      </c>
      <c r="B218" s="558">
        <v>40695</v>
      </c>
      <c r="C218" s="516" t="s">
        <v>106</v>
      </c>
      <c r="D218" s="516" t="s">
        <v>107</v>
      </c>
      <c r="E218" s="516" t="s">
        <v>820</v>
      </c>
      <c r="F218" s="516" t="s">
        <v>821</v>
      </c>
      <c r="G218" s="528"/>
      <c r="H218" s="529">
        <v>230</v>
      </c>
      <c r="I218" s="528"/>
      <c r="J218" s="528"/>
    </row>
    <row r="219" spans="1:10" ht="15.75" customHeight="1" thickBot="1" x14ac:dyDescent="0.3">
      <c r="A219" s="558">
        <v>40725</v>
      </c>
      <c r="B219" s="558">
        <v>40695</v>
      </c>
      <c r="C219" s="516" t="s">
        <v>106</v>
      </c>
      <c r="D219" s="516" t="s">
        <v>107</v>
      </c>
      <c r="E219" s="516" t="s">
        <v>832</v>
      </c>
      <c r="F219" s="516" t="s">
        <v>833</v>
      </c>
      <c r="G219" s="530"/>
      <c r="H219" s="530"/>
      <c r="I219" s="531">
        <v>781</v>
      </c>
      <c r="J219" s="530"/>
    </row>
    <row r="220" spans="1:10" ht="15.75" customHeight="1" thickBot="1" x14ac:dyDescent="0.3">
      <c r="A220" s="558">
        <v>40725</v>
      </c>
      <c r="B220" s="558">
        <v>40695</v>
      </c>
      <c r="C220" s="516" t="s">
        <v>106</v>
      </c>
      <c r="D220" s="516" t="s">
        <v>107</v>
      </c>
      <c r="E220" s="516" t="s">
        <v>816</v>
      </c>
      <c r="F220" s="516" t="s">
        <v>812</v>
      </c>
      <c r="G220" s="529">
        <v>12058</v>
      </c>
      <c r="H220" s="529">
        <v>58.72</v>
      </c>
      <c r="I220" s="528"/>
      <c r="J220" s="528"/>
    </row>
    <row r="221" spans="1:10" ht="15.75" customHeight="1" thickBot="1" x14ac:dyDescent="0.3">
      <c r="A221" s="558">
        <v>40725</v>
      </c>
      <c r="B221" s="558">
        <v>40695</v>
      </c>
      <c r="C221" s="516" t="s">
        <v>106</v>
      </c>
      <c r="D221" s="516" t="s">
        <v>107</v>
      </c>
      <c r="E221" s="516" t="s">
        <v>816</v>
      </c>
      <c r="F221" s="516" t="s">
        <v>834</v>
      </c>
      <c r="G221" s="530"/>
      <c r="H221" s="531">
        <v>18225</v>
      </c>
      <c r="I221" s="530"/>
      <c r="J221" s="530"/>
    </row>
    <row r="222" spans="1:10" ht="15.75" customHeight="1" thickBot="1" x14ac:dyDescent="0.3">
      <c r="A222" s="558">
        <v>40725</v>
      </c>
      <c r="B222" s="558">
        <v>40695</v>
      </c>
      <c r="C222" s="516" t="s">
        <v>106</v>
      </c>
      <c r="D222" s="516" t="s">
        <v>107</v>
      </c>
      <c r="E222" s="516" t="s">
        <v>816</v>
      </c>
      <c r="F222" s="535" t="s">
        <v>831</v>
      </c>
      <c r="G222" s="534">
        <v>12058</v>
      </c>
      <c r="H222" s="534">
        <v>18283.72</v>
      </c>
      <c r="I222" s="536"/>
      <c r="J222" s="536"/>
    </row>
    <row r="223" spans="1:10" ht="15.75" customHeight="1" thickBot="1" x14ac:dyDescent="0.3">
      <c r="A223" s="558">
        <v>40725</v>
      </c>
      <c r="B223" s="558">
        <v>40695</v>
      </c>
      <c r="C223" s="516" t="s">
        <v>106</v>
      </c>
      <c r="D223" s="516" t="s">
        <v>107</v>
      </c>
      <c r="E223" s="516" t="s">
        <v>827</v>
      </c>
      <c r="F223" s="516" t="s">
        <v>828</v>
      </c>
      <c r="G223" s="530"/>
      <c r="H223" s="530"/>
      <c r="I223" s="530"/>
      <c r="J223" s="531">
        <v>-466.52</v>
      </c>
    </row>
    <row r="224" spans="1:10" ht="15.75" customHeight="1" thickBot="1" x14ac:dyDescent="0.3">
      <c r="A224" s="558">
        <v>40725</v>
      </c>
      <c r="B224" s="558">
        <v>40695</v>
      </c>
      <c r="C224" s="516" t="s">
        <v>106</v>
      </c>
      <c r="D224" s="516" t="s">
        <v>107</v>
      </c>
      <c r="E224" s="516" t="s">
        <v>829</v>
      </c>
      <c r="F224" s="516" t="s">
        <v>830</v>
      </c>
      <c r="G224" s="528"/>
      <c r="H224" s="529">
        <v>402.07</v>
      </c>
      <c r="I224" s="528"/>
      <c r="J224" s="528"/>
    </row>
    <row r="225" spans="1:10" ht="15.75" customHeight="1" thickBot="1" x14ac:dyDescent="0.3">
      <c r="A225" s="558">
        <v>40725</v>
      </c>
      <c r="B225" s="558">
        <v>40695</v>
      </c>
      <c r="C225" s="516" t="s">
        <v>106</v>
      </c>
      <c r="D225" s="516" t="s">
        <v>107</v>
      </c>
      <c r="E225" s="532" t="s">
        <v>831</v>
      </c>
      <c r="F225" s="533"/>
      <c r="G225" s="534">
        <v>12058</v>
      </c>
      <c r="H225" s="534">
        <v>18915.79</v>
      </c>
      <c r="I225" s="534">
        <v>781</v>
      </c>
      <c r="J225" s="534">
        <v>-466.52</v>
      </c>
    </row>
    <row r="226" spans="1:10" ht="15.75" thickBot="1" x14ac:dyDescent="0.3">
      <c r="A226" s="558">
        <v>40725</v>
      </c>
      <c r="B226" s="558">
        <v>40695</v>
      </c>
      <c r="C226" s="516" t="s">
        <v>99</v>
      </c>
      <c r="D226" s="516" t="s">
        <v>100</v>
      </c>
      <c r="E226" s="516" t="s">
        <v>820</v>
      </c>
      <c r="F226" s="516" t="s">
        <v>821</v>
      </c>
      <c r="G226" s="528"/>
      <c r="H226" s="529">
        <v>13340</v>
      </c>
      <c r="I226" s="528"/>
      <c r="J226" s="528"/>
    </row>
    <row r="227" spans="1:10" ht="15.75" thickBot="1" x14ac:dyDescent="0.3">
      <c r="A227" s="558">
        <v>40725</v>
      </c>
      <c r="B227" s="558">
        <v>40695</v>
      </c>
      <c r="C227" s="516" t="s">
        <v>99</v>
      </c>
      <c r="D227" s="516" t="s">
        <v>100</v>
      </c>
      <c r="E227" s="516" t="s">
        <v>816</v>
      </c>
      <c r="F227" s="516" t="s">
        <v>812</v>
      </c>
      <c r="G227" s="531">
        <v>4996803</v>
      </c>
      <c r="H227" s="531">
        <v>214862.56</v>
      </c>
      <c r="I227" s="530"/>
      <c r="J227" s="530"/>
    </row>
    <row r="228" spans="1:10" ht="15.75" thickBot="1" x14ac:dyDescent="0.3">
      <c r="A228" s="558">
        <v>40725</v>
      </c>
      <c r="B228" s="558">
        <v>40695</v>
      </c>
      <c r="C228" s="516" t="s">
        <v>99</v>
      </c>
      <c r="D228" s="516" t="s">
        <v>100</v>
      </c>
      <c r="E228" s="516" t="s">
        <v>827</v>
      </c>
      <c r="F228" s="516" t="s">
        <v>828</v>
      </c>
      <c r="G228" s="528"/>
      <c r="H228" s="528"/>
      <c r="I228" s="528"/>
      <c r="J228" s="529">
        <v>-3051.64</v>
      </c>
    </row>
    <row r="229" spans="1:10" ht="15.75" thickBot="1" x14ac:dyDescent="0.3">
      <c r="A229" s="558">
        <v>40725</v>
      </c>
      <c r="B229" s="558">
        <v>40695</v>
      </c>
      <c r="C229" s="516" t="s">
        <v>99</v>
      </c>
      <c r="D229" s="516" t="s">
        <v>100</v>
      </c>
      <c r="E229" s="516" t="s">
        <v>829</v>
      </c>
      <c r="F229" s="516" t="s">
        <v>830</v>
      </c>
      <c r="G229" s="530"/>
      <c r="H229" s="531">
        <v>5361.68</v>
      </c>
      <c r="I229" s="530"/>
      <c r="J229" s="530"/>
    </row>
    <row r="230" spans="1:10" ht="15.75" thickBot="1" x14ac:dyDescent="0.3">
      <c r="A230" s="558">
        <v>40725</v>
      </c>
      <c r="B230" s="558">
        <v>40695</v>
      </c>
      <c r="C230" s="516" t="s">
        <v>99</v>
      </c>
      <c r="D230" s="516" t="s">
        <v>100</v>
      </c>
      <c r="E230" s="532" t="s">
        <v>831</v>
      </c>
      <c r="F230" s="533"/>
      <c r="G230" s="534">
        <v>4996803</v>
      </c>
      <c r="H230" s="534">
        <v>233564.24</v>
      </c>
      <c r="I230" s="534">
        <v>0</v>
      </c>
      <c r="J230" s="534">
        <v>-3051.64</v>
      </c>
    </row>
    <row r="231" spans="1:10" ht="15.75" customHeight="1" thickBot="1" x14ac:dyDescent="0.3">
      <c r="A231" s="558">
        <v>40725</v>
      </c>
      <c r="B231" s="558">
        <v>40695</v>
      </c>
      <c r="C231" s="516" t="s">
        <v>113</v>
      </c>
      <c r="D231" s="516" t="s">
        <v>114</v>
      </c>
      <c r="E231" s="516" t="s">
        <v>827</v>
      </c>
      <c r="F231" s="516" t="s">
        <v>828</v>
      </c>
      <c r="G231" s="530"/>
      <c r="H231" s="530"/>
      <c r="I231" s="530"/>
      <c r="J231" s="531">
        <v>-3111.56</v>
      </c>
    </row>
    <row r="232" spans="1:10" ht="15.75" customHeight="1" thickBot="1" x14ac:dyDescent="0.3">
      <c r="A232" s="558">
        <v>40725</v>
      </c>
      <c r="B232" s="558">
        <v>40695</v>
      </c>
      <c r="C232" s="516" t="s">
        <v>113</v>
      </c>
      <c r="D232" s="516" t="s">
        <v>114</v>
      </c>
      <c r="E232" s="516" t="s">
        <v>836</v>
      </c>
      <c r="F232" s="516" t="s">
        <v>828</v>
      </c>
      <c r="G232" s="528"/>
      <c r="H232" s="528"/>
      <c r="I232" s="528"/>
      <c r="J232" s="529">
        <v>-33225.64</v>
      </c>
    </row>
    <row r="233" spans="1:10" ht="15.75" customHeight="1" thickBot="1" x14ac:dyDescent="0.3">
      <c r="A233" s="558">
        <v>40725</v>
      </c>
      <c r="B233" s="558">
        <v>40695</v>
      </c>
      <c r="C233" s="516" t="s">
        <v>113</v>
      </c>
      <c r="D233" s="516" t="s">
        <v>114</v>
      </c>
      <c r="E233" s="532" t="s">
        <v>831</v>
      </c>
      <c r="F233" s="533"/>
      <c r="G233" s="534">
        <v>0</v>
      </c>
      <c r="H233" s="534">
        <v>0</v>
      </c>
      <c r="I233" s="534">
        <v>0</v>
      </c>
      <c r="J233" s="534">
        <v>-36337.199999999997</v>
      </c>
    </row>
    <row r="234" spans="1:10" ht="15.75" customHeight="1" thickBot="1" x14ac:dyDescent="0.3">
      <c r="A234" s="558">
        <v>40725</v>
      </c>
      <c r="B234" s="558">
        <v>40695</v>
      </c>
      <c r="C234" s="532" t="s">
        <v>831</v>
      </c>
      <c r="D234" s="537"/>
      <c r="E234" s="537"/>
      <c r="F234" s="533"/>
      <c r="G234" s="534">
        <v>5442420</v>
      </c>
      <c r="H234" s="534">
        <v>274296.14</v>
      </c>
      <c r="I234" s="534">
        <v>800.48</v>
      </c>
      <c r="J234" s="534">
        <v>-40286.14</v>
      </c>
    </row>
    <row r="235" spans="1:10" ht="15.75" customHeight="1" thickBot="1" x14ac:dyDescent="0.3">
      <c r="A235" s="558">
        <v>40725</v>
      </c>
      <c r="B235" s="558">
        <v>40725</v>
      </c>
      <c r="C235" s="516" t="s">
        <v>63</v>
      </c>
      <c r="D235" s="516" t="s">
        <v>64</v>
      </c>
      <c r="E235" s="516" t="s">
        <v>820</v>
      </c>
      <c r="F235" s="516" t="s">
        <v>821</v>
      </c>
      <c r="G235" s="530"/>
      <c r="H235" s="531">
        <v>306</v>
      </c>
      <c r="I235" s="530"/>
      <c r="J235" s="530"/>
    </row>
    <row r="236" spans="1:10" ht="15.75" customHeight="1" thickBot="1" x14ac:dyDescent="0.3">
      <c r="A236" s="558">
        <v>40725</v>
      </c>
      <c r="B236" s="558">
        <v>40725</v>
      </c>
      <c r="C236" s="516" t="s">
        <v>63</v>
      </c>
      <c r="D236" s="516" t="s">
        <v>64</v>
      </c>
      <c r="E236" s="516" t="s">
        <v>832</v>
      </c>
      <c r="F236" s="516" t="s">
        <v>833</v>
      </c>
      <c r="G236" s="528"/>
      <c r="H236" s="528"/>
      <c r="I236" s="529">
        <v>340</v>
      </c>
      <c r="J236" s="528"/>
    </row>
    <row r="237" spans="1:10" ht="15.75" customHeight="1" thickBot="1" x14ac:dyDescent="0.3">
      <c r="A237" s="558">
        <v>40725</v>
      </c>
      <c r="B237" s="558">
        <v>40725</v>
      </c>
      <c r="C237" s="516" t="s">
        <v>63</v>
      </c>
      <c r="D237" s="516" t="s">
        <v>64</v>
      </c>
      <c r="E237" s="516" t="s">
        <v>824</v>
      </c>
      <c r="F237" s="516" t="s">
        <v>294</v>
      </c>
      <c r="G237" s="530"/>
      <c r="H237" s="531">
        <v>1.4</v>
      </c>
      <c r="I237" s="530"/>
      <c r="J237" s="530"/>
    </row>
    <row r="238" spans="1:10" ht="15.75" customHeight="1" thickBot="1" x14ac:dyDescent="0.3">
      <c r="A238" s="558">
        <v>40725</v>
      </c>
      <c r="B238" s="558">
        <v>40725</v>
      </c>
      <c r="C238" s="516" t="s">
        <v>63</v>
      </c>
      <c r="D238" s="516" t="s">
        <v>64</v>
      </c>
      <c r="E238" s="516" t="s">
        <v>825</v>
      </c>
      <c r="F238" s="516" t="s">
        <v>812</v>
      </c>
      <c r="G238" s="529">
        <v>1454</v>
      </c>
      <c r="H238" s="528"/>
      <c r="I238" s="529">
        <v>272.22000000000003</v>
      </c>
      <c r="J238" s="528"/>
    </row>
    <row r="239" spans="1:10" ht="15.75" customHeight="1" thickBot="1" x14ac:dyDescent="0.3">
      <c r="A239" s="558">
        <v>40725</v>
      </c>
      <c r="B239" s="558">
        <v>40725</v>
      </c>
      <c r="C239" s="516" t="s">
        <v>63</v>
      </c>
      <c r="D239" s="516" t="s">
        <v>64</v>
      </c>
      <c r="E239" s="516" t="s">
        <v>292</v>
      </c>
      <c r="F239" s="516" t="s">
        <v>292</v>
      </c>
      <c r="G239" s="530"/>
      <c r="H239" s="531">
        <v>816.32</v>
      </c>
      <c r="I239" s="530"/>
      <c r="J239" s="530"/>
    </row>
    <row r="240" spans="1:10" ht="15.75" customHeight="1" thickBot="1" x14ac:dyDescent="0.3">
      <c r="A240" s="558">
        <v>40725</v>
      </c>
      <c r="B240" s="558">
        <v>40725</v>
      </c>
      <c r="C240" s="516" t="s">
        <v>63</v>
      </c>
      <c r="D240" s="516" t="s">
        <v>64</v>
      </c>
      <c r="E240" s="532" t="s">
        <v>831</v>
      </c>
      <c r="F240" s="533"/>
      <c r="G240" s="534">
        <v>1454</v>
      </c>
      <c r="H240" s="534">
        <v>1123.72</v>
      </c>
      <c r="I240" s="534">
        <v>612.22</v>
      </c>
      <c r="J240" s="534">
        <v>0</v>
      </c>
    </row>
    <row r="241" spans="1:10" ht="15.75" customHeight="1" thickBot="1" x14ac:dyDescent="0.3">
      <c r="A241" s="558">
        <v>40725</v>
      </c>
      <c r="B241" s="558">
        <v>40725</v>
      </c>
      <c r="C241" s="516" t="s">
        <v>66</v>
      </c>
      <c r="D241" s="516" t="s">
        <v>67</v>
      </c>
      <c r="E241" s="516" t="s">
        <v>820</v>
      </c>
      <c r="F241" s="516" t="s">
        <v>821</v>
      </c>
      <c r="G241" s="530"/>
      <c r="H241" s="531">
        <v>306</v>
      </c>
      <c r="I241" s="530"/>
      <c r="J241" s="530"/>
    </row>
    <row r="242" spans="1:10" ht="15.75" customHeight="1" thickBot="1" x14ac:dyDescent="0.3">
      <c r="A242" s="558">
        <v>40725</v>
      </c>
      <c r="B242" s="558">
        <v>40725</v>
      </c>
      <c r="C242" s="516" t="s">
        <v>66</v>
      </c>
      <c r="D242" s="516" t="s">
        <v>67</v>
      </c>
      <c r="E242" s="516" t="s">
        <v>832</v>
      </c>
      <c r="F242" s="516" t="s">
        <v>833</v>
      </c>
      <c r="G242" s="528"/>
      <c r="H242" s="528"/>
      <c r="I242" s="529">
        <v>340</v>
      </c>
      <c r="J242" s="528"/>
    </row>
    <row r="243" spans="1:10" ht="15.75" customHeight="1" thickBot="1" x14ac:dyDescent="0.3">
      <c r="A243" s="558">
        <v>40725</v>
      </c>
      <c r="B243" s="558">
        <v>40725</v>
      </c>
      <c r="C243" s="516" t="s">
        <v>66</v>
      </c>
      <c r="D243" s="516" t="s">
        <v>67</v>
      </c>
      <c r="E243" s="516" t="s">
        <v>825</v>
      </c>
      <c r="F243" s="516" t="s">
        <v>812</v>
      </c>
      <c r="G243" s="531">
        <v>407</v>
      </c>
      <c r="H243" s="530"/>
      <c r="I243" s="531">
        <v>77.42</v>
      </c>
      <c r="J243" s="530"/>
    </row>
    <row r="244" spans="1:10" ht="15.75" customHeight="1" thickBot="1" x14ac:dyDescent="0.3">
      <c r="A244" s="558">
        <v>40725</v>
      </c>
      <c r="B244" s="558">
        <v>40725</v>
      </c>
      <c r="C244" s="516" t="s">
        <v>66</v>
      </c>
      <c r="D244" s="516" t="s">
        <v>67</v>
      </c>
      <c r="E244" s="516" t="s">
        <v>816</v>
      </c>
      <c r="F244" s="516" t="s">
        <v>812</v>
      </c>
      <c r="G244" s="529">
        <v>54182</v>
      </c>
      <c r="H244" s="529">
        <v>7697.4</v>
      </c>
      <c r="I244" s="528"/>
      <c r="J244" s="528"/>
    </row>
    <row r="245" spans="1:10" ht="15.75" customHeight="1" thickBot="1" x14ac:dyDescent="0.3">
      <c r="A245" s="558">
        <v>40725</v>
      </c>
      <c r="B245" s="558">
        <v>40725</v>
      </c>
      <c r="C245" s="516" t="s">
        <v>66</v>
      </c>
      <c r="D245" s="516" t="s">
        <v>67</v>
      </c>
      <c r="E245" s="516" t="s">
        <v>816</v>
      </c>
      <c r="F245" s="516" t="s">
        <v>835</v>
      </c>
      <c r="G245" s="530"/>
      <c r="H245" s="531">
        <v>4780.4799999999996</v>
      </c>
      <c r="I245" s="530"/>
      <c r="J245" s="530"/>
    </row>
    <row r="246" spans="1:10" ht="15.75" customHeight="1" thickBot="1" x14ac:dyDescent="0.3">
      <c r="A246" s="558">
        <v>40725</v>
      </c>
      <c r="B246" s="558">
        <v>40725</v>
      </c>
      <c r="C246" s="516" t="s">
        <v>66</v>
      </c>
      <c r="D246" s="516" t="s">
        <v>67</v>
      </c>
      <c r="E246" s="516" t="s">
        <v>816</v>
      </c>
      <c r="F246" s="535" t="s">
        <v>831</v>
      </c>
      <c r="G246" s="534">
        <v>54182</v>
      </c>
      <c r="H246" s="534">
        <v>12477.88</v>
      </c>
      <c r="I246" s="536"/>
      <c r="J246" s="536"/>
    </row>
    <row r="247" spans="1:10" ht="15.75" customHeight="1" thickBot="1" x14ac:dyDescent="0.3">
      <c r="A247" s="558">
        <v>40725</v>
      </c>
      <c r="B247" s="558">
        <v>40725</v>
      </c>
      <c r="C247" s="516" t="s">
        <v>66</v>
      </c>
      <c r="D247" s="516" t="s">
        <v>67</v>
      </c>
      <c r="E247" s="516" t="s">
        <v>292</v>
      </c>
      <c r="F247" s="516" t="s">
        <v>292</v>
      </c>
      <c r="G247" s="530"/>
      <c r="H247" s="531">
        <v>228.5</v>
      </c>
      <c r="I247" s="530"/>
      <c r="J247" s="530"/>
    </row>
    <row r="248" spans="1:10" ht="15.75" customHeight="1" thickBot="1" x14ac:dyDescent="0.3">
      <c r="A248" s="558">
        <v>40725</v>
      </c>
      <c r="B248" s="558">
        <v>40725</v>
      </c>
      <c r="C248" s="516" t="s">
        <v>66</v>
      </c>
      <c r="D248" s="516" t="s">
        <v>67</v>
      </c>
      <c r="E248" s="516" t="s">
        <v>827</v>
      </c>
      <c r="F248" s="516" t="s">
        <v>828</v>
      </c>
      <c r="G248" s="528"/>
      <c r="H248" s="528"/>
      <c r="I248" s="528"/>
      <c r="J248" s="529">
        <v>-256.5</v>
      </c>
    </row>
    <row r="249" spans="1:10" ht="15.75" customHeight="1" thickBot="1" x14ac:dyDescent="0.3">
      <c r="A249" s="558">
        <v>40725</v>
      </c>
      <c r="B249" s="558">
        <v>40725</v>
      </c>
      <c r="C249" s="516" t="s">
        <v>66</v>
      </c>
      <c r="D249" s="516" t="s">
        <v>67</v>
      </c>
      <c r="E249" s="532" t="s">
        <v>831</v>
      </c>
      <c r="F249" s="533"/>
      <c r="G249" s="534">
        <v>54589</v>
      </c>
      <c r="H249" s="534">
        <v>13012.38</v>
      </c>
      <c r="I249" s="534">
        <v>417.42</v>
      </c>
      <c r="J249" s="534">
        <v>-256.5</v>
      </c>
    </row>
    <row r="250" spans="1:10" ht="15.75" thickBot="1" x14ac:dyDescent="0.3">
      <c r="A250" s="558">
        <v>40725</v>
      </c>
      <c r="B250" s="558">
        <v>40725</v>
      </c>
      <c r="C250" s="516" t="s">
        <v>99</v>
      </c>
      <c r="D250" s="516" t="s">
        <v>100</v>
      </c>
      <c r="E250" s="516" t="s">
        <v>820</v>
      </c>
      <c r="F250" s="516" t="s">
        <v>821</v>
      </c>
      <c r="G250" s="528"/>
      <c r="H250" s="529">
        <v>690</v>
      </c>
      <c r="I250" s="528"/>
      <c r="J250" s="528"/>
    </row>
    <row r="251" spans="1:10" ht="15.75" thickBot="1" x14ac:dyDescent="0.3">
      <c r="A251" s="558">
        <v>40725</v>
      </c>
      <c r="B251" s="558">
        <v>40725</v>
      </c>
      <c r="C251" s="516" t="s">
        <v>99</v>
      </c>
      <c r="D251" s="516" t="s">
        <v>100</v>
      </c>
      <c r="E251" s="516" t="s">
        <v>816</v>
      </c>
      <c r="F251" s="516" t="s">
        <v>812</v>
      </c>
      <c r="G251" s="531">
        <v>653419</v>
      </c>
      <c r="H251" s="531">
        <v>28097.02</v>
      </c>
      <c r="I251" s="530"/>
      <c r="J251" s="530"/>
    </row>
    <row r="252" spans="1:10" ht="15.75" thickBot="1" x14ac:dyDescent="0.3">
      <c r="A252" s="558">
        <v>40725</v>
      </c>
      <c r="B252" s="558">
        <v>40725</v>
      </c>
      <c r="C252" s="516" t="s">
        <v>99</v>
      </c>
      <c r="D252" s="516" t="s">
        <v>100</v>
      </c>
      <c r="E252" s="532" t="s">
        <v>831</v>
      </c>
      <c r="F252" s="533"/>
      <c r="G252" s="534">
        <v>653419</v>
      </c>
      <c r="H252" s="534">
        <v>28787.02</v>
      </c>
      <c r="I252" s="534">
        <v>0</v>
      </c>
      <c r="J252" s="534">
        <v>0</v>
      </c>
    </row>
    <row r="253" spans="1:10" ht="15.75" customHeight="1" thickBot="1" x14ac:dyDescent="0.3">
      <c r="A253" s="558">
        <v>40725</v>
      </c>
      <c r="B253" s="558">
        <v>40725</v>
      </c>
      <c r="C253" s="516" t="s">
        <v>102</v>
      </c>
      <c r="D253" s="516" t="s">
        <v>103</v>
      </c>
      <c r="E253" s="516" t="s">
        <v>820</v>
      </c>
      <c r="F253" s="516" t="s">
        <v>821</v>
      </c>
      <c r="G253" s="530"/>
      <c r="H253" s="531">
        <v>5175</v>
      </c>
      <c r="I253" s="530"/>
      <c r="J253" s="530"/>
    </row>
    <row r="254" spans="1:10" ht="15.75" customHeight="1" thickBot="1" x14ac:dyDescent="0.3">
      <c r="A254" s="558">
        <v>40725</v>
      </c>
      <c r="B254" s="558">
        <v>40725</v>
      </c>
      <c r="C254" s="516" t="s">
        <v>102</v>
      </c>
      <c r="D254" s="516" t="s">
        <v>103</v>
      </c>
      <c r="E254" s="516" t="s">
        <v>822</v>
      </c>
      <c r="F254" s="516" t="s">
        <v>823</v>
      </c>
      <c r="G254" s="528"/>
      <c r="H254" s="528"/>
      <c r="I254" s="528"/>
      <c r="J254" s="529">
        <v>36147.32</v>
      </c>
    </row>
    <row r="255" spans="1:10" ht="15.75" customHeight="1" thickBot="1" x14ac:dyDescent="0.3">
      <c r="A255" s="558">
        <v>40725</v>
      </c>
      <c r="B255" s="558">
        <v>40725</v>
      </c>
      <c r="C255" s="516" t="s">
        <v>102</v>
      </c>
      <c r="D255" s="516" t="s">
        <v>103</v>
      </c>
      <c r="E255" s="516" t="s">
        <v>827</v>
      </c>
      <c r="F255" s="516" t="s">
        <v>828</v>
      </c>
      <c r="G255" s="530"/>
      <c r="H255" s="530"/>
      <c r="I255" s="530"/>
      <c r="J255" s="531">
        <v>-17753.439999999999</v>
      </c>
    </row>
    <row r="256" spans="1:10" ht="15.75" customHeight="1" thickBot="1" x14ac:dyDescent="0.3">
      <c r="A256" s="558">
        <v>40725</v>
      </c>
      <c r="B256" s="558">
        <v>40725</v>
      </c>
      <c r="C256" s="516" t="s">
        <v>102</v>
      </c>
      <c r="D256" s="516" t="s">
        <v>103</v>
      </c>
      <c r="E256" s="516" t="s">
        <v>829</v>
      </c>
      <c r="F256" s="516" t="s">
        <v>830</v>
      </c>
      <c r="G256" s="528"/>
      <c r="H256" s="529">
        <v>11378.88</v>
      </c>
      <c r="I256" s="528"/>
      <c r="J256" s="528"/>
    </row>
    <row r="257" spans="1:10" ht="15.75" customHeight="1" thickBot="1" x14ac:dyDescent="0.3">
      <c r="A257" s="558">
        <v>40725</v>
      </c>
      <c r="B257" s="558">
        <v>40725</v>
      </c>
      <c r="C257" s="516" t="s">
        <v>102</v>
      </c>
      <c r="D257" s="516" t="s">
        <v>103</v>
      </c>
      <c r="E257" s="532" t="s">
        <v>831</v>
      </c>
      <c r="F257" s="533"/>
      <c r="G257" s="536"/>
      <c r="H257" s="534">
        <v>16553.88</v>
      </c>
      <c r="I257" s="536"/>
      <c r="J257" s="534">
        <v>18393.88</v>
      </c>
    </row>
    <row r="258" spans="1:10" ht="15.75" customHeight="1" thickBot="1" x14ac:dyDescent="0.3">
      <c r="A258" s="558">
        <v>40725</v>
      </c>
      <c r="B258" s="558">
        <v>40725</v>
      </c>
      <c r="C258" s="516" t="s">
        <v>109</v>
      </c>
      <c r="D258" s="516" t="s">
        <v>110</v>
      </c>
      <c r="E258" s="516" t="s">
        <v>820</v>
      </c>
      <c r="F258" s="516" t="s">
        <v>821</v>
      </c>
      <c r="G258" s="528"/>
      <c r="H258" s="529">
        <v>230</v>
      </c>
      <c r="I258" s="528"/>
      <c r="J258" s="528"/>
    </row>
    <row r="259" spans="1:10" ht="15.75" customHeight="1" thickBot="1" x14ac:dyDescent="0.3">
      <c r="A259" s="558">
        <v>40725</v>
      </c>
      <c r="B259" s="558">
        <v>40725</v>
      </c>
      <c r="C259" s="516" t="s">
        <v>109</v>
      </c>
      <c r="D259" s="516" t="s">
        <v>110</v>
      </c>
      <c r="E259" s="516" t="s">
        <v>832</v>
      </c>
      <c r="F259" s="516" t="s">
        <v>833</v>
      </c>
      <c r="G259" s="530"/>
      <c r="H259" s="530"/>
      <c r="I259" s="531">
        <v>275</v>
      </c>
      <c r="J259" s="530"/>
    </row>
    <row r="260" spans="1:10" ht="15.75" customHeight="1" thickBot="1" x14ac:dyDescent="0.3">
      <c r="A260" s="558">
        <v>40725</v>
      </c>
      <c r="B260" s="558">
        <v>40725</v>
      </c>
      <c r="C260" s="516" t="s">
        <v>109</v>
      </c>
      <c r="D260" s="516" t="s">
        <v>110</v>
      </c>
      <c r="E260" s="516" t="s">
        <v>816</v>
      </c>
      <c r="F260" s="516" t="s">
        <v>812</v>
      </c>
      <c r="G260" s="529">
        <v>475131</v>
      </c>
      <c r="H260" s="529">
        <v>4984.12</v>
      </c>
      <c r="I260" s="528"/>
      <c r="J260" s="528"/>
    </row>
    <row r="261" spans="1:10" ht="15.75" customHeight="1" thickBot="1" x14ac:dyDescent="0.3">
      <c r="A261" s="558">
        <v>40725</v>
      </c>
      <c r="B261" s="558">
        <v>40725</v>
      </c>
      <c r="C261" s="516" t="s">
        <v>109</v>
      </c>
      <c r="D261" s="516" t="s">
        <v>110</v>
      </c>
      <c r="E261" s="516" t="s">
        <v>816</v>
      </c>
      <c r="F261" s="516" t="s">
        <v>834</v>
      </c>
      <c r="G261" s="530"/>
      <c r="H261" s="531">
        <v>6369.83</v>
      </c>
      <c r="I261" s="530"/>
      <c r="J261" s="530"/>
    </row>
    <row r="262" spans="1:10" ht="15.75" customHeight="1" thickBot="1" x14ac:dyDescent="0.3">
      <c r="A262" s="558">
        <v>40725</v>
      </c>
      <c r="B262" s="558">
        <v>40725</v>
      </c>
      <c r="C262" s="516" t="s">
        <v>109</v>
      </c>
      <c r="D262" s="516" t="s">
        <v>110</v>
      </c>
      <c r="E262" s="516" t="s">
        <v>816</v>
      </c>
      <c r="F262" s="535" t="s">
        <v>831</v>
      </c>
      <c r="G262" s="534">
        <v>475131</v>
      </c>
      <c r="H262" s="534">
        <v>11353.95</v>
      </c>
      <c r="I262" s="536"/>
      <c r="J262" s="536"/>
    </row>
    <row r="263" spans="1:10" ht="15.75" customHeight="1" thickBot="1" x14ac:dyDescent="0.3">
      <c r="A263" s="558">
        <v>40725</v>
      </c>
      <c r="B263" s="558">
        <v>40725</v>
      </c>
      <c r="C263" s="516" t="s">
        <v>109</v>
      </c>
      <c r="D263" s="516" t="s">
        <v>110</v>
      </c>
      <c r="E263" s="516" t="s">
        <v>827</v>
      </c>
      <c r="F263" s="516" t="s">
        <v>828</v>
      </c>
      <c r="G263" s="530"/>
      <c r="H263" s="530"/>
      <c r="I263" s="530"/>
      <c r="J263" s="531">
        <v>-4511.12</v>
      </c>
    </row>
    <row r="264" spans="1:10" ht="15.75" customHeight="1" thickBot="1" x14ac:dyDescent="0.3">
      <c r="A264" s="558">
        <v>40725</v>
      </c>
      <c r="B264" s="558">
        <v>40725</v>
      </c>
      <c r="C264" s="516" t="s">
        <v>109</v>
      </c>
      <c r="D264" s="516" t="s">
        <v>110</v>
      </c>
      <c r="E264" s="516" t="s">
        <v>829</v>
      </c>
      <c r="F264" s="516" t="s">
        <v>830</v>
      </c>
      <c r="G264" s="528"/>
      <c r="H264" s="529">
        <v>4512.74</v>
      </c>
      <c r="I264" s="528"/>
      <c r="J264" s="528"/>
    </row>
    <row r="265" spans="1:10" ht="15.75" customHeight="1" thickBot="1" x14ac:dyDescent="0.3">
      <c r="A265" s="558">
        <v>40725</v>
      </c>
      <c r="B265" s="558">
        <v>40725</v>
      </c>
      <c r="C265" s="516" t="s">
        <v>109</v>
      </c>
      <c r="D265" s="516" t="s">
        <v>110</v>
      </c>
      <c r="E265" s="532" t="s">
        <v>831</v>
      </c>
      <c r="F265" s="533"/>
      <c r="G265" s="534">
        <v>475131</v>
      </c>
      <c r="H265" s="534">
        <v>16096.69</v>
      </c>
      <c r="I265" s="534">
        <v>275</v>
      </c>
      <c r="J265" s="534">
        <v>-4511.12</v>
      </c>
    </row>
    <row r="266" spans="1:10" ht="15.75" customHeight="1" thickBot="1" x14ac:dyDescent="0.3">
      <c r="A266" s="558">
        <v>40725</v>
      </c>
      <c r="B266" s="558">
        <v>40725</v>
      </c>
      <c r="C266" s="532" t="s">
        <v>831</v>
      </c>
      <c r="D266" s="537"/>
      <c r="E266" s="537"/>
      <c r="F266" s="533"/>
      <c r="G266" s="534">
        <v>1184593</v>
      </c>
      <c r="H266" s="534">
        <v>75573.69</v>
      </c>
      <c r="I266" s="534">
        <v>1304.6400000000001</v>
      </c>
      <c r="J266" s="534">
        <v>13626.26</v>
      </c>
    </row>
    <row r="267" spans="1:10" ht="15.75" customHeight="1" thickBot="1" x14ac:dyDescent="0.3">
      <c r="A267" s="558">
        <v>40725</v>
      </c>
      <c r="B267" s="558">
        <v>40756</v>
      </c>
      <c r="C267" s="516" t="s">
        <v>113</v>
      </c>
      <c r="D267" s="516" t="s">
        <v>114</v>
      </c>
      <c r="E267" s="516" t="s">
        <v>822</v>
      </c>
      <c r="F267" s="516" t="s">
        <v>823</v>
      </c>
      <c r="G267" s="530"/>
      <c r="H267" s="530"/>
      <c r="I267" s="530"/>
      <c r="J267" s="531">
        <v>25186.83</v>
      </c>
    </row>
    <row r="268" spans="1:10" ht="15.75" customHeight="1" thickBot="1" x14ac:dyDescent="0.3">
      <c r="A268" s="558">
        <v>40725</v>
      </c>
      <c r="B268" s="558">
        <v>40756</v>
      </c>
      <c r="C268" s="516" t="s">
        <v>113</v>
      </c>
      <c r="D268" s="516" t="s">
        <v>114</v>
      </c>
      <c r="E268" s="516" t="s">
        <v>832</v>
      </c>
      <c r="F268" s="516" t="s">
        <v>833</v>
      </c>
      <c r="G268" s="528"/>
      <c r="H268" s="528"/>
      <c r="I268" s="529">
        <v>781</v>
      </c>
      <c r="J268" s="528"/>
    </row>
    <row r="269" spans="1:10" ht="15.75" customHeight="1" thickBot="1" x14ac:dyDescent="0.3">
      <c r="A269" s="558">
        <v>40725</v>
      </c>
      <c r="B269" s="558">
        <v>40756</v>
      </c>
      <c r="C269" s="516" t="s">
        <v>113</v>
      </c>
      <c r="D269" s="516" t="s">
        <v>114</v>
      </c>
      <c r="E269" s="516" t="s">
        <v>825</v>
      </c>
      <c r="F269" s="516" t="s">
        <v>812</v>
      </c>
      <c r="G269" s="531">
        <v>51297</v>
      </c>
      <c r="H269" s="530"/>
      <c r="I269" s="531">
        <v>249.82</v>
      </c>
      <c r="J269" s="530"/>
    </row>
    <row r="270" spans="1:10" ht="15.75" customHeight="1" thickBot="1" x14ac:dyDescent="0.3">
      <c r="A270" s="558">
        <v>40725</v>
      </c>
      <c r="B270" s="558">
        <v>40756</v>
      </c>
      <c r="C270" s="516" t="s">
        <v>113</v>
      </c>
      <c r="D270" s="516" t="s">
        <v>114</v>
      </c>
      <c r="E270" s="516" t="s">
        <v>816</v>
      </c>
      <c r="F270" s="516" t="s">
        <v>812</v>
      </c>
      <c r="G270" s="529">
        <v>1120520</v>
      </c>
      <c r="H270" s="529">
        <v>5456.93</v>
      </c>
      <c r="I270" s="528"/>
      <c r="J270" s="528"/>
    </row>
    <row r="271" spans="1:10" ht="15.75" customHeight="1" thickBot="1" x14ac:dyDescent="0.3">
      <c r="A271" s="558">
        <v>40725</v>
      </c>
      <c r="B271" s="558">
        <v>40756</v>
      </c>
      <c r="C271" s="516" t="s">
        <v>113</v>
      </c>
      <c r="D271" s="516" t="s">
        <v>114</v>
      </c>
      <c r="E271" s="516" t="s">
        <v>816</v>
      </c>
      <c r="F271" s="516" t="s">
        <v>834</v>
      </c>
      <c r="G271" s="530"/>
      <c r="H271" s="531">
        <v>104976</v>
      </c>
      <c r="I271" s="530"/>
      <c r="J271" s="530"/>
    </row>
    <row r="272" spans="1:10" ht="15.75" customHeight="1" thickBot="1" x14ac:dyDescent="0.3">
      <c r="A272" s="558">
        <v>40725</v>
      </c>
      <c r="B272" s="558">
        <v>40756</v>
      </c>
      <c r="C272" s="516" t="s">
        <v>113</v>
      </c>
      <c r="D272" s="516" t="s">
        <v>114</v>
      </c>
      <c r="E272" s="516" t="s">
        <v>816</v>
      </c>
      <c r="F272" s="535" t="s">
        <v>831</v>
      </c>
      <c r="G272" s="534">
        <v>1120520</v>
      </c>
      <c r="H272" s="534">
        <v>110432.93</v>
      </c>
      <c r="I272" s="536"/>
      <c r="J272" s="536"/>
    </row>
    <row r="273" spans="1:10" ht="15.75" customHeight="1" thickBot="1" x14ac:dyDescent="0.3">
      <c r="A273" s="558">
        <v>40725</v>
      </c>
      <c r="B273" s="558">
        <v>40756</v>
      </c>
      <c r="C273" s="516" t="s">
        <v>113</v>
      </c>
      <c r="D273" s="516" t="s">
        <v>114</v>
      </c>
      <c r="E273" s="516" t="s">
        <v>829</v>
      </c>
      <c r="F273" s="516" t="s">
        <v>830</v>
      </c>
      <c r="G273" s="530"/>
      <c r="H273" s="531">
        <v>1346.25</v>
      </c>
      <c r="I273" s="530"/>
      <c r="J273" s="530"/>
    </row>
    <row r="274" spans="1:10" ht="15.75" customHeight="1" thickBot="1" x14ac:dyDescent="0.3">
      <c r="A274" s="558">
        <v>40725</v>
      </c>
      <c r="B274" s="558">
        <v>40756</v>
      </c>
      <c r="C274" s="516" t="s">
        <v>113</v>
      </c>
      <c r="D274" s="516" t="s">
        <v>114</v>
      </c>
      <c r="E274" s="532" t="s">
        <v>831</v>
      </c>
      <c r="F274" s="533"/>
      <c r="G274" s="534">
        <v>1171817</v>
      </c>
      <c r="H274" s="534">
        <v>111779.18</v>
      </c>
      <c r="I274" s="534">
        <v>1030.82</v>
      </c>
      <c r="J274" s="534">
        <v>25186.83</v>
      </c>
    </row>
    <row r="275" spans="1:10" ht="15.75" customHeight="1" thickBot="1" x14ac:dyDescent="0.3">
      <c r="A275" s="558">
        <v>40725</v>
      </c>
      <c r="B275" s="532" t="s">
        <v>831</v>
      </c>
      <c r="C275" s="537"/>
      <c r="D275" s="537"/>
      <c r="E275" s="537"/>
      <c r="F275" s="533"/>
      <c r="G275" s="534">
        <v>7798830</v>
      </c>
      <c r="H275" s="534">
        <v>461649.01</v>
      </c>
      <c r="I275" s="534">
        <v>3135.94</v>
      </c>
      <c r="J275" s="534">
        <v>-1473.05</v>
      </c>
    </row>
    <row r="276" spans="1:10" ht="15.75" customHeight="1" thickBot="1" x14ac:dyDescent="0.3">
      <c r="A276" s="558">
        <v>40756</v>
      </c>
      <c r="B276" s="558">
        <v>40725</v>
      </c>
      <c r="C276" s="516" t="s">
        <v>97</v>
      </c>
      <c r="D276" s="516" t="s">
        <v>98</v>
      </c>
      <c r="E276" s="516" t="s">
        <v>820</v>
      </c>
      <c r="F276" s="516" t="s">
        <v>821</v>
      </c>
      <c r="G276" s="528"/>
      <c r="H276" s="529">
        <v>2760</v>
      </c>
      <c r="I276" s="528"/>
      <c r="J276" s="528"/>
    </row>
    <row r="277" spans="1:10" ht="15.75" customHeight="1" thickBot="1" x14ac:dyDescent="0.3">
      <c r="A277" s="558">
        <v>40756</v>
      </c>
      <c r="B277" s="558">
        <v>40725</v>
      </c>
      <c r="C277" s="516" t="s">
        <v>97</v>
      </c>
      <c r="D277" s="516" t="s">
        <v>98</v>
      </c>
      <c r="E277" s="516" t="s">
        <v>816</v>
      </c>
      <c r="F277" s="516" t="s">
        <v>812</v>
      </c>
      <c r="G277" s="531">
        <v>394858</v>
      </c>
      <c r="H277" s="531">
        <v>16978.900000000001</v>
      </c>
      <c r="I277" s="530"/>
      <c r="J277" s="530"/>
    </row>
    <row r="278" spans="1:10" ht="15.75" customHeight="1" thickBot="1" x14ac:dyDescent="0.3">
      <c r="A278" s="558">
        <v>40756</v>
      </c>
      <c r="B278" s="558">
        <v>40725</v>
      </c>
      <c r="C278" s="516" t="s">
        <v>97</v>
      </c>
      <c r="D278" s="516" t="s">
        <v>98</v>
      </c>
      <c r="E278" s="516" t="s">
        <v>826</v>
      </c>
      <c r="F278" s="516" t="s">
        <v>294</v>
      </c>
      <c r="G278" s="528"/>
      <c r="H278" s="529">
        <v>379.06</v>
      </c>
      <c r="I278" s="528"/>
      <c r="J278" s="528"/>
    </row>
    <row r="279" spans="1:10" ht="15.75" customHeight="1" thickBot="1" x14ac:dyDescent="0.3">
      <c r="A279" s="558">
        <v>40756</v>
      </c>
      <c r="B279" s="558">
        <v>40725</v>
      </c>
      <c r="C279" s="516" t="s">
        <v>97</v>
      </c>
      <c r="D279" s="516" t="s">
        <v>98</v>
      </c>
      <c r="E279" s="516" t="s">
        <v>827</v>
      </c>
      <c r="F279" s="516" t="s">
        <v>828</v>
      </c>
      <c r="G279" s="530"/>
      <c r="H279" s="530"/>
      <c r="I279" s="530"/>
      <c r="J279" s="531">
        <v>-752.4</v>
      </c>
    </row>
    <row r="280" spans="1:10" ht="15.75" customHeight="1" thickBot="1" x14ac:dyDescent="0.3">
      <c r="A280" s="558">
        <v>40756</v>
      </c>
      <c r="B280" s="558">
        <v>40725</v>
      </c>
      <c r="C280" s="516" t="s">
        <v>97</v>
      </c>
      <c r="D280" s="516" t="s">
        <v>98</v>
      </c>
      <c r="E280" s="516" t="s">
        <v>829</v>
      </c>
      <c r="F280" s="516" t="s">
        <v>830</v>
      </c>
      <c r="G280" s="528"/>
      <c r="H280" s="529">
        <v>73.33</v>
      </c>
      <c r="I280" s="528"/>
      <c r="J280" s="528"/>
    </row>
    <row r="281" spans="1:10" ht="15.75" customHeight="1" thickBot="1" x14ac:dyDescent="0.3">
      <c r="A281" s="558">
        <v>40756</v>
      </c>
      <c r="B281" s="558">
        <v>40725</v>
      </c>
      <c r="C281" s="516" t="s">
        <v>97</v>
      </c>
      <c r="D281" s="516" t="s">
        <v>98</v>
      </c>
      <c r="E281" s="532" t="s">
        <v>831</v>
      </c>
      <c r="F281" s="533"/>
      <c r="G281" s="534">
        <v>394858</v>
      </c>
      <c r="H281" s="534">
        <v>20191.29</v>
      </c>
      <c r="I281" s="534">
        <v>0</v>
      </c>
      <c r="J281" s="534">
        <v>-752.4</v>
      </c>
    </row>
    <row r="282" spans="1:10" ht="15.75" customHeight="1" thickBot="1" x14ac:dyDescent="0.3">
      <c r="A282" s="558">
        <v>40756</v>
      </c>
      <c r="B282" s="558">
        <v>40725</v>
      </c>
      <c r="C282" s="516" t="s">
        <v>63</v>
      </c>
      <c r="D282" s="516" t="s">
        <v>64</v>
      </c>
      <c r="E282" s="516" t="s">
        <v>820</v>
      </c>
      <c r="F282" s="516" t="s">
        <v>821</v>
      </c>
      <c r="G282" s="528"/>
      <c r="H282" s="529">
        <v>-153</v>
      </c>
      <c r="I282" s="528"/>
      <c r="J282" s="528"/>
    </row>
    <row r="283" spans="1:10" ht="15.75" customHeight="1" thickBot="1" x14ac:dyDescent="0.3">
      <c r="A283" s="558">
        <v>40756</v>
      </c>
      <c r="B283" s="558">
        <v>40725</v>
      </c>
      <c r="C283" s="516" t="s">
        <v>63</v>
      </c>
      <c r="D283" s="516" t="s">
        <v>64</v>
      </c>
      <c r="E283" s="516" t="s">
        <v>832</v>
      </c>
      <c r="F283" s="516" t="s">
        <v>833</v>
      </c>
      <c r="G283" s="530"/>
      <c r="H283" s="530"/>
      <c r="I283" s="531">
        <v>-170</v>
      </c>
      <c r="J283" s="530"/>
    </row>
    <row r="284" spans="1:10" ht="15.75" customHeight="1" thickBot="1" x14ac:dyDescent="0.3">
      <c r="A284" s="558">
        <v>40756</v>
      </c>
      <c r="B284" s="558">
        <v>40725</v>
      </c>
      <c r="C284" s="516" t="s">
        <v>63</v>
      </c>
      <c r="D284" s="516" t="s">
        <v>64</v>
      </c>
      <c r="E284" s="516" t="s">
        <v>824</v>
      </c>
      <c r="F284" s="516" t="s">
        <v>294</v>
      </c>
      <c r="G284" s="528"/>
      <c r="H284" s="529">
        <v>-0.7</v>
      </c>
      <c r="I284" s="528"/>
      <c r="J284" s="528"/>
    </row>
    <row r="285" spans="1:10" ht="15.75" customHeight="1" thickBot="1" x14ac:dyDescent="0.3">
      <c r="A285" s="558">
        <v>40756</v>
      </c>
      <c r="B285" s="558">
        <v>40725</v>
      </c>
      <c r="C285" s="516" t="s">
        <v>63</v>
      </c>
      <c r="D285" s="516" t="s">
        <v>64</v>
      </c>
      <c r="E285" s="516" t="s">
        <v>825</v>
      </c>
      <c r="F285" s="516" t="s">
        <v>812</v>
      </c>
      <c r="G285" s="531">
        <v>-727</v>
      </c>
      <c r="H285" s="530"/>
      <c r="I285" s="531">
        <v>-136.11000000000001</v>
      </c>
      <c r="J285" s="530"/>
    </row>
    <row r="286" spans="1:10" ht="15.75" customHeight="1" thickBot="1" x14ac:dyDescent="0.3">
      <c r="A286" s="558">
        <v>40756</v>
      </c>
      <c r="B286" s="558">
        <v>40725</v>
      </c>
      <c r="C286" s="516" t="s">
        <v>63</v>
      </c>
      <c r="D286" s="516" t="s">
        <v>64</v>
      </c>
      <c r="E286" s="516" t="s">
        <v>292</v>
      </c>
      <c r="F286" s="516" t="s">
        <v>292</v>
      </c>
      <c r="G286" s="528"/>
      <c r="H286" s="529">
        <v>-408.16</v>
      </c>
      <c r="I286" s="528"/>
      <c r="J286" s="528"/>
    </row>
    <row r="287" spans="1:10" ht="15.75" customHeight="1" thickBot="1" x14ac:dyDescent="0.3">
      <c r="A287" s="558">
        <v>40756</v>
      </c>
      <c r="B287" s="558">
        <v>40725</v>
      </c>
      <c r="C287" s="516" t="s">
        <v>63</v>
      </c>
      <c r="D287" s="516" t="s">
        <v>64</v>
      </c>
      <c r="E287" s="532" t="s">
        <v>831</v>
      </c>
      <c r="F287" s="533"/>
      <c r="G287" s="534">
        <v>-727</v>
      </c>
      <c r="H287" s="534">
        <v>-561.86</v>
      </c>
      <c r="I287" s="534">
        <v>-306.11</v>
      </c>
      <c r="J287" s="534">
        <v>0</v>
      </c>
    </row>
    <row r="288" spans="1:10" ht="15.75" customHeight="1" thickBot="1" x14ac:dyDescent="0.3">
      <c r="A288" s="558">
        <v>40756</v>
      </c>
      <c r="B288" s="558">
        <v>40725</v>
      </c>
      <c r="C288" s="516" t="s">
        <v>106</v>
      </c>
      <c r="D288" s="516" t="s">
        <v>107</v>
      </c>
      <c r="E288" s="516" t="s">
        <v>820</v>
      </c>
      <c r="F288" s="516" t="s">
        <v>821</v>
      </c>
      <c r="G288" s="528"/>
      <c r="H288" s="529">
        <v>230</v>
      </c>
      <c r="I288" s="528"/>
      <c r="J288" s="528"/>
    </row>
    <row r="289" spans="1:10" ht="15.75" customHeight="1" thickBot="1" x14ac:dyDescent="0.3">
      <c r="A289" s="558">
        <v>40756</v>
      </c>
      <c r="B289" s="558">
        <v>40725</v>
      </c>
      <c r="C289" s="516" t="s">
        <v>106</v>
      </c>
      <c r="D289" s="516" t="s">
        <v>107</v>
      </c>
      <c r="E289" s="516" t="s">
        <v>822</v>
      </c>
      <c r="F289" s="516" t="s">
        <v>823</v>
      </c>
      <c r="G289" s="530"/>
      <c r="H289" s="530"/>
      <c r="I289" s="530"/>
      <c r="J289" s="531">
        <v>907.02</v>
      </c>
    </row>
    <row r="290" spans="1:10" ht="15.75" customHeight="1" thickBot="1" x14ac:dyDescent="0.3">
      <c r="A290" s="558">
        <v>40756</v>
      </c>
      <c r="B290" s="558">
        <v>40725</v>
      </c>
      <c r="C290" s="516" t="s">
        <v>106</v>
      </c>
      <c r="D290" s="516" t="s">
        <v>107</v>
      </c>
      <c r="E290" s="516" t="s">
        <v>832</v>
      </c>
      <c r="F290" s="516" t="s">
        <v>833</v>
      </c>
      <c r="G290" s="528"/>
      <c r="H290" s="528"/>
      <c r="I290" s="529">
        <v>781</v>
      </c>
      <c r="J290" s="528"/>
    </row>
    <row r="291" spans="1:10" ht="15.75" customHeight="1" thickBot="1" x14ac:dyDescent="0.3">
      <c r="A291" s="558">
        <v>40756</v>
      </c>
      <c r="B291" s="558">
        <v>40725</v>
      </c>
      <c r="C291" s="516" t="s">
        <v>106</v>
      </c>
      <c r="D291" s="516" t="s">
        <v>107</v>
      </c>
      <c r="E291" s="516" t="s">
        <v>825</v>
      </c>
      <c r="F291" s="516" t="s">
        <v>812</v>
      </c>
      <c r="G291" s="531">
        <v>1547</v>
      </c>
      <c r="H291" s="530"/>
      <c r="I291" s="531">
        <v>7.53</v>
      </c>
      <c r="J291" s="530"/>
    </row>
    <row r="292" spans="1:10" ht="15.75" customHeight="1" thickBot="1" x14ac:dyDescent="0.3">
      <c r="A292" s="558">
        <v>40756</v>
      </c>
      <c r="B292" s="558">
        <v>40725</v>
      </c>
      <c r="C292" s="516" t="s">
        <v>106</v>
      </c>
      <c r="D292" s="516" t="s">
        <v>107</v>
      </c>
      <c r="E292" s="516" t="s">
        <v>816</v>
      </c>
      <c r="F292" s="516" t="s">
        <v>812</v>
      </c>
      <c r="G292" s="529">
        <v>6370</v>
      </c>
      <c r="H292" s="529">
        <v>31.02</v>
      </c>
      <c r="I292" s="528"/>
      <c r="J292" s="528"/>
    </row>
    <row r="293" spans="1:10" ht="15.75" customHeight="1" thickBot="1" x14ac:dyDescent="0.3">
      <c r="A293" s="558">
        <v>40756</v>
      </c>
      <c r="B293" s="558">
        <v>40725</v>
      </c>
      <c r="C293" s="516" t="s">
        <v>106</v>
      </c>
      <c r="D293" s="516" t="s">
        <v>107</v>
      </c>
      <c r="E293" s="516" t="s">
        <v>816</v>
      </c>
      <c r="F293" s="516" t="s">
        <v>834</v>
      </c>
      <c r="G293" s="530"/>
      <c r="H293" s="531">
        <v>18225</v>
      </c>
      <c r="I293" s="530"/>
      <c r="J293" s="530"/>
    </row>
    <row r="294" spans="1:10" ht="15.75" customHeight="1" thickBot="1" x14ac:dyDescent="0.3">
      <c r="A294" s="558">
        <v>40756</v>
      </c>
      <c r="B294" s="558">
        <v>40725</v>
      </c>
      <c r="C294" s="516" t="s">
        <v>106</v>
      </c>
      <c r="D294" s="516" t="s">
        <v>107</v>
      </c>
      <c r="E294" s="516" t="s">
        <v>816</v>
      </c>
      <c r="F294" s="535" t="s">
        <v>831</v>
      </c>
      <c r="G294" s="534">
        <v>6370</v>
      </c>
      <c r="H294" s="534">
        <v>18256.02</v>
      </c>
      <c r="I294" s="536"/>
      <c r="J294" s="536"/>
    </row>
    <row r="295" spans="1:10" ht="15.75" customHeight="1" thickBot="1" x14ac:dyDescent="0.3">
      <c r="A295" s="558">
        <v>40756</v>
      </c>
      <c r="B295" s="558">
        <v>40725</v>
      </c>
      <c r="C295" s="516" t="s">
        <v>106</v>
      </c>
      <c r="D295" s="516" t="s">
        <v>107</v>
      </c>
      <c r="E295" s="516" t="s">
        <v>829</v>
      </c>
      <c r="F295" s="516" t="s">
        <v>830</v>
      </c>
      <c r="G295" s="530"/>
      <c r="H295" s="531">
        <v>188.27</v>
      </c>
      <c r="I295" s="530"/>
      <c r="J295" s="530"/>
    </row>
    <row r="296" spans="1:10" ht="15.75" customHeight="1" thickBot="1" x14ac:dyDescent="0.3">
      <c r="A296" s="558">
        <v>40756</v>
      </c>
      <c r="B296" s="558">
        <v>40725</v>
      </c>
      <c r="C296" s="516" t="s">
        <v>106</v>
      </c>
      <c r="D296" s="516" t="s">
        <v>107</v>
      </c>
      <c r="E296" s="532" t="s">
        <v>831</v>
      </c>
      <c r="F296" s="533"/>
      <c r="G296" s="534">
        <v>7917</v>
      </c>
      <c r="H296" s="534">
        <v>18674.29</v>
      </c>
      <c r="I296" s="534">
        <v>788.53</v>
      </c>
      <c r="J296" s="534">
        <v>907.02</v>
      </c>
    </row>
    <row r="297" spans="1:10" ht="15.75" thickBot="1" x14ac:dyDescent="0.3">
      <c r="A297" s="558">
        <v>40756</v>
      </c>
      <c r="B297" s="558">
        <v>40725</v>
      </c>
      <c r="C297" s="516" t="s">
        <v>99</v>
      </c>
      <c r="D297" s="516" t="s">
        <v>100</v>
      </c>
      <c r="E297" s="516" t="s">
        <v>820</v>
      </c>
      <c r="F297" s="516" t="s">
        <v>821</v>
      </c>
      <c r="G297" s="530"/>
      <c r="H297" s="531">
        <v>13340</v>
      </c>
      <c r="I297" s="530"/>
      <c r="J297" s="530"/>
    </row>
    <row r="298" spans="1:10" ht="15.75" thickBot="1" x14ac:dyDescent="0.3">
      <c r="A298" s="558">
        <v>40756</v>
      </c>
      <c r="B298" s="558">
        <v>40725</v>
      </c>
      <c r="C298" s="516" t="s">
        <v>99</v>
      </c>
      <c r="D298" s="516" t="s">
        <v>100</v>
      </c>
      <c r="E298" s="516" t="s">
        <v>816</v>
      </c>
      <c r="F298" s="516" t="s">
        <v>812</v>
      </c>
      <c r="G298" s="529">
        <v>5207879</v>
      </c>
      <c r="H298" s="529">
        <v>223938.83</v>
      </c>
      <c r="I298" s="528"/>
      <c r="J298" s="528"/>
    </row>
    <row r="299" spans="1:10" ht="15.75" thickBot="1" x14ac:dyDescent="0.3">
      <c r="A299" s="558">
        <v>40756</v>
      </c>
      <c r="B299" s="558">
        <v>40725</v>
      </c>
      <c r="C299" s="516" t="s">
        <v>99</v>
      </c>
      <c r="D299" s="516" t="s">
        <v>100</v>
      </c>
      <c r="E299" s="516" t="s">
        <v>827</v>
      </c>
      <c r="F299" s="516" t="s">
        <v>828</v>
      </c>
      <c r="G299" s="530"/>
      <c r="H299" s="530"/>
      <c r="I299" s="530"/>
      <c r="J299" s="531">
        <v>-3078</v>
      </c>
    </row>
    <row r="300" spans="1:10" ht="15.75" thickBot="1" x14ac:dyDescent="0.3">
      <c r="A300" s="558">
        <v>40756</v>
      </c>
      <c r="B300" s="558">
        <v>40725</v>
      </c>
      <c r="C300" s="516" t="s">
        <v>99</v>
      </c>
      <c r="D300" s="516" t="s">
        <v>100</v>
      </c>
      <c r="E300" s="516" t="s">
        <v>829</v>
      </c>
      <c r="F300" s="516" t="s">
        <v>830</v>
      </c>
      <c r="G300" s="528"/>
      <c r="H300" s="529">
        <v>3426.89</v>
      </c>
      <c r="I300" s="528"/>
      <c r="J300" s="528"/>
    </row>
    <row r="301" spans="1:10" ht="15.75" thickBot="1" x14ac:dyDescent="0.3">
      <c r="A301" s="558">
        <v>40756</v>
      </c>
      <c r="B301" s="558">
        <v>40725</v>
      </c>
      <c r="C301" s="516" t="s">
        <v>99</v>
      </c>
      <c r="D301" s="516" t="s">
        <v>100</v>
      </c>
      <c r="E301" s="532" t="s">
        <v>831</v>
      </c>
      <c r="F301" s="533"/>
      <c r="G301" s="534">
        <v>5207879</v>
      </c>
      <c r="H301" s="534">
        <v>240705.72</v>
      </c>
      <c r="I301" s="534">
        <v>0</v>
      </c>
      <c r="J301" s="534">
        <v>-3078</v>
      </c>
    </row>
    <row r="302" spans="1:10" ht="15.75" customHeight="1" thickBot="1" x14ac:dyDescent="0.3">
      <c r="A302" s="558">
        <v>40756</v>
      </c>
      <c r="B302" s="558">
        <v>40725</v>
      </c>
      <c r="C302" s="532" t="s">
        <v>831</v>
      </c>
      <c r="D302" s="537"/>
      <c r="E302" s="537"/>
      <c r="F302" s="533"/>
      <c r="G302" s="534">
        <v>5609927</v>
      </c>
      <c r="H302" s="534">
        <v>279009.44</v>
      </c>
      <c r="I302" s="534">
        <v>482.42</v>
      </c>
      <c r="J302" s="534">
        <v>-2923.38</v>
      </c>
    </row>
    <row r="303" spans="1:10" ht="15.75" customHeight="1" thickBot="1" x14ac:dyDescent="0.3">
      <c r="A303" s="558">
        <v>40756</v>
      </c>
      <c r="B303" s="558">
        <v>40756</v>
      </c>
      <c r="C303" s="516" t="s">
        <v>63</v>
      </c>
      <c r="D303" s="516" t="s">
        <v>64</v>
      </c>
      <c r="E303" s="516" t="s">
        <v>820</v>
      </c>
      <c r="F303" s="516" t="s">
        <v>821</v>
      </c>
      <c r="G303" s="530"/>
      <c r="H303" s="531">
        <v>153</v>
      </c>
      <c r="I303" s="530"/>
      <c r="J303" s="530"/>
    </row>
    <row r="304" spans="1:10" ht="15.75" customHeight="1" thickBot="1" x14ac:dyDescent="0.3">
      <c r="A304" s="558">
        <v>40756</v>
      </c>
      <c r="B304" s="558">
        <v>40756</v>
      </c>
      <c r="C304" s="516" t="s">
        <v>63</v>
      </c>
      <c r="D304" s="516" t="s">
        <v>64</v>
      </c>
      <c r="E304" s="516" t="s">
        <v>832</v>
      </c>
      <c r="F304" s="516" t="s">
        <v>833</v>
      </c>
      <c r="G304" s="528"/>
      <c r="H304" s="528"/>
      <c r="I304" s="529">
        <v>170</v>
      </c>
      <c r="J304" s="528"/>
    </row>
    <row r="305" spans="1:10" ht="15.75" customHeight="1" thickBot="1" x14ac:dyDescent="0.3">
      <c r="A305" s="558">
        <v>40756</v>
      </c>
      <c r="B305" s="558">
        <v>40756</v>
      </c>
      <c r="C305" s="516" t="s">
        <v>63</v>
      </c>
      <c r="D305" s="516" t="s">
        <v>64</v>
      </c>
      <c r="E305" s="516" t="s">
        <v>824</v>
      </c>
      <c r="F305" s="516" t="s">
        <v>294</v>
      </c>
      <c r="G305" s="530"/>
      <c r="H305" s="531">
        <v>0.48</v>
      </c>
      <c r="I305" s="530"/>
      <c r="J305" s="530"/>
    </row>
    <row r="306" spans="1:10" ht="15.75" customHeight="1" thickBot="1" x14ac:dyDescent="0.3">
      <c r="A306" s="558">
        <v>40756</v>
      </c>
      <c r="B306" s="558">
        <v>40756</v>
      </c>
      <c r="C306" s="516" t="s">
        <v>63</v>
      </c>
      <c r="D306" s="516" t="s">
        <v>64</v>
      </c>
      <c r="E306" s="516" t="s">
        <v>825</v>
      </c>
      <c r="F306" s="516" t="s">
        <v>812</v>
      </c>
      <c r="G306" s="529">
        <v>501</v>
      </c>
      <c r="H306" s="528"/>
      <c r="I306" s="529">
        <v>93.8</v>
      </c>
      <c r="J306" s="528"/>
    </row>
    <row r="307" spans="1:10" ht="15.75" customHeight="1" thickBot="1" x14ac:dyDescent="0.3">
      <c r="A307" s="558">
        <v>40756</v>
      </c>
      <c r="B307" s="558">
        <v>40756</v>
      </c>
      <c r="C307" s="516" t="s">
        <v>63</v>
      </c>
      <c r="D307" s="516" t="s">
        <v>64</v>
      </c>
      <c r="E307" s="516" t="s">
        <v>292</v>
      </c>
      <c r="F307" s="516" t="s">
        <v>292</v>
      </c>
      <c r="G307" s="530"/>
      <c r="H307" s="531">
        <v>281.08999999999997</v>
      </c>
      <c r="I307" s="530"/>
      <c r="J307" s="530"/>
    </row>
    <row r="308" spans="1:10" ht="15.75" customHeight="1" thickBot="1" x14ac:dyDescent="0.3">
      <c r="A308" s="558">
        <v>40756</v>
      </c>
      <c r="B308" s="558">
        <v>40756</v>
      </c>
      <c r="C308" s="516" t="s">
        <v>63</v>
      </c>
      <c r="D308" s="516" t="s">
        <v>64</v>
      </c>
      <c r="E308" s="532" t="s">
        <v>831</v>
      </c>
      <c r="F308" s="533"/>
      <c r="G308" s="534">
        <v>501</v>
      </c>
      <c r="H308" s="534">
        <v>434.57</v>
      </c>
      <c r="I308" s="534">
        <v>263.8</v>
      </c>
      <c r="J308" s="534">
        <v>0</v>
      </c>
    </row>
    <row r="309" spans="1:10" ht="15.75" customHeight="1" thickBot="1" x14ac:dyDescent="0.3">
      <c r="A309" s="558">
        <v>40756</v>
      </c>
      <c r="B309" s="558">
        <v>40756</v>
      </c>
      <c r="C309" s="516" t="s">
        <v>66</v>
      </c>
      <c r="D309" s="516" t="s">
        <v>67</v>
      </c>
      <c r="E309" s="516" t="s">
        <v>820</v>
      </c>
      <c r="F309" s="516" t="s">
        <v>821</v>
      </c>
      <c r="G309" s="530"/>
      <c r="H309" s="531">
        <v>306</v>
      </c>
      <c r="I309" s="530"/>
      <c r="J309" s="530"/>
    </row>
    <row r="310" spans="1:10" ht="15.75" customHeight="1" thickBot="1" x14ac:dyDescent="0.3">
      <c r="A310" s="558">
        <v>40756</v>
      </c>
      <c r="B310" s="558">
        <v>40756</v>
      </c>
      <c r="C310" s="516" t="s">
        <v>66</v>
      </c>
      <c r="D310" s="516" t="s">
        <v>67</v>
      </c>
      <c r="E310" s="516" t="s">
        <v>832</v>
      </c>
      <c r="F310" s="516" t="s">
        <v>833</v>
      </c>
      <c r="G310" s="528"/>
      <c r="H310" s="528"/>
      <c r="I310" s="529">
        <v>340</v>
      </c>
      <c r="J310" s="528"/>
    </row>
    <row r="311" spans="1:10" ht="15.75" customHeight="1" thickBot="1" x14ac:dyDescent="0.3">
      <c r="A311" s="558">
        <v>40756</v>
      </c>
      <c r="B311" s="558">
        <v>40756</v>
      </c>
      <c r="C311" s="516" t="s">
        <v>66</v>
      </c>
      <c r="D311" s="516" t="s">
        <v>67</v>
      </c>
      <c r="E311" s="516" t="s">
        <v>825</v>
      </c>
      <c r="F311" s="516" t="s">
        <v>812</v>
      </c>
      <c r="G311" s="531">
        <v>1463</v>
      </c>
      <c r="H311" s="530"/>
      <c r="I311" s="531">
        <v>255.14</v>
      </c>
      <c r="J311" s="530"/>
    </row>
    <row r="312" spans="1:10" ht="15.75" customHeight="1" thickBot="1" x14ac:dyDescent="0.3">
      <c r="A312" s="558">
        <v>40756</v>
      </c>
      <c r="B312" s="558">
        <v>40756</v>
      </c>
      <c r="C312" s="516" t="s">
        <v>66</v>
      </c>
      <c r="D312" s="516" t="s">
        <v>67</v>
      </c>
      <c r="E312" s="516" t="s">
        <v>816</v>
      </c>
      <c r="F312" s="516" t="s">
        <v>812</v>
      </c>
      <c r="G312" s="529">
        <v>34928</v>
      </c>
      <c r="H312" s="529">
        <v>4997.6000000000004</v>
      </c>
      <c r="I312" s="528"/>
      <c r="J312" s="528"/>
    </row>
    <row r="313" spans="1:10" ht="15.75" customHeight="1" thickBot="1" x14ac:dyDescent="0.3">
      <c r="A313" s="558">
        <v>40756</v>
      </c>
      <c r="B313" s="558">
        <v>40756</v>
      </c>
      <c r="C313" s="516" t="s">
        <v>66</v>
      </c>
      <c r="D313" s="516" t="s">
        <v>67</v>
      </c>
      <c r="E313" s="516" t="s">
        <v>816</v>
      </c>
      <c r="F313" s="516" t="s">
        <v>835</v>
      </c>
      <c r="G313" s="530"/>
      <c r="H313" s="531">
        <v>3069.97</v>
      </c>
      <c r="I313" s="530"/>
      <c r="J313" s="530"/>
    </row>
    <row r="314" spans="1:10" ht="15.75" customHeight="1" thickBot="1" x14ac:dyDescent="0.3">
      <c r="A314" s="558">
        <v>40756</v>
      </c>
      <c r="B314" s="558">
        <v>40756</v>
      </c>
      <c r="C314" s="516" t="s">
        <v>66</v>
      </c>
      <c r="D314" s="516" t="s">
        <v>67</v>
      </c>
      <c r="E314" s="516" t="s">
        <v>816</v>
      </c>
      <c r="F314" s="535" t="s">
        <v>831</v>
      </c>
      <c r="G314" s="534">
        <v>34928</v>
      </c>
      <c r="H314" s="534">
        <v>8067.57</v>
      </c>
      <c r="I314" s="536"/>
      <c r="J314" s="536"/>
    </row>
    <row r="315" spans="1:10" ht="15.75" customHeight="1" thickBot="1" x14ac:dyDescent="0.3">
      <c r="A315" s="558">
        <v>40756</v>
      </c>
      <c r="B315" s="558">
        <v>40756</v>
      </c>
      <c r="C315" s="516" t="s">
        <v>66</v>
      </c>
      <c r="D315" s="516" t="s">
        <v>67</v>
      </c>
      <c r="E315" s="516" t="s">
        <v>292</v>
      </c>
      <c r="F315" s="516" t="s">
        <v>292</v>
      </c>
      <c r="G315" s="530"/>
      <c r="H315" s="531">
        <v>820.2</v>
      </c>
      <c r="I315" s="530"/>
      <c r="J315" s="530"/>
    </row>
    <row r="316" spans="1:10" ht="15.75" customHeight="1" thickBot="1" x14ac:dyDescent="0.3">
      <c r="A316" s="558">
        <v>40756</v>
      </c>
      <c r="B316" s="558">
        <v>40756</v>
      </c>
      <c r="C316" s="516" t="s">
        <v>66</v>
      </c>
      <c r="D316" s="516" t="s">
        <v>67</v>
      </c>
      <c r="E316" s="516" t="s">
        <v>827</v>
      </c>
      <c r="F316" s="516" t="s">
        <v>828</v>
      </c>
      <c r="G316" s="528"/>
      <c r="H316" s="528"/>
      <c r="I316" s="528"/>
      <c r="J316" s="529">
        <v>-242.48</v>
      </c>
    </row>
    <row r="317" spans="1:10" ht="15.75" customHeight="1" thickBot="1" x14ac:dyDescent="0.3">
      <c r="A317" s="558">
        <v>40756</v>
      </c>
      <c r="B317" s="558">
        <v>40756</v>
      </c>
      <c r="C317" s="516" t="s">
        <v>66</v>
      </c>
      <c r="D317" s="516" t="s">
        <v>67</v>
      </c>
      <c r="E317" s="532" t="s">
        <v>831</v>
      </c>
      <c r="F317" s="533"/>
      <c r="G317" s="534">
        <v>36391</v>
      </c>
      <c r="H317" s="534">
        <v>9193.77</v>
      </c>
      <c r="I317" s="534">
        <v>595.14</v>
      </c>
      <c r="J317" s="534">
        <v>-242.48</v>
      </c>
    </row>
    <row r="318" spans="1:10" ht="15.75" thickBot="1" x14ac:dyDescent="0.3">
      <c r="A318" s="558">
        <v>40756</v>
      </c>
      <c r="B318" s="558">
        <v>40756</v>
      </c>
      <c r="C318" s="516" t="s">
        <v>99</v>
      </c>
      <c r="D318" s="516" t="s">
        <v>100</v>
      </c>
      <c r="E318" s="516" t="s">
        <v>820</v>
      </c>
      <c r="F318" s="516" t="s">
        <v>821</v>
      </c>
      <c r="G318" s="528"/>
      <c r="H318" s="529">
        <v>690</v>
      </c>
      <c r="I318" s="528"/>
      <c r="J318" s="528"/>
    </row>
    <row r="319" spans="1:10" ht="15.75" thickBot="1" x14ac:dyDescent="0.3">
      <c r="A319" s="558">
        <v>40756</v>
      </c>
      <c r="B319" s="558">
        <v>40756</v>
      </c>
      <c r="C319" s="516" t="s">
        <v>99</v>
      </c>
      <c r="D319" s="516" t="s">
        <v>100</v>
      </c>
      <c r="E319" s="516" t="s">
        <v>816</v>
      </c>
      <c r="F319" s="516" t="s">
        <v>812</v>
      </c>
      <c r="G319" s="531">
        <v>434484</v>
      </c>
      <c r="H319" s="531">
        <v>18682.82</v>
      </c>
      <c r="I319" s="530"/>
      <c r="J319" s="530"/>
    </row>
    <row r="320" spans="1:10" ht="15.75" thickBot="1" x14ac:dyDescent="0.3">
      <c r="A320" s="558">
        <v>40756</v>
      </c>
      <c r="B320" s="558">
        <v>40756</v>
      </c>
      <c r="C320" s="516" t="s">
        <v>99</v>
      </c>
      <c r="D320" s="516" t="s">
        <v>100</v>
      </c>
      <c r="E320" s="532" t="s">
        <v>831</v>
      </c>
      <c r="F320" s="533"/>
      <c r="G320" s="534">
        <v>434484</v>
      </c>
      <c r="H320" s="534">
        <v>19372.82</v>
      </c>
      <c r="I320" s="534">
        <v>0</v>
      </c>
      <c r="J320" s="534">
        <v>0</v>
      </c>
    </row>
    <row r="321" spans="1:10" ht="15.75" customHeight="1" thickBot="1" x14ac:dyDescent="0.3">
      <c r="A321" s="558">
        <v>40756</v>
      </c>
      <c r="B321" s="558">
        <v>40756</v>
      </c>
      <c r="C321" s="516" t="s">
        <v>102</v>
      </c>
      <c r="D321" s="516" t="s">
        <v>103</v>
      </c>
      <c r="E321" s="516" t="s">
        <v>820</v>
      </c>
      <c r="F321" s="516" t="s">
        <v>821</v>
      </c>
      <c r="G321" s="530"/>
      <c r="H321" s="531">
        <v>5175</v>
      </c>
      <c r="I321" s="530"/>
      <c r="J321" s="530"/>
    </row>
    <row r="322" spans="1:10" ht="15.75" customHeight="1" thickBot="1" x14ac:dyDescent="0.3">
      <c r="A322" s="558">
        <v>40756</v>
      </c>
      <c r="B322" s="558">
        <v>40756</v>
      </c>
      <c r="C322" s="516" t="s">
        <v>102</v>
      </c>
      <c r="D322" s="516" t="s">
        <v>103</v>
      </c>
      <c r="E322" s="516" t="s">
        <v>822</v>
      </c>
      <c r="F322" s="516" t="s">
        <v>823</v>
      </c>
      <c r="G322" s="528"/>
      <c r="H322" s="528"/>
      <c r="I322" s="528"/>
      <c r="J322" s="529">
        <v>59556.34</v>
      </c>
    </row>
    <row r="323" spans="1:10" ht="15.75" customHeight="1" thickBot="1" x14ac:dyDescent="0.3">
      <c r="A323" s="558">
        <v>40756</v>
      </c>
      <c r="B323" s="558">
        <v>40756</v>
      </c>
      <c r="C323" s="516" t="s">
        <v>102</v>
      </c>
      <c r="D323" s="516" t="s">
        <v>103</v>
      </c>
      <c r="E323" s="516" t="s">
        <v>827</v>
      </c>
      <c r="F323" s="516" t="s">
        <v>828</v>
      </c>
      <c r="G323" s="530"/>
      <c r="H323" s="530"/>
      <c r="I323" s="530"/>
      <c r="J323" s="531">
        <v>-15206.18</v>
      </c>
    </row>
    <row r="324" spans="1:10" ht="15.75" customHeight="1" thickBot="1" x14ac:dyDescent="0.3">
      <c r="A324" s="558">
        <v>40756</v>
      </c>
      <c r="B324" s="558">
        <v>40756</v>
      </c>
      <c r="C324" s="516" t="s">
        <v>102</v>
      </c>
      <c r="D324" s="516" t="s">
        <v>103</v>
      </c>
      <c r="E324" s="516" t="s">
        <v>829</v>
      </c>
      <c r="F324" s="516" t="s">
        <v>830</v>
      </c>
      <c r="G324" s="528"/>
      <c r="H324" s="529">
        <v>20065.57</v>
      </c>
      <c r="I324" s="528"/>
      <c r="J324" s="528"/>
    </row>
    <row r="325" spans="1:10" ht="15.75" customHeight="1" thickBot="1" x14ac:dyDescent="0.3">
      <c r="A325" s="558">
        <v>40756</v>
      </c>
      <c r="B325" s="558">
        <v>40756</v>
      </c>
      <c r="C325" s="516" t="s">
        <v>102</v>
      </c>
      <c r="D325" s="516" t="s">
        <v>103</v>
      </c>
      <c r="E325" s="532" t="s">
        <v>831</v>
      </c>
      <c r="F325" s="533"/>
      <c r="G325" s="536"/>
      <c r="H325" s="534">
        <v>25240.57</v>
      </c>
      <c r="I325" s="536"/>
      <c r="J325" s="534">
        <v>44350.16</v>
      </c>
    </row>
    <row r="326" spans="1:10" ht="15.75" customHeight="1" thickBot="1" x14ac:dyDescent="0.3">
      <c r="A326" s="558">
        <v>40756</v>
      </c>
      <c r="B326" s="558">
        <v>40756</v>
      </c>
      <c r="C326" s="516" t="s">
        <v>109</v>
      </c>
      <c r="D326" s="516" t="s">
        <v>110</v>
      </c>
      <c r="E326" s="516" t="s">
        <v>820</v>
      </c>
      <c r="F326" s="516" t="s">
        <v>821</v>
      </c>
      <c r="G326" s="528"/>
      <c r="H326" s="529">
        <v>230</v>
      </c>
      <c r="I326" s="528"/>
      <c r="J326" s="528"/>
    </row>
    <row r="327" spans="1:10" ht="15.75" customHeight="1" thickBot="1" x14ac:dyDescent="0.3">
      <c r="A327" s="558">
        <v>40756</v>
      </c>
      <c r="B327" s="558">
        <v>40756</v>
      </c>
      <c r="C327" s="516" t="s">
        <v>109</v>
      </c>
      <c r="D327" s="516" t="s">
        <v>110</v>
      </c>
      <c r="E327" s="516" t="s">
        <v>832</v>
      </c>
      <c r="F327" s="516" t="s">
        <v>833</v>
      </c>
      <c r="G327" s="530"/>
      <c r="H327" s="530"/>
      <c r="I327" s="531">
        <v>275</v>
      </c>
      <c r="J327" s="530"/>
    </row>
    <row r="328" spans="1:10" ht="15.75" customHeight="1" thickBot="1" x14ac:dyDescent="0.3">
      <c r="A328" s="558">
        <v>40756</v>
      </c>
      <c r="B328" s="558">
        <v>40756</v>
      </c>
      <c r="C328" s="516" t="s">
        <v>109</v>
      </c>
      <c r="D328" s="516" t="s">
        <v>110</v>
      </c>
      <c r="E328" s="516" t="s">
        <v>816</v>
      </c>
      <c r="F328" s="516" t="s">
        <v>812</v>
      </c>
      <c r="G328" s="529">
        <v>489708</v>
      </c>
      <c r="H328" s="529">
        <v>5137.04</v>
      </c>
      <c r="I328" s="528"/>
      <c r="J328" s="528"/>
    </row>
    <row r="329" spans="1:10" ht="15.75" customHeight="1" thickBot="1" x14ac:dyDescent="0.3">
      <c r="A329" s="558">
        <v>40756</v>
      </c>
      <c r="B329" s="558">
        <v>40756</v>
      </c>
      <c r="C329" s="516" t="s">
        <v>109</v>
      </c>
      <c r="D329" s="516" t="s">
        <v>110</v>
      </c>
      <c r="E329" s="516" t="s">
        <v>816</v>
      </c>
      <c r="F329" s="516" t="s">
        <v>834</v>
      </c>
      <c r="G329" s="530"/>
      <c r="H329" s="531">
        <v>6369.83</v>
      </c>
      <c r="I329" s="530"/>
      <c r="J329" s="530"/>
    </row>
    <row r="330" spans="1:10" ht="15.75" customHeight="1" thickBot="1" x14ac:dyDescent="0.3">
      <c r="A330" s="558">
        <v>40756</v>
      </c>
      <c r="B330" s="558">
        <v>40756</v>
      </c>
      <c r="C330" s="516" t="s">
        <v>109</v>
      </c>
      <c r="D330" s="516" t="s">
        <v>110</v>
      </c>
      <c r="E330" s="516" t="s">
        <v>816</v>
      </c>
      <c r="F330" s="535" t="s">
        <v>831</v>
      </c>
      <c r="G330" s="534">
        <v>489708</v>
      </c>
      <c r="H330" s="534">
        <v>11506.87</v>
      </c>
      <c r="I330" s="536"/>
      <c r="J330" s="536"/>
    </row>
    <row r="331" spans="1:10" ht="15.75" customHeight="1" thickBot="1" x14ac:dyDescent="0.3">
      <c r="A331" s="558">
        <v>40756</v>
      </c>
      <c r="B331" s="558">
        <v>40756</v>
      </c>
      <c r="C331" s="516" t="s">
        <v>109</v>
      </c>
      <c r="D331" s="516" t="s">
        <v>110</v>
      </c>
      <c r="E331" s="516" t="s">
        <v>827</v>
      </c>
      <c r="F331" s="516" t="s">
        <v>828</v>
      </c>
      <c r="G331" s="530"/>
      <c r="H331" s="530"/>
      <c r="I331" s="530"/>
      <c r="J331" s="531">
        <v>-3933</v>
      </c>
    </row>
    <row r="332" spans="1:10" ht="15.75" customHeight="1" thickBot="1" x14ac:dyDescent="0.3">
      <c r="A332" s="558">
        <v>40756</v>
      </c>
      <c r="B332" s="558">
        <v>40756</v>
      </c>
      <c r="C332" s="516" t="s">
        <v>109</v>
      </c>
      <c r="D332" s="516" t="s">
        <v>110</v>
      </c>
      <c r="E332" s="516" t="s">
        <v>829</v>
      </c>
      <c r="F332" s="516" t="s">
        <v>830</v>
      </c>
      <c r="G332" s="528"/>
      <c r="H332" s="529">
        <v>2468.5300000000002</v>
      </c>
      <c r="I332" s="528"/>
      <c r="J332" s="528"/>
    </row>
    <row r="333" spans="1:10" ht="15.75" customHeight="1" thickBot="1" x14ac:dyDescent="0.3">
      <c r="A333" s="558">
        <v>40756</v>
      </c>
      <c r="B333" s="558">
        <v>40756</v>
      </c>
      <c r="C333" s="516" t="s">
        <v>109</v>
      </c>
      <c r="D333" s="516" t="s">
        <v>110</v>
      </c>
      <c r="E333" s="532" t="s">
        <v>831</v>
      </c>
      <c r="F333" s="533"/>
      <c r="G333" s="534">
        <v>489708</v>
      </c>
      <c r="H333" s="534">
        <v>14205.4</v>
      </c>
      <c r="I333" s="534">
        <v>275</v>
      </c>
      <c r="J333" s="534">
        <v>-3933</v>
      </c>
    </row>
    <row r="334" spans="1:10" ht="15.75" customHeight="1" thickBot="1" x14ac:dyDescent="0.3">
      <c r="A334" s="558">
        <v>40756</v>
      </c>
      <c r="B334" s="558">
        <v>40756</v>
      </c>
      <c r="C334" s="516" t="s">
        <v>113</v>
      </c>
      <c r="D334" s="516" t="s">
        <v>114</v>
      </c>
      <c r="E334" s="516" t="s">
        <v>822</v>
      </c>
      <c r="F334" s="516" t="s">
        <v>823</v>
      </c>
      <c r="G334" s="528"/>
      <c r="H334" s="528"/>
      <c r="I334" s="528"/>
      <c r="J334" s="529">
        <v>20951.080000000002</v>
      </c>
    </row>
    <row r="335" spans="1:10" ht="15.75" customHeight="1" thickBot="1" x14ac:dyDescent="0.3">
      <c r="A335" s="558">
        <v>40756</v>
      </c>
      <c r="B335" s="558">
        <v>40756</v>
      </c>
      <c r="C335" s="516" t="s">
        <v>113</v>
      </c>
      <c r="D335" s="516" t="s">
        <v>114</v>
      </c>
      <c r="E335" s="516" t="s">
        <v>832</v>
      </c>
      <c r="F335" s="516" t="s">
        <v>833</v>
      </c>
      <c r="G335" s="530"/>
      <c r="H335" s="530"/>
      <c r="I335" s="531">
        <v>781</v>
      </c>
      <c r="J335" s="530"/>
    </row>
    <row r="336" spans="1:10" ht="15.75" customHeight="1" thickBot="1" x14ac:dyDescent="0.3">
      <c r="A336" s="558">
        <v>40756</v>
      </c>
      <c r="B336" s="558">
        <v>40756</v>
      </c>
      <c r="C336" s="516" t="s">
        <v>113</v>
      </c>
      <c r="D336" s="516" t="s">
        <v>114</v>
      </c>
      <c r="E336" s="516" t="s">
        <v>825</v>
      </c>
      <c r="F336" s="516" t="s">
        <v>812</v>
      </c>
      <c r="G336" s="529">
        <v>45788</v>
      </c>
      <c r="H336" s="528"/>
      <c r="I336" s="529">
        <v>222.99</v>
      </c>
      <c r="J336" s="528"/>
    </row>
    <row r="337" spans="1:10" ht="15.75" customHeight="1" thickBot="1" x14ac:dyDescent="0.3">
      <c r="A337" s="558">
        <v>40756</v>
      </c>
      <c r="B337" s="558">
        <v>40756</v>
      </c>
      <c r="C337" s="516" t="s">
        <v>113</v>
      </c>
      <c r="D337" s="516" t="s">
        <v>114</v>
      </c>
      <c r="E337" s="516" t="s">
        <v>816</v>
      </c>
      <c r="F337" s="516" t="s">
        <v>812</v>
      </c>
      <c r="G337" s="531">
        <v>614630</v>
      </c>
      <c r="H337" s="531">
        <v>2993.25</v>
      </c>
      <c r="I337" s="530"/>
      <c r="J337" s="530"/>
    </row>
    <row r="338" spans="1:10" ht="15.75" customHeight="1" thickBot="1" x14ac:dyDescent="0.3">
      <c r="A338" s="558">
        <v>40756</v>
      </c>
      <c r="B338" s="558">
        <v>40756</v>
      </c>
      <c r="C338" s="516" t="s">
        <v>113</v>
      </c>
      <c r="D338" s="516" t="s">
        <v>114</v>
      </c>
      <c r="E338" s="516" t="s">
        <v>816</v>
      </c>
      <c r="F338" s="516" t="s">
        <v>834</v>
      </c>
      <c r="G338" s="528"/>
      <c r="H338" s="529">
        <v>104976</v>
      </c>
      <c r="I338" s="528"/>
      <c r="J338" s="528"/>
    </row>
    <row r="339" spans="1:10" ht="15.75" customHeight="1" thickBot="1" x14ac:dyDescent="0.3">
      <c r="A339" s="558">
        <v>40756</v>
      </c>
      <c r="B339" s="558">
        <v>40756</v>
      </c>
      <c r="C339" s="516" t="s">
        <v>113</v>
      </c>
      <c r="D339" s="516" t="s">
        <v>114</v>
      </c>
      <c r="E339" s="516" t="s">
        <v>816</v>
      </c>
      <c r="F339" s="535" t="s">
        <v>831</v>
      </c>
      <c r="G339" s="534">
        <v>614630</v>
      </c>
      <c r="H339" s="534">
        <v>107969.25</v>
      </c>
      <c r="I339" s="536"/>
      <c r="J339" s="536"/>
    </row>
    <row r="340" spans="1:10" ht="15.75" customHeight="1" thickBot="1" x14ac:dyDescent="0.3">
      <c r="A340" s="558">
        <v>40756</v>
      </c>
      <c r="B340" s="558">
        <v>40756</v>
      </c>
      <c r="C340" s="516" t="s">
        <v>113</v>
      </c>
      <c r="D340" s="516" t="s">
        <v>114</v>
      </c>
      <c r="E340" s="516" t="s">
        <v>829</v>
      </c>
      <c r="F340" s="516" t="s">
        <v>830</v>
      </c>
      <c r="G340" s="528"/>
      <c r="H340" s="529">
        <v>829.1</v>
      </c>
      <c r="I340" s="528"/>
      <c r="J340" s="528"/>
    </row>
    <row r="341" spans="1:10" ht="15.75" customHeight="1" thickBot="1" x14ac:dyDescent="0.3">
      <c r="A341" s="558">
        <v>40756</v>
      </c>
      <c r="B341" s="558">
        <v>40756</v>
      </c>
      <c r="C341" s="516" t="s">
        <v>113</v>
      </c>
      <c r="D341" s="516" t="s">
        <v>114</v>
      </c>
      <c r="E341" s="532" t="s">
        <v>831</v>
      </c>
      <c r="F341" s="533"/>
      <c r="G341" s="534">
        <v>660418</v>
      </c>
      <c r="H341" s="534">
        <v>108798.35</v>
      </c>
      <c r="I341" s="534">
        <v>1003.99</v>
      </c>
      <c r="J341" s="534">
        <v>20951.080000000002</v>
      </c>
    </row>
    <row r="342" spans="1:10" ht="15.75" customHeight="1" thickBot="1" x14ac:dyDescent="0.3">
      <c r="A342" s="558">
        <v>40756</v>
      </c>
      <c r="B342" s="558">
        <v>40756</v>
      </c>
      <c r="C342" s="532" t="s">
        <v>831</v>
      </c>
      <c r="D342" s="537"/>
      <c r="E342" s="537"/>
      <c r="F342" s="533"/>
      <c r="G342" s="534">
        <v>1621502</v>
      </c>
      <c r="H342" s="534">
        <v>177245.48</v>
      </c>
      <c r="I342" s="534">
        <v>2137.9299999999998</v>
      </c>
      <c r="J342" s="534">
        <v>61125.760000000002</v>
      </c>
    </row>
    <row r="343" spans="1:10" ht="15.75" customHeight="1" thickBot="1" x14ac:dyDescent="0.3">
      <c r="A343" s="558">
        <v>40756</v>
      </c>
      <c r="B343" s="532" t="s">
        <v>831</v>
      </c>
      <c r="C343" s="537"/>
      <c r="D343" s="537"/>
      <c r="E343" s="537"/>
      <c r="F343" s="533"/>
      <c r="G343" s="534">
        <v>7231429</v>
      </c>
      <c r="H343" s="534">
        <v>456254.92</v>
      </c>
      <c r="I343" s="534">
        <v>2620.35</v>
      </c>
      <c r="J343" s="534">
        <v>58202.38</v>
      </c>
    </row>
    <row r="344" spans="1:10" ht="15.75" customHeight="1" thickBot="1" x14ac:dyDescent="0.3">
      <c r="A344" s="558">
        <v>40787</v>
      </c>
      <c r="B344" s="558">
        <v>40756</v>
      </c>
      <c r="C344" s="516" t="s">
        <v>97</v>
      </c>
      <c r="D344" s="516" t="s">
        <v>98</v>
      </c>
      <c r="E344" s="516" t="s">
        <v>820</v>
      </c>
      <c r="F344" s="516" t="s">
        <v>821</v>
      </c>
      <c r="G344" s="528"/>
      <c r="H344" s="529">
        <v>2760</v>
      </c>
      <c r="I344" s="528"/>
      <c r="J344" s="528"/>
    </row>
    <row r="345" spans="1:10" ht="15.75" customHeight="1" thickBot="1" x14ac:dyDescent="0.3">
      <c r="A345" s="558">
        <v>40787</v>
      </c>
      <c r="B345" s="558">
        <v>40756</v>
      </c>
      <c r="C345" s="516" t="s">
        <v>97</v>
      </c>
      <c r="D345" s="516" t="s">
        <v>98</v>
      </c>
      <c r="E345" s="516" t="s">
        <v>822</v>
      </c>
      <c r="F345" s="516" t="s">
        <v>823</v>
      </c>
      <c r="G345" s="530"/>
      <c r="H345" s="530"/>
      <c r="I345" s="530"/>
      <c r="J345" s="531">
        <v>94.8</v>
      </c>
    </row>
    <row r="346" spans="1:10" ht="15.75" customHeight="1" thickBot="1" x14ac:dyDescent="0.3">
      <c r="A346" s="558">
        <v>40787</v>
      </c>
      <c r="B346" s="558">
        <v>40756</v>
      </c>
      <c r="C346" s="516" t="s">
        <v>97</v>
      </c>
      <c r="D346" s="516" t="s">
        <v>98</v>
      </c>
      <c r="E346" s="516" t="s">
        <v>824</v>
      </c>
      <c r="F346" s="516" t="s">
        <v>294</v>
      </c>
      <c r="G346" s="528"/>
      <c r="H346" s="529">
        <v>0.21</v>
      </c>
      <c r="I346" s="528"/>
      <c r="J346" s="528"/>
    </row>
    <row r="347" spans="1:10" ht="15.75" customHeight="1" thickBot="1" x14ac:dyDescent="0.3">
      <c r="A347" s="558">
        <v>40787</v>
      </c>
      <c r="B347" s="558">
        <v>40756</v>
      </c>
      <c r="C347" s="516" t="s">
        <v>97</v>
      </c>
      <c r="D347" s="516" t="s">
        <v>98</v>
      </c>
      <c r="E347" s="516" t="s">
        <v>825</v>
      </c>
      <c r="F347" s="516" t="s">
        <v>812</v>
      </c>
      <c r="G347" s="531">
        <v>214</v>
      </c>
      <c r="H347" s="530"/>
      <c r="I347" s="531">
        <v>9.1999999999999993</v>
      </c>
      <c r="J347" s="530"/>
    </row>
    <row r="348" spans="1:10" ht="15.75" customHeight="1" thickBot="1" x14ac:dyDescent="0.3">
      <c r="A348" s="558">
        <v>40787</v>
      </c>
      <c r="B348" s="558">
        <v>40756</v>
      </c>
      <c r="C348" s="516" t="s">
        <v>97</v>
      </c>
      <c r="D348" s="516" t="s">
        <v>98</v>
      </c>
      <c r="E348" s="516" t="s">
        <v>816</v>
      </c>
      <c r="F348" s="516" t="s">
        <v>812</v>
      </c>
      <c r="G348" s="529">
        <v>431293</v>
      </c>
      <c r="H348" s="529">
        <v>18545.599999999999</v>
      </c>
      <c r="I348" s="528"/>
      <c r="J348" s="528"/>
    </row>
    <row r="349" spans="1:10" ht="15.75" customHeight="1" thickBot="1" x14ac:dyDescent="0.3">
      <c r="A349" s="558">
        <v>40787</v>
      </c>
      <c r="B349" s="558">
        <v>40756</v>
      </c>
      <c r="C349" s="516" t="s">
        <v>97</v>
      </c>
      <c r="D349" s="516" t="s">
        <v>98</v>
      </c>
      <c r="E349" s="516" t="s">
        <v>826</v>
      </c>
      <c r="F349" s="516" t="s">
        <v>294</v>
      </c>
      <c r="G349" s="530"/>
      <c r="H349" s="531">
        <v>414.05</v>
      </c>
      <c r="I349" s="530"/>
      <c r="J349" s="530"/>
    </row>
    <row r="350" spans="1:10" ht="15.75" customHeight="1" thickBot="1" x14ac:dyDescent="0.3">
      <c r="A350" s="558">
        <v>40787</v>
      </c>
      <c r="B350" s="558">
        <v>40756</v>
      </c>
      <c r="C350" s="516" t="s">
        <v>97</v>
      </c>
      <c r="D350" s="516" t="s">
        <v>98</v>
      </c>
      <c r="E350" s="516" t="s">
        <v>827</v>
      </c>
      <c r="F350" s="516" t="s">
        <v>828</v>
      </c>
      <c r="G350" s="528"/>
      <c r="H350" s="528"/>
      <c r="I350" s="528"/>
      <c r="J350" s="529">
        <v>-155.4</v>
      </c>
    </row>
    <row r="351" spans="1:10" ht="15.75" customHeight="1" thickBot="1" x14ac:dyDescent="0.3">
      <c r="A351" s="558">
        <v>40787</v>
      </c>
      <c r="B351" s="558">
        <v>40756</v>
      </c>
      <c r="C351" s="516" t="s">
        <v>97</v>
      </c>
      <c r="D351" s="516" t="s">
        <v>98</v>
      </c>
      <c r="E351" s="516" t="s">
        <v>829</v>
      </c>
      <c r="F351" s="516" t="s">
        <v>830</v>
      </c>
      <c r="G351" s="530"/>
      <c r="H351" s="531">
        <v>22.04</v>
      </c>
      <c r="I351" s="530"/>
      <c r="J351" s="530"/>
    </row>
    <row r="352" spans="1:10" ht="15.75" customHeight="1" thickBot="1" x14ac:dyDescent="0.3">
      <c r="A352" s="558">
        <v>40787</v>
      </c>
      <c r="B352" s="558">
        <v>40756</v>
      </c>
      <c r="C352" s="516" t="s">
        <v>97</v>
      </c>
      <c r="D352" s="516" t="s">
        <v>98</v>
      </c>
      <c r="E352" s="532" t="s">
        <v>831</v>
      </c>
      <c r="F352" s="533"/>
      <c r="G352" s="534">
        <v>431507</v>
      </c>
      <c r="H352" s="534">
        <v>21741.9</v>
      </c>
      <c r="I352" s="534">
        <v>9.1999999999999993</v>
      </c>
      <c r="J352" s="534">
        <v>-60.6</v>
      </c>
    </row>
    <row r="353" spans="1:10" ht="15.75" customHeight="1" thickBot="1" x14ac:dyDescent="0.3">
      <c r="A353" s="558">
        <v>40787</v>
      </c>
      <c r="B353" s="558">
        <v>40756</v>
      </c>
      <c r="C353" s="516" t="s">
        <v>106</v>
      </c>
      <c r="D353" s="516" t="s">
        <v>107</v>
      </c>
      <c r="E353" s="516" t="s">
        <v>820</v>
      </c>
      <c r="F353" s="516" t="s">
        <v>821</v>
      </c>
      <c r="G353" s="530"/>
      <c r="H353" s="531">
        <v>230</v>
      </c>
      <c r="I353" s="530"/>
      <c r="J353" s="530"/>
    </row>
    <row r="354" spans="1:10" ht="15.75" customHeight="1" thickBot="1" x14ac:dyDescent="0.3">
      <c r="A354" s="558">
        <v>40787</v>
      </c>
      <c r="B354" s="558">
        <v>40756</v>
      </c>
      <c r="C354" s="516" t="s">
        <v>106</v>
      </c>
      <c r="D354" s="516" t="s">
        <v>107</v>
      </c>
      <c r="E354" s="516" t="s">
        <v>832</v>
      </c>
      <c r="F354" s="516" t="s">
        <v>833</v>
      </c>
      <c r="G354" s="528"/>
      <c r="H354" s="528"/>
      <c r="I354" s="529">
        <v>781</v>
      </c>
      <c r="J354" s="528"/>
    </row>
    <row r="355" spans="1:10" ht="15.75" customHeight="1" thickBot="1" x14ac:dyDescent="0.3">
      <c r="A355" s="558">
        <v>40787</v>
      </c>
      <c r="B355" s="558">
        <v>40756</v>
      </c>
      <c r="C355" s="516" t="s">
        <v>106</v>
      </c>
      <c r="D355" s="516" t="s">
        <v>107</v>
      </c>
      <c r="E355" s="516" t="s">
        <v>816</v>
      </c>
      <c r="F355" s="516" t="s">
        <v>812</v>
      </c>
      <c r="G355" s="531">
        <v>4711</v>
      </c>
      <c r="H355" s="531">
        <v>22.94</v>
      </c>
      <c r="I355" s="530"/>
      <c r="J355" s="530"/>
    </row>
    <row r="356" spans="1:10" ht="15.75" customHeight="1" thickBot="1" x14ac:dyDescent="0.3">
      <c r="A356" s="558">
        <v>40787</v>
      </c>
      <c r="B356" s="558">
        <v>40756</v>
      </c>
      <c r="C356" s="516" t="s">
        <v>106</v>
      </c>
      <c r="D356" s="516" t="s">
        <v>107</v>
      </c>
      <c r="E356" s="516" t="s">
        <v>816</v>
      </c>
      <c r="F356" s="516" t="s">
        <v>834</v>
      </c>
      <c r="G356" s="528"/>
      <c r="H356" s="529">
        <v>18225</v>
      </c>
      <c r="I356" s="528"/>
      <c r="J356" s="528"/>
    </row>
    <row r="357" spans="1:10" ht="15.75" customHeight="1" thickBot="1" x14ac:dyDescent="0.3">
      <c r="A357" s="558">
        <v>40787</v>
      </c>
      <c r="B357" s="558">
        <v>40756</v>
      </c>
      <c r="C357" s="516" t="s">
        <v>106</v>
      </c>
      <c r="D357" s="516" t="s">
        <v>107</v>
      </c>
      <c r="E357" s="516" t="s">
        <v>816</v>
      </c>
      <c r="F357" s="535" t="s">
        <v>831</v>
      </c>
      <c r="G357" s="534">
        <v>4711</v>
      </c>
      <c r="H357" s="534">
        <v>18247.939999999999</v>
      </c>
      <c r="I357" s="536"/>
      <c r="J357" s="536"/>
    </row>
    <row r="358" spans="1:10" ht="15.75" customHeight="1" thickBot="1" x14ac:dyDescent="0.3">
      <c r="A358" s="558">
        <v>40787</v>
      </c>
      <c r="B358" s="558">
        <v>40756</v>
      </c>
      <c r="C358" s="516" t="s">
        <v>106</v>
      </c>
      <c r="D358" s="516" t="s">
        <v>107</v>
      </c>
      <c r="E358" s="516" t="s">
        <v>827</v>
      </c>
      <c r="F358" s="516" t="s">
        <v>828</v>
      </c>
      <c r="G358" s="528"/>
      <c r="H358" s="528"/>
      <c r="I358" s="528"/>
      <c r="J358" s="529">
        <v>-11.66</v>
      </c>
    </row>
    <row r="359" spans="1:10" ht="15.75" customHeight="1" thickBot="1" x14ac:dyDescent="0.3">
      <c r="A359" s="558">
        <v>40787</v>
      </c>
      <c r="B359" s="558">
        <v>40756</v>
      </c>
      <c r="C359" s="516" t="s">
        <v>106</v>
      </c>
      <c r="D359" s="516" t="s">
        <v>107</v>
      </c>
      <c r="E359" s="516" t="s">
        <v>829</v>
      </c>
      <c r="F359" s="516" t="s">
        <v>830</v>
      </c>
      <c r="G359" s="530"/>
      <c r="H359" s="531">
        <v>114.27</v>
      </c>
      <c r="I359" s="530"/>
      <c r="J359" s="530"/>
    </row>
    <row r="360" spans="1:10" ht="15.75" customHeight="1" thickBot="1" x14ac:dyDescent="0.3">
      <c r="A360" s="558">
        <v>40787</v>
      </c>
      <c r="B360" s="558">
        <v>40756</v>
      </c>
      <c r="C360" s="516" t="s">
        <v>106</v>
      </c>
      <c r="D360" s="516" t="s">
        <v>107</v>
      </c>
      <c r="E360" s="532" t="s">
        <v>831</v>
      </c>
      <c r="F360" s="533"/>
      <c r="G360" s="534">
        <v>4711</v>
      </c>
      <c r="H360" s="534">
        <v>18592.21</v>
      </c>
      <c r="I360" s="534">
        <v>781</v>
      </c>
      <c r="J360" s="534">
        <v>-11.66</v>
      </c>
    </row>
    <row r="361" spans="1:10" ht="15.75" thickBot="1" x14ac:dyDescent="0.3">
      <c r="A361" s="558">
        <v>40787</v>
      </c>
      <c r="B361" s="558">
        <v>40756</v>
      </c>
      <c r="C361" s="516" t="s">
        <v>99</v>
      </c>
      <c r="D361" s="516" t="s">
        <v>100</v>
      </c>
      <c r="E361" s="516" t="s">
        <v>820</v>
      </c>
      <c r="F361" s="516" t="s">
        <v>821</v>
      </c>
      <c r="G361" s="530"/>
      <c r="H361" s="531">
        <v>13340</v>
      </c>
      <c r="I361" s="530"/>
      <c r="J361" s="530"/>
    </row>
    <row r="362" spans="1:10" ht="15.75" thickBot="1" x14ac:dyDescent="0.3">
      <c r="A362" s="558">
        <v>40787</v>
      </c>
      <c r="B362" s="558">
        <v>40756</v>
      </c>
      <c r="C362" s="516" t="s">
        <v>99</v>
      </c>
      <c r="D362" s="516" t="s">
        <v>100</v>
      </c>
      <c r="E362" s="516" t="s">
        <v>816</v>
      </c>
      <c r="F362" s="516" t="s">
        <v>812</v>
      </c>
      <c r="G362" s="529">
        <v>5748724</v>
      </c>
      <c r="H362" s="529">
        <v>247195.18</v>
      </c>
      <c r="I362" s="528"/>
      <c r="J362" s="528"/>
    </row>
    <row r="363" spans="1:10" ht="15.75" thickBot="1" x14ac:dyDescent="0.3">
      <c r="A363" s="558">
        <v>40787</v>
      </c>
      <c r="B363" s="558">
        <v>40756</v>
      </c>
      <c r="C363" s="516" t="s">
        <v>99</v>
      </c>
      <c r="D363" s="516" t="s">
        <v>100</v>
      </c>
      <c r="E363" s="516" t="s">
        <v>827</v>
      </c>
      <c r="F363" s="516" t="s">
        <v>828</v>
      </c>
      <c r="G363" s="530"/>
      <c r="H363" s="530"/>
      <c r="I363" s="530"/>
      <c r="J363" s="531">
        <v>-1519.04</v>
      </c>
    </row>
    <row r="364" spans="1:10" ht="15.75" thickBot="1" x14ac:dyDescent="0.3">
      <c r="A364" s="558">
        <v>40787</v>
      </c>
      <c r="B364" s="558">
        <v>40756</v>
      </c>
      <c r="C364" s="516" t="s">
        <v>99</v>
      </c>
      <c r="D364" s="516" t="s">
        <v>100</v>
      </c>
      <c r="E364" s="516" t="s">
        <v>829</v>
      </c>
      <c r="F364" s="516" t="s">
        <v>830</v>
      </c>
      <c r="G364" s="528"/>
      <c r="H364" s="529">
        <v>3434.16</v>
      </c>
      <c r="I364" s="528"/>
      <c r="J364" s="528"/>
    </row>
    <row r="365" spans="1:10" ht="15.75" thickBot="1" x14ac:dyDescent="0.3">
      <c r="A365" s="558">
        <v>40787</v>
      </c>
      <c r="B365" s="558">
        <v>40756</v>
      </c>
      <c r="C365" s="516" t="s">
        <v>99</v>
      </c>
      <c r="D365" s="516" t="s">
        <v>100</v>
      </c>
      <c r="E365" s="532" t="s">
        <v>831</v>
      </c>
      <c r="F365" s="533"/>
      <c r="G365" s="534">
        <v>5748724</v>
      </c>
      <c r="H365" s="534">
        <v>263969.34000000003</v>
      </c>
      <c r="I365" s="534">
        <v>0</v>
      </c>
      <c r="J365" s="534">
        <v>-1519.04</v>
      </c>
    </row>
    <row r="366" spans="1:10" ht="15.75" customHeight="1" thickBot="1" x14ac:dyDescent="0.3">
      <c r="A366" s="558">
        <v>40787</v>
      </c>
      <c r="B366" s="558">
        <v>40756</v>
      </c>
      <c r="C366" s="532" t="s">
        <v>831</v>
      </c>
      <c r="D366" s="537"/>
      <c r="E366" s="537"/>
      <c r="F366" s="533"/>
      <c r="G366" s="534">
        <v>6184942</v>
      </c>
      <c r="H366" s="534">
        <v>304303.45</v>
      </c>
      <c r="I366" s="534">
        <v>790.2</v>
      </c>
      <c r="J366" s="534">
        <v>-1591.3</v>
      </c>
    </row>
    <row r="367" spans="1:10" ht="15.75" customHeight="1" thickBot="1" x14ac:dyDescent="0.3">
      <c r="A367" s="558">
        <v>40787</v>
      </c>
      <c r="B367" s="558">
        <v>40787</v>
      </c>
      <c r="C367" s="516" t="s">
        <v>63</v>
      </c>
      <c r="D367" s="516" t="s">
        <v>64</v>
      </c>
      <c r="E367" s="516" t="s">
        <v>820</v>
      </c>
      <c r="F367" s="516" t="s">
        <v>821</v>
      </c>
      <c r="G367" s="530"/>
      <c r="H367" s="531">
        <v>153</v>
      </c>
      <c r="I367" s="530"/>
      <c r="J367" s="530"/>
    </row>
    <row r="368" spans="1:10" ht="15.75" customHeight="1" thickBot="1" x14ac:dyDescent="0.3">
      <c r="A368" s="558">
        <v>40787</v>
      </c>
      <c r="B368" s="558">
        <v>40787</v>
      </c>
      <c r="C368" s="516" t="s">
        <v>63</v>
      </c>
      <c r="D368" s="516" t="s">
        <v>64</v>
      </c>
      <c r="E368" s="516" t="s">
        <v>832</v>
      </c>
      <c r="F368" s="516" t="s">
        <v>833</v>
      </c>
      <c r="G368" s="528"/>
      <c r="H368" s="528"/>
      <c r="I368" s="529">
        <v>170</v>
      </c>
      <c r="J368" s="528"/>
    </row>
    <row r="369" spans="1:10" ht="15.75" customHeight="1" thickBot="1" x14ac:dyDescent="0.3">
      <c r="A369" s="558">
        <v>40787</v>
      </c>
      <c r="B369" s="558">
        <v>40787</v>
      </c>
      <c r="C369" s="516" t="s">
        <v>63</v>
      </c>
      <c r="D369" s="516" t="s">
        <v>64</v>
      </c>
      <c r="E369" s="516" t="s">
        <v>824</v>
      </c>
      <c r="F369" s="516" t="s">
        <v>294</v>
      </c>
      <c r="G369" s="530"/>
      <c r="H369" s="531">
        <v>0.87</v>
      </c>
      <c r="I369" s="530"/>
      <c r="J369" s="530"/>
    </row>
    <row r="370" spans="1:10" ht="15.75" customHeight="1" thickBot="1" x14ac:dyDescent="0.3">
      <c r="A370" s="558">
        <v>40787</v>
      </c>
      <c r="B370" s="558">
        <v>40787</v>
      </c>
      <c r="C370" s="516" t="s">
        <v>63</v>
      </c>
      <c r="D370" s="516" t="s">
        <v>64</v>
      </c>
      <c r="E370" s="516" t="s">
        <v>825</v>
      </c>
      <c r="F370" s="516" t="s">
        <v>812</v>
      </c>
      <c r="G370" s="529">
        <v>911</v>
      </c>
      <c r="H370" s="528"/>
      <c r="I370" s="529">
        <v>170.56</v>
      </c>
      <c r="J370" s="528"/>
    </row>
    <row r="371" spans="1:10" ht="15.75" customHeight="1" thickBot="1" x14ac:dyDescent="0.3">
      <c r="A371" s="558">
        <v>40787</v>
      </c>
      <c r="B371" s="558">
        <v>40787</v>
      </c>
      <c r="C371" s="516" t="s">
        <v>63</v>
      </c>
      <c r="D371" s="516" t="s">
        <v>64</v>
      </c>
      <c r="E371" s="516" t="s">
        <v>292</v>
      </c>
      <c r="F371" s="516" t="s">
        <v>292</v>
      </c>
      <c r="G371" s="530"/>
      <c r="H371" s="531">
        <v>510.62</v>
      </c>
      <c r="I371" s="530"/>
      <c r="J371" s="530"/>
    </row>
    <row r="372" spans="1:10" ht="15.75" customHeight="1" thickBot="1" x14ac:dyDescent="0.3">
      <c r="A372" s="558">
        <v>40787</v>
      </c>
      <c r="B372" s="558">
        <v>40787</v>
      </c>
      <c r="C372" s="516" t="s">
        <v>63</v>
      </c>
      <c r="D372" s="516" t="s">
        <v>64</v>
      </c>
      <c r="E372" s="532" t="s">
        <v>831</v>
      </c>
      <c r="F372" s="533"/>
      <c r="G372" s="534">
        <v>911</v>
      </c>
      <c r="H372" s="534">
        <v>664.49</v>
      </c>
      <c r="I372" s="534">
        <v>340.56</v>
      </c>
      <c r="J372" s="534">
        <v>0</v>
      </c>
    </row>
    <row r="373" spans="1:10" ht="15.75" customHeight="1" thickBot="1" x14ac:dyDescent="0.3">
      <c r="A373" s="558">
        <v>40787</v>
      </c>
      <c r="B373" s="558">
        <v>40787</v>
      </c>
      <c r="C373" s="516" t="s">
        <v>66</v>
      </c>
      <c r="D373" s="516" t="s">
        <v>67</v>
      </c>
      <c r="E373" s="516" t="s">
        <v>820</v>
      </c>
      <c r="F373" s="516" t="s">
        <v>821</v>
      </c>
      <c r="G373" s="530"/>
      <c r="H373" s="531">
        <v>306</v>
      </c>
      <c r="I373" s="530"/>
      <c r="J373" s="530"/>
    </row>
    <row r="374" spans="1:10" ht="15.75" customHeight="1" thickBot="1" x14ac:dyDescent="0.3">
      <c r="A374" s="558">
        <v>40787</v>
      </c>
      <c r="B374" s="558">
        <v>40787</v>
      </c>
      <c r="C374" s="516" t="s">
        <v>66</v>
      </c>
      <c r="D374" s="516" t="s">
        <v>67</v>
      </c>
      <c r="E374" s="516" t="s">
        <v>832</v>
      </c>
      <c r="F374" s="516" t="s">
        <v>833</v>
      </c>
      <c r="G374" s="528"/>
      <c r="H374" s="528"/>
      <c r="I374" s="529">
        <v>340</v>
      </c>
      <c r="J374" s="528"/>
    </row>
    <row r="375" spans="1:10" ht="15.75" customHeight="1" thickBot="1" x14ac:dyDescent="0.3">
      <c r="A375" s="558">
        <v>40787</v>
      </c>
      <c r="B375" s="558">
        <v>40787</v>
      </c>
      <c r="C375" s="516" t="s">
        <v>66</v>
      </c>
      <c r="D375" s="516" t="s">
        <v>67</v>
      </c>
      <c r="E375" s="516" t="s">
        <v>816</v>
      </c>
      <c r="F375" s="516" t="s">
        <v>812</v>
      </c>
      <c r="G375" s="531">
        <v>44893</v>
      </c>
      <c r="H375" s="531">
        <v>6394.89</v>
      </c>
      <c r="I375" s="530"/>
      <c r="J375" s="530"/>
    </row>
    <row r="376" spans="1:10" ht="15.75" customHeight="1" thickBot="1" x14ac:dyDescent="0.3">
      <c r="A376" s="558">
        <v>40787</v>
      </c>
      <c r="B376" s="558">
        <v>40787</v>
      </c>
      <c r="C376" s="516" t="s">
        <v>66</v>
      </c>
      <c r="D376" s="516" t="s">
        <v>67</v>
      </c>
      <c r="E376" s="516" t="s">
        <v>816</v>
      </c>
      <c r="F376" s="516" t="s">
        <v>835</v>
      </c>
      <c r="G376" s="528"/>
      <c r="H376" s="529">
        <v>3942.95</v>
      </c>
      <c r="I376" s="528"/>
      <c r="J376" s="528"/>
    </row>
    <row r="377" spans="1:10" ht="15.75" customHeight="1" thickBot="1" x14ac:dyDescent="0.3">
      <c r="A377" s="558">
        <v>40787</v>
      </c>
      <c r="B377" s="558">
        <v>40787</v>
      </c>
      <c r="C377" s="516" t="s">
        <v>66</v>
      </c>
      <c r="D377" s="516" t="s">
        <v>67</v>
      </c>
      <c r="E377" s="516" t="s">
        <v>816</v>
      </c>
      <c r="F377" s="535" t="s">
        <v>831</v>
      </c>
      <c r="G377" s="534">
        <v>44893</v>
      </c>
      <c r="H377" s="534">
        <v>10337.84</v>
      </c>
      <c r="I377" s="536"/>
      <c r="J377" s="536"/>
    </row>
    <row r="378" spans="1:10" ht="15.75" customHeight="1" thickBot="1" x14ac:dyDescent="0.3">
      <c r="A378" s="558">
        <v>40787</v>
      </c>
      <c r="B378" s="558">
        <v>40787</v>
      </c>
      <c r="C378" s="516" t="s">
        <v>66</v>
      </c>
      <c r="D378" s="516" t="s">
        <v>67</v>
      </c>
      <c r="E378" s="516" t="s">
        <v>827</v>
      </c>
      <c r="F378" s="516" t="s">
        <v>828</v>
      </c>
      <c r="G378" s="528"/>
      <c r="H378" s="528"/>
      <c r="I378" s="528"/>
      <c r="J378" s="529">
        <v>-274.68</v>
      </c>
    </row>
    <row r="379" spans="1:10" ht="15.75" customHeight="1" thickBot="1" x14ac:dyDescent="0.3">
      <c r="A379" s="558">
        <v>40787</v>
      </c>
      <c r="B379" s="558">
        <v>40787</v>
      </c>
      <c r="C379" s="516" t="s">
        <v>66</v>
      </c>
      <c r="D379" s="516" t="s">
        <v>67</v>
      </c>
      <c r="E379" s="532" t="s">
        <v>831</v>
      </c>
      <c r="F379" s="533"/>
      <c r="G379" s="534">
        <v>44893</v>
      </c>
      <c r="H379" s="534">
        <v>10643.84</v>
      </c>
      <c r="I379" s="534">
        <v>340</v>
      </c>
      <c r="J379" s="534">
        <v>-274.68</v>
      </c>
    </row>
    <row r="380" spans="1:10" ht="15.75" thickBot="1" x14ac:dyDescent="0.3">
      <c r="A380" s="558">
        <v>40787</v>
      </c>
      <c r="B380" s="558">
        <v>40787</v>
      </c>
      <c r="C380" s="516" t="s">
        <v>99</v>
      </c>
      <c r="D380" s="516" t="s">
        <v>100</v>
      </c>
      <c r="E380" s="516" t="s">
        <v>820</v>
      </c>
      <c r="F380" s="516" t="s">
        <v>821</v>
      </c>
      <c r="G380" s="528"/>
      <c r="H380" s="529">
        <v>690</v>
      </c>
      <c r="I380" s="528"/>
      <c r="J380" s="528"/>
    </row>
    <row r="381" spans="1:10" ht="15.75" thickBot="1" x14ac:dyDescent="0.3">
      <c r="A381" s="558">
        <v>40787</v>
      </c>
      <c r="B381" s="558">
        <v>40787</v>
      </c>
      <c r="C381" s="516" t="s">
        <v>99</v>
      </c>
      <c r="D381" s="516" t="s">
        <v>100</v>
      </c>
      <c r="E381" s="516" t="s">
        <v>816</v>
      </c>
      <c r="F381" s="516" t="s">
        <v>812</v>
      </c>
      <c r="G381" s="531">
        <v>670858</v>
      </c>
      <c r="H381" s="531">
        <v>28846.89</v>
      </c>
      <c r="I381" s="530"/>
      <c r="J381" s="530"/>
    </row>
    <row r="382" spans="1:10" ht="15.75" thickBot="1" x14ac:dyDescent="0.3">
      <c r="A382" s="558">
        <v>40787</v>
      </c>
      <c r="B382" s="558">
        <v>40787</v>
      </c>
      <c r="C382" s="516" t="s">
        <v>99</v>
      </c>
      <c r="D382" s="516" t="s">
        <v>100</v>
      </c>
      <c r="E382" s="532" t="s">
        <v>831</v>
      </c>
      <c r="F382" s="533"/>
      <c r="G382" s="534">
        <v>670858</v>
      </c>
      <c r="H382" s="534">
        <v>29536.89</v>
      </c>
      <c r="I382" s="534">
        <v>0</v>
      </c>
      <c r="J382" s="534">
        <v>0</v>
      </c>
    </row>
    <row r="383" spans="1:10" ht="15.75" customHeight="1" thickBot="1" x14ac:dyDescent="0.3">
      <c r="A383" s="558">
        <v>40787</v>
      </c>
      <c r="B383" s="558">
        <v>40787</v>
      </c>
      <c r="C383" s="516" t="s">
        <v>102</v>
      </c>
      <c r="D383" s="516" t="s">
        <v>103</v>
      </c>
      <c r="E383" s="516" t="s">
        <v>820</v>
      </c>
      <c r="F383" s="516" t="s">
        <v>821</v>
      </c>
      <c r="G383" s="530"/>
      <c r="H383" s="531">
        <v>5175</v>
      </c>
      <c r="I383" s="530"/>
      <c r="J383" s="530"/>
    </row>
    <row r="384" spans="1:10" ht="15.75" customHeight="1" thickBot="1" x14ac:dyDescent="0.3">
      <c r="A384" s="558">
        <v>40787</v>
      </c>
      <c r="B384" s="558">
        <v>40787</v>
      </c>
      <c r="C384" s="516" t="s">
        <v>102</v>
      </c>
      <c r="D384" s="516" t="s">
        <v>103</v>
      </c>
      <c r="E384" s="516" t="s">
        <v>822</v>
      </c>
      <c r="F384" s="516" t="s">
        <v>823</v>
      </c>
      <c r="G384" s="528"/>
      <c r="H384" s="528"/>
      <c r="I384" s="528"/>
      <c r="J384" s="529">
        <v>2308.0300000000002</v>
      </c>
    </row>
    <row r="385" spans="1:10" ht="15.75" customHeight="1" thickBot="1" x14ac:dyDescent="0.3">
      <c r="A385" s="558">
        <v>40787</v>
      </c>
      <c r="B385" s="558">
        <v>40787</v>
      </c>
      <c r="C385" s="516" t="s">
        <v>102</v>
      </c>
      <c r="D385" s="516" t="s">
        <v>103</v>
      </c>
      <c r="E385" s="516" t="s">
        <v>827</v>
      </c>
      <c r="F385" s="516" t="s">
        <v>828</v>
      </c>
      <c r="G385" s="530"/>
      <c r="H385" s="530"/>
      <c r="I385" s="530"/>
      <c r="J385" s="531">
        <v>-28232.3</v>
      </c>
    </row>
    <row r="386" spans="1:10" ht="15.75" customHeight="1" thickBot="1" x14ac:dyDescent="0.3">
      <c r="A386" s="558">
        <v>40787</v>
      </c>
      <c r="B386" s="558">
        <v>40787</v>
      </c>
      <c r="C386" s="516" t="s">
        <v>102</v>
      </c>
      <c r="D386" s="516" t="s">
        <v>103</v>
      </c>
      <c r="E386" s="516" t="s">
        <v>829</v>
      </c>
      <c r="F386" s="516" t="s">
        <v>830</v>
      </c>
      <c r="G386" s="528"/>
      <c r="H386" s="529">
        <v>14393.17</v>
      </c>
      <c r="I386" s="528"/>
      <c r="J386" s="528"/>
    </row>
    <row r="387" spans="1:10" ht="15.75" customHeight="1" thickBot="1" x14ac:dyDescent="0.3">
      <c r="A387" s="558">
        <v>40787</v>
      </c>
      <c r="B387" s="558">
        <v>40787</v>
      </c>
      <c r="C387" s="516" t="s">
        <v>102</v>
      </c>
      <c r="D387" s="516" t="s">
        <v>103</v>
      </c>
      <c r="E387" s="532" t="s">
        <v>831</v>
      </c>
      <c r="F387" s="533"/>
      <c r="G387" s="536"/>
      <c r="H387" s="534">
        <v>19568.169999999998</v>
      </c>
      <c r="I387" s="536"/>
      <c r="J387" s="534">
        <v>-25924.27</v>
      </c>
    </row>
    <row r="388" spans="1:10" ht="15.75" customHeight="1" thickBot="1" x14ac:dyDescent="0.3">
      <c r="A388" s="558">
        <v>40787</v>
      </c>
      <c r="B388" s="558">
        <v>40787</v>
      </c>
      <c r="C388" s="516" t="s">
        <v>109</v>
      </c>
      <c r="D388" s="516" t="s">
        <v>110</v>
      </c>
      <c r="E388" s="516" t="s">
        <v>820</v>
      </c>
      <c r="F388" s="516" t="s">
        <v>821</v>
      </c>
      <c r="G388" s="528"/>
      <c r="H388" s="529">
        <v>230</v>
      </c>
      <c r="I388" s="528"/>
      <c r="J388" s="528"/>
    </row>
    <row r="389" spans="1:10" ht="15.75" customHeight="1" thickBot="1" x14ac:dyDescent="0.3">
      <c r="A389" s="558">
        <v>40787</v>
      </c>
      <c r="B389" s="558">
        <v>40787</v>
      </c>
      <c r="C389" s="516" t="s">
        <v>109</v>
      </c>
      <c r="D389" s="516" t="s">
        <v>110</v>
      </c>
      <c r="E389" s="516" t="s">
        <v>832</v>
      </c>
      <c r="F389" s="516" t="s">
        <v>833</v>
      </c>
      <c r="G389" s="530"/>
      <c r="H389" s="530"/>
      <c r="I389" s="531">
        <v>275</v>
      </c>
      <c r="J389" s="530"/>
    </row>
    <row r="390" spans="1:10" ht="15.75" customHeight="1" thickBot="1" x14ac:dyDescent="0.3">
      <c r="A390" s="558">
        <v>40787</v>
      </c>
      <c r="B390" s="558">
        <v>40787</v>
      </c>
      <c r="C390" s="516" t="s">
        <v>109</v>
      </c>
      <c r="D390" s="516" t="s">
        <v>110</v>
      </c>
      <c r="E390" s="516" t="s">
        <v>816</v>
      </c>
      <c r="F390" s="516" t="s">
        <v>812</v>
      </c>
      <c r="G390" s="529">
        <v>486986</v>
      </c>
      <c r="H390" s="529">
        <v>5108.4799999999996</v>
      </c>
      <c r="I390" s="528"/>
      <c r="J390" s="528"/>
    </row>
    <row r="391" spans="1:10" ht="15.75" customHeight="1" thickBot="1" x14ac:dyDescent="0.3">
      <c r="A391" s="558">
        <v>40787</v>
      </c>
      <c r="B391" s="558">
        <v>40787</v>
      </c>
      <c r="C391" s="516" t="s">
        <v>109</v>
      </c>
      <c r="D391" s="516" t="s">
        <v>110</v>
      </c>
      <c r="E391" s="516" t="s">
        <v>816</v>
      </c>
      <c r="F391" s="516" t="s">
        <v>834</v>
      </c>
      <c r="G391" s="530"/>
      <c r="H391" s="531">
        <v>6369.83</v>
      </c>
      <c r="I391" s="530"/>
      <c r="J391" s="530"/>
    </row>
    <row r="392" spans="1:10" ht="15.75" customHeight="1" thickBot="1" x14ac:dyDescent="0.3">
      <c r="A392" s="558">
        <v>40787</v>
      </c>
      <c r="B392" s="558">
        <v>40787</v>
      </c>
      <c r="C392" s="516" t="s">
        <v>109</v>
      </c>
      <c r="D392" s="516" t="s">
        <v>110</v>
      </c>
      <c r="E392" s="516" t="s">
        <v>816</v>
      </c>
      <c r="F392" s="535" t="s">
        <v>831</v>
      </c>
      <c r="G392" s="534">
        <v>486986</v>
      </c>
      <c r="H392" s="534">
        <v>11478.31</v>
      </c>
      <c r="I392" s="536"/>
      <c r="J392" s="536"/>
    </row>
    <row r="393" spans="1:10" ht="15.75" customHeight="1" thickBot="1" x14ac:dyDescent="0.3">
      <c r="A393" s="558">
        <v>40787</v>
      </c>
      <c r="B393" s="558">
        <v>40787</v>
      </c>
      <c r="C393" s="516" t="s">
        <v>109</v>
      </c>
      <c r="D393" s="516" t="s">
        <v>110</v>
      </c>
      <c r="E393" s="516" t="s">
        <v>827</v>
      </c>
      <c r="F393" s="516" t="s">
        <v>828</v>
      </c>
      <c r="G393" s="530"/>
      <c r="H393" s="530"/>
      <c r="I393" s="530"/>
      <c r="J393" s="531">
        <v>-3655.79</v>
      </c>
    </row>
    <row r="394" spans="1:10" ht="15.75" customHeight="1" thickBot="1" x14ac:dyDescent="0.3">
      <c r="A394" s="558">
        <v>40787</v>
      </c>
      <c r="B394" s="558">
        <v>40787</v>
      </c>
      <c r="C394" s="516" t="s">
        <v>109</v>
      </c>
      <c r="D394" s="516" t="s">
        <v>110</v>
      </c>
      <c r="E394" s="516" t="s">
        <v>829</v>
      </c>
      <c r="F394" s="516" t="s">
        <v>830</v>
      </c>
      <c r="G394" s="528"/>
      <c r="H394" s="529">
        <v>503.29</v>
      </c>
      <c r="I394" s="528"/>
      <c r="J394" s="528"/>
    </row>
    <row r="395" spans="1:10" ht="15.75" customHeight="1" thickBot="1" x14ac:dyDescent="0.3">
      <c r="A395" s="558">
        <v>40787</v>
      </c>
      <c r="B395" s="558">
        <v>40787</v>
      </c>
      <c r="C395" s="516" t="s">
        <v>109</v>
      </c>
      <c r="D395" s="516" t="s">
        <v>110</v>
      </c>
      <c r="E395" s="532" t="s">
        <v>831</v>
      </c>
      <c r="F395" s="533"/>
      <c r="G395" s="534">
        <v>486986</v>
      </c>
      <c r="H395" s="534">
        <v>12211.6</v>
      </c>
      <c r="I395" s="534">
        <v>275</v>
      </c>
      <c r="J395" s="534">
        <v>-3655.79</v>
      </c>
    </row>
    <row r="396" spans="1:10" ht="15.75" customHeight="1" thickBot="1" x14ac:dyDescent="0.3">
      <c r="A396" s="558">
        <v>40787</v>
      </c>
      <c r="B396" s="558">
        <v>40787</v>
      </c>
      <c r="C396" s="516" t="s">
        <v>113</v>
      </c>
      <c r="D396" s="516" t="s">
        <v>114</v>
      </c>
      <c r="E396" s="516" t="s">
        <v>832</v>
      </c>
      <c r="F396" s="516" t="s">
        <v>833</v>
      </c>
      <c r="G396" s="528"/>
      <c r="H396" s="528"/>
      <c r="I396" s="529">
        <v>781</v>
      </c>
      <c r="J396" s="528"/>
    </row>
    <row r="397" spans="1:10" ht="15.75" customHeight="1" thickBot="1" x14ac:dyDescent="0.3">
      <c r="A397" s="558">
        <v>40787</v>
      </c>
      <c r="B397" s="558">
        <v>40787</v>
      </c>
      <c r="C397" s="516" t="s">
        <v>113</v>
      </c>
      <c r="D397" s="516" t="s">
        <v>114</v>
      </c>
      <c r="E397" s="516" t="s">
        <v>816</v>
      </c>
      <c r="F397" s="516" t="s">
        <v>812</v>
      </c>
      <c r="G397" s="531">
        <v>506154</v>
      </c>
      <c r="H397" s="531">
        <v>2464.9699999999998</v>
      </c>
      <c r="I397" s="530"/>
      <c r="J397" s="530"/>
    </row>
    <row r="398" spans="1:10" ht="15.75" customHeight="1" thickBot="1" x14ac:dyDescent="0.3">
      <c r="A398" s="558">
        <v>40787</v>
      </c>
      <c r="B398" s="558">
        <v>40787</v>
      </c>
      <c r="C398" s="516" t="s">
        <v>113</v>
      </c>
      <c r="D398" s="516" t="s">
        <v>114</v>
      </c>
      <c r="E398" s="516" t="s">
        <v>816</v>
      </c>
      <c r="F398" s="516" t="s">
        <v>834</v>
      </c>
      <c r="G398" s="528"/>
      <c r="H398" s="529">
        <v>104976</v>
      </c>
      <c r="I398" s="528"/>
      <c r="J398" s="528"/>
    </row>
    <row r="399" spans="1:10" ht="15.75" customHeight="1" thickBot="1" x14ac:dyDescent="0.3">
      <c r="A399" s="558">
        <v>40787</v>
      </c>
      <c r="B399" s="558">
        <v>40787</v>
      </c>
      <c r="C399" s="516" t="s">
        <v>113</v>
      </c>
      <c r="D399" s="516" t="s">
        <v>114</v>
      </c>
      <c r="E399" s="516" t="s">
        <v>816</v>
      </c>
      <c r="F399" s="535" t="s">
        <v>831</v>
      </c>
      <c r="G399" s="534">
        <v>506154</v>
      </c>
      <c r="H399" s="534">
        <v>107440.97</v>
      </c>
      <c r="I399" s="536"/>
      <c r="J399" s="536"/>
    </row>
    <row r="400" spans="1:10" ht="15.75" customHeight="1" thickBot="1" x14ac:dyDescent="0.3">
      <c r="A400" s="558">
        <v>40787</v>
      </c>
      <c r="B400" s="558">
        <v>40787</v>
      </c>
      <c r="C400" s="516" t="s">
        <v>113</v>
      </c>
      <c r="D400" s="516" t="s">
        <v>114</v>
      </c>
      <c r="E400" s="516" t="s">
        <v>827</v>
      </c>
      <c r="F400" s="516" t="s">
        <v>828</v>
      </c>
      <c r="G400" s="528"/>
      <c r="H400" s="528"/>
      <c r="I400" s="528"/>
      <c r="J400" s="529">
        <v>-4494.07</v>
      </c>
    </row>
    <row r="401" spans="1:10" ht="15.75" customHeight="1" thickBot="1" x14ac:dyDescent="0.3">
      <c r="A401" s="558">
        <v>40787</v>
      </c>
      <c r="B401" s="558">
        <v>40787</v>
      </c>
      <c r="C401" s="516" t="s">
        <v>113</v>
      </c>
      <c r="D401" s="516" t="s">
        <v>114</v>
      </c>
      <c r="E401" s="516" t="s">
        <v>829</v>
      </c>
      <c r="F401" s="516" t="s">
        <v>830</v>
      </c>
      <c r="G401" s="530"/>
      <c r="H401" s="531">
        <v>1970.33</v>
      </c>
      <c r="I401" s="530"/>
      <c r="J401" s="530"/>
    </row>
    <row r="402" spans="1:10" ht="15.75" customHeight="1" thickBot="1" x14ac:dyDescent="0.3">
      <c r="A402" s="558">
        <v>40787</v>
      </c>
      <c r="B402" s="558">
        <v>40787</v>
      </c>
      <c r="C402" s="516" t="s">
        <v>113</v>
      </c>
      <c r="D402" s="516" t="s">
        <v>114</v>
      </c>
      <c r="E402" s="532" t="s">
        <v>831</v>
      </c>
      <c r="F402" s="533"/>
      <c r="G402" s="534">
        <v>506154</v>
      </c>
      <c r="H402" s="534">
        <v>109411.3</v>
      </c>
      <c r="I402" s="534">
        <v>781</v>
      </c>
      <c r="J402" s="534">
        <v>-4494.07</v>
      </c>
    </row>
    <row r="403" spans="1:10" ht="15.75" customHeight="1" thickBot="1" x14ac:dyDescent="0.3">
      <c r="A403" s="558">
        <v>40787</v>
      </c>
      <c r="B403" s="558">
        <v>40787</v>
      </c>
      <c r="C403" s="532" t="s">
        <v>831</v>
      </c>
      <c r="D403" s="537"/>
      <c r="E403" s="537"/>
      <c r="F403" s="533"/>
      <c r="G403" s="534">
        <v>1709802</v>
      </c>
      <c r="H403" s="534">
        <v>182036.29</v>
      </c>
      <c r="I403" s="534">
        <v>1736.56</v>
      </c>
      <c r="J403" s="534">
        <v>-34348.81</v>
      </c>
    </row>
    <row r="404" spans="1:10" ht="15.75" customHeight="1" thickBot="1" x14ac:dyDescent="0.3">
      <c r="A404" s="558">
        <v>40787</v>
      </c>
      <c r="B404" s="532" t="s">
        <v>831</v>
      </c>
      <c r="C404" s="537"/>
      <c r="D404" s="537"/>
      <c r="E404" s="537"/>
      <c r="F404" s="533"/>
      <c r="G404" s="534">
        <v>7894744</v>
      </c>
      <c r="H404" s="534">
        <v>486339.74</v>
      </c>
      <c r="I404" s="534">
        <v>2526.7600000000002</v>
      </c>
      <c r="J404" s="534">
        <v>-35940.11</v>
      </c>
    </row>
    <row r="405" spans="1:10" ht="15.75" customHeight="1" thickBot="1" x14ac:dyDescent="0.3">
      <c r="A405" s="558">
        <v>40817</v>
      </c>
      <c r="B405" s="558">
        <v>40787</v>
      </c>
      <c r="C405" s="516" t="s">
        <v>97</v>
      </c>
      <c r="D405" s="516" t="s">
        <v>98</v>
      </c>
      <c r="E405" s="516" t="s">
        <v>820</v>
      </c>
      <c r="F405" s="516" t="s">
        <v>821</v>
      </c>
      <c r="G405" s="530"/>
      <c r="H405" s="531">
        <v>2530</v>
      </c>
      <c r="I405" s="530"/>
      <c r="J405" s="530"/>
    </row>
    <row r="406" spans="1:10" ht="15.75" customHeight="1" thickBot="1" x14ac:dyDescent="0.3">
      <c r="A406" s="558">
        <v>40817</v>
      </c>
      <c r="B406" s="558">
        <v>40787</v>
      </c>
      <c r="C406" s="516" t="s">
        <v>97</v>
      </c>
      <c r="D406" s="516" t="s">
        <v>98</v>
      </c>
      <c r="E406" s="516" t="s">
        <v>816</v>
      </c>
      <c r="F406" s="516" t="s">
        <v>812</v>
      </c>
      <c r="G406" s="529">
        <v>453918</v>
      </c>
      <c r="H406" s="529">
        <v>19518.48</v>
      </c>
      <c r="I406" s="528"/>
      <c r="J406" s="528"/>
    </row>
    <row r="407" spans="1:10" ht="15.75" customHeight="1" thickBot="1" x14ac:dyDescent="0.3">
      <c r="A407" s="558">
        <v>40817</v>
      </c>
      <c r="B407" s="558">
        <v>40787</v>
      </c>
      <c r="C407" s="516" t="s">
        <v>97</v>
      </c>
      <c r="D407" s="516" t="s">
        <v>98</v>
      </c>
      <c r="E407" s="516" t="s">
        <v>826</v>
      </c>
      <c r="F407" s="516" t="s">
        <v>294</v>
      </c>
      <c r="G407" s="530"/>
      <c r="H407" s="531">
        <v>435.76</v>
      </c>
      <c r="I407" s="530"/>
      <c r="J407" s="530"/>
    </row>
    <row r="408" spans="1:10" ht="15.75" customHeight="1" thickBot="1" x14ac:dyDescent="0.3">
      <c r="A408" s="558">
        <v>40817</v>
      </c>
      <c r="B408" s="558">
        <v>40787</v>
      </c>
      <c r="C408" s="516" t="s">
        <v>97</v>
      </c>
      <c r="D408" s="516" t="s">
        <v>98</v>
      </c>
      <c r="E408" s="516" t="s">
        <v>827</v>
      </c>
      <c r="F408" s="516" t="s">
        <v>828</v>
      </c>
      <c r="G408" s="528"/>
      <c r="H408" s="528"/>
      <c r="I408" s="528"/>
      <c r="J408" s="529">
        <v>-408.21</v>
      </c>
    </row>
    <row r="409" spans="1:10" ht="15.75" customHeight="1" thickBot="1" x14ac:dyDescent="0.3">
      <c r="A409" s="558">
        <v>40817</v>
      </c>
      <c r="B409" s="558">
        <v>40787</v>
      </c>
      <c r="C409" s="516" t="s">
        <v>97</v>
      </c>
      <c r="D409" s="516" t="s">
        <v>98</v>
      </c>
      <c r="E409" s="532" t="s">
        <v>831</v>
      </c>
      <c r="F409" s="533"/>
      <c r="G409" s="534">
        <v>453918</v>
      </c>
      <c r="H409" s="534">
        <v>22484.240000000002</v>
      </c>
      <c r="I409" s="534">
        <v>0</v>
      </c>
      <c r="J409" s="534">
        <v>-408.21</v>
      </c>
    </row>
    <row r="410" spans="1:10" ht="15.75" customHeight="1" thickBot="1" x14ac:dyDescent="0.3">
      <c r="A410" s="558">
        <v>40817</v>
      </c>
      <c r="B410" s="558">
        <v>40787</v>
      </c>
      <c r="C410" s="516" t="s">
        <v>106</v>
      </c>
      <c r="D410" s="516" t="s">
        <v>107</v>
      </c>
      <c r="E410" s="516" t="s">
        <v>820</v>
      </c>
      <c r="F410" s="516" t="s">
        <v>821</v>
      </c>
      <c r="G410" s="528"/>
      <c r="H410" s="529">
        <v>230</v>
      </c>
      <c r="I410" s="528"/>
      <c r="J410" s="528"/>
    </row>
    <row r="411" spans="1:10" ht="15.75" customHeight="1" thickBot="1" x14ac:dyDescent="0.3">
      <c r="A411" s="558">
        <v>40817</v>
      </c>
      <c r="B411" s="558">
        <v>40787</v>
      </c>
      <c r="C411" s="516" t="s">
        <v>106</v>
      </c>
      <c r="D411" s="516" t="s">
        <v>107</v>
      </c>
      <c r="E411" s="516" t="s">
        <v>822</v>
      </c>
      <c r="F411" s="516" t="s">
        <v>823</v>
      </c>
      <c r="G411" s="530"/>
      <c r="H411" s="530"/>
      <c r="I411" s="530"/>
      <c r="J411" s="531">
        <v>366.01</v>
      </c>
    </row>
    <row r="412" spans="1:10" ht="15.75" customHeight="1" thickBot="1" x14ac:dyDescent="0.3">
      <c r="A412" s="558">
        <v>40817</v>
      </c>
      <c r="B412" s="558">
        <v>40787</v>
      </c>
      <c r="C412" s="516" t="s">
        <v>106</v>
      </c>
      <c r="D412" s="516" t="s">
        <v>107</v>
      </c>
      <c r="E412" s="516" t="s">
        <v>832</v>
      </c>
      <c r="F412" s="516" t="s">
        <v>833</v>
      </c>
      <c r="G412" s="528"/>
      <c r="H412" s="528"/>
      <c r="I412" s="529">
        <v>781</v>
      </c>
      <c r="J412" s="528"/>
    </row>
    <row r="413" spans="1:10" ht="15.75" customHeight="1" thickBot="1" x14ac:dyDescent="0.3">
      <c r="A413" s="558">
        <v>40817</v>
      </c>
      <c r="B413" s="558">
        <v>40787</v>
      </c>
      <c r="C413" s="516" t="s">
        <v>106</v>
      </c>
      <c r="D413" s="516" t="s">
        <v>107</v>
      </c>
      <c r="E413" s="516" t="s">
        <v>825</v>
      </c>
      <c r="F413" s="516" t="s">
        <v>812</v>
      </c>
      <c r="G413" s="531">
        <v>708</v>
      </c>
      <c r="H413" s="530"/>
      <c r="I413" s="531">
        <v>3.45</v>
      </c>
      <c r="J413" s="530"/>
    </row>
    <row r="414" spans="1:10" ht="15.75" customHeight="1" thickBot="1" x14ac:dyDescent="0.3">
      <c r="A414" s="558">
        <v>40817</v>
      </c>
      <c r="B414" s="558">
        <v>40787</v>
      </c>
      <c r="C414" s="516" t="s">
        <v>106</v>
      </c>
      <c r="D414" s="516" t="s">
        <v>107</v>
      </c>
      <c r="E414" s="516" t="s">
        <v>816</v>
      </c>
      <c r="F414" s="516" t="s">
        <v>812</v>
      </c>
      <c r="G414" s="529">
        <v>2580</v>
      </c>
      <c r="H414" s="529">
        <v>12.56</v>
      </c>
      <c r="I414" s="528"/>
      <c r="J414" s="528"/>
    </row>
    <row r="415" spans="1:10" ht="15.75" customHeight="1" thickBot="1" x14ac:dyDescent="0.3">
      <c r="A415" s="558">
        <v>40817</v>
      </c>
      <c r="B415" s="558">
        <v>40787</v>
      </c>
      <c r="C415" s="516" t="s">
        <v>106</v>
      </c>
      <c r="D415" s="516" t="s">
        <v>107</v>
      </c>
      <c r="E415" s="516" t="s">
        <v>816</v>
      </c>
      <c r="F415" s="516" t="s">
        <v>834</v>
      </c>
      <c r="G415" s="530"/>
      <c r="H415" s="531">
        <v>18225</v>
      </c>
      <c r="I415" s="530"/>
      <c r="J415" s="530"/>
    </row>
    <row r="416" spans="1:10" ht="15.75" customHeight="1" thickBot="1" x14ac:dyDescent="0.3">
      <c r="A416" s="558">
        <v>40817</v>
      </c>
      <c r="B416" s="558">
        <v>40787</v>
      </c>
      <c r="C416" s="516" t="s">
        <v>106</v>
      </c>
      <c r="D416" s="516" t="s">
        <v>107</v>
      </c>
      <c r="E416" s="516" t="s">
        <v>816</v>
      </c>
      <c r="F416" s="535" t="s">
        <v>831</v>
      </c>
      <c r="G416" s="534">
        <v>2580</v>
      </c>
      <c r="H416" s="534">
        <v>18237.560000000001</v>
      </c>
      <c r="I416" s="536"/>
      <c r="J416" s="536"/>
    </row>
    <row r="417" spans="1:10" ht="15.75" customHeight="1" thickBot="1" x14ac:dyDescent="0.3">
      <c r="A417" s="558">
        <v>40817</v>
      </c>
      <c r="B417" s="558">
        <v>40787</v>
      </c>
      <c r="C417" s="516" t="s">
        <v>106</v>
      </c>
      <c r="D417" s="516" t="s">
        <v>107</v>
      </c>
      <c r="E417" s="516" t="s">
        <v>829</v>
      </c>
      <c r="F417" s="516" t="s">
        <v>830</v>
      </c>
      <c r="G417" s="530"/>
      <c r="H417" s="531">
        <v>185.42</v>
      </c>
      <c r="I417" s="530"/>
      <c r="J417" s="530"/>
    </row>
    <row r="418" spans="1:10" ht="15.75" customHeight="1" thickBot="1" x14ac:dyDescent="0.3">
      <c r="A418" s="558">
        <v>40817</v>
      </c>
      <c r="B418" s="558">
        <v>40787</v>
      </c>
      <c r="C418" s="516" t="s">
        <v>106</v>
      </c>
      <c r="D418" s="516" t="s">
        <v>107</v>
      </c>
      <c r="E418" s="532" t="s">
        <v>831</v>
      </c>
      <c r="F418" s="533"/>
      <c r="G418" s="534">
        <v>3288</v>
      </c>
      <c r="H418" s="534">
        <v>18652.98</v>
      </c>
      <c r="I418" s="534">
        <v>784.45</v>
      </c>
      <c r="J418" s="534">
        <v>366.01</v>
      </c>
    </row>
    <row r="419" spans="1:10" ht="15.75" thickBot="1" x14ac:dyDescent="0.3">
      <c r="A419" s="558">
        <v>40817</v>
      </c>
      <c r="B419" s="558">
        <v>40787</v>
      </c>
      <c r="C419" s="516" t="s">
        <v>99</v>
      </c>
      <c r="D419" s="516" t="s">
        <v>100</v>
      </c>
      <c r="E419" s="516" t="s">
        <v>820</v>
      </c>
      <c r="F419" s="516" t="s">
        <v>821</v>
      </c>
      <c r="G419" s="530"/>
      <c r="H419" s="531">
        <v>13110</v>
      </c>
      <c r="I419" s="530"/>
      <c r="J419" s="530"/>
    </row>
    <row r="420" spans="1:10" ht="15.75" thickBot="1" x14ac:dyDescent="0.3">
      <c r="A420" s="558">
        <v>40817</v>
      </c>
      <c r="B420" s="558">
        <v>40787</v>
      </c>
      <c r="C420" s="516" t="s">
        <v>99</v>
      </c>
      <c r="D420" s="516" t="s">
        <v>100</v>
      </c>
      <c r="E420" s="516" t="s">
        <v>822</v>
      </c>
      <c r="F420" s="516" t="s">
        <v>823</v>
      </c>
      <c r="G420" s="528"/>
      <c r="H420" s="528"/>
      <c r="I420" s="528"/>
      <c r="J420" s="529">
        <v>1203.46</v>
      </c>
    </row>
    <row r="421" spans="1:10" ht="15.75" thickBot="1" x14ac:dyDescent="0.3">
      <c r="A421" s="558">
        <v>40817</v>
      </c>
      <c r="B421" s="558">
        <v>40787</v>
      </c>
      <c r="C421" s="516" t="s">
        <v>99</v>
      </c>
      <c r="D421" s="516" t="s">
        <v>100</v>
      </c>
      <c r="E421" s="516" t="s">
        <v>825</v>
      </c>
      <c r="F421" s="516" t="s">
        <v>812</v>
      </c>
      <c r="G421" s="531">
        <v>2835</v>
      </c>
      <c r="H421" s="530"/>
      <c r="I421" s="531">
        <v>121.91</v>
      </c>
      <c r="J421" s="530"/>
    </row>
    <row r="422" spans="1:10" ht="15.75" thickBot="1" x14ac:dyDescent="0.3">
      <c r="A422" s="558">
        <v>40817</v>
      </c>
      <c r="B422" s="558">
        <v>40787</v>
      </c>
      <c r="C422" s="516" t="s">
        <v>99</v>
      </c>
      <c r="D422" s="516" t="s">
        <v>100</v>
      </c>
      <c r="E422" s="516" t="s">
        <v>816</v>
      </c>
      <c r="F422" s="516" t="s">
        <v>812</v>
      </c>
      <c r="G422" s="529">
        <v>5552885</v>
      </c>
      <c r="H422" s="529">
        <v>238774.11</v>
      </c>
      <c r="I422" s="528"/>
      <c r="J422" s="528"/>
    </row>
    <row r="423" spans="1:10" ht="15.75" thickBot="1" x14ac:dyDescent="0.3">
      <c r="A423" s="558">
        <v>40817</v>
      </c>
      <c r="B423" s="558">
        <v>40787</v>
      </c>
      <c r="C423" s="516" t="s">
        <v>99</v>
      </c>
      <c r="D423" s="516" t="s">
        <v>100</v>
      </c>
      <c r="E423" s="516" t="s">
        <v>827</v>
      </c>
      <c r="F423" s="516" t="s">
        <v>828</v>
      </c>
      <c r="G423" s="530"/>
      <c r="H423" s="530"/>
      <c r="I423" s="530"/>
      <c r="J423" s="531">
        <v>-1163.58</v>
      </c>
    </row>
    <row r="424" spans="1:10" ht="15.75" thickBot="1" x14ac:dyDescent="0.3">
      <c r="A424" s="558">
        <v>40817</v>
      </c>
      <c r="B424" s="558">
        <v>40787</v>
      </c>
      <c r="C424" s="516" t="s">
        <v>99</v>
      </c>
      <c r="D424" s="516" t="s">
        <v>100</v>
      </c>
      <c r="E424" s="516" t="s">
        <v>829</v>
      </c>
      <c r="F424" s="516" t="s">
        <v>830</v>
      </c>
      <c r="G424" s="528"/>
      <c r="H424" s="529">
        <v>3803.61</v>
      </c>
      <c r="I424" s="528"/>
      <c r="J424" s="528"/>
    </row>
    <row r="425" spans="1:10" ht="15.75" thickBot="1" x14ac:dyDescent="0.3">
      <c r="A425" s="558">
        <v>40817</v>
      </c>
      <c r="B425" s="558">
        <v>40787</v>
      </c>
      <c r="C425" s="516" t="s">
        <v>99</v>
      </c>
      <c r="D425" s="516" t="s">
        <v>100</v>
      </c>
      <c r="E425" s="532" t="s">
        <v>831</v>
      </c>
      <c r="F425" s="533"/>
      <c r="G425" s="534">
        <v>5555720</v>
      </c>
      <c r="H425" s="534">
        <v>255687.72</v>
      </c>
      <c r="I425" s="534">
        <v>121.91</v>
      </c>
      <c r="J425" s="534">
        <v>39.880000000000003</v>
      </c>
    </row>
    <row r="426" spans="1:10" ht="15.75" customHeight="1" thickBot="1" x14ac:dyDescent="0.3">
      <c r="A426" s="558">
        <v>40817</v>
      </c>
      <c r="B426" s="558">
        <v>40787</v>
      </c>
      <c r="C426" s="532" t="s">
        <v>831</v>
      </c>
      <c r="D426" s="537"/>
      <c r="E426" s="537"/>
      <c r="F426" s="533"/>
      <c r="G426" s="534">
        <v>6012926</v>
      </c>
      <c r="H426" s="534">
        <v>296824.94</v>
      </c>
      <c r="I426" s="534">
        <v>906.36</v>
      </c>
      <c r="J426" s="534">
        <v>-2.3199999999999998</v>
      </c>
    </row>
    <row r="427" spans="1:10" ht="15.75" customHeight="1" thickBot="1" x14ac:dyDescent="0.3">
      <c r="A427" s="558">
        <v>40817</v>
      </c>
      <c r="B427" s="558">
        <v>40817</v>
      </c>
      <c r="C427" s="516" t="s">
        <v>97</v>
      </c>
      <c r="D427" s="516" t="s">
        <v>98</v>
      </c>
      <c r="E427" s="516" t="s">
        <v>820</v>
      </c>
      <c r="F427" s="516" t="s">
        <v>821</v>
      </c>
      <c r="G427" s="530"/>
      <c r="H427" s="531">
        <v>230</v>
      </c>
      <c r="I427" s="530"/>
      <c r="J427" s="530"/>
    </row>
    <row r="428" spans="1:10" ht="15.75" customHeight="1" thickBot="1" x14ac:dyDescent="0.3">
      <c r="A428" s="558">
        <v>40817</v>
      </c>
      <c r="B428" s="558">
        <v>40817</v>
      </c>
      <c r="C428" s="516" t="s">
        <v>97</v>
      </c>
      <c r="D428" s="516" t="s">
        <v>98</v>
      </c>
      <c r="E428" s="516" t="s">
        <v>822</v>
      </c>
      <c r="F428" s="516" t="s">
        <v>823</v>
      </c>
      <c r="G428" s="528"/>
      <c r="H428" s="528"/>
      <c r="I428" s="528"/>
      <c r="J428" s="529">
        <v>25.05</v>
      </c>
    </row>
    <row r="429" spans="1:10" ht="15.75" customHeight="1" thickBot="1" x14ac:dyDescent="0.3">
      <c r="A429" s="558">
        <v>40817</v>
      </c>
      <c r="B429" s="558">
        <v>40817</v>
      </c>
      <c r="C429" s="516" t="s">
        <v>97</v>
      </c>
      <c r="D429" s="516" t="s">
        <v>98</v>
      </c>
      <c r="E429" s="516" t="s">
        <v>824</v>
      </c>
      <c r="F429" s="516" t="s">
        <v>294</v>
      </c>
      <c r="G429" s="530"/>
      <c r="H429" s="531">
        <v>0.06</v>
      </c>
      <c r="I429" s="530"/>
      <c r="J429" s="530"/>
    </row>
    <row r="430" spans="1:10" ht="15.75" customHeight="1" thickBot="1" x14ac:dyDescent="0.3">
      <c r="A430" s="558">
        <v>40817</v>
      </c>
      <c r="B430" s="558">
        <v>40817</v>
      </c>
      <c r="C430" s="516" t="s">
        <v>97</v>
      </c>
      <c r="D430" s="516" t="s">
        <v>98</v>
      </c>
      <c r="E430" s="516" t="s">
        <v>825</v>
      </c>
      <c r="F430" s="516" t="s">
        <v>812</v>
      </c>
      <c r="G430" s="529">
        <v>59</v>
      </c>
      <c r="H430" s="528"/>
      <c r="I430" s="529">
        <v>2.54</v>
      </c>
      <c r="J430" s="528"/>
    </row>
    <row r="431" spans="1:10" ht="15.75" customHeight="1" thickBot="1" x14ac:dyDescent="0.3">
      <c r="A431" s="558">
        <v>40817</v>
      </c>
      <c r="B431" s="558">
        <v>40817</v>
      </c>
      <c r="C431" s="516" t="s">
        <v>97</v>
      </c>
      <c r="D431" s="516" t="s">
        <v>98</v>
      </c>
      <c r="E431" s="516" t="s">
        <v>816</v>
      </c>
      <c r="F431" s="516" t="s">
        <v>812</v>
      </c>
      <c r="G431" s="531">
        <v>27010</v>
      </c>
      <c r="H431" s="531">
        <v>1161.43</v>
      </c>
      <c r="I431" s="530"/>
      <c r="J431" s="530"/>
    </row>
    <row r="432" spans="1:10" ht="15.75" customHeight="1" thickBot="1" x14ac:dyDescent="0.3">
      <c r="A432" s="558">
        <v>40817</v>
      </c>
      <c r="B432" s="558">
        <v>40817</v>
      </c>
      <c r="C432" s="516" t="s">
        <v>97</v>
      </c>
      <c r="D432" s="516" t="s">
        <v>98</v>
      </c>
      <c r="E432" s="516" t="s">
        <v>826</v>
      </c>
      <c r="F432" s="516" t="s">
        <v>294</v>
      </c>
      <c r="G432" s="528"/>
      <c r="H432" s="529">
        <v>25.93</v>
      </c>
      <c r="I432" s="528"/>
      <c r="J432" s="528"/>
    </row>
    <row r="433" spans="1:10" ht="15.75" customHeight="1" thickBot="1" x14ac:dyDescent="0.3">
      <c r="A433" s="558">
        <v>40817</v>
      </c>
      <c r="B433" s="558">
        <v>40817</v>
      </c>
      <c r="C433" s="516" t="s">
        <v>97</v>
      </c>
      <c r="D433" s="516" t="s">
        <v>98</v>
      </c>
      <c r="E433" s="516" t="s">
        <v>829</v>
      </c>
      <c r="F433" s="516" t="s">
        <v>830</v>
      </c>
      <c r="G433" s="530"/>
      <c r="H433" s="531">
        <v>29.28</v>
      </c>
      <c r="I433" s="530"/>
      <c r="J433" s="530"/>
    </row>
    <row r="434" spans="1:10" ht="15.75" customHeight="1" thickBot="1" x14ac:dyDescent="0.3">
      <c r="A434" s="558">
        <v>40817</v>
      </c>
      <c r="B434" s="558">
        <v>40817</v>
      </c>
      <c r="C434" s="516" t="s">
        <v>97</v>
      </c>
      <c r="D434" s="516" t="s">
        <v>98</v>
      </c>
      <c r="E434" s="532" t="s">
        <v>831</v>
      </c>
      <c r="F434" s="533"/>
      <c r="G434" s="534">
        <v>27069</v>
      </c>
      <c r="H434" s="534">
        <v>1446.7</v>
      </c>
      <c r="I434" s="534">
        <v>2.54</v>
      </c>
      <c r="J434" s="534">
        <v>25.05</v>
      </c>
    </row>
    <row r="435" spans="1:10" ht="15.75" customHeight="1" thickBot="1" x14ac:dyDescent="0.3">
      <c r="A435" s="558">
        <v>40817</v>
      </c>
      <c r="B435" s="558">
        <v>40817</v>
      </c>
      <c r="C435" s="516" t="s">
        <v>63</v>
      </c>
      <c r="D435" s="516" t="s">
        <v>64</v>
      </c>
      <c r="E435" s="516" t="s">
        <v>820</v>
      </c>
      <c r="F435" s="516" t="s">
        <v>821</v>
      </c>
      <c r="G435" s="530"/>
      <c r="H435" s="531">
        <v>153</v>
      </c>
      <c r="I435" s="530"/>
      <c r="J435" s="530"/>
    </row>
    <row r="436" spans="1:10" ht="15.75" customHeight="1" thickBot="1" x14ac:dyDescent="0.3">
      <c r="A436" s="558">
        <v>40817</v>
      </c>
      <c r="B436" s="558">
        <v>40817</v>
      </c>
      <c r="C436" s="516" t="s">
        <v>63</v>
      </c>
      <c r="D436" s="516" t="s">
        <v>64</v>
      </c>
      <c r="E436" s="516" t="s">
        <v>832</v>
      </c>
      <c r="F436" s="516" t="s">
        <v>833</v>
      </c>
      <c r="G436" s="528"/>
      <c r="H436" s="528"/>
      <c r="I436" s="529">
        <v>170</v>
      </c>
      <c r="J436" s="528"/>
    </row>
    <row r="437" spans="1:10" ht="15.75" customHeight="1" thickBot="1" x14ac:dyDescent="0.3">
      <c r="A437" s="558">
        <v>40817</v>
      </c>
      <c r="B437" s="558">
        <v>40817</v>
      </c>
      <c r="C437" s="516" t="s">
        <v>63</v>
      </c>
      <c r="D437" s="516" t="s">
        <v>64</v>
      </c>
      <c r="E437" s="516" t="s">
        <v>824</v>
      </c>
      <c r="F437" s="516" t="s">
        <v>294</v>
      </c>
      <c r="G437" s="530"/>
      <c r="H437" s="531">
        <v>0.94</v>
      </c>
      <c r="I437" s="530"/>
      <c r="J437" s="530"/>
    </row>
    <row r="438" spans="1:10" ht="15.75" customHeight="1" thickBot="1" x14ac:dyDescent="0.3">
      <c r="A438" s="558">
        <v>40817</v>
      </c>
      <c r="B438" s="558">
        <v>40817</v>
      </c>
      <c r="C438" s="516" t="s">
        <v>63</v>
      </c>
      <c r="D438" s="516" t="s">
        <v>64</v>
      </c>
      <c r="E438" s="516" t="s">
        <v>825</v>
      </c>
      <c r="F438" s="516" t="s">
        <v>812</v>
      </c>
      <c r="G438" s="529">
        <v>980</v>
      </c>
      <c r="H438" s="528"/>
      <c r="I438" s="529">
        <v>183.48</v>
      </c>
      <c r="J438" s="528"/>
    </row>
    <row r="439" spans="1:10" ht="15.75" customHeight="1" thickBot="1" x14ac:dyDescent="0.3">
      <c r="A439" s="558">
        <v>40817</v>
      </c>
      <c r="B439" s="558">
        <v>40817</v>
      </c>
      <c r="C439" s="516" t="s">
        <v>63</v>
      </c>
      <c r="D439" s="516" t="s">
        <v>64</v>
      </c>
      <c r="E439" s="516" t="s">
        <v>292</v>
      </c>
      <c r="F439" s="516" t="s">
        <v>292</v>
      </c>
      <c r="G439" s="530"/>
      <c r="H439" s="531">
        <v>549.29</v>
      </c>
      <c r="I439" s="530"/>
      <c r="J439" s="530"/>
    </row>
    <row r="440" spans="1:10" ht="15.75" customHeight="1" thickBot="1" x14ac:dyDescent="0.3">
      <c r="A440" s="558">
        <v>40817</v>
      </c>
      <c r="B440" s="558">
        <v>40817</v>
      </c>
      <c r="C440" s="516" t="s">
        <v>63</v>
      </c>
      <c r="D440" s="516" t="s">
        <v>64</v>
      </c>
      <c r="E440" s="532" t="s">
        <v>831</v>
      </c>
      <c r="F440" s="533"/>
      <c r="G440" s="534">
        <v>980</v>
      </c>
      <c r="H440" s="534">
        <v>703.23</v>
      </c>
      <c r="I440" s="534">
        <v>353.48</v>
      </c>
      <c r="J440" s="534">
        <v>0</v>
      </c>
    </row>
    <row r="441" spans="1:10" ht="15.75" customHeight="1" thickBot="1" x14ac:dyDescent="0.3">
      <c r="A441" s="558">
        <v>40817</v>
      </c>
      <c r="B441" s="558">
        <v>40817</v>
      </c>
      <c r="C441" s="516" t="s">
        <v>66</v>
      </c>
      <c r="D441" s="516" t="s">
        <v>67</v>
      </c>
      <c r="E441" s="516" t="s">
        <v>820</v>
      </c>
      <c r="F441" s="516" t="s">
        <v>821</v>
      </c>
      <c r="G441" s="530"/>
      <c r="H441" s="531">
        <v>306</v>
      </c>
      <c r="I441" s="530"/>
      <c r="J441" s="530"/>
    </row>
    <row r="442" spans="1:10" ht="15.75" customHeight="1" thickBot="1" x14ac:dyDescent="0.3">
      <c r="A442" s="558">
        <v>40817</v>
      </c>
      <c r="B442" s="558">
        <v>40817</v>
      </c>
      <c r="C442" s="516" t="s">
        <v>66</v>
      </c>
      <c r="D442" s="516" t="s">
        <v>67</v>
      </c>
      <c r="E442" s="516" t="s">
        <v>832</v>
      </c>
      <c r="F442" s="516" t="s">
        <v>833</v>
      </c>
      <c r="G442" s="528"/>
      <c r="H442" s="528"/>
      <c r="I442" s="529">
        <v>340</v>
      </c>
      <c r="J442" s="528"/>
    </row>
    <row r="443" spans="1:10" ht="15.75" customHeight="1" thickBot="1" x14ac:dyDescent="0.3">
      <c r="A443" s="558">
        <v>40817</v>
      </c>
      <c r="B443" s="558">
        <v>40817</v>
      </c>
      <c r="C443" s="516" t="s">
        <v>66</v>
      </c>
      <c r="D443" s="516" t="s">
        <v>67</v>
      </c>
      <c r="E443" s="516" t="s">
        <v>825</v>
      </c>
      <c r="F443" s="516" t="s">
        <v>812</v>
      </c>
      <c r="G443" s="531">
        <v>22109</v>
      </c>
      <c r="H443" s="530"/>
      <c r="I443" s="531">
        <v>3200.12</v>
      </c>
      <c r="J443" s="530"/>
    </row>
    <row r="444" spans="1:10" ht="15.75" customHeight="1" thickBot="1" x14ac:dyDescent="0.3">
      <c r="A444" s="558">
        <v>40817</v>
      </c>
      <c r="B444" s="558">
        <v>40817</v>
      </c>
      <c r="C444" s="516" t="s">
        <v>66</v>
      </c>
      <c r="D444" s="516" t="s">
        <v>67</v>
      </c>
      <c r="E444" s="516" t="s">
        <v>816</v>
      </c>
      <c r="F444" s="516" t="s">
        <v>812</v>
      </c>
      <c r="G444" s="529">
        <v>46030</v>
      </c>
      <c r="H444" s="529">
        <v>6554.32</v>
      </c>
      <c r="I444" s="528"/>
      <c r="J444" s="528"/>
    </row>
    <row r="445" spans="1:10" ht="15.75" customHeight="1" thickBot="1" x14ac:dyDescent="0.3">
      <c r="A445" s="558">
        <v>40817</v>
      </c>
      <c r="B445" s="558">
        <v>40817</v>
      </c>
      <c r="C445" s="516" t="s">
        <v>66</v>
      </c>
      <c r="D445" s="516" t="s">
        <v>67</v>
      </c>
      <c r="E445" s="516" t="s">
        <v>816</v>
      </c>
      <c r="F445" s="516" t="s">
        <v>835</v>
      </c>
      <c r="G445" s="530"/>
      <c r="H445" s="531">
        <v>4042.82</v>
      </c>
      <c r="I445" s="530"/>
      <c r="J445" s="530"/>
    </row>
    <row r="446" spans="1:10" ht="15.75" customHeight="1" thickBot="1" x14ac:dyDescent="0.3">
      <c r="A446" s="558">
        <v>40817</v>
      </c>
      <c r="B446" s="558">
        <v>40817</v>
      </c>
      <c r="C446" s="516" t="s">
        <v>66</v>
      </c>
      <c r="D446" s="516" t="s">
        <v>67</v>
      </c>
      <c r="E446" s="516" t="s">
        <v>816</v>
      </c>
      <c r="F446" s="535" t="s">
        <v>831</v>
      </c>
      <c r="G446" s="534">
        <v>46030</v>
      </c>
      <c r="H446" s="534">
        <v>10597.14</v>
      </c>
      <c r="I446" s="536"/>
      <c r="J446" s="536"/>
    </row>
    <row r="447" spans="1:10" ht="15.75" customHeight="1" thickBot="1" x14ac:dyDescent="0.3">
      <c r="A447" s="558">
        <v>40817</v>
      </c>
      <c r="B447" s="558">
        <v>40817</v>
      </c>
      <c r="C447" s="516" t="s">
        <v>66</v>
      </c>
      <c r="D447" s="516" t="s">
        <v>67</v>
      </c>
      <c r="E447" s="516" t="s">
        <v>292</v>
      </c>
      <c r="F447" s="516" t="s">
        <v>292</v>
      </c>
      <c r="G447" s="530"/>
      <c r="H447" s="531">
        <v>12392.09</v>
      </c>
      <c r="I447" s="530"/>
      <c r="J447" s="530"/>
    </row>
    <row r="448" spans="1:10" ht="15.75" customHeight="1" thickBot="1" x14ac:dyDescent="0.3">
      <c r="A448" s="558">
        <v>40817</v>
      </c>
      <c r="B448" s="558">
        <v>40817</v>
      </c>
      <c r="C448" s="516" t="s">
        <v>66</v>
      </c>
      <c r="D448" s="516" t="s">
        <v>67</v>
      </c>
      <c r="E448" s="532" t="s">
        <v>831</v>
      </c>
      <c r="F448" s="533"/>
      <c r="G448" s="534">
        <v>68139</v>
      </c>
      <c r="H448" s="534">
        <v>23295.23</v>
      </c>
      <c r="I448" s="534">
        <v>3540.12</v>
      </c>
      <c r="J448" s="534">
        <v>0</v>
      </c>
    </row>
    <row r="449" spans="1:10" ht="15.75" thickBot="1" x14ac:dyDescent="0.3">
      <c r="A449" s="558">
        <v>40817</v>
      </c>
      <c r="B449" s="558">
        <v>40817</v>
      </c>
      <c r="C449" s="516" t="s">
        <v>99</v>
      </c>
      <c r="D449" s="516" t="s">
        <v>100</v>
      </c>
      <c r="E449" s="516" t="s">
        <v>820</v>
      </c>
      <c r="F449" s="516" t="s">
        <v>821</v>
      </c>
      <c r="G449" s="530"/>
      <c r="H449" s="531">
        <v>920</v>
      </c>
      <c r="I449" s="530"/>
      <c r="J449" s="530"/>
    </row>
    <row r="450" spans="1:10" ht="15.75" thickBot="1" x14ac:dyDescent="0.3">
      <c r="A450" s="558">
        <v>40817</v>
      </c>
      <c r="B450" s="558">
        <v>40817</v>
      </c>
      <c r="C450" s="516" t="s">
        <v>99</v>
      </c>
      <c r="D450" s="516" t="s">
        <v>100</v>
      </c>
      <c r="E450" s="516" t="s">
        <v>816</v>
      </c>
      <c r="F450" s="516" t="s">
        <v>812</v>
      </c>
      <c r="G450" s="529">
        <v>888595</v>
      </c>
      <c r="H450" s="529">
        <v>38209.589999999997</v>
      </c>
      <c r="I450" s="528"/>
      <c r="J450" s="528"/>
    </row>
    <row r="451" spans="1:10" ht="15.75" thickBot="1" x14ac:dyDescent="0.3">
      <c r="A451" s="558">
        <v>40817</v>
      </c>
      <c r="B451" s="558">
        <v>40817</v>
      </c>
      <c r="C451" s="516" t="s">
        <v>99</v>
      </c>
      <c r="D451" s="516" t="s">
        <v>100</v>
      </c>
      <c r="E451" s="532" t="s">
        <v>831</v>
      </c>
      <c r="F451" s="533"/>
      <c r="G451" s="534">
        <v>888595</v>
      </c>
      <c r="H451" s="534">
        <v>39129.589999999997</v>
      </c>
      <c r="I451" s="534">
        <v>0</v>
      </c>
      <c r="J451" s="534">
        <v>0</v>
      </c>
    </row>
    <row r="452" spans="1:10" ht="15.75" customHeight="1" thickBot="1" x14ac:dyDescent="0.3">
      <c r="A452" s="558">
        <v>40817</v>
      </c>
      <c r="B452" s="558">
        <v>40817</v>
      </c>
      <c r="C452" s="516" t="s">
        <v>102</v>
      </c>
      <c r="D452" s="516" t="s">
        <v>103</v>
      </c>
      <c r="E452" s="516" t="s">
        <v>820</v>
      </c>
      <c r="F452" s="516" t="s">
        <v>821</v>
      </c>
      <c r="G452" s="528"/>
      <c r="H452" s="529">
        <v>5175</v>
      </c>
      <c r="I452" s="528"/>
      <c r="J452" s="528"/>
    </row>
    <row r="453" spans="1:10" ht="15.75" customHeight="1" thickBot="1" x14ac:dyDescent="0.3">
      <c r="A453" s="558">
        <v>40817</v>
      </c>
      <c r="B453" s="558">
        <v>40817</v>
      </c>
      <c r="C453" s="516" t="s">
        <v>102</v>
      </c>
      <c r="D453" s="516" t="s">
        <v>103</v>
      </c>
      <c r="E453" s="516" t="s">
        <v>822</v>
      </c>
      <c r="F453" s="516" t="s">
        <v>823</v>
      </c>
      <c r="G453" s="530"/>
      <c r="H453" s="530"/>
      <c r="I453" s="530"/>
      <c r="J453" s="531">
        <v>40956.61</v>
      </c>
    </row>
    <row r="454" spans="1:10" ht="15.75" customHeight="1" thickBot="1" x14ac:dyDescent="0.3">
      <c r="A454" s="558">
        <v>40817</v>
      </c>
      <c r="B454" s="558">
        <v>40817</v>
      </c>
      <c r="C454" s="516" t="s">
        <v>102</v>
      </c>
      <c r="D454" s="516" t="s">
        <v>103</v>
      </c>
      <c r="E454" s="516" t="s">
        <v>827</v>
      </c>
      <c r="F454" s="516" t="s">
        <v>828</v>
      </c>
      <c r="G454" s="528"/>
      <c r="H454" s="528"/>
      <c r="I454" s="528"/>
      <c r="J454" s="529">
        <v>-9209.41</v>
      </c>
    </row>
    <row r="455" spans="1:10" ht="15.75" customHeight="1" thickBot="1" x14ac:dyDescent="0.3">
      <c r="A455" s="558">
        <v>40817</v>
      </c>
      <c r="B455" s="558">
        <v>40817</v>
      </c>
      <c r="C455" s="516" t="s">
        <v>102</v>
      </c>
      <c r="D455" s="516" t="s">
        <v>103</v>
      </c>
      <c r="E455" s="516" t="s">
        <v>829</v>
      </c>
      <c r="F455" s="516" t="s">
        <v>830</v>
      </c>
      <c r="G455" s="530"/>
      <c r="H455" s="531">
        <v>21988.84</v>
      </c>
      <c r="I455" s="530"/>
      <c r="J455" s="530"/>
    </row>
    <row r="456" spans="1:10" ht="15.75" customHeight="1" thickBot="1" x14ac:dyDescent="0.3">
      <c r="A456" s="558">
        <v>40817</v>
      </c>
      <c r="B456" s="558">
        <v>40817</v>
      </c>
      <c r="C456" s="516" t="s">
        <v>102</v>
      </c>
      <c r="D456" s="516" t="s">
        <v>103</v>
      </c>
      <c r="E456" s="532" t="s">
        <v>831</v>
      </c>
      <c r="F456" s="533"/>
      <c r="G456" s="536"/>
      <c r="H456" s="534">
        <v>27163.84</v>
      </c>
      <c r="I456" s="536"/>
      <c r="J456" s="534">
        <v>31747.200000000001</v>
      </c>
    </row>
    <row r="457" spans="1:10" ht="15.75" customHeight="1" thickBot="1" x14ac:dyDescent="0.3">
      <c r="A457" s="558">
        <v>40817</v>
      </c>
      <c r="B457" s="558">
        <v>40817</v>
      </c>
      <c r="C457" s="516" t="s">
        <v>109</v>
      </c>
      <c r="D457" s="516" t="s">
        <v>110</v>
      </c>
      <c r="E457" s="516" t="s">
        <v>820</v>
      </c>
      <c r="F457" s="516" t="s">
        <v>821</v>
      </c>
      <c r="G457" s="530"/>
      <c r="H457" s="531">
        <v>230</v>
      </c>
      <c r="I457" s="530"/>
      <c r="J457" s="530"/>
    </row>
    <row r="458" spans="1:10" ht="15.75" customHeight="1" thickBot="1" x14ac:dyDescent="0.3">
      <c r="A458" s="558">
        <v>40817</v>
      </c>
      <c r="B458" s="558">
        <v>40817</v>
      </c>
      <c r="C458" s="516" t="s">
        <v>109</v>
      </c>
      <c r="D458" s="516" t="s">
        <v>110</v>
      </c>
      <c r="E458" s="516" t="s">
        <v>832</v>
      </c>
      <c r="F458" s="516" t="s">
        <v>833</v>
      </c>
      <c r="G458" s="528"/>
      <c r="H458" s="528"/>
      <c r="I458" s="529">
        <v>275</v>
      </c>
      <c r="J458" s="528"/>
    </row>
    <row r="459" spans="1:10" ht="15.75" customHeight="1" thickBot="1" x14ac:dyDescent="0.3">
      <c r="A459" s="558">
        <v>40817</v>
      </c>
      <c r="B459" s="558">
        <v>40817</v>
      </c>
      <c r="C459" s="516" t="s">
        <v>109</v>
      </c>
      <c r="D459" s="516" t="s">
        <v>110</v>
      </c>
      <c r="E459" s="516" t="s">
        <v>816</v>
      </c>
      <c r="F459" s="516" t="s">
        <v>812</v>
      </c>
      <c r="G459" s="531">
        <v>425848</v>
      </c>
      <c r="H459" s="531">
        <v>4467.1499999999996</v>
      </c>
      <c r="I459" s="530"/>
      <c r="J459" s="530"/>
    </row>
    <row r="460" spans="1:10" ht="15.75" customHeight="1" thickBot="1" x14ac:dyDescent="0.3">
      <c r="A460" s="558">
        <v>40817</v>
      </c>
      <c r="B460" s="558">
        <v>40817</v>
      </c>
      <c r="C460" s="516" t="s">
        <v>109</v>
      </c>
      <c r="D460" s="516" t="s">
        <v>110</v>
      </c>
      <c r="E460" s="516" t="s">
        <v>816</v>
      </c>
      <c r="F460" s="516" t="s">
        <v>834</v>
      </c>
      <c r="G460" s="528"/>
      <c r="H460" s="529">
        <v>6369.83</v>
      </c>
      <c r="I460" s="528"/>
      <c r="J460" s="528"/>
    </row>
    <row r="461" spans="1:10" ht="15.75" customHeight="1" thickBot="1" x14ac:dyDescent="0.3">
      <c r="A461" s="558">
        <v>40817</v>
      </c>
      <c r="B461" s="558">
        <v>40817</v>
      </c>
      <c r="C461" s="516" t="s">
        <v>109</v>
      </c>
      <c r="D461" s="516" t="s">
        <v>110</v>
      </c>
      <c r="E461" s="516" t="s">
        <v>816</v>
      </c>
      <c r="F461" s="535" t="s">
        <v>831</v>
      </c>
      <c r="G461" s="534">
        <v>425848</v>
      </c>
      <c r="H461" s="534">
        <v>10836.98</v>
      </c>
      <c r="I461" s="536"/>
      <c r="J461" s="536"/>
    </row>
    <row r="462" spans="1:10" ht="15.75" customHeight="1" thickBot="1" x14ac:dyDescent="0.3">
      <c r="A462" s="558">
        <v>40817</v>
      </c>
      <c r="B462" s="558">
        <v>40817</v>
      </c>
      <c r="C462" s="516" t="s">
        <v>109</v>
      </c>
      <c r="D462" s="516" t="s">
        <v>110</v>
      </c>
      <c r="E462" s="516" t="s">
        <v>827</v>
      </c>
      <c r="F462" s="516" t="s">
        <v>828</v>
      </c>
      <c r="G462" s="528"/>
      <c r="H462" s="528"/>
      <c r="I462" s="528"/>
      <c r="J462" s="529">
        <v>-3616.62</v>
      </c>
    </row>
    <row r="463" spans="1:10" ht="15.75" customHeight="1" thickBot="1" x14ac:dyDescent="0.3">
      <c r="A463" s="558">
        <v>40817</v>
      </c>
      <c r="B463" s="558">
        <v>40817</v>
      </c>
      <c r="C463" s="516" t="s">
        <v>109</v>
      </c>
      <c r="D463" s="516" t="s">
        <v>110</v>
      </c>
      <c r="E463" s="516" t="s">
        <v>829</v>
      </c>
      <c r="F463" s="516" t="s">
        <v>830</v>
      </c>
      <c r="G463" s="530"/>
      <c r="H463" s="531">
        <v>1395.37</v>
      </c>
      <c r="I463" s="530"/>
      <c r="J463" s="530"/>
    </row>
    <row r="464" spans="1:10" ht="15.75" customHeight="1" thickBot="1" x14ac:dyDescent="0.3">
      <c r="A464" s="558">
        <v>40817</v>
      </c>
      <c r="B464" s="558">
        <v>40817</v>
      </c>
      <c r="C464" s="516" t="s">
        <v>109</v>
      </c>
      <c r="D464" s="516" t="s">
        <v>110</v>
      </c>
      <c r="E464" s="532" t="s">
        <v>831</v>
      </c>
      <c r="F464" s="533"/>
      <c r="G464" s="534">
        <v>425848</v>
      </c>
      <c r="H464" s="534">
        <v>12462.35</v>
      </c>
      <c r="I464" s="534">
        <v>275</v>
      </c>
      <c r="J464" s="534">
        <v>-3616.62</v>
      </c>
    </row>
    <row r="465" spans="1:10" ht="15.75" customHeight="1" thickBot="1" x14ac:dyDescent="0.3">
      <c r="A465" s="558">
        <v>40817</v>
      </c>
      <c r="B465" s="558">
        <v>40817</v>
      </c>
      <c r="C465" s="516" t="s">
        <v>113</v>
      </c>
      <c r="D465" s="516" t="s">
        <v>114</v>
      </c>
      <c r="E465" s="516" t="s">
        <v>832</v>
      </c>
      <c r="F465" s="516" t="s">
        <v>833</v>
      </c>
      <c r="G465" s="530"/>
      <c r="H465" s="530"/>
      <c r="I465" s="531">
        <v>781</v>
      </c>
      <c r="J465" s="530"/>
    </row>
    <row r="466" spans="1:10" ht="15.75" customHeight="1" thickBot="1" x14ac:dyDescent="0.3">
      <c r="A466" s="558">
        <v>40817</v>
      </c>
      <c r="B466" s="558">
        <v>40817</v>
      </c>
      <c r="C466" s="516" t="s">
        <v>113</v>
      </c>
      <c r="D466" s="516" t="s">
        <v>114</v>
      </c>
      <c r="E466" s="516" t="s">
        <v>816</v>
      </c>
      <c r="F466" s="516" t="s">
        <v>834</v>
      </c>
      <c r="G466" s="528"/>
      <c r="H466" s="529">
        <v>104976</v>
      </c>
      <c r="I466" s="528"/>
      <c r="J466" s="528"/>
    </row>
    <row r="467" spans="1:10" ht="15.75" customHeight="1" thickBot="1" x14ac:dyDescent="0.3">
      <c r="A467" s="558">
        <v>40817</v>
      </c>
      <c r="B467" s="558">
        <v>40817</v>
      </c>
      <c r="C467" s="516" t="s">
        <v>113</v>
      </c>
      <c r="D467" s="516" t="s">
        <v>114</v>
      </c>
      <c r="E467" s="532" t="s">
        <v>831</v>
      </c>
      <c r="F467" s="533"/>
      <c r="G467" s="534">
        <v>0</v>
      </c>
      <c r="H467" s="534">
        <v>104976</v>
      </c>
      <c r="I467" s="534">
        <v>781</v>
      </c>
      <c r="J467" s="534">
        <v>0</v>
      </c>
    </row>
    <row r="468" spans="1:10" ht="15.75" customHeight="1" thickBot="1" x14ac:dyDescent="0.3">
      <c r="A468" s="558">
        <v>40817</v>
      </c>
      <c r="B468" s="558">
        <v>40817</v>
      </c>
      <c r="C468" s="532" t="s">
        <v>831</v>
      </c>
      <c r="D468" s="537"/>
      <c r="E468" s="537"/>
      <c r="F468" s="533"/>
      <c r="G468" s="534">
        <v>1410631</v>
      </c>
      <c r="H468" s="534">
        <v>209176.94</v>
      </c>
      <c r="I468" s="534">
        <v>4952.1400000000003</v>
      </c>
      <c r="J468" s="534">
        <v>28155.63</v>
      </c>
    </row>
    <row r="469" spans="1:10" ht="15.75" customHeight="1" thickBot="1" x14ac:dyDescent="0.3">
      <c r="A469" s="558">
        <v>40817</v>
      </c>
      <c r="B469" s="532" t="s">
        <v>831</v>
      </c>
      <c r="C469" s="537"/>
      <c r="D469" s="537"/>
      <c r="E469" s="537"/>
      <c r="F469" s="533"/>
      <c r="G469" s="534">
        <v>7423557</v>
      </c>
      <c r="H469" s="534">
        <v>506001.88</v>
      </c>
      <c r="I469" s="534">
        <v>5858.5</v>
      </c>
      <c r="J469" s="534">
        <v>28153.31</v>
      </c>
    </row>
    <row r="470" spans="1:10" ht="15.75" customHeight="1" thickBot="1" x14ac:dyDescent="0.3">
      <c r="A470" s="558">
        <v>40848</v>
      </c>
      <c r="B470" s="558">
        <v>40817</v>
      </c>
      <c r="C470" s="516" t="s">
        <v>97</v>
      </c>
      <c r="D470" s="516" t="s">
        <v>98</v>
      </c>
      <c r="E470" s="516" t="s">
        <v>820</v>
      </c>
      <c r="F470" s="516" t="s">
        <v>821</v>
      </c>
      <c r="G470" s="528"/>
      <c r="H470" s="529">
        <v>2760</v>
      </c>
      <c r="I470" s="528"/>
      <c r="J470" s="528"/>
    </row>
    <row r="471" spans="1:10" ht="15.75" customHeight="1" thickBot="1" x14ac:dyDescent="0.3">
      <c r="A471" s="558">
        <v>40848</v>
      </c>
      <c r="B471" s="558">
        <v>40817</v>
      </c>
      <c r="C471" s="516" t="s">
        <v>97</v>
      </c>
      <c r="D471" s="516" t="s">
        <v>98</v>
      </c>
      <c r="E471" s="516" t="s">
        <v>822</v>
      </c>
      <c r="F471" s="516" t="s">
        <v>823</v>
      </c>
      <c r="G471" s="530"/>
      <c r="H471" s="530"/>
      <c r="I471" s="530"/>
      <c r="J471" s="531">
        <v>1764.84</v>
      </c>
    </row>
    <row r="472" spans="1:10" ht="15.75" customHeight="1" thickBot="1" x14ac:dyDescent="0.3">
      <c r="A472" s="558">
        <v>40848</v>
      </c>
      <c r="B472" s="558">
        <v>40817</v>
      </c>
      <c r="C472" s="516" t="s">
        <v>97</v>
      </c>
      <c r="D472" s="516" t="s">
        <v>98</v>
      </c>
      <c r="E472" s="516" t="s">
        <v>824</v>
      </c>
      <c r="F472" s="516" t="s">
        <v>294</v>
      </c>
      <c r="G472" s="528"/>
      <c r="H472" s="529">
        <v>4.37</v>
      </c>
      <c r="I472" s="528"/>
      <c r="J472" s="528"/>
    </row>
    <row r="473" spans="1:10" ht="15.75" customHeight="1" thickBot="1" x14ac:dyDescent="0.3">
      <c r="A473" s="558">
        <v>40848</v>
      </c>
      <c r="B473" s="558">
        <v>40817</v>
      </c>
      <c r="C473" s="516" t="s">
        <v>97</v>
      </c>
      <c r="D473" s="516" t="s">
        <v>98</v>
      </c>
      <c r="E473" s="516" t="s">
        <v>825</v>
      </c>
      <c r="F473" s="516" t="s">
        <v>812</v>
      </c>
      <c r="G473" s="531">
        <v>4547</v>
      </c>
      <c r="H473" s="530"/>
      <c r="I473" s="531">
        <v>195.52</v>
      </c>
      <c r="J473" s="530"/>
    </row>
    <row r="474" spans="1:10" ht="15.75" customHeight="1" thickBot="1" x14ac:dyDescent="0.3">
      <c r="A474" s="558">
        <v>40848</v>
      </c>
      <c r="B474" s="558">
        <v>40817</v>
      </c>
      <c r="C474" s="516" t="s">
        <v>97</v>
      </c>
      <c r="D474" s="516" t="s">
        <v>98</v>
      </c>
      <c r="E474" s="516" t="s">
        <v>816</v>
      </c>
      <c r="F474" s="516" t="s">
        <v>812</v>
      </c>
      <c r="G474" s="529">
        <v>595403</v>
      </c>
      <c r="H474" s="529">
        <v>25602.34</v>
      </c>
      <c r="I474" s="528"/>
      <c r="J474" s="528"/>
    </row>
    <row r="475" spans="1:10" ht="15.75" customHeight="1" thickBot="1" x14ac:dyDescent="0.3">
      <c r="A475" s="558">
        <v>40848</v>
      </c>
      <c r="B475" s="558">
        <v>40817</v>
      </c>
      <c r="C475" s="516" t="s">
        <v>97</v>
      </c>
      <c r="D475" s="516" t="s">
        <v>98</v>
      </c>
      <c r="E475" s="516" t="s">
        <v>826</v>
      </c>
      <c r="F475" s="516" t="s">
        <v>294</v>
      </c>
      <c r="G475" s="530"/>
      <c r="H475" s="531">
        <v>571.57000000000005</v>
      </c>
      <c r="I475" s="530"/>
      <c r="J475" s="530"/>
    </row>
    <row r="476" spans="1:10" ht="15.75" customHeight="1" thickBot="1" x14ac:dyDescent="0.3">
      <c r="A476" s="558">
        <v>40848</v>
      </c>
      <c r="B476" s="558">
        <v>40817</v>
      </c>
      <c r="C476" s="516" t="s">
        <v>97</v>
      </c>
      <c r="D476" s="516" t="s">
        <v>98</v>
      </c>
      <c r="E476" s="516" t="s">
        <v>827</v>
      </c>
      <c r="F476" s="516" t="s">
        <v>828</v>
      </c>
      <c r="G476" s="528"/>
      <c r="H476" s="528"/>
      <c r="I476" s="528"/>
      <c r="J476" s="529">
        <v>-186.73</v>
      </c>
    </row>
    <row r="477" spans="1:10" ht="15.75" customHeight="1" thickBot="1" x14ac:dyDescent="0.3">
      <c r="A477" s="558">
        <v>40848</v>
      </c>
      <c r="B477" s="558">
        <v>40817</v>
      </c>
      <c r="C477" s="516" t="s">
        <v>97</v>
      </c>
      <c r="D477" s="516" t="s">
        <v>98</v>
      </c>
      <c r="E477" s="516" t="s">
        <v>829</v>
      </c>
      <c r="F477" s="516" t="s">
        <v>830</v>
      </c>
      <c r="G477" s="530"/>
      <c r="H477" s="531">
        <v>186.05</v>
      </c>
      <c r="I477" s="530"/>
      <c r="J477" s="530"/>
    </row>
    <row r="478" spans="1:10" ht="15.75" customHeight="1" thickBot="1" x14ac:dyDescent="0.3">
      <c r="A478" s="558">
        <v>40848</v>
      </c>
      <c r="B478" s="558">
        <v>40817</v>
      </c>
      <c r="C478" s="516" t="s">
        <v>97</v>
      </c>
      <c r="D478" s="516" t="s">
        <v>98</v>
      </c>
      <c r="E478" s="532" t="s">
        <v>831</v>
      </c>
      <c r="F478" s="533"/>
      <c r="G478" s="534">
        <v>599950</v>
      </c>
      <c r="H478" s="534">
        <v>29124.33</v>
      </c>
      <c r="I478" s="534">
        <v>195.52</v>
      </c>
      <c r="J478" s="534">
        <v>1578.11</v>
      </c>
    </row>
    <row r="479" spans="1:10" ht="15.75" customHeight="1" thickBot="1" x14ac:dyDescent="0.3">
      <c r="A479" s="558">
        <v>40848</v>
      </c>
      <c r="B479" s="558">
        <v>40817</v>
      </c>
      <c r="C479" s="516" t="s">
        <v>106</v>
      </c>
      <c r="D479" s="516" t="s">
        <v>107</v>
      </c>
      <c r="E479" s="516" t="s">
        <v>820</v>
      </c>
      <c r="F479" s="516" t="s">
        <v>821</v>
      </c>
      <c r="G479" s="530"/>
      <c r="H479" s="531">
        <v>230</v>
      </c>
      <c r="I479" s="530"/>
      <c r="J479" s="530"/>
    </row>
    <row r="480" spans="1:10" ht="15.75" customHeight="1" thickBot="1" x14ac:dyDescent="0.3">
      <c r="A480" s="558">
        <v>40848</v>
      </c>
      <c r="B480" s="558">
        <v>40817</v>
      </c>
      <c r="C480" s="516" t="s">
        <v>106</v>
      </c>
      <c r="D480" s="516" t="s">
        <v>107</v>
      </c>
      <c r="E480" s="516" t="s">
        <v>822</v>
      </c>
      <c r="F480" s="516" t="s">
        <v>823</v>
      </c>
      <c r="G480" s="528"/>
      <c r="H480" s="528"/>
      <c r="I480" s="528"/>
      <c r="J480" s="529">
        <v>3030.64</v>
      </c>
    </row>
    <row r="481" spans="1:10" ht="15.75" customHeight="1" thickBot="1" x14ac:dyDescent="0.3">
      <c r="A481" s="558">
        <v>40848</v>
      </c>
      <c r="B481" s="558">
        <v>40817</v>
      </c>
      <c r="C481" s="516" t="s">
        <v>106</v>
      </c>
      <c r="D481" s="516" t="s">
        <v>107</v>
      </c>
      <c r="E481" s="516" t="s">
        <v>832</v>
      </c>
      <c r="F481" s="516" t="s">
        <v>833</v>
      </c>
      <c r="G481" s="530"/>
      <c r="H481" s="530"/>
      <c r="I481" s="531">
        <v>781</v>
      </c>
      <c r="J481" s="530"/>
    </row>
    <row r="482" spans="1:10" ht="15.75" customHeight="1" thickBot="1" x14ac:dyDescent="0.3">
      <c r="A482" s="558">
        <v>40848</v>
      </c>
      <c r="B482" s="558">
        <v>40817</v>
      </c>
      <c r="C482" s="516" t="s">
        <v>106</v>
      </c>
      <c r="D482" s="516" t="s">
        <v>107</v>
      </c>
      <c r="E482" s="516" t="s">
        <v>825</v>
      </c>
      <c r="F482" s="516" t="s">
        <v>812</v>
      </c>
      <c r="G482" s="529">
        <v>7523</v>
      </c>
      <c r="H482" s="528"/>
      <c r="I482" s="529">
        <v>36.64</v>
      </c>
      <c r="J482" s="528"/>
    </row>
    <row r="483" spans="1:10" ht="15.75" customHeight="1" thickBot="1" x14ac:dyDescent="0.3">
      <c r="A483" s="558">
        <v>40848</v>
      </c>
      <c r="B483" s="558">
        <v>40817</v>
      </c>
      <c r="C483" s="516" t="s">
        <v>106</v>
      </c>
      <c r="D483" s="516" t="s">
        <v>107</v>
      </c>
      <c r="E483" s="516" t="s">
        <v>816</v>
      </c>
      <c r="F483" s="516" t="s">
        <v>812</v>
      </c>
      <c r="G483" s="531">
        <v>76600</v>
      </c>
      <c r="H483" s="531">
        <v>373.04</v>
      </c>
      <c r="I483" s="530"/>
      <c r="J483" s="530"/>
    </row>
    <row r="484" spans="1:10" ht="15.75" customHeight="1" thickBot="1" x14ac:dyDescent="0.3">
      <c r="A484" s="558">
        <v>40848</v>
      </c>
      <c r="B484" s="558">
        <v>40817</v>
      </c>
      <c r="C484" s="516" t="s">
        <v>106</v>
      </c>
      <c r="D484" s="516" t="s">
        <v>107</v>
      </c>
      <c r="E484" s="516" t="s">
        <v>816</v>
      </c>
      <c r="F484" s="516" t="s">
        <v>834</v>
      </c>
      <c r="G484" s="528"/>
      <c r="H484" s="529">
        <v>18225</v>
      </c>
      <c r="I484" s="528"/>
      <c r="J484" s="528"/>
    </row>
    <row r="485" spans="1:10" ht="15.75" customHeight="1" thickBot="1" x14ac:dyDescent="0.3">
      <c r="A485" s="558">
        <v>40848</v>
      </c>
      <c r="B485" s="558">
        <v>40817</v>
      </c>
      <c r="C485" s="516" t="s">
        <v>106</v>
      </c>
      <c r="D485" s="516" t="s">
        <v>107</v>
      </c>
      <c r="E485" s="516" t="s">
        <v>816</v>
      </c>
      <c r="F485" s="535" t="s">
        <v>831</v>
      </c>
      <c r="G485" s="534">
        <v>76600</v>
      </c>
      <c r="H485" s="534">
        <v>18598.04</v>
      </c>
      <c r="I485" s="536"/>
      <c r="J485" s="536"/>
    </row>
    <row r="486" spans="1:10" ht="15.75" customHeight="1" thickBot="1" x14ac:dyDescent="0.3">
      <c r="A486" s="558">
        <v>40848</v>
      </c>
      <c r="B486" s="558">
        <v>40817</v>
      </c>
      <c r="C486" s="516" t="s">
        <v>106</v>
      </c>
      <c r="D486" s="516" t="s">
        <v>107</v>
      </c>
      <c r="E486" s="516" t="s">
        <v>829</v>
      </c>
      <c r="F486" s="516" t="s">
        <v>830</v>
      </c>
      <c r="G486" s="528"/>
      <c r="H486" s="529">
        <v>1636.97</v>
      </c>
      <c r="I486" s="528"/>
      <c r="J486" s="528"/>
    </row>
    <row r="487" spans="1:10" ht="15.75" customHeight="1" thickBot="1" x14ac:dyDescent="0.3">
      <c r="A487" s="558">
        <v>40848</v>
      </c>
      <c r="B487" s="558">
        <v>40817</v>
      </c>
      <c r="C487" s="516" t="s">
        <v>106</v>
      </c>
      <c r="D487" s="516" t="s">
        <v>107</v>
      </c>
      <c r="E487" s="532" t="s">
        <v>831</v>
      </c>
      <c r="F487" s="533"/>
      <c r="G487" s="534">
        <v>84123</v>
      </c>
      <c r="H487" s="534">
        <v>20465.009999999998</v>
      </c>
      <c r="I487" s="534">
        <v>817.64</v>
      </c>
      <c r="J487" s="534">
        <v>3030.64</v>
      </c>
    </row>
    <row r="488" spans="1:10" ht="15.75" thickBot="1" x14ac:dyDescent="0.3">
      <c r="A488" s="558">
        <v>40848</v>
      </c>
      <c r="B488" s="558">
        <v>40817</v>
      </c>
      <c r="C488" s="516" t="s">
        <v>99</v>
      </c>
      <c r="D488" s="516" t="s">
        <v>100</v>
      </c>
      <c r="E488" s="516" t="s">
        <v>820</v>
      </c>
      <c r="F488" s="516" t="s">
        <v>821</v>
      </c>
      <c r="G488" s="528"/>
      <c r="H488" s="529">
        <v>13340</v>
      </c>
      <c r="I488" s="528"/>
      <c r="J488" s="528"/>
    </row>
    <row r="489" spans="1:10" ht="15.75" thickBot="1" x14ac:dyDescent="0.3">
      <c r="A489" s="558">
        <v>40848</v>
      </c>
      <c r="B489" s="558">
        <v>40817</v>
      </c>
      <c r="C489" s="516" t="s">
        <v>99</v>
      </c>
      <c r="D489" s="516" t="s">
        <v>100</v>
      </c>
      <c r="E489" s="516" t="s">
        <v>822</v>
      </c>
      <c r="F489" s="516" t="s">
        <v>823</v>
      </c>
      <c r="G489" s="530"/>
      <c r="H489" s="530"/>
      <c r="I489" s="530"/>
      <c r="J489" s="531">
        <v>7055.92</v>
      </c>
    </row>
    <row r="490" spans="1:10" ht="15.75" thickBot="1" x14ac:dyDescent="0.3">
      <c r="A490" s="558">
        <v>40848</v>
      </c>
      <c r="B490" s="558">
        <v>40817</v>
      </c>
      <c r="C490" s="516" t="s">
        <v>99</v>
      </c>
      <c r="D490" s="516" t="s">
        <v>100</v>
      </c>
      <c r="E490" s="516" t="s">
        <v>825</v>
      </c>
      <c r="F490" s="516" t="s">
        <v>812</v>
      </c>
      <c r="G490" s="529">
        <v>17746</v>
      </c>
      <c r="H490" s="528"/>
      <c r="I490" s="529">
        <v>763.08</v>
      </c>
      <c r="J490" s="528"/>
    </row>
    <row r="491" spans="1:10" ht="15.75" thickBot="1" x14ac:dyDescent="0.3">
      <c r="A491" s="558">
        <v>40848</v>
      </c>
      <c r="B491" s="558">
        <v>40817</v>
      </c>
      <c r="C491" s="516" t="s">
        <v>99</v>
      </c>
      <c r="D491" s="516" t="s">
        <v>100</v>
      </c>
      <c r="E491" s="516" t="s">
        <v>816</v>
      </c>
      <c r="F491" s="516" t="s">
        <v>812</v>
      </c>
      <c r="G491" s="531">
        <v>6947353</v>
      </c>
      <c r="H491" s="531">
        <v>298736.21000000002</v>
      </c>
      <c r="I491" s="530"/>
      <c r="J491" s="530"/>
    </row>
    <row r="492" spans="1:10" ht="15.75" thickBot="1" x14ac:dyDescent="0.3">
      <c r="A492" s="558">
        <v>40848</v>
      </c>
      <c r="B492" s="558">
        <v>40817</v>
      </c>
      <c r="C492" s="516" t="s">
        <v>99</v>
      </c>
      <c r="D492" s="516" t="s">
        <v>100</v>
      </c>
      <c r="E492" s="516" t="s">
        <v>827</v>
      </c>
      <c r="F492" s="516" t="s">
        <v>828</v>
      </c>
      <c r="G492" s="528"/>
      <c r="H492" s="528"/>
      <c r="I492" s="528"/>
      <c r="J492" s="529">
        <v>-991.34</v>
      </c>
    </row>
    <row r="493" spans="1:10" ht="15.75" thickBot="1" x14ac:dyDescent="0.3">
      <c r="A493" s="558">
        <v>40848</v>
      </c>
      <c r="B493" s="558">
        <v>40817</v>
      </c>
      <c r="C493" s="516" t="s">
        <v>99</v>
      </c>
      <c r="D493" s="516" t="s">
        <v>100</v>
      </c>
      <c r="E493" s="516" t="s">
        <v>829</v>
      </c>
      <c r="F493" s="516" t="s">
        <v>830</v>
      </c>
      <c r="G493" s="530"/>
      <c r="H493" s="531">
        <v>5755.69</v>
      </c>
      <c r="I493" s="530"/>
      <c r="J493" s="530"/>
    </row>
    <row r="494" spans="1:10" ht="15.75" thickBot="1" x14ac:dyDescent="0.3">
      <c r="A494" s="558">
        <v>40848</v>
      </c>
      <c r="B494" s="558">
        <v>40817</v>
      </c>
      <c r="C494" s="516" t="s">
        <v>99</v>
      </c>
      <c r="D494" s="516" t="s">
        <v>100</v>
      </c>
      <c r="E494" s="532" t="s">
        <v>831</v>
      </c>
      <c r="F494" s="533"/>
      <c r="G494" s="534">
        <v>6965099</v>
      </c>
      <c r="H494" s="534">
        <v>317831.90000000002</v>
      </c>
      <c r="I494" s="534">
        <v>763.08</v>
      </c>
      <c r="J494" s="534">
        <v>6064.58</v>
      </c>
    </row>
    <row r="495" spans="1:10" ht="15.75" customHeight="1" thickBot="1" x14ac:dyDescent="0.3">
      <c r="A495" s="558">
        <v>40848</v>
      </c>
      <c r="B495" s="558">
        <v>40817</v>
      </c>
      <c r="C495" s="532" t="s">
        <v>831</v>
      </c>
      <c r="D495" s="537"/>
      <c r="E495" s="537"/>
      <c r="F495" s="533"/>
      <c r="G495" s="534">
        <v>7649172</v>
      </c>
      <c r="H495" s="534">
        <v>367421.24</v>
      </c>
      <c r="I495" s="534">
        <v>1776.24</v>
      </c>
      <c r="J495" s="534">
        <v>10673.33</v>
      </c>
    </row>
    <row r="496" spans="1:10" ht="15.75" customHeight="1" thickBot="1" x14ac:dyDescent="0.3">
      <c r="A496" s="558">
        <v>40848</v>
      </c>
      <c r="B496" s="558">
        <v>40848</v>
      </c>
      <c r="C496" s="516" t="s">
        <v>66</v>
      </c>
      <c r="D496" s="516" t="s">
        <v>67</v>
      </c>
      <c r="E496" s="516" t="s">
        <v>820</v>
      </c>
      <c r="F496" s="516" t="s">
        <v>821</v>
      </c>
      <c r="G496" s="528"/>
      <c r="H496" s="529">
        <v>306</v>
      </c>
      <c r="I496" s="528"/>
      <c r="J496" s="528"/>
    </row>
    <row r="497" spans="1:10" ht="15.75" customHeight="1" thickBot="1" x14ac:dyDescent="0.3">
      <c r="A497" s="558">
        <v>40848</v>
      </c>
      <c r="B497" s="558">
        <v>40848</v>
      </c>
      <c r="C497" s="516" t="s">
        <v>66</v>
      </c>
      <c r="D497" s="516" t="s">
        <v>67</v>
      </c>
      <c r="E497" s="516" t="s">
        <v>832</v>
      </c>
      <c r="F497" s="516" t="s">
        <v>833</v>
      </c>
      <c r="G497" s="530"/>
      <c r="H497" s="530"/>
      <c r="I497" s="531">
        <v>340</v>
      </c>
      <c r="J497" s="530"/>
    </row>
    <row r="498" spans="1:10" ht="15.75" customHeight="1" thickBot="1" x14ac:dyDescent="0.3">
      <c r="A498" s="558">
        <v>40848</v>
      </c>
      <c r="B498" s="558">
        <v>40848</v>
      </c>
      <c r="C498" s="516" t="s">
        <v>66</v>
      </c>
      <c r="D498" s="516" t="s">
        <v>67</v>
      </c>
      <c r="E498" s="516" t="s">
        <v>825</v>
      </c>
      <c r="F498" s="516" t="s">
        <v>812</v>
      </c>
      <c r="G498" s="529">
        <v>6906</v>
      </c>
      <c r="H498" s="528"/>
      <c r="I498" s="529">
        <v>1313.66</v>
      </c>
      <c r="J498" s="528"/>
    </row>
    <row r="499" spans="1:10" ht="15.75" customHeight="1" thickBot="1" x14ac:dyDescent="0.3">
      <c r="A499" s="558">
        <v>40848</v>
      </c>
      <c r="B499" s="558">
        <v>40848</v>
      </c>
      <c r="C499" s="516" t="s">
        <v>66</v>
      </c>
      <c r="D499" s="516" t="s">
        <v>67</v>
      </c>
      <c r="E499" s="516" t="s">
        <v>816</v>
      </c>
      <c r="F499" s="516" t="s">
        <v>812</v>
      </c>
      <c r="G499" s="531">
        <v>60320</v>
      </c>
      <c r="H499" s="531">
        <v>11474.07</v>
      </c>
      <c r="I499" s="530"/>
      <c r="J499" s="530"/>
    </row>
    <row r="500" spans="1:10" ht="15.75" customHeight="1" thickBot="1" x14ac:dyDescent="0.3">
      <c r="A500" s="558">
        <v>40848</v>
      </c>
      <c r="B500" s="558">
        <v>40848</v>
      </c>
      <c r="C500" s="516" t="s">
        <v>66</v>
      </c>
      <c r="D500" s="516" t="s">
        <v>67</v>
      </c>
      <c r="E500" s="516" t="s">
        <v>816</v>
      </c>
      <c r="F500" s="516" t="s">
        <v>835</v>
      </c>
      <c r="G500" s="528"/>
      <c r="H500" s="529">
        <v>5019.72</v>
      </c>
      <c r="I500" s="528"/>
      <c r="J500" s="528"/>
    </row>
    <row r="501" spans="1:10" ht="15.75" customHeight="1" thickBot="1" x14ac:dyDescent="0.3">
      <c r="A501" s="558">
        <v>40848</v>
      </c>
      <c r="B501" s="558">
        <v>40848</v>
      </c>
      <c r="C501" s="516" t="s">
        <v>66</v>
      </c>
      <c r="D501" s="516" t="s">
        <v>67</v>
      </c>
      <c r="E501" s="516" t="s">
        <v>816</v>
      </c>
      <c r="F501" s="535" t="s">
        <v>831</v>
      </c>
      <c r="G501" s="534">
        <v>60320</v>
      </c>
      <c r="H501" s="534">
        <v>16493.79</v>
      </c>
      <c r="I501" s="536"/>
      <c r="J501" s="536"/>
    </row>
    <row r="502" spans="1:10" ht="15.75" customHeight="1" thickBot="1" x14ac:dyDescent="0.3">
      <c r="A502" s="558">
        <v>40848</v>
      </c>
      <c r="B502" s="558">
        <v>40848</v>
      </c>
      <c r="C502" s="516" t="s">
        <v>66</v>
      </c>
      <c r="D502" s="516" t="s">
        <v>67</v>
      </c>
      <c r="E502" s="516" t="s">
        <v>292</v>
      </c>
      <c r="F502" s="516" t="s">
        <v>292</v>
      </c>
      <c r="G502" s="528"/>
      <c r="H502" s="529">
        <v>3616.43</v>
      </c>
      <c r="I502" s="528"/>
      <c r="J502" s="528"/>
    </row>
    <row r="503" spans="1:10" ht="15.75" customHeight="1" thickBot="1" x14ac:dyDescent="0.3">
      <c r="A503" s="558">
        <v>40848</v>
      </c>
      <c r="B503" s="558">
        <v>40848</v>
      </c>
      <c r="C503" s="516" t="s">
        <v>66</v>
      </c>
      <c r="D503" s="516" t="s">
        <v>67</v>
      </c>
      <c r="E503" s="532" t="s">
        <v>831</v>
      </c>
      <c r="F503" s="533"/>
      <c r="G503" s="534">
        <v>67226</v>
      </c>
      <c r="H503" s="534">
        <v>20416.22</v>
      </c>
      <c r="I503" s="534">
        <v>1653.66</v>
      </c>
      <c r="J503" s="534">
        <v>0</v>
      </c>
    </row>
    <row r="504" spans="1:10" ht="15.75" thickBot="1" x14ac:dyDescent="0.3">
      <c r="A504" s="558">
        <v>40848</v>
      </c>
      <c r="B504" s="558">
        <v>40848</v>
      </c>
      <c r="C504" s="516" t="s">
        <v>99</v>
      </c>
      <c r="D504" s="516" t="s">
        <v>100</v>
      </c>
      <c r="E504" s="516" t="s">
        <v>820</v>
      </c>
      <c r="F504" s="516" t="s">
        <v>821</v>
      </c>
      <c r="G504" s="528"/>
      <c r="H504" s="529">
        <v>690</v>
      </c>
      <c r="I504" s="528"/>
      <c r="J504" s="528"/>
    </row>
    <row r="505" spans="1:10" ht="15.75" thickBot="1" x14ac:dyDescent="0.3">
      <c r="A505" s="558">
        <v>40848</v>
      </c>
      <c r="B505" s="558">
        <v>40848</v>
      </c>
      <c r="C505" s="516" t="s">
        <v>99</v>
      </c>
      <c r="D505" s="516" t="s">
        <v>100</v>
      </c>
      <c r="E505" s="516" t="s">
        <v>816</v>
      </c>
      <c r="F505" s="516" t="s">
        <v>812</v>
      </c>
      <c r="G505" s="531">
        <v>1180868</v>
      </c>
      <c r="H505" s="531">
        <v>50777.33</v>
      </c>
      <c r="I505" s="530"/>
      <c r="J505" s="530"/>
    </row>
    <row r="506" spans="1:10" ht="15.75" thickBot="1" x14ac:dyDescent="0.3">
      <c r="A506" s="558">
        <v>40848</v>
      </c>
      <c r="B506" s="558">
        <v>40848</v>
      </c>
      <c r="C506" s="516" t="s">
        <v>99</v>
      </c>
      <c r="D506" s="516" t="s">
        <v>100</v>
      </c>
      <c r="E506" s="532" t="s">
        <v>831</v>
      </c>
      <c r="F506" s="533"/>
      <c r="G506" s="534">
        <v>1180868</v>
      </c>
      <c r="H506" s="534">
        <v>51467.33</v>
      </c>
      <c r="I506" s="534">
        <v>0</v>
      </c>
      <c r="J506" s="534">
        <v>0</v>
      </c>
    </row>
    <row r="507" spans="1:10" ht="15.75" customHeight="1" thickBot="1" x14ac:dyDescent="0.3">
      <c r="A507" s="558">
        <v>40848</v>
      </c>
      <c r="B507" s="558">
        <v>40848</v>
      </c>
      <c r="C507" s="516" t="s">
        <v>102</v>
      </c>
      <c r="D507" s="516" t="s">
        <v>103</v>
      </c>
      <c r="E507" s="516" t="s">
        <v>820</v>
      </c>
      <c r="F507" s="516" t="s">
        <v>821</v>
      </c>
      <c r="G507" s="530"/>
      <c r="H507" s="531">
        <v>5175</v>
      </c>
      <c r="I507" s="530"/>
      <c r="J507" s="530"/>
    </row>
    <row r="508" spans="1:10" ht="15.75" customHeight="1" thickBot="1" x14ac:dyDescent="0.3">
      <c r="A508" s="558">
        <v>40848</v>
      </c>
      <c r="B508" s="558">
        <v>40848</v>
      </c>
      <c r="C508" s="516" t="s">
        <v>102</v>
      </c>
      <c r="D508" s="516" t="s">
        <v>103</v>
      </c>
      <c r="E508" s="516" t="s">
        <v>822</v>
      </c>
      <c r="F508" s="516" t="s">
        <v>823</v>
      </c>
      <c r="G508" s="528"/>
      <c r="H508" s="528"/>
      <c r="I508" s="528"/>
      <c r="J508" s="529">
        <v>59965.82</v>
      </c>
    </row>
    <row r="509" spans="1:10" ht="15.75" customHeight="1" thickBot="1" x14ac:dyDescent="0.3">
      <c r="A509" s="558">
        <v>40848</v>
      </c>
      <c r="B509" s="558">
        <v>40848</v>
      </c>
      <c r="C509" s="516" t="s">
        <v>102</v>
      </c>
      <c r="D509" s="516" t="s">
        <v>103</v>
      </c>
      <c r="E509" s="516" t="s">
        <v>827</v>
      </c>
      <c r="F509" s="516" t="s">
        <v>828</v>
      </c>
      <c r="G509" s="530"/>
      <c r="H509" s="530"/>
      <c r="I509" s="530"/>
      <c r="J509" s="531">
        <v>-3517.22</v>
      </c>
    </row>
    <row r="510" spans="1:10" ht="15.75" customHeight="1" thickBot="1" x14ac:dyDescent="0.3">
      <c r="A510" s="558">
        <v>40848</v>
      </c>
      <c r="B510" s="558">
        <v>40848</v>
      </c>
      <c r="C510" s="516" t="s">
        <v>102</v>
      </c>
      <c r="D510" s="516" t="s">
        <v>103</v>
      </c>
      <c r="E510" s="516" t="s">
        <v>829</v>
      </c>
      <c r="F510" s="516" t="s">
        <v>830</v>
      </c>
      <c r="G510" s="528"/>
      <c r="H510" s="529">
        <v>34655.480000000003</v>
      </c>
      <c r="I510" s="528"/>
      <c r="J510" s="528"/>
    </row>
    <row r="511" spans="1:10" ht="15.75" customHeight="1" thickBot="1" x14ac:dyDescent="0.3">
      <c r="A511" s="558">
        <v>40848</v>
      </c>
      <c r="B511" s="558">
        <v>40848</v>
      </c>
      <c r="C511" s="516" t="s">
        <v>102</v>
      </c>
      <c r="D511" s="516" t="s">
        <v>103</v>
      </c>
      <c r="E511" s="532" t="s">
        <v>831</v>
      </c>
      <c r="F511" s="533"/>
      <c r="G511" s="536"/>
      <c r="H511" s="534">
        <v>39830.480000000003</v>
      </c>
      <c r="I511" s="536"/>
      <c r="J511" s="534">
        <v>56448.6</v>
      </c>
    </row>
    <row r="512" spans="1:10" ht="15.75" customHeight="1" thickBot="1" x14ac:dyDescent="0.3">
      <c r="A512" s="558">
        <v>40848</v>
      </c>
      <c r="B512" s="558">
        <v>40848</v>
      </c>
      <c r="C512" s="516" t="s">
        <v>109</v>
      </c>
      <c r="D512" s="516" t="s">
        <v>110</v>
      </c>
      <c r="E512" s="516" t="s">
        <v>820</v>
      </c>
      <c r="F512" s="516" t="s">
        <v>821</v>
      </c>
      <c r="G512" s="528"/>
      <c r="H512" s="529">
        <v>230</v>
      </c>
      <c r="I512" s="528"/>
      <c r="J512" s="528"/>
    </row>
    <row r="513" spans="1:10" ht="15.75" customHeight="1" thickBot="1" x14ac:dyDescent="0.3">
      <c r="A513" s="558">
        <v>40848</v>
      </c>
      <c r="B513" s="558">
        <v>40848</v>
      </c>
      <c r="C513" s="516" t="s">
        <v>109</v>
      </c>
      <c r="D513" s="516" t="s">
        <v>110</v>
      </c>
      <c r="E513" s="516" t="s">
        <v>822</v>
      </c>
      <c r="F513" s="516" t="s">
        <v>823</v>
      </c>
      <c r="G513" s="530"/>
      <c r="H513" s="530"/>
      <c r="I513" s="530"/>
      <c r="J513" s="531">
        <v>14107.74</v>
      </c>
    </row>
    <row r="514" spans="1:10" ht="15.75" customHeight="1" thickBot="1" x14ac:dyDescent="0.3">
      <c r="A514" s="558">
        <v>40848</v>
      </c>
      <c r="B514" s="558">
        <v>40848</v>
      </c>
      <c r="C514" s="516" t="s">
        <v>109</v>
      </c>
      <c r="D514" s="516" t="s">
        <v>110</v>
      </c>
      <c r="E514" s="516" t="s">
        <v>832</v>
      </c>
      <c r="F514" s="516" t="s">
        <v>833</v>
      </c>
      <c r="G514" s="528"/>
      <c r="H514" s="528"/>
      <c r="I514" s="529">
        <v>275</v>
      </c>
      <c r="J514" s="528"/>
    </row>
    <row r="515" spans="1:10" ht="15.75" customHeight="1" thickBot="1" x14ac:dyDescent="0.3">
      <c r="A515" s="558">
        <v>40848</v>
      </c>
      <c r="B515" s="558">
        <v>40848</v>
      </c>
      <c r="C515" s="516" t="s">
        <v>109</v>
      </c>
      <c r="D515" s="516" t="s">
        <v>110</v>
      </c>
      <c r="E515" s="516" t="s">
        <v>825</v>
      </c>
      <c r="F515" s="516" t="s">
        <v>812</v>
      </c>
      <c r="G515" s="531">
        <v>35023</v>
      </c>
      <c r="H515" s="530"/>
      <c r="I515" s="531">
        <v>367.39</v>
      </c>
      <c r="J515" s="530"/>
    </row>
    <row r="516" spans="1:10" ht="15.75" customHeight="1" thickBot="1" x14ac:dyDescent="0.3">
      <c r="A516" s="558">
        <v>40848</v>
      </c>
      <c r="B516" s="558">
        <v>40848</v>
      </c>
      <c r="C516" s="516" t="s">
        <v>109</v>
      </c>
      <c r="D516" s="516" t="s">
        <v>110</v>
      </c>
      <c r="E516" s="516" t="s">
        <v>816</v>
      </c>
      <c r="F516" s="516" t="s">
        <v>812</v>
      </c>
      <c r="G516" s="529">
        <v>357280</v>
      </c>
      <c r="H516" s="529">
        <v>3747.87</v>
      </c>
      <c r="I516" s="528"/>
      <c r="J516" s="528"/>
    </row>
    <row r="517" spans="1:10" ht="15.75" customHeight="1" thickBot="1" x14ac:dyDescent="0.3">
      <c r="A517" s="558">
        <v>40848</v>
      </c>
      <c r="B517" s="558">
        <v>40848</v>
      </c>
      <c r="C517" s="516" t="s">
        <v>109</v>
      </c>
      <c r="D517" s="516" t="s">
        <v>110</v>
      </c>
      <c r="E517" s="516" t="s">
        <v>816</v>
      </c>
      <c r="F517" s="516" t="s">
        <v>834</v>
      </c>
      <c r="G517" s="530"/>
      <c r="H517" s="531">
        <v>6369.83</v>
      </c>
      <c r="I517" s="530"/>
      <c r="J517" s="530"/>
    </row>
    <row r="518" spans="1:10" ht="15.75" customHeight="1" thickBot="1" x14ac:dyDescent="0.3">
      <c r="A518" s="558">
        <v>40848</v>
      </c>
      <c r="B518" s="558">
        <v>40848</v>
      </c>
      <c r="C518" s="516" t="s">
        <v>109</v>
      </c>
      <c r="D518" s="516" t="s">
        <v>110</v>
      </c>
      <c r="E518" s="516" t="s">
        <v>816</v>
      </c>
      <c r="F518" s="535" t="s">
        <v>831</v>
      </c>
      <c r="G518" s="534">
        <v>357280</v>
      </c>
      <c r="H518" s="534">
        <v>10117.700000000001</v>
      </c>
      <c r="I518" s="536"/>
      <c r="J518" s="536"/>
    </row>
    <row r="519" spans="1:10" ht="15.75" customHeight="1" thickBot="1" x14ac:dyDescent="0.3">
      <c r="A519" s="558">
        <v>40848</v>
      </c>
      <c r="B519" s="558">
        <v>40848</v>
      </c>
      <c r="C519" s="516" t="s">
        <v>109</v>
      </c>
      <c r="D519" s="516" t="s">
        <v>110</v>
      </c>
      <c r="E519" s="516" t="s">
        <v>829</v>
      </c>
      <c r="F519" s="516" t="s">
        <v>830</v>
      </c>
      <c r="G519" s="530"/>
      <c r="H519" s="531">
        <v>6092.83</v>
      </c>
      <c r="I519" s="530"/>
      <c r="J519" s="530"/>
    </row>
    <row r="520" spans="1:10" ht="15.75" customHeight="1" thickBot="1" x14ac:dyDescent="0.3">
      <c r="A520" s="558">
        <v>40848</v>
      </c>
      <c r="B520" s="558">
        <v>40848</v>
      </c>
      <c r="C520" s="516" t="s">
        <v>109</v>
      </c>
      <c r="D520" s="516" t="s">
        <v>110</v>
      </c>
      <c r="E520" s="532" t="s">
        <v>831</v>
      </c>
      <c r="F520" s="533"/>
      <c r="G520" s="534">
        <v>392303</v>
      </c>
      <c r="H520" s="534">
        <v>16440.53</v>
      </c>
      <c r="I520" s="534">
        <v>642.39</v>
      </c>
      <c r="J520" s="534">
        <v>14107.74</v>
      </c>
    </row>
    <row r="521" spans="1:10" ht="15.75" customHeight="1" thickBot="1" x14ac:dyDescent="0.3">
      <c r="A521" s="558">
        <v>40848</v>
      </c>
      <c r="B521" s="558">
        <v>40848</v>
      </c>
      <c r="C521" s="516" t="s">
        <v>113</v>
      </c>
      <c r="D521" s="516" t="s">
        <v>114</v>
      </c>
      <c r="E521" s="516" t="s">
        <v>822</v>
      </c>
      <c r="F521" s="516" t="s">
        <v>823</v>
      </c>
      <c r="G521" s="530"/>
      <c r="H521" s="530"/>
      <c r="I521" s="530"/>
      <c r="J521" s="531">
        <v>78.11</v>
      </c>
    </row>
    <row r="522" spans="1:10" ht="15.75" customHeight="1" thickBot="1" x14ac:dyDescent="0.3">
      <c r="A522" s="558">
        <v>40848</v>
      </c>
      <c r="B522" s="558">
        <v>40848</v>
      </c>
      <c r="C522" s="516" t="s">
        <v>113</v>
      </c>
      <c r="D522" s="516" t="s">
        <v>114</v>
      </c>
      <c r="E522" s="516" t="s">
        <v>832</v>
      </c>
      <c r="F522" s="516" t="s">
        <v>833</v>
      </c>
      <c r="G522" s="528"/>
      <c r="H522" s="528"/>
      <c r="I522" s="529">
        <v>781</v>
      </c>
      <c r="J522" s="528"/>
    </row>
    <row r="523" spans="1:10" ht="15.75" customHeight="1" thickBot="1" x14ac:dyDescent="0.3">
      <c r="A523" s="558">
        <v>40848</v>
      </c>
      <c r="B523" s="558">
        <v>40848</v>
      </c>
      <c r="C523" s="516" t="s">
        <v>113</v>
      </c>
      <c r="D523" s="516" t="s">
        <v>114</v>
      </c>
      <c r="E523" s="516" t="s">
        <v>825</v>
      </c>
      <c r="F523" s="516" t="s">
        <v>812</v>
      </c>
      <c r="G523" s="531">
        <v>151</v>
      </c>
      <c r="H523" s="530"/>
      <c r="I523" s="531">
        <v>0.74</v>
      </c>
      <c r="J523" s="530"/>
    </row>
    <row r="524" spans="1:10" ht="15.75" customHeight="1" thickBot="1" x14ac:dyDescent="0.3">
      <c r="A524" s="558">
        <v>40848</v>
      </c>
      <c r="B524" s="558">
        <v>40848</v>
      </c>
      <c r="C524" s="516" t="s">
        <v>113</v>
      </c>
      <c r="D524" s="516" t="s">
        <v>114</v>
      </c>
      <c r="E524" s="516" t="s">
        <v>816</v>
      </c>
      <c r="F524" s="516" t="s">
        <v>834</v>
      </c>
      <c r="G524" s="528"/>
      <c r="H524" s="529">
        <v>104976</v>
      </c>
      <c r="I524" s="528"/>
      <c r="J524" s="528"/>
    </row>
    <row r="525" spans="1:10" ht="15.75" customHeight="1" thickBot="1" x14ac:dyDescent="0.3">
      <c r="A525" s="558">
        <v>40848</v>
      </c>
      <c r="B525" s="558">
        <v>40848</v>
      </c>
      <c r="C525" s="516" t="s">
        <v>113</v>
      </c>
      <c r="D525" s="516" t="s">
        <v>114</v>
      </c>
      <c r="E525" s="516" t="s">
        <v>829</v>
      </c>
      <c r="F525" s="516" t="s">
        <v>830</v>
      </c>
      <c r="G525" s="530"/>
      <c r="H525" s="531">
        <v>5.37</v>
      </c>
      <c r="I525" s="530"/>
      <c r="J525" s="530"/>
    </row>
    <row r="526" spans="1:10" ht="15.75" customHeight="1" thickBot="1" x14ac:dyDescent="0.3">
      <c r="A526" s="558">
        <v>40848</v>
      </c>
      <c r="B526" s="558">
        <v>40848</v>
      </c>
      <c r="C526" s="516" t="s">
        <v>113</v>
      </c>
      <c r="D526" s="516" t="s">
        <v>114</v>
      </c>
      <c r="E526" s="532" t="s">
        <v>831</v>
      </c>
      <c r="F526" s="533"/>
      <c r="G526" s="534">
        <v>151</v>
      </c>
      <c r="H526" s="534">
        <v>104981.37</v>
      </c>
      <c r="I526" s="534">
        <v>781.74</v>
      </c>
      <c r="J526" s="534">
        <v>78.11</v>
      </c>
    </row>
    <row r="527" spans="1:10" ht="15.75" customHeight="1" thickBot="1" x14ac:dyDescent="0.3">
      <c r="A527" s="558">
        <v>40848</v>
      </c>
      <c r="B527" s="558">
        <v>40848</v>
      </c>
      <c r="C527" s="532" t="s">
        <v>831</v>
      </c>
      <c r="D527" s="537"/>
      <c r="E527" s="537"/>
      <c r="F527" s="533"/>
      <c r="G527" s="534">
        <v>1640548</v>
      </c>
      <c r="H527" s="534">
        <v>233135.93</v>
      </c>
      <c r="I527" s="534">
        <v>3077.79</v>
      </c>
      <c r="J527" s="534">
        <v>70634.45</v>
      </c>
    </row>
    <row r="528" spans="1:10" ht="15.75" customHeight="1" thickBot="1" x14ac:dyDescent="0.3">
      <c r="A528" s="558">
        <v>40848</v>
      </c>
      <c r="B528" s="532" t="s">
        <v>831</v>
      </c>
      <c r="C528" s="537"/>
      <c r="D528" s="537"/>
      <c r="E528" s="537"/>
      <c r="F528" s="533"/>
      <c r="G528" s="534">
        <v>9289720</v>
      </c>
      <c r="H528" s="534">
        <v>600557.17000000004</v>
      </c>
      <c r="I528" s="534">
        <v>4854.03</v>
      </c>
      <c r="J528" s="534">
        <v>81307.78</v>
      </c>
    </row>
    <row r="529" spans="1:10" ht="15.75" customHeight="1" thickBot="1" x14ac:dyDescent="0.3">
      <c r="A529" s="558">
        <v>40878</v>
      </c>
      <c r="B529" s="558">
        <v>40848</v>
      </c>
      <c r="C529" s="516" t="s">
        <v>97</v>
      </c>
      <c r="D529" s="516" t="s">
        <v>98</v>
      </c>
      <c r="E529" s="516" t="s">
        <v>820</v>
      </c>
      <c r="F529" s="516" t="s">
        <v>821</v>
      </c>
      <c r="G529" s="530"/>
      <c r="H529" s="531">
        <v>2530</v>
      </c>
      <c r="I529" s="530"/>
      <c r="J529" s="530"/>
    </row>
    <row r="530" spans="1:10" ht="15.75" customHeight="1" thickBot="1" x14ac:dyDescent="0.3">
      <c r="A530" s="558">
        <v>40878</v>
      </c>
      <c r="B530" s="558">
        <v>40848</v>
      </c>
      <c r="C530" s="516" t="s">
        <v>97</v>
      </c>
      <c r="D530" s="516" t="s">
        <v>98</v>
      </c>
      <c r="E530" s="516" t="s">
        <v>822</v>
      </c>
      <c r="F530" s="516" t="s">
        <v>823</v>
      </c>
      <c r="G530" s="528"/>
      <c r="H530" s="528"/>
      <c r="I530" s="528"/>
      <c r="J530" s="529">
        <v>501.41</v>
      </c>
    </row>
    <row r="531" spans="1:10" ht="15.75" customHeight="1" thickBot="1" x14ac:dyDescent="0.3">
      <c r="A531" s="558">
        <v>40878</v>
      </c>
      <c r="B531" s="558">
        <v>40848</v>
      </c>
      <c r="C531" s="516" t="s">
        <v>97</v>
      </c>
      <c r="D531" s="516" t="s">
        <v>98</v>
      </c>
      <c r="E531" s="516" t="s">
        <v>824</v>
      </c>
      <c r="F531" s="516" t="s">
        <v>294</v>
      </c>
      <c r="G531" s="530"/>
      <c r="H531" s="531">
        <v>1.3</v>
      </c>
      <c r="I531" s="530"/>
      <c r="J531" s="530"/>
    </row>
    <row r="532" spans="1:10" ht="15.75" customHeight="1" thickBot="1" x14ac:dyDescent="0.3">
      <c r="A532" s="558">
        <v>40878</v>
      </c>
      <c r="B532" s="558">
        <v>40848</v>
      </c>
      <c r="C532" s="516" t="s">
        <v>97</v>
      </c>
      <c r="D532" s="516" t="s">
        <v>98</v>
      </c>
      <c r="E532" s="516" t="s">
        <v>825</v>
      </c>
      <c r="F532" s="516" t="s">
        <v>812</v>
      </c>
      <c r="G532" s="529">
        <v>1357</v>
      </c>
      <c r="H532" s="528"/>
      <c r="I532" s="529">
        <v>58.35</v>
      </c>
      <c r="J532" s="528"/>
    </row>
    <row r="533" spans="1:10" ht="15.75" customHeight="1" thickBot="1" x14ac:dyDescent="0.3">
      <c r="A533" s="558">
        <v>40878</v>
      </c>
      <c r="B533" s="558">
        <v>40848</v>
      </c>
      <c r="C533" s="516" t="s">
        <v>97</v>
      </c>
      <c r="D533" s="516" t="s">
        <v>98</v>
      </c>
      <c r="E533" s="516" t="s">
        <v>816</v>
      </c>
      <c r="F533" s="516" t="s">
        <v>812</v>
      </c>
      <c r="G533" s="531">
        <v>655087</v>
      </c>
      <c r="H533" s="531">
        <v>28168.74</v>
      </c>
      <c r="I533" s="530"/>
      <c r="J533" s="530"/>
    </row>
    <row r="534" spans="1:10" ht="15.75" customHeight="1" thickBot="1" x14ac:dyDescent="0.3">
      <c r="A534" s="558">
        <v>40878</v>
      </c>
      <c r="B534" s="558">
        <v>40848</v>
      </c>
      <c r="C534" s="516" t="s">
        <v>97</v>
      </c>
      <c r="D534" s="516" t="s">
        <v>98</v>
      </c>
      <c r="E534" s="516" t="s">
        <v>826</v>
      </c>
      <c r="F534" s="516" t="s">
        <v>294</v>
      </c>
      <c r="G534" s="528"/>
      <c r="H534" s="529">
        <v>628.87</v>
      </c>
      <c r="I534" s="528"/>
      <c r="J534" s="528"/>
    </row>
    <row r="535" spans="1:10" ht="15.75" customHeight="1" thickBot="1" x14ac:dyDescent="0.3">
      <c r="A535" s="558">
        <v>40878</v>
      </c>
      <c r="B535" s="558">
        <v>40848</v>
      </c>
      <c r="C535" s="516" t="s">
        <v>97</v>
      </c>
      <c r="D535" s="516" t="s">
        <v>98</v>
      </c>
      <c r="E535" s="516" t="s">
        <v>829</v>
      </c>
      <c r="F535" s="516" t="s">
        <v>830</v>
      </c>
      <c r="G535" s="530"/>
      <c r="H535" s="531">
        <v>94.12</v>
      </c>
      <c r="I535" s="530"/>
      <c r="J535" s="530"/>
    </row>
    <row r="536" spans="1:10" ht="15.75" customHeight="1" thickBot="1" x14ac:dyDescent="0.3">
      <c r="A536" s="558">
        <v>40878</v>
      </c>
      <c r="B536" s="558">
        <v>40848</v>
      </c>
      <c r="C536" s="516" t="s">
        <v>97</v>
      </c>
      <c r="D536" s="516" t="s">
        <v>98</v>
      </c>
      <c r="E536" s="532" t="s">
        <v>831</v>
      </c>
      <c r="F536" s="533"/>
      <c r="G536" s="534">
        <v>656444</v>
      </c>
      <c r="H536" s="534">
        <v>31423.03</v>
      </c>
      <c r="I536" s="534">
        <v>58.35</v>
      </c>
      <c r="J536" s="534">
        <v>501.41</v>
      </c>
    </row>
    <row r="537" spans="1:10" ht="15.75" customHeight="1" thickBot="1" x14ac:dyDescent="0.3">
      <c r="A537" s="558">
        <v>40878</v>
      </c>
      <c r="B537" s="558">
        <v>40848</v>
      </c>
      <c r="C537" s="516" t="s">
        <v>106</v>
      </c>
      <c r="D537" s="516" t="s">
        <v>107</v>
      </c>
      <c r="E537" s="516" t="s">
        <v>820</v>
      </c>
      <c r="F537" s="516" t="s">
        <v>821</v>
      </c>
      <c r="G537" s="530"/>
      <c r="H537" s="531">
        <v>230</v>
      </c>
      <c r="I537" s="530"/>
      <c r="J537" s="530"/>
    </row>
    <row r="538" spans="1:10" ht="15.75" customHeight="1" thickBot="1" x14ac:dyDescent="0.3">
      <c r="A538" s="558">
        <v>40878</v>
      </c>
      <c r="B538" s="558">
        <v>40848</v>
      </c>
      <c r="C538" s="516" t="s">
        <v>106</v>
      </c>
      <c r="D538" s="516" t="s">
        <v>107</v>
      </c>
      <c r="E538" s="516" t="s">
        <v>822</v>
      </c>
      <c r="F538" s="516" t="s">
        <v>823</v>
      </c>
      <c r="G538" s="528"/>
      <c r="H538" s="528"/>
      <c r="I538" s="528"/>
      <c r="J538" s="529">
        <v>1404.1</v>
      </c>
    </row>
    <row r="539" spans="1:10" ht="15.75" customHeight="1" thickBot="1" x14ac:dyDescent="0.3">
      <c r="A539" s="558">
        <v>40878</v>
      </c>
      <c r="B539" s="558">
        <v>40848</v>
      </c>
      <c r="C539" s="516" t="s">
        <v>106</v>
      </c>
      <c r="D539" s="516" t="s">
        <v>107</v>
      </c>
      <c r="E539" s="516" t="s">
        <v>832</v>
      </c>
      <c r="F539" s="516" t="s">
        <v>833</v>
      </c>
      <c r="G539" s="530"/>
      <c r="H539" s="530"/>
      <c r="I539" s="531">
        <v>781</v>
      </c>
      <c r="J539" s="530"/>
    </row>
    <row r="540" spans="1:10" ht="15.75" customHeight="1" thickBot="1" x14ac:dyDescent="0.3">
      <c r="A540" s="558">
        <v>40878</v>
      </c>
      <c r="B540" s="558">
        <v>40848</v>
      </c>
      <c r="C540" s="516" t="s">
        <v>106</v>
      </c>
      <c r="D540" s="516" t="s">
        <v>107</v>
      </c>
      <c r="E540" s="516" t="s">
        <v>825</v>
      </c>
      <c r="F540" s="516" t="s">
        <v>812</v>
      </c>
      <c r="G540" s="529">
        <v>3800</v>
      </c>
      <c r="H540" s="528"/>
      <c r="I540" s="529">
        <v>18.510000000000002</v>
      </c>
      <c r="J540" s="528"/>
    </row>
    <row r="541" spans="1:10" ht="15.75" customHeight="1" thickBot="1" x14ac:dyDescent="0.3">
      <c r="A541" s="558">
        <v>40878</v>
      </c>
      <c r="B541" s="558">
        <v>40848</v>
      </c>
      <c r="C541" s="516" t="s">
        <v>106</v>
      </c>
      <c r="D541" s="516" t="s">
        <v>107</v>
      </c>
      <c r="E541" s="516" t="s">
        <v>816</v>
      </c>
      <c r="F541" s="516" t="s">
        <v>812</v>
      </c>
      <c r="G541" s="531">
        <v>189780</v>
      </c>
      <c r="H541" s="531">
        <v>924.23</v>
      </c>
      <c r="I541" s="530"/>
      <c r="J541" s="530"/>
    </row>
    <row r="542" spans="1:10" ht="15.75" customHeight="1" thickBot="1" x14ac:dyDescent="0.3">
      <c r="A542" s="558">
        <v>40878</v>
      </c>
      <c r="B542" s="558">
        <v>40848</v>
      </c>
      <c r="C542" s="516" t="s">
        <v>106</v>
      </c>
      <c r="D542" s="516" t="s">
        <v>107</v>
      </c>
      <c r="E542" s="516" t="s">
        <v>816</v>
      </c>
      <c r="F542" s="516" t="s">
        <v>834</v>
      </c>
      <c r="G542" s="528"/>
      <c r="H542" s="529">
        <v>18225</v>
      </c>
      <c r="I542" s="528"/>
      <c r="J542" s="528"/>
    </row>
    <row r="543" spans="1:10" ht="15.75" customHeight="1" thickBot="1" x14ac:dyDescent="0.3">
      <c r="A543" s="558">
        <v>40878</v>
      </c>
      <c r="B543" s="558">
        <v>40848</v>
      </c>
      <c r="C543" s="516" t="s">
        <v>106</v>
      </c>
      <c r="D543" s="516" t="s">
        <v>107</v>
      </c>
      <c r="E543" s="516" t="s">
        <v>816</v>
      </c>
      <c r="F543" s="535" t="s">
        <v>831</v>
      </c>
      <c r="G543" s="534">
        <v>189780</v>
      </c>
      <c r="H543" s="534">
        <v>19149.23</v>
      </c>
      <c r="I543" s="536"/>
      <c r="J543" s="536"/>
    </row>
    <row r="544" spans="1:10" ht="15.75" customHeight="1" thickBot="1" x14ac:dyDescent="0.3">
      <c r="A544" s="558">
        <v>40878</v>
      </c>
      <c r="B544" s="558">
        <v>40848</v>
      </c>
      <c r="C544" s="516" t="s">
        <v>106</v>
      </c>
      <c r="D544" s="516" t="s">
        <v>107</v>
      </c>
      <c r="E544" s="516" t="s">
        <v>829</v>
      </c>
      <c r="F544" s="516" t="s">
        <v>830</v>
      </c>
      <c r="G544" s="528"/>
      <c r="H544" s="529">
        <v>2487.63</v>
      </c>
      <c r="I544" s="528"/>
      <c r="J544" s="528"/>
    </row>
    <row r="545" spans="1:10" ht="15.75" customHeight="1" thickBot="1" x14ac:dyDescent="0.3">
      <c r="A545" s="558">
        <v>40878</v>
      </c>
      <c r="B545" s="558">
        <v>40848</v>
      </c>
      <c r="C545" s="516" t="s">
        <v>106</v>
      </c>
      <c r="D545" s="516" t="s">
        <v>107</v>
      </c>
      <c r="E545" s="532" t="s">
        <v>831</v>
      </c>
      <c r="F545" s="533"/>
      <c r="G545" s="534">
        <v>193580</v>
      </c>
      <c r="H545" s="534">
        <v>21866.86</v>
      </c>
      <c r="I545" s="534">
        <v>799.51</v>
      </c>
      <c r="J545" s="534">
        <v>1404.1</v>
      </c>
    </row>
    <row r="546" spans="1:10" ht="15.75" thickBot="1" x14ac:dyDescent="0.3">
      <c r="A546" s="558">
        <v>40878</v>
      </c>
      <c r="B546" s="558">
        <v>40848</v>
      </c>
      <c r="C546" s="516" t="s">
        <v>99</v>
      </c>
      <c r="D546" s="516" t="s">
        <v>100</v>
      </c>
      <c r="E546" s="516" t="s">
        <v>820</v>
      </c>
      <c r="F546" s="516" t="s">
        <v>821</v>
      </c>
      <c r="G546" s="528"/>
      <c r="H546" s="529">
        <v>13110</v>
      </c>
      <c r="I546" s="528"/>
      <c r="J546" s="528"/>
    </row>
    <row r="547" spans="1:10" ht="15.75" thickBot="1" x14ac:dyDescent="0.3">
      <c r="A547" s="558">
        <v>40878</v>
      </c>
      <c r="B547" s="558">
        <v>40848</v>
      </c>
      <c r="C547" s="516" t="s">
        <v>99</v>
      </c>
      <c r="D547" s="516" t="s">
        <v>100</v>
      </c>
      <c r="E547" s="516" t="s">
        <v>822</v>
      </c>
      <c r="F547" s="516" t="s">
        <v>823</v>
      </c>
      <c r="G547" s="530"/>
      <c r="H547" s="530"/>
      <c r="I547" s="530"/>
      <c r="J547" s="531">
        <v>1968.7</v>
      </c>
    </row>
    <row r="548" spans="1:10" ht="15.75" thickBot="1" x14ac:dyDescent="0.3">
      <c r="A548" s="558">
        <v>40878</v>
      </c>
      <c r="B548" s="558">
        <v>40848</v>
      </c>
      <c r="C548" s="516" t="s">
        <v>99</v>
      </c>
      <c r="D548" s="516" t="s">
        <v>100</v>
      </c>
      <c r="E548" s="516" t="s">
        <v>825</v>
      </c>
      <c r="F548" s="516" t="s">
        <v>812</v>
      </c>
      <c r="G548" s="529">
        <v>5328</v>
      </c>
      <c r="H548" s="528"/>
      <c r="I548" s="529">
        <v>229.1</v>
      </c>
      <c r="J548" s="528"/>
    </row>
    <row r="549" spans="1:10" ht="15.75" thickBot="1" x14ac:dyDescent="0.3">
      <c r="A549" s="558">
        <v>40878</v>
      </c>
      <c r="B549" s="558">
        <v>40848</v>
      </c>
      <c r="C549" s="516" t="s">
        <v>99</v>
      </c>
      <c r="D549" s="516" t="s">
        <v>100</v>
      </c>
      <c r="E549" s="516" t="s">
        <v>816</v>
      </c>
      <c r="F549" s="516" t="s">
        <v>812</v>
      </c>
      <c r="G549" s="531">
        <v>6203257</v>
      </c>
      <c r="H549" s="531">
        <v>266740.09000000003</v>
      </c>
      <c r="I549" s="530"/>
      <c r="J549" s="530"/>
    </row>
    <row r="550" spans="1:10" ht="15.75" thickBot="1" x14ac:dyDescent="0.3">
      <c r="A550" s="558">
        <v>40878</v>
      </c>
      <c r="B550" s="558">
        <v>40848</v>
      </c>
      <c r="C550" s="516" t="s">
        <v>99</v>
      </c>
      <c r="D550" s="516" t="s">
        <v>100</v>
      </c>
      <c r="E550" s="516" t="s">
        <v>827</v>
      </c>
      <c r="F550" s="516" t="s">
        <v>828</v>
      </c>
      <c r="G550" s="528"/>
      <c r="H550" s="528"/>
      <c r="I550" s="528"/>
      <c r="J550" s="529">
        <v>-913.74</v>
      </c>
    </row>
    <row r="551" spans="1:10" ht="15.75" thickBot="1" x14ac:dyDescent="0.3">
      <c r="A551" s="558">
        <v>40878</v>
      </c>
      <c r="B551" s="558">
        <v>40848</v>
      </c>
      <c r="C551" s="516" t="s">
        <v>99</v>
      </c>
      <c r="D551" s="516" t="s">
        <v>100</v>
      </c>
      <c r="E551" s="516" t="s">
        <v>829</v>
      </c>
      <c r="F551" s="516" t="s">
        <v>830</v>
      </c>
      <c r="G551" s="530"/>
      <c r="H551" s="531">
        <v>4049.81</v>
      </c>
      <c r="I551" s="530"/>
      <c r="J551" s="530"/>
    </row>
    <row r="552" spans="1:10" ht="15.75" thickBot="1" x14ac:dyDescent="0.3">
      <c r="A552" s="558">
        <v>40878</v>
      </c>
      <c r="B552" s="558">
        <v>40848</v>
      </c>
      <c r="C552" s="516" t="s">
        <v>99</v>
      </c>
      <c r="D552" s="516" t="s">
        <v>100</v>
      </c>
      <c r="E552" s="532" t="s">
        <v>831</v>
      </c>
      <c r="F552" s="533"/>
      <c r="G552" s="534">
        <v>6208585</v>
      </c>
      <c r="H552" s="534">
        <v>283899.90000000002</v>
      </c>
      <c r="I552" s="534">
        <v>229.1</v>
      </c>
      <c r="J552" s="534">
        <v>1054.96</v>
      </c>
    </row>
    <row r="553" spans="1:10" ht="15.75" customHeight="1" thickBot="1" x14ac:dyDescent="0.3">
      <c r="A553" s="558">
        <v>40878</v>
      </c>
      <c r="B553" s="558">
        <v>40848</v>
      </c>
      <c r="C553" s="532" t="s">
        <v>831</v>
      </c>
      <c r="D553" s="537"/>
      <c r="E553" s="537"/>
      <c r="F553" s="533"/>
      <c r="G553" s="534">
        <v>7058609</v>
      </c>
      <c r="H553" s="534">
        <v>337189.79</v>
      </c>
      <c r="I553" s="534">
        <v>1086.96</v>
      </c>
      <c r="J553" s="534">
        <v>2960.47</v>
      </c>
    </row>
    <row r="554" spans="1:10" ht="15.75" customHeight="1" thickBot="1" x14ac:dyDescent="0.3">
      <c r="A554" s="558">
        <v>40878</v>
      </c>
      <c r="B554" s="558">
        <v>40878</v>
      </c>
      <c r="C554" s="516" t="s">
        <v>97</v>
      </c>
      <c r="D554" s="516" t="s">
        <v>98</v>
      </c>
      <c r="E554" s="516" t="s">
        <v>820</v>
      </c>
      <c r="F554" s="516" t="s">
        <v>821</v>
      </c>
      <c r="G554" s="528"/>
      <c r="H554" s="529">
        <v>230</v>
      </c>
      <c r="I554" s="528"/>
      <c r="J554" s="528"/>
    </row>
    <row r="555" spans="1:10" ht="15.75" customHeight="1" thickBot="1" x14ac:dyDescent="0.3">
      <c r="A555" s="558">
        <v>40878</v>
      </c>
      <c r="B555" s="558">
        <v>40878</v>
      </c>
      <c r="C555" s="516" t="s">
        <v>97</v>
      </c>
      <c r="D555" s="516" t="s">
        <v>98</v>
      </c>
      <c r="E555" s="516" t="s">
        <v>816</v>
      </c>
      <c r="F555" s="516" t="s">
        <v>812</v>
      </c>
      <c r="G555" s="531">
        <v>26240</v>
      </c>
      <c r="H555" s="531">
        <v>1128.32</v>
      </c>
      <c r="I555" s="530"/>
      <c r="J555" s="530"/>
    </row>
    <row r="556" spans="1:10" ht="15.75" customHeight="1" thickBot="1" x14ac:dyDescent="0.3">
      <c r="A556" s="558">
        <v>40878</v>
      </c>
      <c r="B556" s="558">
        <v>40878</v>
      </c>
      <c r="C556" s="516" t="s">
        <v>97</v>
      </c>
      <c r="D556" s="516" t="s">
        <v>98</v>
      </c>
      <c r="E556" s="516" t="s">
        <v>826</v>
      </c>
      <c r="F556" s="516" t="s">
        <v>294</v>
      </c>
      <c r="G556" s="528"/>
      <c r="H556" s="529">
        <v>25.19</v>
      </c>
      <c r="I556" s="528"/>
      <c r="J556" s="528"/>
    </row>
    <row r="557" spans="1:10" ht="15.75" customHeight="1" thickBot="1" x14ac:dyDescent="0.3">
      <c r="A557" s="558">
        <v>40878</v>
      </c>
      <c r="B557" s="558">
        <v>40878</v>
      </c>
      <c r="C557" s="516" t="s">
        <v>97</v>
      </c>
      <c r="D557" s="516" t="s">
        <v>98</v>
      </c>
      <c r="E557" s="532" t="s">
        <v>831</v>
      </c>
      <c r="F557" s="533"/>
      <c r="G557" s="534">
        <v>26240</v>
      </c>
      <c r="H557" s="534">
        <v>1383.51</v>
      </c>
      <c r="I557" s="534">
        <v>0</v>
      </c>
      <c r="J557" s="534">
        <v>0</v>
      </c>
    </row>
    <row r="558" spans="1:10" ht="15.75" customHeight="1" thickBot="1" x14ac:dyDescent="0.3">
      <c r="A558" s="558">
        <v>40878</v>
      </c>
      <c r="B558" s="558">
        <v>40878</v>
      </c>
      <c r="C558" s="516" t="s">
        <v>66</v>
      </c>
      <c r="D558" s="516" t="s">
        <v>67</v>
      </c>
      <c r="E558" s="516" t="s">
        <v>820</v>
      </c>
      <c r="F558" s="516" t="s">
        <v>821</v>
      </c>
      <c r="G558" s="528"/>
      <c r="H558" s="529">
        <v>306</v>
      </c>
      <c r="I558" s="528"/>
      <c r="J558" s="528"/>
    </row>
    <row r="559" spans="1:10" ht="15.75" customHeight="1" thickBot="1" x14ac:dyDescent="0.3">
      <c r="A559" s="558">
        <v>40878</v>
      </c>
      <c r="B559" s="558">
        <v>40878</v>
      </c>
      <c r="C559" s="516" t="s">
        <v>66</v>
      </c>
      <c r="D559" s="516" t="s">
        <v>67</v>
      </c>
      <c r="E559" s="516" t="s">
        <v>832</v>
      </c>
      <c r="F559" s="516" t="s">
        <v>833</v>
      </c>
      <c r="G559" s="530"/>
      <c r="H559" s="530"/>
      <c r="I559" s="531">
        <v>340</v>
      </c>
      <c r="J559" s="530"/>
    </row>
    <row r="560" spans="1:10" ht="15.75" customHeight="1" thickBot="1" x14ac:dyDescent="0.3">
      <c r="A560" s="558">
        <v>40878</v>
      </c>
      <c r="B560" s="558">
        <v>40878</v>
      </c>
      <c r="C560" s="516" t="s">
        <v>66</v>
      </c>
      <c r="D560" s="516" t="s">
        <v>67</v>
      </c>
      <c r="E560" s="516" t="s">
        <v>816</v>
      </c>
      <c r="F560" s="516" t="s">
        <v>812</v>
      </c>
      <c r="G560" s="529">
        <v>36172</v>
      </c>
      <c r="H560" s="529">
        <v>6880.63</v>
      </c>
      <c r="I560" s="528"/>
      <c r="J560" s="528"/>
    </row>
    <row r="561" spans="1:10" ht="15.75" customHeight="1" thickBot="1" x14ac:dyDescent="0.3">
      <c r="A561" s="558">
        <v>40878</v>
      </c>
      <c r="B561" s="558">
        <v>40878</v>
      </c>
      <c r="C561" s="516" t="s">
        <v>66</v>
      </c>
      <c r="D561" s="516" t="s">
        <v>67</v>
      </c>
      <c r="E561" s="516" t="s">
        <v>816</v>
      </c>
      <c r="F561" s="516" t="s">
        <v>835</v>
      </c>
      <c r="G561" s="530"/>
      <c r="H561" s="531">
        <v>2975.88</v>
      </c>
      <c r="I561" s="530"/>
      <c r="J561" s="530"/>
    </row>
    <row r="562" spans="1:10" ht="15.75" customHeight="1" thickBot="1" x14ac:dyDescent="0.3">
      <c r="A562" s="558">
        <v>40878</v>
      </c>
      <c r="B562" s="558">
        <v>40878</v>
      </c>
      <c r="C562" s="516" t="s">
        <v>66</v>
      </c>
      <c r="D562" s="516" t="s">
        <v>67</v>
      </c>
      <c r="E562" s="516" t="s">
        <v>816</v>
      </c>
      <c r="F562" s="535" t="s">
        <v>831</v>
      </c>
      <c r="G562" s="534">
        <v>36172</v>
      </c>
      <c r="H562" s="534">
        <v>9856.51</v>
      </c>
      <c r="I562" s="536"/>
      <c r="J562" s="536"/>
    </row>
    <row r="563" spans="1:10" ht="15.75" customHeight="1" thickBot="1" x14ac:dyDescent="0.3">
      <c r="A563" s="558">
        <v>40878</v>
      </c>
      <c r="B563" s="558">
        <v>40878</v>
      </c>
      <c r="C563" s="516" t="s">
        <v>66</v>
      </c>
      <c r="D563" s="516" t="s">
        <v>67</v>
      </c>
      <c r="E563" s="516" t="s">
        <v>827</v>
      </c>
      <c r="F563" s="516" t="s">
        <v>828</v>
      </c>
      <c r="G563" s="530"/>
      <c r="H563" s="530"/>
      <c r="I563" s="530"/>
      <c r="J563" s="531">
        <v>-356.97</v>
      </c>
    </row>
    <row r="564" spans="1:10" ht="15.75" customHeight="1" thickBot="1" x14ac:dyDescent="0.3">
      <c r="A564" s="558">
        <v>40878</v>
      </c>
      <c r="B564" s="558">
        <v>40878</v>
      </c>
      <c r="C564" s="516" t="s">
        <v>66</v>
      </c>
      <c r="D564" s="516" t="s">
        <v>67</v>
      </c>
      <c r="E564" s="532" t="s">
        <v>831</v>
      </c>
      <c r="F564" s="533"/>
      <c r="G564" s="534">
        <v>36172</v>
      </c>
      <c r="H564" s="534">
        <v>10162.51</v>
      </c>
      <c r="I564" s="534">
        <v>340</v>
      </c>
      <c r="J564" s="534">
        <v>-356.97</v>
      </c>
    </row>
    <row r="565" spans="1:10" ht="15.75" thickBot="1" x14ac:dyDescent="0.3">
      <c r="A565" s="558">
        <v>40878</v>
      </c>
      <c r="B565" s="558">
        <v>40878</v>
      </c>
      <c r="C565" s="516" t="s">
        <v>99</v>
      </c>
      <c r="D565" s="516" t="s">
        <v>100</v>
      </c>
      <c r="E565" s="516" t="s">
        <v>820</v>
      </c>
      <c r="F565" s="516" t="s">
        <v>821</v>
      </c>
      <c r="G565" s="530"/>
      <c r="H565" s="531">
        <v>920</v>
      </c>
      <c r="I565" s="530"/>
      <c r="J565" s="530"/>
    </row>
    <row r="566" spans="1:10" ht="15.75" thickBot="1" x14ac:dyDescent="0.3">
      <c r="A566" s="558">
        <v>40878</v>
      </c>
      <c r="B566" s="558">
        <v>40878</v>
      </c>
      <c r="C566" s="516" t="s">
        <v>99</v>
      </c>
      <c r="D566" s="516" t="s">
        <v>100</v>
      </c>
      <c r="E566" s="516" t="s">
        <v>816</v>
      </c>
      <c r="F566" s="516" t="s">
        <v>812</v>
      </c>
      <c r="G566" s="529">
        <v>1728925</v>
      </c>
      <c r="H566" s="529">
        <v>74343.78</v>
      </c>
      <c r="I566" s="528"/>
      <c r="J566" s="528"/>
    </row>
    <row r="567" spans="1:10" ht="15.75" thickBot="1" x14ac:dyDescent="0.3">
      <c r="A567" s="558">
        <v>40878</v>
      </c>
      <c r="B567" s="558">
        <v>40878</v>
      </c>
      <c r="C567" s="516" t="s">
        <v>99</v>
      </c>
      <c r="D567" s="516" t="s">
        <v>100</v>
      </c>
      <c r="E567" s="532" t="s">
        <v>831</v>
      </c>
      <c r="F567" s="533"/>
      <c r="G567" s="534">
        <v>1728925</v>
      </c>
      <c r="H567" s="534">
        <v>75263.78</v>
      </c>
      <c r="I567" s="534">
        <v>0</v>
      </c>
      <c r="J567" s="534">
        <v>0</v>
      </c>
    </row>
    <row r="568" spans="1:10" ht="15.75" customHeight="1" thickBot="1" x14ac:dyDescent="0.3">
      <c r="A568" s="558">
        <v>40878</v>
      </c>
      <c r="B568" s="558">
        <v>40878</v>
      </c>
      <c r="C568" s="516" t="s">
        <v>102</v>
      </c>
      <c r="D568" s="516" t="s">
        <v>103</v>
      </c>
      <c r="E568" s="516" t="s">
        <v>820</v>
      </c>
      <c r="F568" s="516" t="s">
        <v>821</v>
      </c>
      <c r="G568" s="528"/>
      <c r="H568" s="529">
        <v>5175</v>
      </c>
      <c r="I568" s="528"/>
      <c r="J568" s="528"/>
    </row>
    <row r="569" spans="1:10" ht="15.75" customHeight="1" thickBot="1" x14ac:dyDescent="0.3">
      <c r="A569" s="558">
        <v>40878</v>
      </c>
      <c r="B569" s="558">
        <v>40878</v>
      </c>
      <c r="C569" s="516" t="s">
        <v>102</v>
      </c>
      <c r="D569" s="516" t="s">
        <v>103</v>
      </c>
      <c r="E569" s="516" t="s">
        <v>822</v>
      </c>
      <c r="F569" s="516" t="s">
        <v>823</v>
      </c>
      <c r="G569" s="530"/>
      <c r="H569" s="530"/>
      <c r="I569" s="530"/>
      <c r="J569" s="531">
        <v>35555.129999999997</v>
      </c>
    </row>
    <row r="570" spans="1:10" ht="15.75" customHeight="1" thickBot="1" x14ac:dyDescent="0.3">
      <c r="A570" s="558">
        <v>40878</v>
      </c>
      <c r="B570" s="558">
        <v>40878</v>
      </c>
      <c r="C570" s="516" t="s">
        <v>102</v>
      </c>
      <c r="D570" s="516" t="s">
        <v>103</v>
      </c>
      <c r="E570" s="516" t="s">
        <v>827</v>
      </c>
      <c r="F570" s="516" t="s">
        <v>828</v>
      </c>
      <c r="G570" s="528"/>
      <c r="H570" s="528"/>
      <c r="I570" s="528"/>
      <c r="J570" s="529">
        <v>-13563.51</v>
      </c>
    </row>
    <row r="571" spans="1:10" ht="15.75" customHeight="1" thickBot="1" x14ac:dyDescent="0.3">
      <c r="A571" s="558">
        <v>40878</v>
      </c>
      <c r="B571" s="558">
        <v>40878</v>
      </c>
      <c r="C571" s="516" t="s">
        <v>102</v>
      </c>
      <c r="D571" s="516" t="s">
        <v>103</v>
      </c>
      <c r="E571" s="516" t="s">
        <v>829</v>
      </c>
      <c r="F571" s="516" t="s">
        <v>830</v>
      </c>
      <c r="G571" s="530"/>
      <c r="H571" s="531">
        <v>26486.52</v>
      </c>
      <c r="I571" s="530"/>
      <c r="J571" s="530"/>
    </row>
    <row r="572" spans="1:10" ht="15.75" customHeight="1" thickBot="1" x14ac:dyDescent="0.3">
      <c r="A572" s="558">
        <v>40878</v>
      </c>
      <c r="B572" s="558">
        <v>40878</v>
      </c>
      <c r="C572" s="516" t="s">
        <v>102</v>
      </c>
      <c r="D572" s="516" t="s">
        <v>103</v>
      </c>
      <c r="E572" s="532" t="s">
        <v>831</v>
      </c>
      <c r="F572" s="533"/>
      <c r="G572" s="536"/>
      <c r="H572" s="534">
        <v>31661.52</v>
      </c>
      <c r="I572" s="536"/>
      <c r="J572" s="534">
        <v>21991.62</v>
      </c>
    </row>
    <row r="573" spans="1:10" ht="15.75" customHeight="1" thickBot="1" x14ac:dyDescent="0.3">
      <c r="A573" s="558">
        <v>40878</v>
      </c>
      <c r="B573" s="558">
        <v>40878</v>
      </c>
      <c r="C573" s="516" t="s">
        <v>109</v>
      </c>
      <c r="D573" s="516" t="s">
        <v>110</v>
      </c>
      <c r="E573" s="516" t="s">
        <v>820</v>
      </c>
      <c r="F573" s="516" t="s">
        <v>821</v>
      </c>
      <c r="G573" s="530"/>
      <c r="H573" s="531">
        <v>230</v>
      </c>
      <c r="I573" s="530"/>
      <c r="J573" s="530"/>
    </row>
    <row r="574" spans="1:10" ht="15.75" customHeight="1" thickBot="1" x14ac:dyDescent="0.3">
      <c r="A574" s="558">
        <v>40878</v>
      </c>
      <c r="B574" s="558">
        <v>40878</v>
      </c>
      <c r="C574" s="516" t="s">
        <v>109</v>
      </c>
      <c r="D574" s="516" t="s">
        <v>110</v>
      </c>
      <c r="E574" s="516" t="s">
        <v>822</v>
      </c>
      <c r="F574" s="516" t="s">
        <v>823</v>
      </c>
      <c r="G574" s="528"/>
      <c r="H574" s="528"/>
      <c r="I574" s="528"/>
      <c r="J574" s="529">
        <v>1753.28</v>
      </c>
    </row>
    <row r="575" spans="1:10" ht="15.75" customHeight="1" thickBot="1" x14ac:dyDescent="0.3">
      <c r="A575" s="558">
        <v>40878</v>
      </c>
      <c r="B575" s="558">
        <v>40878</v>
      </c>
      <c r="C575" s="516" t="s">
        <v>109</v>
      </c>
      <c r="D575" s="516" t="s">
        <v>110</v>
      </c>
      <c r="E575" s="516" t="s">
        <v>832</v>
      </c>
      <c r="F575" s="516" t="s">
        <v>833</v>
      </c>
      <c r="G575" s="530"/>
      <c r="H575" s="530"/>
      <c r="I575" s="531">
        <v>275</v>
      </c>
      <c r="J575" s="530"/>
    </row>
    <row r="576" spans="1:10" ht="15.75" customHeight="1" thickBot="1" x14ac:dyDescent="0.3">
      <c r="A576" s="558">
        <v>40878</v>
      </c>
      <c r="B576" s="558">
        <v>40878</v>
      </c>
      <c r="C576" s="516" t="s">
        <v>109</v>
      </c>
      <c r="D576" s="516" t="s">
        <v>110</v>
      </c>
      <c r="E576" s="516" t="s">
        <v>825</v>
      </c>
      <c r="F576" s="516" t="s">
        <v>812</v>
      </c>
      <c r="G576" s="529">
        <v>4745</v>
      </c>
      <c r="H576" s="528"/>
      <c r="I576" s="529">
        <v>49.78</v>
      </c>
      <c r="J576" s="528"/>
    </row>
    <row r="577" spans="1:10" ht="15.75" customHeight="1" thickBot="1" x14ac:dyDescent="0.3">
      <c r="A577" s="558">
        <v>40878</v>
      </c>
      <c r="B577" s="558">
        <v>40878</v>
      </c>
      <c r="C577" s="516" t="s">
        <v>109</v>
      </c>
      <c r="D577" s="516" t="s">
        <v>110</v>
      </c>
      <c r="E577" s="516" t="s">
        <v>816</v>
      </c>
      <c r="F577" s="516" t="s">
        <v>812</v>
      </c>
      <c r="G577" s="531">
        <v>603550</v>
      </c>
      <c r="H577" s="531">
        <v>6331.24</v>
      </c>
      <c r="I577" s="530"/>
      <c r="J577" s="530"/>
    </row>
    <row r="578" spans="1:10" ht="15.75" customHeight="1" thickBot="1" x14ac:dyDescent="0.3">
      <c r="A578" s="558">
        <v>40878</v>
      </c>
      <c r="B578" s="558">
        <v>40878</v>
      </c>
      <c r="C578" s="516" t="s">
        <v>109</v>
      </c>
      <c r="D578" s="516" t="s">
        <v>110</v>
      </c>
      <c r="E578" s="516" t="s">
        <v>816</v>
      </c>
      <c r="F578" s="516" t="s">
        <v>834</v>
      </c>
      <c r="G578" s="528"/>
      <c r="H578" s="529">
        <v>6425.38</v>
      </c>
      <c r="I578" s="528"/>
      <c r="J578" s="528"/>
    </row>
    <row r="579" spans="1:10" ht="15.75" customHeight="1" thickBot="1" x14ac:dyDescent="0.3">
      <c r="A579" s="558">
        <v>40878</v>
      </c>
      <c r="B579" s="558">
        <v>40878</v>
      </c>
      <c r="C579" s="516" t="s">
        <v>109</v>
      </c>
      <c r="D579" s="516" t="s">
        <v>110</v>
      </c>
      <c r="E579" s="516" t="s">
        <v>816</v>
      </c>
      <c r="F579" s="535" t="s">
        <v>831</v>
      </c>
      <c r="G579" s="534">
        <v>603550</v>
      </c>
      <c r="H579" s="534">
        <v>12756.62</v>
      </c>
      <c r="I579" s="536"/>
      <c r="J579" s="536"/>
    </row>
    <row r="580" spans="1:10" ht="15.75" customHeight="1" thickBot="1" x14ac:dyDescent="0.3">
      <c r="A580" s="558">
        <v>40878</v>
      </c>
      <c r="B580" s="558">
        <v>40878</v>
      </c>
      <c r="C580" s="516" t="s">
        <v>109</v>
      </c>
      <c r="D580" s="516" t="s">
        <v>110</v>
      </c>
      <c r="E580" s="516" t="s">
        <v>829</v>
      </c>
      <c r="F580" s="516" t="s">
        <v>830</v>
      </c>
      <c r="G580" s="528"/>
      <c r="H580" s="529">
        <v>2186.1999999999998</v>
      </c>
      <c r="I580" s="528"/>
      <c r="J580" s="528"/>
    </row>
    <row r="581" spans="1:10" ht="15.75" customHeight="1" thickBot="1" x14ac:dyDescent="0.3">
      <c r="A581" s="558">
        <v>40878</v>
      </c>
      <c r="B581" s="558">
        <v>40878</v>
      </c>
      <c r="C581" s="516" t="s">
        <v>109</v>
      </c>
      <c r="D581" s="516" t="s">
        <v>110</v>
      </c>
      <c r="E581" s="532" t="s">
        <v>831</v>
      </c>
      <c r="F581" s="533"/>
      <c r="G581" s="534">
        <v>608295</v>
      </c>
      <c r="H581" s="534">
        <v>15172.82</v>
      </c>
      <c r="I581" s="534">
        <v>324.77999999999997</v>
      </c>
      <c r="J581" s="534">
        <v>1753.28</v>
      </c>
    </row>
    <row r="582" spans="1:10" ht="15.75" customHeight="1" thickBot="1" x14ac:dyDescent="0.3">
      <c r="A582" s="558">
        <v>40878</v>
      </c>
      <c r="B582" s="558">
        <v>40878</v>
      </c>
      <c r="C582" s="516" t="s">
        <v>113</v>
      </c>
      <c r="D582" s="516" t="s">
        <v>114</v>
      </c>
      <c r="E582" s="516" t="s">
        <v>822</v>
      </c>
      <c r="F582" s="516" t="s">
        <v>823</v>
      </c>
      <c r="G582" s="528"/>
      <c r="H582" s="528"/>
      <c r="I582" s="528"/>
      <c r="J582" s="529">
        <v>6514.65</v>
      </c>
    </row>
    <row r="583" spans="1:10" ht="15.75" customHeight="1" thickBot="1" x14ac:dyDescent="0.3">
      <c r="A583" s="558">
        <v>40878</v>
      </c>
      <c r="B583" s="558">
        <v>40878</v>
      </c>
      <c r="C583" s="516" t="s">
        <v>113</v>
      </c>
      <c r="D583" s="516" t="s">
        <v>114</v>
      </c>
      <c r="E583" s="516" t="s">
        <v>832</v>
      </c>
      <c r="F583" s="516" t="s">
        <v>833</v>
      </c>
      <c r="G583" s="530"/>
      <c r="H583" s="530"/>
      <c r="I583" s="531">
        <v>781</v>
      </c>
      <c r="J583" s="530"/>
    </row>
    <row r="584" spans="1:10" ht="15.75" customHeight="1" thickBot="1" x14ac:dyDescent="0.3">
      <c r="A584" s="558">
        <v>40878</v>
      </c>
      <c r="B584" s="558">
        <v>40878</v>
      </c>
      <c r="C584" s="516" t="s">
        <v>113</v>
      </c>
      <c r="D584" s="516" t="s">
        <v>114</v>
      </c>
      <c r="E584" s="516" t="s">
        <v>825</v>
      </c>
      <c r="F584" s="516" t="s">
        <v>812</v>
      </c>
      <c r="G584" s="529">
        <v>12714</v>
      </c>
      <c r="H584" s="528"/>
      <c r="I584" s="529">
        <v>61.92</v>
      </c>
      <c r="J584" s="528"/>
    </row>
    <row r="585" spans="1:10" ht="15.75" customHeight="1" thickBot="1" x14ac:dyDescent="0.3">
      <c r="A585" s="558">
        <v>40878</v>
      </c>
      <c r="B585" s="558">
        <v>40878</v>
      </c>
      <c r="C585" s="516" t="s">
        <v>113</v>
      </c>
      <c r="D585" s="516" t="s">
        <v>114</v>
      </c>
      <c r="E585" s="516" t="s">
        <v>816</v>
      </c>
      <c r="F585" s="516" t="s">
        <v>834</v>
      </c>
      <c r="G585" s="530"/>
      <c r="H585" s="531">
        <v>104976</v>
      </c>
      <c r="I585" s="530"/>
      <c r="J585" s="530"/>
    </row>
    <row r="586" spans="1:10" ht="15.75" customHeight="1" thickBot="1" x14ac:dyDescent="0.3">
      <c r="A586" s="558">
        <v>40878</v>
      </c>
      <c r="B586" s="558">
        <v>40878</v>
      </c>
      <c r="C586" s="516" t="s">
        <v>113</v>
      </c>
      <c r="D586" s="516" t="s">
        <v>114</v>
      </c>
      <c r="E586" s="516" t="s">
        <v>829</v>
      </c>
      <c r="F586" s="516" t="s">
        <v>830</v>
      </c>
      <c r="G586" s="528"/>
      <c r="H586" s="529">
        <v>451.73</v>
      </c>
      <c r="I586" s="528"/>
      <c r="J586" s="528"/>
    </row>
    <row r="587" spans="1:10" ht="15.75" customHeight="1" thickBot="1" x14ac:dyDescent="0.3">
      <c r="A587" s="558">
        <v>40878</v>
      </c>
      <c r="B587" s="558">
        <v>40878</v>
      </c>
      <c r="C587" s="516" t="s">
        <v>113</v>
      </c>
      <c r="D587" s="516" t="s">
        <v>114</v>
      </c>
      <c r="E587" s="532" t="s">
        <v>831</v>
      </c>
      <c r="F587" s="533"/>
      <c r="G587" s="534">
        <v>12714</v>
      </c>
      <c r="H587" s="534">
        <v>105427.73</v>
      </c>
      <c r="I587" s="534">
        <v>842.92</v>
      </c>
      <c r="J587" s="534">
        <v>6514.65</v>
      </c>
    </row>
    <row r="588" spans="1:10" ht="15.75" customHeight="1" thickBot="1" x14ac:dyDescent="0.3">
      <c r="A588" s="558">
        <v>40878</v>
      </c>
      <c r="B588" s="558">
        <v>40878</v>
      </c>
      <c r="C588" s="532" t="s">
        <v>831</v>
      </c>
      <c r="D588" s="537"/>
      <c r="E588" s="537"/>
      <c r="F588" s="533"/>
      <c r="G588" s="534">
        <v>2412346</v>
      </c>
      <c r="H588" s="534">
        <v>239071.87</v>
      </c>
      <c r="I588" s="534">
        <v>1507.7</v>
      </c>
      <c r="J588" s="534">
        <v>29902.58</v>
      </c>
    </row>
    <row r="589" spans="1:10" ht="15.75" customHeight="1" thickBot="1" x14ac:dyDescent="0.3">
      <c r="A589" s="558">
        <v>40878</v>
      </c>
      <c r="B589" s="532" t="s">
        <v>831</v>
      </c>
      <c r="C589" s="537"/>
      <c r="D589" s="537"/>
      <c r="E589" s="537"/>
      <c r="F589" s="533"/>
      <c r="G589" s="534">
        <v>9470955</v>
      </c>
      <c r="H589" s="534">
        <v>576261.66</v>
      </c>
      <c r="I589" s="534">
        <v>2594.66</v>
      </c>
      <c r="J589" s="534">
        <v>32863.050000000003</v>
      </c>
    </row>
    <row r="590" spans="1:10" ht="15.75" customHeight="1" thickBot="1" x14ac:dyDescent="0.3">
      <c r="A590" s="558">
        <v>40909</v>
      </c>
      <c r="B590" s="558">
        <v>40878</v>
      </c>
      <c r="C590" s="516" t="s">
        <v>97</v>
      </c>
      <c r="D590" s="516" t="s">
        <v>98</v>
      </c>
      <c r="E590" s="516" t="s">
        <v>820</v>
      </c>
      <c r="F590" s="516" t="s">
        <v>821</v>
      </c>
      <c r="G590" s="528"/>
      <c r="H590" s="529">
        <v>2760</v>
      </c>
      <c r="I590" s="528"/>
      <c r="J590" s="528"/>
    </row>
    <row r="591" spans="1:10" ht="15.75" customHeight="1" thickBot="1" x14ac:dyDescent="0.3">
      <c r="A591" s="558">
        <v>40909</v>
      </c>
      <c r="B591" s="558">
        <v>40878</v>
      </c>
      <c r="C591" s="516" t="s">
        <v>97</v>
      </c>
      <c r="D591" s="516" t="s">
        <v>98</v>
      </c>
      <c r="E591" s="516" t="s">
        <v>816</v>
      </c>
      <c r="F591" s="516" t="s">
        <v>812</v>
      </c>
      <c r="G591" s="531">
        <v>797559</v>
      </c>
      <c r="H591" s="531">
        <v>34295.040000000001</v>
      </c>
      <c r="I591" s="530"/>
      <c r="J591" s="530"/>
    </row>
    <row r="592" spans="1:10" ht="15.75" customHeight="1" thickBot="1" x14ac:dyDescent="0.3">
      <c r="A592" s="558">
        <v>40909</v>
      </c>
      <c r="B592" s="558">
        <v>40878</v>
      </c>
      <c r="C592" s="516" t="s">
        <v>97</v>
      </c>
      <c r="D592" s="516" t="s">
        <v>98</v>
      </c>
      <c r="E592" s="516" t="s">
        <v>826</v>
      </c>
      <c r="F592" s="516" t="s">
        <v>294</v>
      </c>
      <c r="G592" s="528"/>
      <c r="H592" s="529">
        <v>765.66</v>
      </c>
      <c r="I592" s="528"/>
      <c r="J592" s="528"/>
    </row>
    <row r="593" spans="1:10" ht="15.75" customHeight="1" thickBot="1" x14ac:dyDescent="0.3">
      <c r="A593" s="558">
        <v>40909</v>
      </c>
      <c r="B593" s="558">
        <v>40878</v>
      </c>
      <c r="C593" s="516" t="s">
        <v>97</v>
      </c>
      <c r="D593" s="516" t="s">
        <v>98</v>
      </c>
      <c r="E593" s="516" t="s">
        <v>827</v>
      </c>
      <c r="F593" s="516" t="s">
        <v>828</v>
      </c>
      <c r="G593" s="530"/>
      <c r="H593" s="530"/>
      <c r="I593" s="530"/>
      <c r="J593" s="531">
        <v>-889.53</v>
      </c>
    </row>
    <row r="594" spans="1:10" ht="15.75" customHeight="1" thickBot="1" x14ac:dyDescent="0.3">
      <c r="A594" s="558">
        <v>40909</v>
      </c>
      <c r="B594" s="558">
        <v>40878</v>
      </c>
      <c r="C594" s="516" t="s">
        <v>97</v>
      </c>
      <c r="D594" s="516" t="s">
        <v>98</v>
      </c>
      <c r="E594" s="516" t="s">
        <v>829</v>
      </c>
      <c r="F594" s="516" t="s">
        <v>830</v>
      </c>
      <c r="G594" s="528"/>
      <c r="H594" s="529">
        <v>148.16</v>
      </c>
      <c r="I594" s="528"/>
      <c r="J594" s="528"/>
    </row>
    <row r="595" spans="1:10" ht="15.75" customHeight="1" thickBot="1" x14ac:dyDescent="0.3">
      <c r="A595" s="558">
        <v>40909</v>
      </c>
      <c r="B595" s="558">
        <v>40878</v>
      </c>
      <c r="C595" s="516" t="s">
        <v>97</v>
      </c>
      <c r="D595" s="516" t="s">
        <v>98</v>
      </c>
      <c r="E595" s="532" t="s">
        <v>831</v>
      </c>
      <c r="F595" s="533"/>
      <c r="G595" s="534">
        <v>797559</v>
      </c>
      <c r="H595" s="534">
        <v>37968.86</v>
      </c>
      <c r="I595" s="534">
        <v>0</v>
      </c>
      <c r="J595" s="534">
        <v>-889.53</v>
      </c>
    </row>
    <row r="596" spans="1:10" ht="15.75" customHeight="1" thickBot="1" x14ac:dyDescent="0.3">
      <c r="A596" s="558">
        <v>40909</v>
      </c>
      <c r="B596" s="558">
        <v>40878</v>
      </c>
      <c r="C596" s="516" t="s">
        <v>106</v>
      </c>
      <c r="D596" s="516" t="s">
        <v>107</v>
      </c>
      <c r="E596" s="516" t="s">
        <v>820</v>
      </c>
      <c r="F596" s="516" t="s">
        <v>821</v>
      </c>
      <c r="G596" s="528"/>
      <c r="H596" s="529">
        <v>230</v>
      </c>
      <c r="I596" s="528"/>
      <c r="J596" s="528"/>
    </row>
    <row r="597" spans="1:10" ht="15.75" customHeight="1" thickBot="1" x14ac:dyDescent="0.3">
      <c r="A597" s="558">
        <v>40909</v>
      </c>
      <c r="B597" s="558">
        <v>40878</v>
      </c>
      <c r="C597" s="516" t="s">
        <v>106</v>
      </c>
      <c r="D597" s="516" t="s">
        <v>107</v>
      </c>
      <c r="E597" s="516" t="s">
        <v>822</v>
      </c>
      <c r="F597" s="516" t="s">
        <v>823</v>
      </c>
      <c r="G597" s="530"/>
      <c r="H597" s="530"/>
      <c r="I597" s="530"/>
      <c r="J597" s="531">
        <v>1566.85</v>
      </c>
    </row>
    <row r="598" spans="1:10" ht="15.75" customHeight="1" thickBot="1" x14ac:dyDescent="0.3">
      <c r="A598" s="558">
        <v>40909</v>
      </c>
      <c r="B598" s="558">
        <v>40878</v>
      </c>
      <c r="C598" s="516" t="s">
        <v>106</v>
      </c>
      <c r="D598" s="516" t="s">
        <v>107</v>
      </c>
      <c r="E598" s="516" t="s">
        <v>832</v>
      </c>
      <c r="F598" s="516" t="s">
        <v>833</v>
      </c>
      <c r="G598" s="528"/>
      <c r="H598" s="528"/>
      <c r="I598" s="529">
        <v>781</v>
      </c>
      <c r="J598" s="528"/>
    </row>
    <row r="599" spans="1:10" ht="15.75" customHeight="1" thickBot="1" x14ac:dyDescent="0.3">
      <c r="A599" s="558">
        <v>40909</v>
      </c>
      <c r="B599" s="558">
        <v>40878</v>
      </c>
      <c r="C599" s="516" t="s">
        <v>106</v>
      </c>
      <c r="D599" s="516" t="s">
        <v>107</v>
      </c>
      <c r="E599" s="516" t="s">
        <v>825</v>
      </c>
      <c r="F599" s="516" t="s">
        <v>812</v>
      </c>
      <c r="G599" s="531">
        <v>4281</v>
      </c>
      <c r="H599" s="530"/>
      <c r="I599" s="531">
        <v>20.85</v>
      </c>
      <c r="J599" s="530"/>
    </row>
    <row r="600" spans="1:10" ht="15.75" customHeight="1" thickBot="1" x14ac:dyDescent="0.3">
      <c r="A600" s="558">
        <v>40909</v>
      </c>
      <c r="B600" s="558">
        <v>40878</v>
      </c>
      <c r="C600" s="516" t="s">
        <v>106</v>
      </c>
      <c r="D600" s="516" t="s">
        <v>107</v>
      </c>
      <c r="E600" s="516" t="s">
        <v>816</v>
      </c>
      <c r="F600" s="516" t="s">
        <v>812</v>
      </c>
      <c r="G600" s="529">
        <v>417560</v>
      </c>
      <c r="H600" s="529">
        <v>2033.52</v>
      </c>
      <c r="I600" s="528"/>
      <c r="J600" s="528"/>
    </row>
    <row r="601" spans="1:10" ht="15.75" customHeight="1" thickBot="1" x14ac:dyDescent="0.3">
      <c r="A601" s="558">
        <v>40909</v>
      </c>
      <c r="B601" s="558">
        <v>40878</v>
      </c>
      <c r="C601" s="516" t="s">
        <v>106</v>
      </c>
      <c r="D601" s="516" t="s">
        <v>107</v>
      </c>
      <c r="E601" s="516" t="s">
        <v>816</v>
      </c>
      <c r="F601" s="516" t="s">
        <v>834</v>
      </c>
      <c r="G601" s="530"/>
      <c r="H601" s="531">
        <v>18225</v>
      </c>
      <c r="I601" s="530"/>
      <c r="J601" s="530"/>
    </row>
    <row r="602" spans="1:10" ht="15.75" customHeight="1" thickBot="1" x14ac:dyDescent="0.3">
      <c r="A602" s="558">
        <v>40909</v>
      </c>
      <c r="B602" s="558">
        <v>40878</v>
      </c>
      <c r="C602" s="516" t="s">
        <v>106</v>
      </c>
      <c r="D602" s="516" t="s">
        <v>107</v>
      </c>
      <c r="E602" s="516" t="s">
        <v>816</v>
      </c>
      <c r="F602" s="535" t="s">
        <v>831</v>
      </c>
      <c r="G602" s="534">
        <v>417560</v>
      </c>
      <c r="H602" s="534">
        <v>20258.52</v>
      </c>
      <c r="I602" s="536"/>
      <c r="J602" s="536"/>
    </row>
    <row r="603" spans="1:10" ht="15.75" customHeight="1" thickBot="1" x14ac:dyDescent="0.3">
      <c r="A603" s="558">
        <v>40909</v>
      </c>
      <c r="B603" s="558">
        <v>40878</v>
      </c>
      <c r="C603" s="516" t="s">
        <v>106</v>
      </c>
      <c r="D603" s="516" t="s">
        <v>107</v>
      </c>
      <c r="E603" s="516" t="s">
        <v>829</v>
      </c>
      <c r="F603" s="516" t="s">
        <v>830</v>
      </c>
      <c r="G603" s="530"/>
      <c r="H603" s="531">
        <v>1367.77</v>
      </c>
      <c r="I603" s="530"/>
      <c r="J603" s="530"/>
    </row>
    <row r="604" spans="1:10" ht="15.75" customHeight="1" thickBot="1" x14ac:dyDescent="0.3">
      <c r="A604" s="558">
        <v>40909</v>
      </c>
      <c r="B604" s="558">
        <v>40878</v>
      </c>
      <c r="C604" s="516" t="s">
        <v>106</v>
      </c>
      <c r="D604" s="516" t="s">
        <v>107</v>
      </c>
      <c r="E604" s="532" t="s">
        <v>831</v>
      </c>
      <c r="F604" s="533"/>
      <c r="G604" s="534">
        <v>421841</v>
      </c>
      <c r="H604" s="534">
        <v>21856.29</v>
      </c>
      <c r="I604" s="534">
        <v>801.85</v>
      </c>
      <c r="J604" s="534">
        <v>1566.85</v>
      </c>
    </row>
    <row r="605" spans="1:10" ht="15.75" thickBot="1" x14ac:dyDescent="0.3">
      <c r="A605" s="558">
        <v>40909</v>
      </c>
      <c r="B605" s="558">
        <v>40878</v>
      </c>
      <c r="C605" s="516" t="s">
        <v>99</v>
      </c>
      <c r="D605" s="516" t="s">
        <v>100</v>
      </c>
      <c r="E605" s="516" t="s">
        <v>820</v>
      </c>
      <c r="F605" s="516" t="s">
        <v>821</v>
      </c>
      <c r="G605" s="530"/>
      <c r="H605" s="531">
        <v>12880</v>
      </c>
      <c r="I605" s="530"/>
      <c r="J605" s="530"/>
    </row>
    <row r="606" spans="1:10" ht="15.75" thickBot="1" x14ac:dyDescent="0.3">
      <c r="A606" s="558">
        <v>40909</v>
      </c>
      <c r="B606" s="558">
        <v>40878</v>
      </c>
      <c r="C606" s="516" t="s">
        <v>99</v>
      </c>
      <c r="D606" s="516" t="s">
        <v>100</v>
      </c>
      <c r="E606" s="516" t="s">
        <v>816</v>
      </c>
      <c r="F606" s="516" t="s">
        <v>812</v>
      </c>
      <c r="G606" s="529">
        <v>7542388</v>
      </c>
      <c r="H606" s="529">
        <v>324322.7</v>
      </c>
      <c r="I606" s="528"/>
      <c r="J606" s="528"/>
    </row>
    <row r="607" spans="1:10" ht="15.75" thickBot="1" x14ac:dyDescent="0.3">
      <c r="A607" s="558">
        <v>40909</v>
      </c>
      <c r="B607" s="558">
        <v>40878</v>
      </c>
      <c r="C607" s="516" t="s">
        <v>99</v>
      </c>
      <c r="D607" s="516" t="s">
        <v>100</v>
      </c>
      <c r="E607" s="516" t="s">
        <v>827</v>
      </c>
      <c r="F607" s="516" t="s">
        <v>828</v>
      </c>
      <c r="G607" s="530"/>
      <c r="H607" s="530"/>
      <c r="I607" s="530"/>
      <c r="J607" s="531">
        <v>-2469.2600000000002</v>
      </c>
    </row>
    <row r="608" spans="1:10" ht="15.75" thickBot="1" x14ac:dyDescent="0.3">
      <c r="A608" s="558">
        <v>40909</v>
      </c>
      <c r="B608" s="558">
        <v>40878</v>
      </c>
      <c r="C608" s="516" t="s">
        <v>99</v>
      </c>
      <c r="D608" s="516" t="s">
        <v>100</v>
      </c>
      <c r="E608" s="516" t="s">
        <v>829</v>
      </c>
      <c r="F608" s="516" t="s">
        <v>830</v>
      </c>
      <c r="G608" s="528"/>
      <c r="H608" s="529">
        <v>5525.13</v>
      </c>
      <c r="I608" s="528"/>
      <c r="J608" s="528"/>
    </row>
    <row r="609" spans="1:10" ht="15.75" thickBot="1" x14ac:dyDescent="0.3">
      <c r="A609" s="558">
        <v>40909</v>
      </c>
      <c r="B609" s="558">
        <v>40878</v>
      </c>
      <c r="C609" s="516" t="s">
        <v>99</v>
      </c>
      <c r="D609" s="516" t="s">
        <v>100</v>
      </c>
      <c r="E609" s="532" t="s">
        <v>831</v>
      </c>
      <c r="F609" s="533"/>
      <c r="G609" s="534">
        <v>7542388</v>
      </c>
      <c r="H609" s="534">
        <v>342727.83</v>
      </c>
      <c r="I609" s="534">
        <v>0</v>
      </c>
      <c r="J609" s="534">
        <v>-2469.2600000000002</v>
      </c>
    </row>
    <row r="610" spans="1:10" ht="15.75" customHeight="1" thickBot="1" x14ac:dyDescent="0.3">
      <c r="A610" s="558">
        <v>40909</v>
      </c>
      <c r="B610" s="558">
        <v>40878</v>
      </c>
      <c r="C610" s="532" t="s">
        <v>831</v>
      </c>
      <c r="D610" s="537"/>
      <c r="E610" s="537"/>
      <c r="F610" s="533"/>
      <c r="G610" s="534">
        <v>8761788</v>
      </c>
      <c r="H610" s="534">
        <v>402552.98</v>
      </c>
      <c r="I610" s="534">
        <v>801.85</v>
      </c>
      <c r="J610" s="534">
        <v>-1791.94</v>
      </c>
    </row>
    <row r="611" spans="1:10" ht="15.75" customHeight="1" thickBot="1" x14ac:dyDescent="0.3">
      <c r="A611" s="558">
        <v>40909</v>
      </c>
      <c r="B611" s="558">
        <v>40909</v>
      </c>
      <c r="C611" s="516" t="s">
        <v>66</v>
      </c>
      <c r="D611" s="516" t="s">
        <v>67</v>
      </c>
      <c r="E611" s="516" t="s">
        <v>820</v>
      </c>
      <c r="F611" s="516" t="s">
        <v>821</v>
      </c>
      <c r="G611" s="530"/>
      <c r="H611" s="531">
        <v>306</v>
      </c>
      <c r="I611" s="530"/>
      <c r="J611" s="530"/>
    </row>
    <row r="612" spans="1:10" ht="15.75" customHeight="1" thickBot="1" x14ac:dyDescent="0.3">
      <c r="A612" s="558">
        <v>40909</v>
      </c>
      <c r="B612" s="558">
        <v>40909</v>
      </c>
      <c r="C612" s="516" t="s">
        <v>66</v>
      </c>
      <c r="D612" s="516" t="s">
        <v>67</v>
      </c>
      <c r="E612" s="516" t="s">
        <v>832</v>
      </c>
      <c r="F612" s="516" t="s">
        <v>833</v>
      </c>
      <c r="G612" s="528"/>
      <c r="H612" s="528"/>
      <c r="I612" s="529">
        <v>340</v>
      </c>
      <c r="J612" s="528"/>
    </row>
    <row r="613" spans="1:10" ht="15.75" customHeight="1" thickBot="1" x14ac:dyDescent="0.3">
      <c r="A613" s="558">
        <v>40909</v>
      </c>
      <c r="B613" s="558">
        <v>40909</v>
      </c>
      <c r="C613" s="516" t="s">
        <v>66</v>
      </c>
      <c r="D613" s="516" t="s">
        <v>67</v>
      </c>
      <c r="E613" s="516" t="s">
        <v>825</v>
      </c>
      <c r="F613" s="516" t="s">
        <v>812</v>
      </c>
      <c r="G613" s="531">
        <v>5163</v>
      </c>
      <c r="H613" s="530"/>
      <c r="I613" s="531">
        <v>982.11</v>
      </c>
      <c r="J613" s="530"/>
    </row>
    <row r="614" spans="1:10" ht="15.75" customHeight="1" thickBot="1" x14ac:dyDescent="0.3">
      <c r="A614" s="558">
        <v>40909</v>
      </c>
      <c r="B614" s="558">
        <v>40909</v>
      </c>
      <c r="C614" s="516" t="s">
        <v>66</v>
      </c>
      <c r="D614" s="516" t="s">
        <v>67</v>
      </c>
      <c r="E614" s="516" t="s">
        <v>816</v>
      </c>
      <c r="F614" s="516" t="s">
        <v>812</v>
      </c>
      <c r="G614" s="529">
        <v>23020</v>
      </c>
      <c r="H614" s="529">
        <v>4378.8599999999997</v>
      </c>
      <c r="I614" s="528"/>
      <c r="J614" s="528"/>
    </row>
    <row r="615" spans="1:10" ht="15.75" customHeight="1" thickBot="1" x14ac:dyDescent="0.3">
      <c r="A615" s="558">
        <v>40909</v>
      </c>
      <c r="B615" s="558">
        <v>40909</v>
      </c>
      <c r="C615" s="516" t="s">
        <v>66</v>
      </c>
      <c r="D615" s="516" t="s">
        <v>67</v>
      </c>
      <c r="E615" s="516" t="s">
        <v>816</v>
      </c>
      <c r="F615" s="516" t="s">
        <v>835</v>
      </c>
      <c r="G615" s="530"/>
      <c r="H615" s="531">
        <v>1893.86</v>
      </c>
      <c r="I615" s="530"/>
      <c r="J615" s="530"/>
    </row>
    <row r="616" spans="1:10" ht="15.75" customHeight="1" thickBot="1" x14ac:dyDescent="0.3">
      <c r="A616" s="558">
        <v>40909</v>
      </c>
      <c r="B616" s="558">
        <v>40909</v>
      </c>
      <c r="C616" s="516" t="s">
        <v>66</v>
      </c>
      <c r="D616" s="516" t="s">
        <v>67</v>
      </c>
      <c r="E616" s="516" t="s">
        <v>816</v>
      </c>
      <c r="F616" s="535" t="s">
        <v>831</v>
      </c>
      <c r="G616" s="534">
        <v>23020</v>
      </c>
      <c r="H616" s="534">
        <v>6272.72</v>
      </c>
      <c r="I616" s="536"/>
      <c r="J616" s="536"/>
    </row>
    <row r="617" spans="1:10" ht="15.75" customHeight="1" thickBot="1" x14ac:dyDescent="0.3">
      <c r="A617" s="558">
        <v>40909</v>
      </c>
      <c r="B617" s="558">
        <v>40909</v>
      </c>
      <c r="C617" s="516" t="s">
        <v>66</v>
      </c>
      <c r="D617" s="516" t="s">
        <v>67</v>
      </c>
      <c r="E617" s="516" t="s">
        <v>292</v>
      </c>
      <c r="F617" s="516" t="s">
        <v>292</v>
      </c>
      <c r="G617" s="530"/>
      <c r="H617" s="531">
        <v>2664.21</v>
      </c>
      <c r="I617" s="530"/>
      <c r="J617" s="530"/>
    </row>
    <row r="618" spans="1:10" ht="15.75" customHeight="1" thickBot="1" x14ac:dyDescent="0.3">
      <c r="A618" s="558">
        <v>40909</v>
      </c>
      <c r="B618" s="558">
        <v>40909</v>
      </c>
      <c r="C618" s="516" t="s">
        <v>66</v>
      </c>
      <c r="D618" s="516" t="s">
        <v>67</v>
      </c>
      <c r="E618" s="516" t="s">
        <v>827</v>
      </c>
      <c r="F618" s="516" t="s">
        <v>828</v>
      </c>
      <c r="G618" s="528"/>
      <c r="H618" s="528"/>
      <c r="I618" s="528"/>
      <c r="J618" s="529">
        <v>-207.86</v>
      </c>
    </row>
    <row r="619" spans="1:10" ht="15.75" customHeight="1" thickBot="1" x14ac:dyDescent="0.3">
      <c r="A619" s="558">
        <v>40909</v>
      </c>
      <c r="B619" s="558">
        <v>40909</v>
      </c>
      <c r="C619" s="516" t="s">
        <v>66</v>
      </c>
      <c r="D619" s="516" t="s">
        <v>67</v>
      </c>
      <c r="E619" s="532" t="s">
        <v>831</v>
      </c>
      <c r="F619" s="533"/>
      <c r="G619" s="534">
        <v>28183</v>
      </c>
      <c r="H619" s="534">
        <v>9242.93</v>
      </c>
      <c r="I619" s="534">
        <v>1322.11</v>
      </c>
      <c r="J619" s="534">
        <v>-207.86</v>
      </c>
    </row>
    <row r="620" spans="1:10" ht="15.75" thickBot="1" x14ac:dyDescent="0.3">
      <c r="A620" s="558">
        <v>40909</v>
      </c>
      <c r="B620" s="558">
        <v>40909</v>
      </c>
      <c r="C620" s="516" t="s">
        <v>99</v>
      </c>
      <c r="D620" s="516" t="s">
        <v>100</v>
      </c>
      <c r="E620" s="516" t="s">
        <v>820</v>
      </c>
      <c r="F620" s="516" t="s">
        <v>821</v>
      </c>
      <c r="G620" s="528"/>
      <c r="H620" s="529">
        <v>1150</v>
      </c>
      <c r="I620" s="528"/>
      <c r="J620" s="528"/>
    </row>
    <row r="621" spans="1:10" ht="15.75" thickBot="1" x14ac:dyDescent="0.3">
      <c r="A621" s="558">
        <v>40909</v>
      </c>
      <c r="B621" s="558">
        <v>40909</v>
      </c>
      <c r="C621" s="516" t="s">
        <v>99</v>
      </c>
      <c r="D621" s="516" t="s">
        <v>100</v>
      </c>
      <c r="E621" s="516" t="s">
        <v>816</v>
      </c>
      <c r="F621" s="516" t="s">
        <v>812</v>
      </c>
      <c r="G621" s="531">
        <v>2133395</v>
      </c>
      <c r="H621" s="531">
        <v>91736</v>
      </c>
      <c r="I621" s="530"/>
      <c r="J621" s="530"/>
    </row>
    <row r="622" spans="1:10" ht="15.75" thickBot="1" x14ac:dyDescent="0.3">
      <c r="A622" s="558">
        <v>40909</v>
      </c>
      <c r="B622" s="558">
        <v>40909</v>
      </c>
      <c r="C622" s="516" t="s">
        <v>99</v>
      </c>
      <c r="D622" s="516" t="s">
        <v>100</v>
      </c>
      <c r="E622" s="532" t="s">
        <v>831</v>
      </c>
      <c r="F622" s="533"/>
      <c r="G622" s="534">
        <v>2133395</v>
      </c>
      <c r="H622" s="534">
        <v>92886</v>
      </c>
      <c r="I622" s="534">
        <v>0</v>
      </c>
      <c r="J622" s="534">
        <v>0</v>
      </c>
    </row>
    <row r="623" spans="1:10" ht="15.75" customHeight="1" thickBot="1" x14ac:dyDescent="0.3">
      <c r="A623" s="558">
        <v>40909</v>
      </c>
      <c r="B623" s="558">
        <v>40909</v>
      </c>
      <c r="C623" s="516" t="s">
        <v>102</v>
      </c>
      <c r="D623" s="516" t="s">
        <v>103</v>
      </c>
      <c r="E623" s="516" t="s">
        <v>820</v>
      </c>
      <c r="F623" s="516" t="s">
        <v>821</v>
      </c>
      <c r="G623" s="530"/>
      <c r="H623" s="531">
        <v>5100</v>
      </c>
      <c r="I623" s="530"/>
      <c r="J623" s="530"/>
    </row>
    <row r="624" spans="1:10" ht="15.75" customHeight="1" thickBot="1" x14ac:dyDescent="0.3">
      <c r="A624" s="558">
        <v>40909</v>
      </c>
      <c r="B624" s="558">
        <v>40909</v>
      </c>
      <c r="C624" s="516" t="s">
        <v>102</v>
      </c>
      <c r="D624" s="516" t="s">
        <v>103</v>
      </c>
      <c r="E624" s="516" t="s">
        <v>822</v>
      </c>
      <c r="F624" s="516" t="s">
        <v>823</v>
      </c>
      <c r="G624" s="528"/>
      <c r="H624" s="528"/>
      <c r="I624" s="528"/>
      <c r="J624" s="529">
        <v>35617.29</v>
      </c>
    </row>
    <row r="625" spans="1:10" ht="15.75" customHeight="1" thickBot="1" x14ac:dyDescent="0.3">
      <c r="A625" s="558">
        <v>40909</v>
      </c>
      <c r="B625" s="558">
        <v>40909</v>
      </c>
      <c r="C625" s="516" t="s">
        <v>102</v>
      </c>
      <c r="D625" s="516" t="s">
        <v>103</v>
      </c>
      <c r="E625" s="516" t="s">
        <v>827</v>
      </c>
      <c r="F625" s="516" t="s">
        <v>828</v>
      </c>
      <c r="G625" s="530"/>
      <c r="H625" s="530"/>
      <c r="I625" s="530"/>
      <c r="J625" s="531">
        <v>-12420.63</v>
      </c>
    </row>
    <row r="626" spans="1:10" ht="15.75" customHeight="1" thickBot="1" x14ac:dyDescent="0.3">
      <c r="A626" s="558">
        <v>40909</v>
      </c>
      <c r="B626" s="558">
        <v>40909</v>
      </c>
      <c r="C626" s="516" t="s">
        <v>102</v>
      </c>
      <c r="D626" s="516" t="s">
        <v>103</v>
      </c>
      <c r="E626" s="516" t="s">
        <v>829</v>
      </c>
      <c r="F626" s="516" t="s">
        <v>830</v>
      </c>
      <c r="G626" s="528"/>
      <c r="H626" s="529">
        <v>32386.240000000002</v>
      </c>
      <c r="I626" s="528"/>
      <c r="J626" s="528"/>
    </row>
    <row r="627" spans="1:10" ht="15.75" customHeight="1" thickBot="1" x14ac:dyDescent="0.3">
      <c r="A627" s="558">
        <v>40909</v>
      </c>
      <c r="B627" s="558">
        <v>40909</v>
      </c>
      <c r="C627" s="516" t="s">
        <v>102</v>
      </c>
      <c r="D627" s="516" t="s">
        <v>103</v>
      </c>
      <c r="E627" s="532" t="s">
        <v>831</v>
      </c>
      <c r="F627" s="533"/>
      <c r="G627" s="536"/>
      <c r="H627" s="534">
        <v>37486.239999999998</v>
      </c>
      <c r="I627" s="536"/>
      <c r="J627" s="534">
        <v>23196.66</v>
      </c>
    </row>
    <row r="628" spans="1:10" ht="15.75" customHeight="1" thickBot="1" x14ac:dyDescent="0.3">
      <c r="A628" s="558">
        <v>40909</v>
      </c>
      <c r="B628" s="558">
        <v>40909</v>
      </c>
      <c r="C628" s="516" t="s">
        <v>109</v>
      </c>
      <c r="D628" s="516" t="s">
        <v>110</v>
      </c>
      <c r="E628" s="516" t="s">
        <v>820</v>
      </c>
      <c r="F628" s="516" t="s">
        <v>821</v>
      </c>
      <c r="G628" s="528"/>
      <c r="H628" s="529">
        <v>230</v>
      </c>
      <c r="I628" s="528"/>
      <c r="J628" s="528"/>
    </row>
    <row r="629" spans="1:10" ht="15.75" customHeight="1" thickBot="1" x14ac:dyDescent="0.3">
      <c r="A629" s="558">
        <v>40909</v>
      </c>
      <c r="B629" s="558">
        <v>40909</v>
      </c>
      <c r="C629" s="516" t="s">
        <v>109</v>
      </c>
      <c r="D629" s="516" t="s">
        <v>110</v>
      </c>
      <c r="E629" s="516" t="s">
        <v>832</v>
      </c>
      <c r="F629" s="516" t="s">
        <v>833</v>
      </c>
      <c r="G629" s="530"/>
      <c r="H629" s="530"/>
      <c r="I629" s="531">
        <v>275</v>
      </c>
      <c r="J629" s="530"/>
    </row>
    <row r="630" spans="1:10" ht="15.75" customHeight="1" thickBot="1" x14ac:dyDescent="0.3">
      <c r="A630" s="558">
        <v>40909</v>
      </c>
      <c r="B630" s="558">
        <v>40909</v>
      </c>
      <c r="C630" s="516" t="s">
        <v>109</v>
      </c>
      <c r="D630" s="516" t="s">
        <v>110</v>
      </c>
      <c r="E630" s="516" t="s">
        <v>816</v>
      </c>
      <c r="F630" s="516" t="s">
        <v>812</v>
      </c>
      <c r="G630" s="529">
        <v>532502</v>
      </c>
      <c r="H630" s="529">
        <v>5585.95</v>
      </c>
      <c r="I630" s="528"/>
      <c r="J630" s="528"/>
    </row>
    <row r="631" spans="1:10" ht="15.75" customHeight="1" thickBot="1" x14ac:dyDescent="0.3">
      <c r="A631" s="558">
        <v>40909</v>
      </c>
      <c r="B631" s="558">
        <v>40909</v>
      </c>
      <c r="C631" s="516" t="s">
        <v>109</v>
      </c>
      <c r="D631" s="516" t="s">
        <v>110</v>
      </c>
      <c r="E631" s="516" t="s">
        <v>816</v>
      </c>
      <c r="F631" s="516" t="s">
        <v>834</v>
      </c>
      <c r="G631" s="530"/>
      <c r="H631" s="531">
        <v>6425.38</v>
      </c>
      <c r="I631" s="530"/>
      <c r="J631" s="530"/>
    </row>
    <row r="632" spans="1:10" ht="15.75" customHeight="1" thickBot="1" x14ac:dyDescent="0.3">
      <c r="A632" s="558">
        <v>40909</v>
      </c>
      <c r="B632" s="558">
        <v>40909</v>
      </c>
      <c r="C632" s="516" t="s">
        <v>109</v>
      </c>
      <c r="D632" s="516" t="s">
        <v>110</v>
      </c>
      <c r="E632" s="516" t="s">
        <v>816</v>
      </c>
      <c r="F632" s="535" t="s">
        <v>831</v>
      </c>
      <c r="G632" s="534">
        <v>532502</v>
      </c>
      <c r="H632" s="534">
        <v>12011.33</v>
      </c>
      <c r="I632" s="536"/>
      <c r="J632" s="536"/>
    </row>
    <row r="633" spans="1:10" ht="15.75" customHeight="1" thickBot="1" x14ac:dyDescent="0.3">
      <c r="A633" s="558">
        <v>40909</v>
      </c>
      <c r="B633" s="558">
        <v>40909</v>
      </c>
      <c r="C633" s="516" t="s">
        <v>109</v>
      </c>
      <c r="D633" s="516" t="s">
        <v>110</v>
      </c>
      <c r="E633" s="516" t="s">
        <v>827</v>
      </c>
      <c r="F633" s="516" t="s">
        <v>828</v>
      </c>
      <c r="G633" s="530"/>
      <c r="H633" s="530"/>
      <c r="I633" s="530"/>
      <c r="J633" s="531">
        <v>-3528.35</v>
      </c>
    </row>
    <row r="634" spans="1:10" ht="15.75" customHeight="1" thickBot="1" x14ac:dyDescent="0.3">
      <c r="A634" s="558">
        <v>40909</v>
      </c>
      <c r="B634" s="558">
        <v>40909</v>
      </c>
      <c r="C634" s="516" t="s">
        <v>109</v>
      </c>
      <c r="D634" s="516" t="s">
        <v>110</v>
      </c>
      <c r="E634" s="516" t="s">
        <v>829</v>
      </c>
      <c r="F634" s="516" t="s">
        <v>830</v>
      </c>
      <c r="G634" s="528"/>
      <c r="H634" s="529">
        <v>3322.66</v>
      </c>
      <c r="I634" s="528"/>
      <c r="J634" s="528"/>
    </row>
    <row r="635" spans="1:10" ht="15.75" customHeight="1" thickBot="1" x14ac:dyDescent="0.3">
      <c r="A635" s="558">
        <v>40909</v>
      </c>
      <c r="B635" s="558">
        <v>40909</v>
      </c>
      <c r="C635" s="516" t="s">
        <v>109</v>
      </c>
      <c r="D635" s="516" t="s">
        <v>110</v>
      </c>
      <c r="E635" s="532" t="s">
        <v>831</v>
      </c>
      <c r="F635" s="533"/>
      <c r="G635" s="534">
        <v>532502</v>
      </c>
      <c r="H635" s="534">
        <v>15563.99</v>
      </c>
      <c r="I635" s="534">
        <v>275</v>
      </c>
      <c r="J635" s="534">
        <v>-3528.35</v>
      </c>
    </row>
    <row r="636" spans="1:10" ht="15.75" customHeight="1" thickBot="1" x14ac:dyDescent="0.3">
      <c r="A636" s="558">
        <v>40909</v>
      </c>
      <c r="B636" s="558">
        <v>40909</v>
      </c>
      <c r="C636" s="516" t="s">
        <v>113</v>
      </c>
      <c r="D636" s="516" t="s">
        <v>114</v>
      </c>
      <c r="E636" s="516" t="s">
        <v>822</v>
      </c>
      <c r="F636" s="516" t="s">
        <v>823</v>
      </c>
      <c r="G636" s="528"/>
      <c r="H636" s="528"/>
      <c r="I636" s="528"/>
      <c r="J636" s="529">
        <v>2976.31</v>
      </c>
    </row>
    <row r="637" spans="1:10" ht="15.75" customHeight="1" thickBot="1" x14ac:dyDescent="0.3">
      <c r="A637" s="558">
        <v>40909</v>
      </c>
      <c r="B637" s="558">
        <v>40909</v>
      </c>
      <c r="C637" s="516" t="s">
        <v>113</v>
      </c>
      <c r="D637" s="516" t="s">
        <v>114</v>
      </c>
      <c r="E637" s="516" t="s">
        <v>832</v>
      </c>
      <c r="F637" s="516" t="s">
        <v>833</v>
      </c>
      <c r="G637" s="530"/>
      <c r="H637" s="530"/>
      <c r="I637" s="531">
        <v>781</v>
      </c>
      <c r="J637" s="530"/>
    </row>
    <row r="638" spans="1:10" ht="15.75" customHeight="1" thickBot="1" x14ac:dyDescent="0.3">
      <c r="A638" s="558">
        <v>40909</v>
      </c>
      <c r="B638" s="558">
        <v>40909</v>
      </c>
      <c r="C638" s="516" t="s">
        <v>113</v>
      </c>
      <c r="D638" s="516" t="s">
        <v>114</v>
      </c>
      <c r="E638" s="516" t="s">
        <v>825</v>
      </c>
      <c r="F638" s="516" t="s">
        <v>812</v>
      </c>
      <c r="G638" s="529">
        <v>7146</v>
      </c>
      <c r="H638" s="528"/>
      <c r="I638" s="529">
        <v>34.799999999999997</v>
      </c>
      <c r="J638" s="528"/>
    </row>
    <row r="639" spans="1:10" ht="15.75" customHeight="1" thickBot="1" x14ac:dyDescent="0.3">
      <c r="A639" s="558">
        <v>40909</v>
      </c>
      <c r="B639" s="558">
        <v>40909</v>
      </c>
      <c r="C639" s="516" t="s">
        <v>113</v>
      </c>
      <c r="D639" s="516" t="s">
        <v>114</v>
      </c>
      <c r="E639" s="516" t="s">
        <v>816</v>
      </c>
      <c r="F639" s="516" t="s">
        <v>834</v>
      </c>
      <c r="G639" s="530"/>
      <c r="H639" s="531">
        <v>104976</v>
      </c>
      <c r="I639" s="530"/>
      <c r="J639" s="530"/>
    </row>
    <row r="640" spans="1:10" ht="15.75" customHeight="1" thickBot="1" x14ac:dyDescent="0.3">
      <c r="A640" s="558">
        <v>40909</v>
      </c>
      <c r="B640" s="558">
        <v>40909</v>
      </c>
      <c r="C640" s="516" t="s">
        <v>113</v>
      </c>
      <c r="D640" s="516" t="s">
        <v>114</v>
      </c>
      <c r="E640" s="516" t="s">
        <v>829</v>
      </c>
      <c r="F640" s="516" t="s">
        <v>830</v>
      </c>
      <c r="G640" s="528"/>
      <c r="H640" s="529">
        <v>253.9</v>
      </c>
      <c r="I640" s="528"/>
      <c r="J640" s="528"/>
    </row>
    <row r="641" spans="1:10" ht="15.75" customHeight="1" thickBot="1" x14ac:dyDescent="0.3">
      <c r="A641" s="558">
        <v>40909</v>
      </c>
      <c r="B641" s="558">
        <v>40909</v>
      </c>
      <c r="C641" s="516" t="s">
        <v>113</v>
      </c>
      <c r="D641" s="516" t="s">
        <v>114</v>
      </c>
      <c r="E641" s="532" t="s">
        <v>831</v>
      </c>
      <c r="F641" s="533"/>
      <c r="G641" s="534">
        <v>7146</v>
      </c>
      <c r="H641" s="534">
        <v>105229.9</v>
      </c>
      <c r="I641" s="534">
        <v>815.8</v>
      </c>
      <c r="J641" s="534">
        <v>2976.31</v>
      </c>
    </row>
    <row r="642" spans="1:10" ht="15.75" customHeight="1" thickBot="1" x14ac:dyDescent="0.3">
      <c r="A642" s="558">
        <v>40909</v>
      </c>
      <c r="B642" s="558">
        <v>40909</v>
      </c>
      <c r="C642" s="532" t="s">
        <v>831</v>
      </c>
      <c r="D642" s="537"/>
      <c r="E642" s="537"/>
      <c r="F642" s="533"/>
      <c r="G642" s="534">
        <v>2701226</v>
      </c>
      <c r="H642" s="534">
        <v>260409.06</v>
      </c>
      <c r="I642" s="534">
        <v>2412.91</v>
      </c>
      <c r="J642" s="534">
        <v>22436.76</v>
      </c>
    </row>
    <row r="643" spans="1:10" ht="15.75" customHeight="1" thickBot="1" x14ac:dyDescent="0.3">
      <c r="A643" s="558">
        <v>40909</v>
      </c>
      <c r="B643" s="532" t="s">
        <v>831</v>
      </c>
      <c r="C643" s="537"/>
      <c r="D643" s="537"/>
      <c r="E643" s="537"/>
      <c r="F643" s="533"/>
      <c r="G643" s="534">
        <v>11463014</v>
      </c>
      <c r="H643" s="534">
        <v>662962.04</v>
      </c>
      <c r="I643" s="534">
        <v>3214.76</v>
      </c>
      <c r="J643" s="534">
        <v>20644.82</v>
      </c>
    </row>
    <row r="644" spans="1:10" ht="15.75" customHeight="1" thickBot="1" x14ac:dyDescent="0.3">
      <c r="A644" s="558">
        <v>40940</v>
      </c>
      <c r="B644" s="558">
        <v>40909</v>
      </c>
      <c r="C644" s="516" t="s">
        <v>97</v>
      </c>
      <c r="D644" s="516" t="s">
        <v>98</v>
      </c>
      <c r="E644" s="516" t="s">
        <v>820</v>
      </c>
      <c r="F644" s="516" t="s">
        <v>821</v>
      </c>
      <c r="G644" s="528"/>
      <c r="H644" s="529">
        <v>2760</v>
      </c>
      <c r="I644" s="528"/>
      <c r="J644" s="528"/>
    </row>
    <row r="645" spans="1:10" ht="15.75" customHeight="1" thickBot="1" x14ac:dyDescent="0.3">
      <c r="A645" s="558">
        <v>40940</v>
      </c>
      <c r="B645" s="558">
        <v>40909</v>
      </c>
      <c r="C645" s="516" t="s">
        <v>97</v>
      </c>
      <c r="D645" s="516" t="s">
        <v>98</v>
      </c>
      <c r="E645" s="516" t="s">
        <v>816</v>
      </c>
      <c r="F645" s="516" t="s">
        <v>812</v>
      </c>
      <c r="G645" s="531">
        <v>870755</v>
      </c>
      <c r="H645" s="531">
        <v>37442.46</v>
      </c>
      <c r="I645" s="530"/>
      <c r="J645" s="530"/>
    </row>
    <row r="646" spans="1:10" ht="15.75" customHeight="1" thickBot="1" x14ac:dyDescent="0.3">
      <c r="A646" s="558">
        <v>40940</v>
      </c>
      <c r="B646" s="558">
        <v>40909</v>
      </c>
      <c r="C646" s="516" t="s">
        <v>97</v>
      </c>
      <c r="D646" s="516" t="s">
        <v>98</v>
      </c>
      <c r="E646" s="516" t="s">
        <v>826</v>
      </c>
      <c r="F646" s="516" t="s">
        <v>294</v>
      </c>
      <c r="G646" s="528"/>
      <c r="H646" s="529">
        <v>1010.08</v>
      </c>
      <c r="I646" s="528"/>
      <c r="J646" s="528"/>
    </row>
    <row r="647" spans="1:10" ht="15.75" customHeight="1" thickBot="1" x14ac:dyDescent="0.3">
      <c r="A647" s="558">
        <v>40940</v>
      </c>
      <c r="B647" s="558">
        <v>40909</v>
      </c>
      <c r="C647" s="516" t="s">
        <v>97</v>
      </c>
      <c r="D647" s="516" t="s">
        <v>98</v>
      </c>
      <c r="E647" s="516" t="s">
        <v>827</v>
      </c>
      <c r="F647" s="516" t="s">
        <v>828</v>
      </c>
      <c r="G647" s="530"/>
      <c r="H647" s="530"/>
      <c r="I647" s="530"/>
      <c r="J647" s="531">
        <v>-806.84</v>
      </c>
    </row>
    <row r="648" spans="1:10" ht="15.75" customHeight="1" thickBot="1" x14ac:dyDescent="0.3">
      <c r="A648" s="558">
        <v>40940</v>
      </c>
      <c r="B648" s="558">
        <v>40909</v>
      </c>
      <c r="C648" s="516" t="s">
        <v>97</v>
      </c>
      <c r="D648" s="516" t="s">
        <v>98</v>
      </c>
      <c r="E648" s="516" t="s">
        <v>829</v>
      </c>
      <c r="F648" s="516" t="s">
        <v>830</v>
      </c>
      <c r="G648" s="528"/>
      <c r="H648" s="529">
        <v>100.98</v>
      </c>
      <c r="I648" s="528"/>
      <c r="J648" s="528"/>
    </row>
    <row r="649" spans="1:10" ht="15.75" customHeight="1" thickBot="1" x14ac:dyDescent="0.3">
      <c r="A649" s="558">
        <v>40940</v>
      </c>
      <c r="B649" s="558">
        <v>40909</v>
      </c>
      <c r="C649" s="516" t="s">
        <v>97</v>
      </c>
      <c r="D649" s="516" t="s">
        <v>98</v>
      </c>
      <c r="E649" s="532" t="s">
        <v>831</v>
      </c>
      <c r="F649" s="533"/>
      <c r="G649" s="534">
        <v>870755</v>
      </c>
      <c r="H649" s="534">
        <v>41313.519999999997</v>
      </c>
      <c r="I649" s="534">
        <v>0</v>
      </c>
      <c r="J649" s="534">
        <v>-806.84</v>
      </c>
    </row>
    <row r="650" spans="1:10" ht="15.75" customHeight="1" thickBot="1" x14ac:dyDescent="0.3">
      <c r="A650" s="558">
        <v>40940</v>
      </c>
      <c r="B650" s="558">
        <v>40909</v>
      </c>
      <c r="C650" s="516" t="s">
        <v>106</v>
      </c>
      <c r="D650" s="516" t="s">
        <v>107</v>
      </c>
      <c r="E650" s="516" t="s">
        <v>820</v>
      </c>
      <c r="F650" s="516" t="s">
        <v>821</v>
      </c>
      <c r="G650" s="528"/>
      <c r="H650" s="529">
        <v>230</v>
      </c>
      <c r="I650" s="528"/>
      <c r="J650" s="528"/>
    </row>
    <row r="651" spans="1:10" ht="15.75" customHeight="1" thickBot="1" x14ac:dyDescent="0.3">
      <c r="A651" s="558">
        <v>40940</v>
      </c>
      <c r="B651" s="558">
        <v>40909</v>
      </c>
      <c r="C651" s="516" t="s">
        <v>106</v>
      </c>
      <c r="D651" s="516" t="s">
        <v>107</v>
      </c>
      <c r="E651" s="516" t="s">
        <v>822</v>
      </c>
      <c r="F651" s="516" t="s">
        <v>823</v>
      </c>
      <c r="G651" s="530"/>
      <c r="H651" s="530"/>
      <c r="I651" s="530"/>
      <c r="J651" s="531">
        <v>4258.42</v>
      </c>
    </row>
    <row r="652" spans="1:10" ht="15.75" customHeight="1" thickBot="1" x14ac:dyDescent="0.3">
      <c r="A652" s="558">
        <v>40940</v>
      </c>
      <c r="B652" s="558">
        <v>40909</v>
      </c>
      <c r="C652" s="516" t="s">
        <v>106</v>
      </c>
      <c r="D652" s="516" t="s">
        <v>107</v>
      </c>
      <c r="E652" s="516" t="s">
        <v>832</v>
      </c>
      <c r="F652" s="516" t="s">
        <v>833</v>
      </c>
      <c r="G652" s="528"/>
      <c r="H652" s="528"/>
      <c r="I652" s="529">
        <v>781</v>
      </c>
      <c r="J652" s="528"/>
    </row>
    <row r="653" spans="1:10" ht="15.75" customHeight="1" thickBot="1" x14ac:dyDescent="0.3">
      <c r="A653" s="558">
        <v>40940</v>
      </c>
      <c r="B653" s="558">
        <v>40909</v>
      </c>
      <c r="C653" s="516" t="s">
        <v>106</v>
      </c>
      <c r="D653" s="516" t="s">
        <v>107</v>
      </c>
      <c r="E653" s="516" t="s">
        <v>825</v>
      </c>
      <c r="F653" s="516" t="s">
        <v>812</v>
      </c>
      <c r="G653" s="531">
        <v>14314</v>
      </c>
      <c r="H653" s="530"/>
      <c r="I653" s="531">
        <v>69.709999999999994</v>
      </c>
      <c r="J653" s="530"/>
    </row>
    <row r="654" spans="1:10" ht="15.75" customHeight="1" thickBot="1" x14ac:dyDescent="0.3">
      <c r="A654" s="558">
        <v>40940</v>
      </c>
      <c r="B654" s="558">
        <v>40909</v>
      </c>
      <c r="C654" s="516" t="s">
        <v>106</v>
      </c>
      <c r="D654" s="516" t="s">
        <v>107</v>
      </c>
      <c r="E654" s="516" t="s">
        <v>816</v>
      </c>
      <c r="F654" s="516" t="s">
        <v>812</v>
      </c>
      <c r="G654" s="529">
        <v>550230</v>
      </c>
      <c r="H654" s="529">
        <v>2679.62</v>
      </c>
      <c r="I654" s="528"/>
      <c r="J654" s="528"/>
    </row>
    <row r="655" spans="1:10" ht="15.75" customHeight="1" thickBot="1" x14ac:dyDescent="0.3">
      <c r="A655" s="558">
        <v>40940</v>
      </c>
      <c r="B655" s="558">
        <v>40909</v>
      </c>
      <c r="C655" s="516" t="s">
        <v>106</v>
      </c>
      <c r="D655" s="516" t="s">
        <v>107</v>
      </c>
      <c r="E655" s="516" t="s">
        <v>816</v>
      </c>
      <c r="F655" s="516" t="s">
        <v>834</v>
      </c>
      <c r="G655" s="530"/>
      <c r="H655" s="531">
        <v>18225</v>
      </c>
      <c r="I655" s="530"/>
      <c r="J655" s="530"/>
    </row>
    <row r="656" spans="1:10" ht="15.75" customHeight="1" thickBot="1" x14ac:dyDescent="0.3">
      <c r="A656" s="558">
        <v>40940</v>
      </c>
      <c r="B656" s="558">
        <v>40909</v>
      </c>
      <c r="C656" s="516" t="s">
        <v>106</v>
      </c>
      <c r="D656" s="516" t="s">
        <v>107</v>
      </c>
      <c r="E656" s="516" t="s">
        <v>816</v>
      </c>
      <c r="F656" s="535" t="s">
        <v>831</v>
      </c>
      <c r="G656" s="534">
        <v>550230</v>
      </c>
      <c r="H656" s="534">
        <v>20904.62</v>
      </c>
      <c r="I656" s="536"/>
      <c r="J656" s="536"/>
    </row>
    <row r="657" spans="1:10" ht="15.75" customHeight="1" thickBot="1" x14ac:dyDescent="0.3">
      <c r="A657" s="558">
        <v>40940</v>
      </c>
      <c r="B657" s="558">
        <v>40909</v>
      </c>
      <c r="C657" s="516" t="s">
        <v>106</v>
      </c>
      <c r="D657" s="516" t="s">
        <v>107</v>
      </c>
      <c r="E657" s="516" t="s">
        <v>829</v>
      </c>
      <c r="F657" s="516" t="s">
        <v>830</v>
      </c>
      <c r="G657" s="530"/>
      <c r="H657" s="531">
        <v>1668.52</v>
      </c>
      <c r="I657" s="530"/>
      <c r="J657" s="530"/>
    </row>
    <row r="658" spans="1:10" ht="15.75" customHeight="1" thickBot="1" x14ac:dyDescent="0.3">
      <c r="A658" s="558">
        <v>40940</v>
      </c>
      <c r="B658" s="558">
        <v>40909</v>
      </c>
      <c r="C658" s="516" t="s">
        <v>106</v>
      </c>
      <c r="D658" s="516" t="s">
        <v>107</v>
      </c>
      <c r="E658" s="532" t="s">
        <v>831</v>
      </c>
      <c r="F658" s="533"/>
      <c r="G658" s="534">
        <v>564544</v>
      </c>
      <c r="H658" s="534">
        <v>22803.14</v>
      </c>
      <c r="I658" s="534">
        <v>850.71</v>
      </c>
      <c r="J658" s="534">
        <v>4258.42</v>
      </c>
    </row>
    <row r="659" spans="1:10" ht="15.75" thickBot="1" x14ac:dyDescent="0.3">
      <c r="A659" s="558">
        <v>40940</v>
      </c>
      <c r="B659" s="558">
        <v>40909</v>
      </c>
      <c r="C659" s="516" t="s">
        <v>99</v>
      </c>
      <c r="D659" s="516" t="s">
        <v>100</v>
      </c>
      <c r="E659" s="516" t="s">
        <v>820</v>
      </c>
      <c r="F659" s="516" t="s">
        <v>821</v>
      </c>
      <c r="G659" s="530"/>
      <c r="H659" s="531">
        <v>12880</v>
      </c>
      <c r="I659" s="530"/>
      <c r="J659" s="530"/>
    </row>
    <row r="660" spans="1:10" ht="15.75" thickBot="1" x14ac:dyDescent="0.3">
      <c r="A660" s="558">
        <v>40940</v>
      </c>
      <c r="B660" s="558">
        <v>40909</v>
      </c>
      <c r="C660" s="516" t="s">
        <v>99</v>
      </c>
      <c r="D660" s="516" t="s">
        <v>100</v>
      </c>
      <c r="E660" s="516" t="s">
        <v>816</v>
      </c>
      <c r="F660" s="516" t="s">
        <v>812</v>
      </c>
      <c r="G660" s="529">
        <v>9224982</v>
      </c>
      <c r="H660" s="529">
        <v>396674.24</v>
      </c>
      <c r="I660" s="528"/>
      <c r="J660" s="528"/>
    </row>
    <row r="661" spans="1:10" ht="15.75" thickBot="1" x14ac:dyDescent="0.3">
      <c r="A661" s="558">
        <v>40940</v>
      </c>
      <c r="B661" s="558">
        <v>40909</v>
      </c>
      <c r="C661" s="516" t="s">
        <v>99</v>
      </c>
      <c r="D661" s="516" t="s">
        <v>100</v>
      </c>
      <c r="E661" s="516" t="s">
        <v>827</v>
      </c>
      <c r="F661" s="516" t="s">
        <v>828</v>
      </c>
      <c r="G661" s="530"/>
      <c r="H661" s="530"/>
      <c r="I661" s="530"/>
      <c r="J661" s="531">
        <v>-1235.96</v>
      </c>
    </row>
    <row r="662" spans="1:10" ht="15.75" thickBot="1" x14ac:dyDescent="0.3">
      <c r="A662" s="558">
        <v>40940</v>
      </c>
      <c r="B662" s="558">
        <v>40909</v>
      </c>
      <c r="C662" s="516" t="s">
        <v>99</v>
      </c>
      <c r="D662" s="516" t="s">
        <v>100</v>
      </c>
      <c r="E662" s="516" t="s">
        <v>829</v>
      </c>
      <c r="F662" s="516" t="s">
        <v>830</v>
      </c>
      <c r="G662" s="528"/>
      <c r="H662" s="529">
        <v>2596.4299999999998</v>
      </c>
      <c r="I662" s="528"/>
      <c r="J662" s="528"/>
    </row>
    <row r="663" spans="1:10" ht="15.75" thickBot="1" x14ac:dyDescent="0.3">
      <c r="A663" s="558">
        <v>40940</v>
      </c>
      <c r="B663" s="558">
        <v>40909</v>
      </c>
      <c r="C663" s="516" t="s">
        <v>99</v>
      </c>
      <c r="D663" s="516" t="s">
        <v>100</v>
      </c>
      <c r="E663" s="532" t="s">
        <v>831</v>
      </c>
      <c r="F663" s="533"/>
      <c r="G663" s="534">
        <v>9224982</v>
      </c>
      <c r="H663" s="534">
        <v>412150.67</v>
      </c>
      <c r="I663" s="534">
        <v>0</v>
      </c>
      <c r="J663" s="534">
        <v>-1235.96</v>
      </c>
    </row>
    <row r="664" spans="1:10" ht="15.75" customHeight="1" thickBot="1" x14ac:dyDescent="0.3">
      <c r="A664" s="558">
        <v>40940</v>
      </c>
      <c r="B664" s="558">
        <v>40909</v>
      </c>
      <c r="C664" s="516" t="s">
        <v>102</v>
      </c>
      <c r="D664" s="516" t="s">
        <v>103</v>
      </c>
      <c r="E664" s="516" t="s">
        <v>820</v>
      </c>
      <c r="F664" s="516" t="s">
        <v>821</v>
      </c>
      <c r="G664" s="528"/>
      <c r="H664" s="529">
        <v>3525</v>
      </c>
      <c r="I664" s="528"/>
      <c r="J664" s="528"/>
    </row>
    <row r="665" spans="1:10" ht="15.75" customHeight="1" thickBot="1" x14ac:dyDescent="0.3">
      <c r="A665" s="558">
        <v>40940</v>
      </c>
      <c r="B665" s="558">
        <v>40909</v>
      </c>
      <c r="C665" s="516" t="s">
        <v>102</v>
      </c>
      <c r="D665" s="516" t="s">
        <v>103</v>
      </c>
      <c r="E665" s="516" t="s">
        <v>827</v>
      </c>
      <c r="F665" s="516" t="s">
        <v>828</v>
      </c>
      <c r="G665" s="530"/>
      <c r="H665" s="530"/>
      <c r="I665" s="530"/>
      <c r="J665" s="531">
        <v>-19055.61</v>
      </c>
    </row>
    <row r="666" spans="1:10" ht="15.75" customHeight="1" thickBot="1" x14ac:dyDescent="0.3">
      <c r="A666" s="558">
        <v>40940</v>
      </c>
      <c r="B666" s="558">
        <v>40909</v>
      </c>
      <c r="C666" s="516" t="s">
        <v>102</v>
      </c>
      <c r="D666" s="516" t="s">
        <v>103</v>
      </c>
      <c r="E666" s="516" t="s">
        <v>829</v>
      </c>
      <c r="F666" s="516" t="s">
        <v>830</v>
      </c>
      <c r="G666" s="528"/>
      <c r="H666" s="529">
        <v>15579.87</v>
      </c>
      <c r="I666" s="528"/>
      <c r="J666" s="528"/>
    </row>
    <row r="667" spans="1:10" ht="15.75" customHeight="1" thickBot="1" x14ac:dyDescent="0.3">
      <c r="A667" s="558">
        <v>40940</v>
      </c>
      <c r="B667" s="558">
        <v>40909</v>
      </c>
      <c r="C667" s="516" t="s">
        <v>102</v>
      </c>
      <c r="D667" s="516" t="s">
        <v>103</v>
      </c>
      <c r="E667" s="532" t="s">
        <v>831</v>
      </c>
      <c r="F667" s="533"/>
      <c r="G667" s="536"/>
      <c r="H667" s="534">
        <v>19104.87</v>
      </c>
      <c r="I667" s="536"/>
      <c r="J667" s="534">
        <v>-19055.61</v>
      </c>
    </row>
    <row r="668" spans="1:10" ht="15.75" customHeight="1" thickBot="1" x14ac:dyDescent="0.3">
      <c r="A668" s="558">
        <v>40940</v>
      </c>
      <c r="B668" s="558">
        <v>40909</v>
      </c>
      <c r="C668" s="532" t="s">
        <v>831</v>
      </c>
      <c r="D668" s="537"/>
      <c r="E668" s="537"/>
      <c r="F668" s="533"/>
      <c r="G668" s="534">
        <v>10660281</v>
      </c>
      <c r="H668" s="534">
        <v>495372.2</v>
      </c>
      <c r="I668" s="534">
        <v>850.71</v>
      </c>
      <c r="J668" s="534">
        <v>-16839.990000000002</v>
      </c>
    </row>
    <row r="669" spans="1:10" ht="15.75" customHeight="1" thickBot="1" x14ac:dyDescent="0.3">
      <c r="A669" s="558">
        <v>40940</v>
      </c>
      <c r="B669" s="558">
        <v>40940</v>
      </c>
      <c r="C669" s="516" t="s">
        <v>66</v>
      </c>
      <c r="D669" s="516" t="s">
        <v>67</v>
      </c>
      <c r="E669" s="516" t="s">
        <v>820</v>
      </c>
      <c r="F669" s="516" t="s">
        <v>821</v>
      </c>
      <c r="G669" s="530"/>
      <c r="H669" s="531">
        <v>306</v>
      </c>
      <c r="I669" s="530"/>
      <c r="J669" s="530"/>
    </row>
    <row r="670" spans="1:10" ht="15.75" customHeight="1" thickBot="1" x14ac:dyDescent="0.3">
      <c r="A670" s="558">
        <v>40940</v>
      </c>
      <c r="B670" s="558">
        <v>40940</v>
      </c>
      <c r="C670" s="516" t="s">
        <v>66</v>
      </c>
      <c r="D670" s="516" t="s">
        <v>67</v>
      </c>
      <c r="E670" s="516" t="s">
        <v>832</v>
      </c>
      <c r="F670" s="516" t="s">
        <v>833</v>
      </c>
      <c r="G670" s="528"/>
      <c r="H670" s="528"/>
      <c r="I670" s="529">
        <v>340</v>
      </c>
      <c r="J670" s="528"/>
    </row>
    <row r="671" spans="1:10" ht="15.75" customHeight="1" thickBot="1" x14ac:dyDescent="0.3">
      <c r="A671" s="558">
        <v>40940</v>
      </c>
      <c r="B671" s="558">
        <v>40940</v>
      </c>
      <c r="C671" s="516" t="s">
        <v>66</v>
      </c>
      <c r="D671" s="516" t="s">
        <v>67</v>
      </c>
      <c r="E671" s="516" t="s">
        <v>825</v>
      </c>
      <c r="F671" s="516" t="s">
        <v>812</v>
      </c>
      <c r="G671" s="531">
        <v>1131</v>
      </c>
      <c r="H671" s="530"/>
      <c r="I671" s="531">
        <v>215.14</v>
      </c>
      <c r="J671" s="530"/>
    </row>
    <row r="672" spans="1:10" ht="15.75" customHeight="1" thickBot="1" x14ac:dyDescent="0.3">
      <c r="A672" s="558">
        <v>40940</v>
      </c>
      <c r="B672" s="558">
        <v>40940</v>
      </c>
      <c r="C672" s="516" t="s">
        <v>66</v>
      </c>
      <c r="D672" s="516" t="s">
        <v>67</v>
      </c>
      <c r="E672" s="516" t="s">
        <v>816</v>
      </c>
      <c r="F672" s="516" t="s">
        <v>812</v>
      </c>
      <c r="G672" s="529">
        <v>37283</v>
      </c>
      <c r="H672" s="529">
        <v>7091.98</v>
      </c>
      <c r="I672" s="528"/>
      <c r="J672" s="528"/>
    </row>
    <row r="673" spans="1:10" ht="15.75" customHeight="1" thickBot="1" x14ac:dyDescent="0.3">
      <c r="A673" s="558">
        <v>40940</v>
      </c>
      <c r="B673" s="558">
        <v>40940</v>
      </c>
      <c r="C673" s="516" t="s">
        <v>66</v>
      </c>
      <c r="D673" s="516" t="s">
        <v>67</v>
      </c>
      <c r="E673" s="516" t="s">
        <v>816</v>
      </c>
      <c r="F673" s="516" t="s">
        <v>835</v>
      </c>
      <c r="G673" s="530"/>
      <c r="H673" s="531">
        <v>3364.84</v>
      </c>
      <c r="I673" s="530"/>
      <c r="J673" s="530"/>
    </row>
    <row r="674" spans="1:10" ht="15.75" customHeight="1" thickBot="1" x14ac:dyDescent="0.3">
      <c r="A674" s="558">
        <v>40940</v>
      </c>
      <c r="B674" s="558">
        <v>40940</v>
      </c>
      <c r="C674" s="516" t="s">
        <v>66</v>
      </c>
      <c r="D674" s="516" t="s">
        <v>67</v>
      </c>
      <c r="E674" s="516" t="s">
        <v>816</v>
      </c>
      <c r="F674" s="535" t="s">
        <v>831</v>
      </c>
      <c r="G674" s="534">
        <v>37283</v>
      </c>
      <c r="H674" s="534">
        <v>10456.82</v>
      </c>
      <c r="I674" s="536"/>
      <c r="J674" s="536"/>
    </row>
    <row r="675" spans="1:10" ht="15.75" customHeight="1" thickBot="1" x14ac:dyDescent="0.3">
      <c r="A675" s="558">
        <v>40940</v>
      </c>
      <c r="B675" s="558">
        <v>40940</v>
      </c>
      <c r="C675" s="516" t="s">
        <v>66</v>
      </c>
      <c r="D675" s="516" t="s">
        <v>67</v>
      </c>
      <c r="E675" s="516" t="s">
        <v>292</v>
      </c>
      <c r="F675" s="516" t="s">
        <v>292</v>
      </c>
      <c r="G675" s="530"/>
      <c r="H675" s="531">
        <v>536.35</v>
      </c>
      <c r="I675" s="530"/>
      <c r="J675" s="530"/>
    </row>
    <row r="676" spans="1:10" ht="15.75" customHeight="1" thickBot="1" x14ac:dyDescent="0.3">
      <c r="A676" s="558">
        <v>40940</v>
      </c>
      <c r="B676" s="558">
        <v>40940</v>
      </c>
      <c r="C676" s="516" t="s">
        <v>66</v>
      </c>
      <c r="D676" s="516" t="s">
        <v>67</v>
      </c>
      <c r="E676" s="516" t="s">
        <v>827</v>
      </c>
      <c r="F676" s="516" t="s">
        <v>828</v>
      </c>
      <c r="G676" s="528"/>
      <c r="H676" s="528"/>
      <c r="I676" s="528"/>
      <c r="J676" s="529">
        <v>-223.2</v>
      </c>
    </row>
    <row r="677" spans="1:10" ht="15.75" customHeight="1" thickBot="1" x14ac:dyDescent="0.3">
      <c r="A677" s="558">
        <v>40940</v>
      </c>
      <c r="B677" s="558">
        <v>40940</v>
      </c>
      <c r="C677" s="516" t="s">
        <v>66</v>
      </c>
      <c r="D677" s="516" t="s">
        <v>67</v>
      </c>
      <c r="E677" s="532" t="s">
        <v>831</v>
      </c>
      <c r="F677" s="533"/>
      <c r="G677" s="534">
        <v>38414</v>
      </c>
      <c r="H677" s="534">
        <v>11299.17</v>
      </c>
      <c r="I677" s="534">
        <v>555.14</v>
      </c>
      <c r="J677" s="534">
        <v>-223.2</v>
      </c>
    </row>
    <row r="678" spans="1:10" ht="15.75" thickBot="1" x14ac:dyDescent="0.3">
      <c r="A678" s="558">
        <v>40940</v>
      </c>
      <c r="B678" s="558">
        <v>40940</v>
      </c>
      <c r="C678" s="516" t="s">
        <v>99</v>
      </c>
      <c r="D678" s="516" t="s">
        <v>100</v>
      </c>
      <c r="E678" s="516" t="s">
        <v>820</v>
      </c>
      <c r="F678" s="516" t="s">
        <v>821</v>
      </c>
      <c r="G678" s="528"/>
      <c r="H678" s="529">
        <v>1150</v>
      </c>
      <c r="I678" s="528"/>
      <c r="J678" s="528"/>
    </row>
    <row r="679" spans="1:10" ht="15.75" thickBot="1" x14ac:dyDescent="0.3">
      <c r="A679" s="558">
        <v>40940</v>
      </c>
      <c r="B679" s="558">
        <v>40940</v>
      </c>
      <c r="C679" s="516" t="s">
        <v>99</v>
      </c>
      <c r="D679" s="516" t="s">
        <v>100</v>
      </c>
      <c r="E679" s="516" t="s">
        <v>816</v>
      </c>
      <c r="F679" s="516" t="s">
        <v>812</v>
      </c>
      <c r="G679" s="531">
        <v>2273092</v>
      </c>
      <c r="H679" s="531">
        <v>97742.96</v>
      </c>
      <c r="I679" s="530"/>
      <c r="J679" s="530"/>
    </row>
    <row r="680" spans="1:10" ht="15.75" thickBot="1" x14ac:dyDescent="0.3">
      <c r="A680" s="558">
        <v>40940</v>
      </c>
      <c r="B680" s="558">
        <v>40940</v>
      </c>
      <c r="C680" s="516" t="s">
        <v>99</v>
      </c>
      <c r="D680" s="516" t="s">
        <v>100</v>
      </c>
      <c r="E680" s="532" t="s">
        <v>831</v>
      </c>
      <c r="F680" s="533"/>
      <c r="G680" s="534">
        <v>2273092</v>
      </c>
      <c r="H680" s="534">
        <v>98892.96</v>
      </c>
      <c r="I680" s="534">
        <v>0</v>
      </c>
      <c r="J680" s="534">
        <v>0</v>
      </c>
    </row>
    <row r="681" spans="1:10" ht="15.75" customHeight="1" thickBot="1" x14ac:dyDescent="0.3">
      <c r="A681" s="558">
        <v>40940</v>
      </c>
      <c r="B681" s="558">
        <v>40940</v>
      </c>
      <c r="C681" s="516" t="s">
        <v>102</v>
      </c>
      <c r="D681" s="516" t="s">
        <v>103</v>
      </c>
      <c r="E681" s="516" t="s">
        <v>820</v>
      </c>
      <c r="F681" s="516" t="s">
        <v>821</v>
      </c>
      <c r="G681" s="530"/>
      <c r="H681" s="531">
        <v>1650</v>
      </c>
      <c r="I681" s="530"/>
      <c r="J681" s="530"/>
    </row>
    <row r="682" spans="1:10" ht="15.75" customHeight="1" thickBot="1" x14ac:dyDescent="0.3">
      <c r="A682" s="558">
        <v>40940</v>
      </c>
      <c r="B682" s="558">
        <v>40940</v>
      </c>
      <c r="C682" s="516" t="s">
        <v>102</v>
      </c>
      <c r="D682" s="516" t="s">
        <v>103</v>
      </c>
      <c r="E682" s="516" t="s">
        <v>822</v>
      </c>
      <c r="F682" s="516" t="s">
        <v>823</v>
      </c>
      <c r="G682" s="528"/>
      <c r="H682" s="528"/>
      <c r="I682" s="528"/>
      <c r="J682" s="529">
        <v>1072.79</v>
      </c>
    </row>
    <row r="683" spans="1:10" ht="15.75" customHeight="1" thickBot="1" x14ac:dyDescent="0.3">
      <c r="A683" s="558">
        <v>40940</v>
      </c>
      <c r="B683" s="558">
        <v>40940</v>
      </c>
      <c r="C683" s="516" t="s">
        <v>102</v>
      </c>
      <c r="D683" s="516" t="s">
        <v>103</v>
      </c>
      <c r="E683" s="516" t="s">
        <v>827</v>
      </c>
      <c r="F683" s="516" t="s">
        <v>828</v>
      </c>
      <c r="G683" s="530"/>
      <c r="H683" s="530"/>
      <c r="I683" s="530"/>
      <c r="J683" s="531">
        <v>-20684.93</v>
      </c>
    </row>
    <row r="684" spans="1:10" ht="15.75" customHeight="1" thickBot="1" x14ac:dyDescent="0.3">
      <c r="A684" s="558">
        <v>40940</v>
      </c>
      <c r="B684" s="558">
        <v>40940</v>
      </c>
      <c r="C684" s="516" t="s">
        <v>102</v>
      </c>
      <c r="D684" s="516" t="s">
        <v>103</v>
      </c>
      <c r="E684" s="516" t="s">
        <v>829</v>
      </c>
      <c r="F684" s="516" t="s">
        <v>830</v>
      </c>
      <c r="G684" s="528"/>
      <c r="H684" s="529">
        <v>24312.01</v>
      </c>
      <c r="I684" s="528"/>
      <c r="J684" s="528"/>
    </row>
    <row r="685" spans="1:10" ht="15.75" customHeight="1" thickBot="1" x14ac:dyDescent="0.3">
      <c r="A685" s="558">
        <v>40940</v>
      </c>
      <c r="B685" s="558">
        <v>40940</v>
      </c>
      <c r="C685" s="516" t="s">
        <v>102</v>
      </c>
      <c r="D685" s="516" t="s">
        <v>103</v>
      </c>
      <c r="E685" s="532" t="s">
        <v>831</v>
      </c>
      <c r="F685" s="533"/>
      <c r="G685" s="536"/>
      <c r="H685" s="534">
        <v>25962.01</v>
      </c>
      <c r="I685" s="536"/>
      <c r="J685" s="534">
        <v>-19612.14</v>
      </c>
    </row>
    <row r="686" spans="1:10" ht="15.75" customHeight="1" thickBot="1" x14ac:dyDescent="0.3">
      <c r="A686" s="558">
        <v>40940</v>
      </c>
      <c r="B686" s="558">
        <v>40940</v>
      </c>
      <c r="C686" s="516" t="s">
        <v>109</v>
      </c>
      <c r="D686" s="516" t="s">
        <v>110</v>
      </c>
      <c r="E686" s="516" t="s">
        <v>820</v>
      </c>
      <c r="F686" s="516" t="s">
        <v>821</v>
      </c>
      <c r="G686" s="528"/>
      <c r="H686" s="529">
        <v>230</v>
      </c>
      <c r="I686" s="528"/>
      <c r="J686" s="528"/>
    </row>
    <row r="687" spans="1:10" ht="15.75" customHeight="1" thickBot="1" x14ac:dyDescent="0.3">
      <c r="A687" s="558">
        <v>40940</v>
      </c>
      <c r="B687" s="558">
        <v>40940</v>
      </c>
      <c r="C687" s="516" t="s">
        <v>109</v>
      </c>
      <c r="D687" s="516" t="s">
        <v>110</v>
      </c>
      <c r="E687" s="516" t="s">
        <v>832</v>
      </c>
      <c r="F687" s="516" t="s">
        <v>833</v>
      </c>
      <c r="G687" s="530"/>
      <c r="H687" s="530"/>
      <c r="I687" s="531">
        <v>275</v>
      </c>
      <c r="J687" s="530"/>
    </row>
    <row r="688" spans="1:10" ht="15.75" customHeight="1" thickBot="1" x14ac:dyDescent="0.3">
      <c r="A688" s="558">
        <v>40940</v>
      </c>
      <c r="B688" s="558">
        <v>40940</v>
      </c>
      <c r="C688" s="516" t="s">
        <v>109</v>
      </c>
      <c r="D688" s="516" t="s">
        <v>110</v>
      </c>
      <c r="E688" s="516" t="s">
        <v>816</v>
      </c>
      <c r="F688" s="516" t="s">
        <v>812</v>
      </c>
      <c r="G688" s="529">
        <v>608649</v>
      </c>
      <c r="H688" s="529">
        <v>6384.73</v>
      </c>
      <c r="I688" s="528"/>
      <c r="J688" s="528"/>
    </row>
    <row r="689" spans="1:10" ht="15.75" customHeight="1" thickBot="1" x14ac:dyDescent="0.3">
      <c r="A689" s="558">
        <v>40940</v>
      </c>
      <c r="B689" s="558">
        <v>40940</v>
      </c>
      <c r="C689" s="516" t="s">
        <v>109</v>
      </c>
      <c r="D689" s="516" t="s">
        <v>110</v>
      </c>
      <c r="E689" s="516" t="s">
        <v>816</v>
      </c>
      <c r="F689" s="516" t="s">
        <v>834</v>
      </c>
      <c r="G689" s="530"/>
      <c r="H689" s="531">
        <v>6425.38</v>
      </c>
      <c r="I689" s="530"/>
      <c r="J689" s="530"/>
    </row>
    <row r="690" spans="1:10" ht="15.75" customHeight="1" thickBot="1" x14ac:dyDescent="0.3">
      <c r="A690" s="558">
        <v>40940</v>
      </c>
      <c r="B690" s="558">
        <v>40940</v>
      </c>
      <c r="C690" s="516" t="s">
        <v>109</v>
      </c>
      <c r="D690" s="516" t="s">
        <v>110</v>
      </c>
      <c r="E690" s="516" t="s">
        <v>816</v>
      </c>
      <c r="F690" s="535" t="s">
        <v>831</v>
      </c>
      <c r="G690" s="534">
        <v>608649</v>
      </c>
      <c r="H690" s="534">
        <v>12810.11</v>
      </c>
      <c r="I690" s="536"/>
      <c r="J690" s="536"/>
    </row>
    <row r="691" spans="1:10" ht="15.75" customHeight="1" thickBot="1" x14ac:dyDescent="0.3">
      <c r="A691" s="558">
        <v>40940</v>
      </c>
      <c r="B691" s="558">
        <v>40940</v>
      </c>
      <c r="C691" s="516" t="s">
        <v>109</v>
      </c>
      <c r="D691" s="516" t="s">
        <v>110</v>
      </c>
      <c r="E691" s="516" t="s">
        <v>827</v>
      </c>
      <c r="F691" s="516" t="s">
        <v>828</v>
      </c>
      <c r="G691" s="530"/>
      <c r="H691" s="530"/>
      <c r="I691" s="530"/>
      <c r="J691" s="531">
        <v>-2190.3000000000002</v>
      </c>
    </row>
    <row r="692" spans="1:10" ht="15.75" customHeight="1" thickBot="1" x14ac:dyDescent="0.3">
      <c r="A692" s="558">
        <v>40940</v>
      </c>
      <c r="B692" s="558">
        <v>40940</v>
      </c>
      <c r="C692" s="516" t="s">
        <v>109</v>
      </c>
      <c r="D692" s="516" t="s">
        <v>110</v>
      </c>
      <c r="E692" s="516" t="s">
        <v>829</v>
      </c>
      <c r="F692" s="516" t="s">
        <v>830</v>
      </c>
      <c r="G692" s="528"/>
      <c r="H692" s="529">
        <v>2904.72</v>
      </c>
      <c r="I692" s="528"/>
      <c r="J692" s="528"/>
    </row>
    <row r="693" spans="1:10" ht="15.75" customHeight="1" thickBot="1" x14ac:dyDescent="0.3">
      <c r="A693" s="558">
        <v>40940</v>
      </c>
      <c r="B693" s="558">
        <v>40940</v>
      </c>
      <c r="C693" s="516" t="s">
        <v>109</v>
      </c>
      <c r="D693" s="516" t="s">
        <v>110</v>
      </c>
      <c r="E693" s="532" t="s">
        <v>831</v>
      </c>
      <c r="F693" s="533"/>
      <c r="G693" s="534">
        <v>608649</v>
      </c>
      <c r="H693" s="534">
        <v>15944.83</v>
      </c>
      <c r="I693" s="534">
        <v>275</v>
      </c>
      <c r="J693" s="534">
        <v>-2190.3000000000002</v>
      </c>
    </row>
    <row r="694" spans="1:10" ht="15.75" customHeight="1" thickBot="1" x14ac:dyDescent="0.3">
      <c r="A694" s="558">
        <v>40940</v>
      </c>
      <c r="B694" s="558">
        <v>40940</v>
      </c>
      <c r="C694" s="532" t="s">
        <v>831</v>
      </c>
      <c r="D694" s="537"/>
      <c r="E694" s="537"/>
      <c r="F694" s="533"/>
      <c r="G694" s="534">
        <v>2920155</v>
      </c>
      <c r="H694" s="534">
        <v>152098.97</v>
      </c>
      <c r="I694" s="534">
        <v>830.14</v>
      </c>
      <c r="J694" s="534">
        <v>-22025.64</v>
      </c>
    </row>
    <row r="695" spans="1:10" ht="15.75" customHeight="1" thickBot="1" x14ac:dyDescent="0.3">
      <c r="A695" s="558">
        <v>40940</v>
      </c>
      <c r="B695" s="558">
        <v>40969</v>
      </c>
      <c r="C695" s="516" t="s">
        <v>113</v>
      </c>
      <c r="D695" s="516" t="s">
        <v>114</v>
      </c>
      <c r="E695" s="516" t="s">
        <v>822</v>
      </c>
      <c r="F695" s="516" t="s">
        <v>823</v>
      </c>
      <c r="G695" s="530"/>
      <c r="H695" s="530"/>
      <c r="I695" s="530"/>
      <c r="J695" s="531">
        <v>230.45</v>
      </c>
    </row>
    <row r="696" spans="1:10" ht="15.75" customHeight="1" thickBot="1" x14ac:dyDescent="0.3">
      <c r="A696" s="558">
        <v>40940</v>
      </c>
      <c r="B696" s="558">
        <v>40969</v>
      </c>
      <c r="C696" s="516" t="s">
        <v>113</v>
      </c>
      <c r="D696" s="516" t="s">
        <v>114</v>
      </c>
      <c r="E696" s="516" t="s">
        <v>832</v>
      </c>
      <c r="F696" s="516" t="s">
        <v>833</v>
      </c>
      <c r="G696" s="528"/>
      <c r="H696" s="528"/>
      <c r="I696" s="529">
        <v>781</v>
      </c>
      <c r="J696" s="528"/>
    </row>
    <row r="697" spans="1:10" ht="15.75" customHeight="1" thickBot="1" x14ac:dyDescent="0.3">
      <c r="A697" s="558">
        <v>40940</v>
      </c>
      <c r="B697" s="558">
        <v>40969</v>
      </c>
      <c r="C697" s="516" t="s">
        <v>113</v>
      </c>
      <c r="D697" s="516" t="s">
        <v>114</v>
      </c>
      <c r="E697" s="516" t="s">
        <v>825</v>
      </c>
      <c r="F697" s="516" t="s">
        <v>812</v>
      </c>
      <c r="G697" s="531">
        <v>838</v>
      </c>
      <c r="H697" s="530"/>
      <c r="I697" s="531">
        <v>4.08</v>
      </c>
      <c r="J697" s="530"/>
    </row>
    <row r="698" spans="1:10" ht="15.75" customHeight="1" thickBot="1" x14ac:dyDescent="0.3">
      <c r="A698" s="558">
        <v>40940</v>
      </c>
      <c r="B698" s="558">
        <v>40969</v>
      </c>
      <c r="C698" s="516" t="s">
        <v>113</v>
      </c>
      <c r="D698" s="516" t="s">
        <v>114</v>
      </c>
      <c r="E698" s="516" t="s">
        <v>816</v>
      </c>
      <c r="F698" s="516" t="s">
        <v>812</v>
      </c>
      <c r="G698" s="529">
        <v>45660</v>
      </c>
      <c r="H698" s="529">
        <v>222.36</v>
      </c>
      <c r="I698" s="528"/>
      <c r="J698" s="528"/>
    </row>
    <row r="699" spans="1:10" ht="15.75" customHeight="1" thickBot="1" x14ac:dyDescent="0.3">
      <c r="A699" s="558">
        <v>40940</v>
      </c>
      <c r="B699" s="558">
        <v>40969</v>
      </c>
      <c r="C699" s="516" t="s">
        <v>113</v>
      </c>
      <c r="D699" s="516" t="s">
        <v>114</v>
      </c>
      <c r="E699" s="516" t="s">
        <v>816</v>
      </c>
      <c r="F699" s="516" t="s">
        <v>834</v>
      </c>
      <c r="G699" s="530"/>
      <c r="H699" s="531">
        <v>104976</v>
      </c>
      <c r="I699" s="530"/>
      <c r="J699" s="530"/>
    </row>
    <row r="700" spans="1:10" ht="15.75" customHeight="1" thickBot="1" x14ac:dyDescent="0.3">
      <c r="A700" s="558">
        <v>40940</v>
      </c>
      <c r="B700" s="558">
        <v>40969</v>
      </c>
      <c r="C700" s="516" t="s">
        <v>113</v>
      </c>
      <c r="D700" s="516" t="s">
        <v>114</v>
      </c>
      <c r="E700" s="516" t="s">
        <v>816</v>
      </c>
      <c r="F700" s="535" t="s">
        <v>831</v>
      </c>
      <c r="G700" s="534">
        <v>45660</v>
      </c>
      <c r="H700" s="534">
        <v>105198.36</v>
      </c>
      <c r="I700" s="536"/>
      <c r="J700" s="536"/>
    </row>
    <row r="701" spans="1:10" ht="15.75" customHeight="1" thickBot="1" x14ac:dyDescent="0.3">
      <c r="A701" s="558">
        <v>40940</v>
      </c>
      <c r="B701" s="558">
        <v>40969</v>
      </c>
      <c r="C701" s="516" t="s">
        <v>113</v>
      </c>
      <c r="D701" s="516" t="s">
        <v>114</v>
      </c>
      <c r="E701" s="516" t="s">
        <v>829</v>
      </c>
      <c r="F701" s="516" t="s">
        <v>830</v>
      </c>
      <c r="G701" s="530"/>
      <c r="H701" s="531">
        <v>3.73</v>
      </c>
      <c r="I701" s="530"/>
      <c r="J701" s="530"/>
    </row>
    <row r="702" spans="1:10" ht="15.75" customHeight="1" thickBot="1" x14ac:dyDescent="0.3">
      <c r="A702" s="558">
        <v>40940</v>
      </c>
      <c r="B702" s="558">
        <v>40969</v>
      </c>
      <c r="C702" s="516" t="s">
        <v>113</v>
      </c>
      <c r="D702" s="516" t="s">
        <v>114</v>
      </c>
      <c r="E702" s="532" t="s">
        <v>831</v>
      </c>
      <c r="F702" s="533"/>
      <c r="G702" s="534">
        <v>46498</v>
      </c>
      <c r="H702" s="534">
        <v>105202.09</v>
      </c>
      <c r="I702" s="534">
        <v>785.08</v>
      </c>
      <c r="J702" s="534">
        <v>230.45</v>
      </c>
    </row>
    <row r="703" spans="1:10" ht="15.75" customHeight="1" thickBot="1" x14ac:dyDescent="0.3">
      <c r="A703" s="558">
        <v>40940</v>
      </c>
      <c r="B703" s="532" t="s">
        <v>831</v>
      </c>
      <c r="C703" s="537"/>
      <c r="D703" s="537"/>
      <c r="E703" s="537"/>
      <c r="F703" s="533"/>
      <c r="G703" s="534">
        <v>13626934</v>
      </c>
      <c r="H703" s="534">
        <v>752673.26</v>
      </c>
      <c r="I703" s="534">
        <v>2465.9299999999998</v>
      </c>
      <c r="J703" s="534">
        <v>-38635.18</v>
      </c>
    </row>
    <row r="704" spans="1:10" ht="15.75" customHeight="1" thickBot="1" x14ac:dyDescent="0.3">
      <c r="A704" s="558">
        <v>40969</v>
      </c>
      <c r="B704" s="558">
        <v>40940</v>
      </c>
      <c r="C704" s="516" t="s">
        <v>97</v>
      </c>
      <c r="D704" s="516" t="s">
        <v>98</v>
      </c>
      <c r="E704" s="516" t="s">
        <v>820</v>
      </c>
      <c r="F704" s="516" t="s">
        <v>821</v>
      </c>
      <c r="G704" s="528"/>
      <c r="H704" s="529">
        <v>2760</v>
      </c>
      <c r="I704" s="528"/>
      <c r="J704" s="528"/>
    </row>
    <row r="705" spans="1:10" ht="15.75" customHeight="1" thickBot="1" x14ac:dyDescent="0.3">
      <c r="A705" s="558">
        <v>40969</v>
      </c>
      <c r="B705" s="558">
        <v>40940</v>
      </c>
      <c r="C705" s="516" t="s">
        <v>97</v>
      </c>
      <c r="D705" s="516" t="s">
        <v>98</v>
      </c>
      <c r="E705" s="516" t="s">
        <v>816</v>
      </c>
      <c r="F705" s="516" t="s">
        <v>812</v>
      </c>
      <c r="G705" s="531">
        <v>708756</v>
      </c>
      <c r="H705" s="531">
        <v>30476.5</v>
      </c>
      <c r="I705" s="530"/>
      <c r="J705" s="530"/>
    </row>
    <row r="706" spans="1:10" ht="15.75" customHeight="1" thickBot="1" x14ac:dyDescent="0.3">
      <c r="A706" s="558">
        <v>40969</v>
      </c>
      <c r="B706" s="558">
        <v>40940</v>
      </c>
      <c r="C706" s="516" t="s">
        <v>97</v>
      </c>
      <c r="D706" s="516" t="s">
        <v>98</v>
      </c>
      <c r="E706" s="516" t="s">
        <v>826</v>
      </c>
      <c r="F706" s="516" t="s">
        <v>294</v>
      </c>
      <c r="G706" s="528"/>
      <c r="H706" s="529">
        <v>822.16</v>
      </c>
      <c r="I706" s="528"/>
      <c r="J706" s="528"/>
    </row>
    <row r="707" spans="1:10" ht="15.75" customHeight="1" thickBot="1" x14ac:dyDescent="0.3">
      <c r="A707" s="558">
        <v>40969</v>
      </c>
      <c r="B707" s="558">
        <v>40940</v>
      </c>
      <c r="C707" s="516" t="s">
        <v>97</v>
      </c>
      <c r="D707" s="516" t="s">
        <v>98</v>
      </c>
      <c r="E707" s="516" t="s">
        <v>827</v>
      </c>
      <c r="F707" s="516" t="s">
        <v>828</v>
      </c>
      <c r="G707" s="530"/>
      <c r="H707" s="530"/>
      <c r="I707" s="530"/>
      <c r="J707" s="531">
        <v>-948</v>
      </c>
    </row>
    <row r="708" spans="1:10" ht="15.75" customHeight="1" thickBot="1" x14ac:dyDescent="0.3">
      <c r="A708" s="558">
        <v>40969</v>
      </c>
      <c r="B708" s="558">
        <v>40940</v>
      </c>
      <c r="C708" s="516" t="s">
        <v>97</v>
      </c>
      <c r="D708" s="516" t="s">
        <v>98</v>
      </c>
      <c r="E708" s="516" t="s">
        <v>829</v>
      </c>
      <c r="F708" s="516" t="s">
        <v>830</v>
      </c>
      <c r="G708" s="528"/>
      <c r="H708" s="529">
        <v>636.55999999999995</v>
      </c>
      <c r="I708" s="528"/>
      <c r="J708" s="528"/>
    </row>
    <row r="709" spans="1:10" ht="15.75" customHeight="1" thickBot="1" x14ac:dyDescent="0.3">
      <c r="A709" s="558">
        <v>40969</v>
      </c>
      <c r="B709" s="558">
        <v>40940</v>
      </c>
      <c r="C709" s="516" t="s">
        <v>97</v>
      </c>
      <c r="D709" s="516" t="s">
        <v>98</v>
      </c>
      <c r="E709" s="532" t="s">
        <v>831</v>
      </c>
      <c r="F709" s="533"/>
      <c r="G709" s="534">
        <v>708756</v>
      </c>
      <c r="H709" s="534">
        <v>34695.22</v>
      </c>
      <c r="I709" s="534">
        <v>0</v>
      </c>
      <c r="J709" s="534">
        <v>-948</v>
      </c>
    </row>
    <row r="710" spans="1:10" ht="15.75" customHeight="1" thickBot="1" x14ac:dyDescent="0.3">
      <c r="A710" s="558">
        <v>40969</v>
      </c>
      <c r="B710" s="558">
        <v>40940</v>
      </c>
      <c r="C710" s="516" t="s">
        <v>66</v>
      </c>
      <c r="D710" s="516" t="s">
        <v>67</v>
      </c>
      <c r="E710" s="516" t="s">
        <v>816</v>
      </c>
      <c r="F710" s="516" t="s">
        <v>835</v>
      </c>
      <c r="G710" s="528"/>
      <c r="H710" s="529">
        <v>-115.51</v>
      </c>
      <c r="I710" s="528"/>
      <c r="J710" s="528"/>
    </row>
    <row r="711" spans="1:10" ht="15.75" customHeight="1" thickBot="1" x14ac:dyDescent="0.3">
      <c r="A711" s="558">
        <v>40969</v>
      </c>
      <c r="B711" s="558">
        <v>40940</v>
      </c>
      <c r="C711" s="516" t="s">
        <v>99</v>
      </c>
      <c r="D711" s="516" t="s">
        <v>100</v>
      </c>
      <c r="E711" s="516" t="s">
        <v>820</v>
      </c>
      <c r="F711" s="516" t="s">
        <v>821</v>
      </c>
      <c r="G711" s="530"/>
      <c r="H711" s="531">
        <v>11730</v>
      </c>
      <c r="I711" s="530"/>
      <c r="J711" s="530"/>
    </row>
    <row r="712" spans="1:10" ht="15.75" thickBot="1" x14ac:dyDescent="0.3">
      <c r="A712" s="558">
        <v>40969</v>
      </c>
      <c r="B712" s="558">
        <v>40940</v>
      </c>
      <c r="C712" s="516" t="s">
        <v>99</v>
      </c>
      <c r="D712" s="516" t="s">
        <v>100</v>
      </c>
      <c r="E712" s="516" t="s">
        <v>816</v>
      </c>
      <c r="F712" s="516" t="s">
        <v>812</v>
      </c>
      <c r="G712" s="529">
        <v>8081611</v>
      </c>
      <c r="H712" s="529">
        <v>347509.3</v>
      </c>
      <c r="I712" s="528"/>
      <c r="J712" s="528"/>
    </row>
    <row r="713" spans="1:10" ht="15.75" thickBot="1" x14ac:dyDescent="0.3">
      <c r="A713" s="558">
        <v>40969</v>
      </c>
      <c r="B713" s="558">
        <v>40940</v>
      </c>
      <c r="C713" s="516" t="s">
        <v>99</v>
      </c>
      <c r="D713" s="516" t="s">
        <v>100</v>
      </c>
      <c r="E713" s="516" t="s">
        <v>827</v>
      </c>
      <c r="F713" s="516" t="s">
        <v>828</v>
      </c>
      <c r="G713" s="530"/>
      <c r="H713" s="530"/>
      <c r="I713" s="530"/>
      <c r="J713" s="531">
        <v>-794.4</v>
      </c>
    </row>
    <row r="714" spans="1:10" ht="15.75" thickBot="1" x14ac:dyDescent="0.3">
      <c r="A714" s="558">
        <v>40969</v>
      </c>
      <c r="B714" s="558">
        <v>40940</v>
      </c>
      <c r="C714" s="516" t="s">
        <v>99</v>
      </c>
      <c r="D714" s="516" t="s">
        <v>100</v>
      </c>
      <c r="E714" s="516" t="s">
        <v>829</v>
      </c>
      <c r="F714" s="516" t="s">
        <v>830</v>
      </c>
      <c r="G714" s="528"/>
      <c r="H714" s="529">
        <v>3719.45</v>
      </c>
      <c r="I714" s="528"/>
      <c r="J714" s="528"/>
    </row>
    <row r="715" spans="1:10" ht="15.75" thickBot="1" x14ac:dyDescent="0.3">
      <c r="A715" s="558">
        <v>40969</v>
      </c>
      <c r="B715" s="558">
        <v>40940</v>
      </c>
      <c r="C715" s="516" t="s">
        <v>99</v>
      </c>
      <c r="D715" s="516" t="s">
        <v>100</v>
      </c>
      <c r="E715" s="532" t="s">
        <v>831</v>
      </c>
      <c r="F715" s="533"/>
      <c r="G715" s="534">
        <v>8081611</v>
      </c>
      <c r="H715" s="534">
        <v>362958.75</v>
      </c>
      <c r="I715" s="534">
        <v>0</v>
      </c>
      <c r="J715" s="534">
        <v>-794.4</v>
      </c>
    </row>
    <row r="716" spans="1:10" ht="15.75" customHeight="1" thickBot="1" x14ac:dyDescent="0.3">
      <c r="A716" s="558">
        <v>40969</v>
      </c>
      <c r="B716" s="558">
        <v>40940</v>
      </c>
      <c r="C716" s="532" t="s">
        <v>831</v>
      </c>
      <c r="D716" s="537"/>
      <c r="E716" s="537"/>
      <c r="F716" s="533"/>
      <c r="G716" s="534">
        <v>8790367</v>
      </c>
      <c r="H716" s="534">
        <v>397538.46</v>
      </c>
      <c r="I716" s="534">
        <v>0</v>
      </c>
      <c r="J716" s="534">
        <v>-1742.4</v>
      </c>
    </row>
    <row r="717" spans="1:10" ht="15.75" customHeight="1" thickBot="1" x14ac:dyDescent="0.3">
      <c r="A717" s="558">
        <v>40969</v>
      </c>
      <c r="B717" s="558">
        <v>40969</v>
      </c>
      <c r="C717" s="516" t="s">
        <v>106</v>
      </c>
      <c r="D717" s="516" t="s">
        <v>107</v>
      </c>
      <c r="E717" s="516" t="s">
        <v>820</v>
      </c>
      <c r="F717" s="516" t="s">
        <v>821</v>
      </c>
      <c r="G717" s="530"/>
      <c r="H717" s="531">
        <v>230</v>
      </c>
      <c r="I717" s="530"/>
      <c r="J717" s="530"/>
    </row>
    <row r="718" spans="1:10" ht="15.75" customHeight="1" thickBot="1" x14ac:dyDescent="0.3">
      <c r="A718" s="558">
        <v>40969</v>
      </c>
      <c r="B718" s="558">
        <v>40969</v>
      </c>
      <c r="C718" s="516" t="s">
        <v>106</v>
      </c>
      <c r="D718" s="516" t="s">
        <v>107</v>
      </c>
      <c r="E718" s="516" t="s">
        <v>822</v>
      </c>
      <c r="F718" s="516" t="s">
        <v>823</v>
      </c>
      <c r="G718" s="528"/>
      <c r="H718" s="528"/>
      <c r="I718" s="528"/>
      <c r="J718" s="529">
        <v>2746.15</v>
      </c>
    </row>
    <row r="719" spans="1:10" ht="15.75" customHeight="1" thickBot="1" x14ac:dyDescent="0.3">
      <c r="A719" s="558">
        <v>40969</v>
      </c>
      <c r="B719" s="558">
        <v>40969</v>
      </c>
      <c r="C719" s="516" t="s">
        <v>106</v>
      </c>
      <c r="D719" s="516" t="s">
        <v>107</v>
      </c>
      <c r="E719" s="516" t="s">
        <v>832</v>
      </c>
      <c r="F719" s="516" t="s">
        <v>833</v>
      </c>
      <c r="G719" s="530"/>
      <c r="H719" s="530"/>
      <c r="I719" s="531">
        <v>781</v>
      </c>
      <c r="J719" s="530"/>
    </row>
    <row r="720" spans="1:10" ht="15.75" customHeight="1" thickBot="1" x14ac:dyDescent="0.3">
      <c r="A720" s="558">
        <v>40969</v>
      </c>
      <c r="B720" s="558">
        <v>40969</v>
      </c>
      <c r="C720" s="516" t="s">
        <v>106</v>
      </c>
      <c r="D720" s="516" t="s">
        <v>107</v>
      </c>
      <c r="E720" s="516" t="s">
        <v>825</v>
      </c>
      <c r="F720" s="516" t="s">
        <v>812</v>
      </c>
      <c r="G720" s="529">
        <v>9986</v>
      </c>
      <c r="H720" s="528"/>
      <c r="I720" s="529">
        <v>48.63</v>
      </c>
      <c r="J720" s="528"/>
    </row>
    <row r="721" spans="1:10" ht="15.75" customHeight="1" thickBot="1" x14ac:dyDescent="0.3">
      <c r="A721" s="558">
        <v>40969</v>
      </c>
      <c r="B721" s="558">
        <v>40969</v>
      </c>
      <c r="C721" s="516" t="s">
        <v>106</v>
      </c>
      <c r="D721" s="516" t="s">
        <v>107</v>
      </c>
      <c r="E721" s="516" t="s">
        <v>816</v>
      </c>
      <c r="F721" s="516" t="s">
        <v>812</v>
      </c>
      <c r="G721" s="531">
        <v>419510</v>
      </c>
      <c r="H721" s="531">
        <v>2043.01</v>
      </c>
      <c r="I721" s="530"/>
      <c r="J721" s="530"/>
    </row>
    <row r="722" spans="1:10" ht="15.75" customHeight="1" thickBot="1" x14ac:dyDescent="0.3">
      <c r="A722" s="558">
        <v>40969</v>
      </c>
      <c r="B722" s="558">
        <v>40969</v>
      </c>
      <c r="C722" s="516" t="s">
        <v>106</v>
      </c>
      <c r="D722" s="516" t="s">
        <v>107</v>
      </c>
      <c r="E722" s="516" t="s">
        <v>816</v>
      </c>
      <c r="F722" s="516" t="s">
        <v>834</v>
      </c>
      <c r="G722" s="528"/>
      <c r="H722" s="529">
        <v>18225</v>
      </c>
      <c r="I722" s="528"/>
      <c r="J722" s="528"/>
    </row>
    <row r="723" spans="1:10" ht="15.75" customHeight="1" thickBot="1" x14ac:dyDescent="0.3">
      <c r="A723" s="558">
        <v>40969</v>
      </c>
      <c r="B723" s="558">
        <v>40969</v>
      </c>
      <c r="C723" s="516" t="s">
        <v>106</v>
      </c>
      <c r="D723" s="516" t="s">
        <v>107</v>
      </c>
      <c r="E723" s="516" t="s">
        <v>816</v>
      </c>
      <c r="F723" s="535" t="s">
        <v>831</v>
      </c>
      <c r="G723" s="534">
        <v>419510</v>
      </c>
      <c r="H723" s="534">
        <v>20268.009999999998</v>
      </c>
      <c r="I723" s="536"/>
      <c r="J723" s="536"/>
    </row>
    <row r="724" spans="1:10" ht="15.75" customHeight="1" thickBot="1" x14ac:dyDescent="0.3">
      <c r="A724" s="558">
        <v>40969</v>
      </c>
      <c r="B724" s="558">
        <v>40969</v>
      </c>
      <c r="C724" s="516" t="s">
        <v>106</v>
      </c>
      <c r="D724" s="516" t="s">
        <v>107</v>
      </c>
      <c r="E724" s="516" t="s">
        <v>829</v>
      </c>
      <c r="F724" s="516" t="s">
        <v>830</v>
      </c>
      <c r="G724" s="528"/>
      <c r="H724" s="529">
        <v>1374.29</v>
      </c>
      <c r="I724" s="528"/>
      <c r="J724" s="528"/>
    </row>
    <row r="725" spans="1:10" ht="15.75" customHeight="1" thickBot="1" x14ac:dyDescent="0.3">
      <c r="A725" s="558">
        <v>40969</v>
      </c>
      <c r="B725" s="558">
        <v>40969</v>
      </c>
      <c r="C725" s="516" t="s">
        <v>106</v>
      </c>
      <c r="D725" s="516" t="s">
        <v>107</v>
      </c>
      <c r="E725" s="532" t="s">
        <v>831</v>
      </c>
      <c r="F725" s="533"/>
      <c r="G725" s="534">
        <v>429496</v>
      </c>
      <c r="H725" s="534">
        <v>21872.3</v>
      </c>
      <c r="I725" s="534">
        <v>829.63</v>
      </c>
      <c r="J725" s="534">
        <v>2746.15</v>
      </c>
    </row>
    <row r="726" spans="1:10" ht="15.75" customHeight="1" thickBot="1" x14ac:dyDescent="0.3">
      <c r="A726" s="558">
        <v>40969</v>
      </c>
      <c r="B726" s="558">
        <v>40969</v>
      </c>
      <c r="C726" s="516" t="s">
        <v>66</v>
      </c>
      <c r="D726" s="516" t="s">
        <v>67</v>
      </c>
      <c r="E726" s="516" t="s">
        <v>820</v>
      </c>
      <c r="F726" s="516" t="s">
        <v>821</v>
      </c>
      <c r="G726" s="528"/>
      <c r="H726" s="529">
        <v>306</v>
      </c>
      <c r="I726" s="528"/>
      <c r="J726" s="528"/>
    </row>
    <row r="727" spans="1:10" ht="15.75" customHeight="1" thickBot="1" x14ac:dyDescent="0.3">
      <c r="A727" s="558">
        <v>40969</v>
      </c>
      <c r="B727" s="558">
        <v>40969</v>
      </c>
      <c r="C727" s="516" t="s">
        <v>66</v>
      </c>
      <c r="D727" s="516" t="s">
        <v>67</v>
      </c>
      <c r="E727" s="516" t="s">
        <v>832</v>
      </c>
      <c r="F727" s="516" t="s">
        <v>833</v>
      </c>
      <c r="G727" s="530"/>
      <c r="H727" s="530"/>
      <c r="I727" s="531">
        <v>340</v>
      </c>
      <c r="J727" s="530"/>
    </row>
    <row r="728" spans="1:10" ht="15.75" customHeight="1" thickBot="1" x14ac:dyDescent="0.3">
      <c r="A728" s="558">
        <v>40969</v>
      </c>
      <c r="B728" s="558">
        <v>40969</v>
      </c>
      <c r="C728" s="516" t="s">
        <v>66</v>
      </c>
      <c r="D728" s="516" t="s">
        <v>67</v>
      </c>
      <c r="E728" s="516" t="s">
        <v>825</v>
      </c>
      <c r="F728" s="516" t="s">
        <v>812</v>
      </c>
      <c r="G728" s="529">
        <v>27451</v>
      </c>
      <c r="H728" s="528"/>
      <c r="I728" s="529">
        <v>5221.7299999999996</v>
      </c>
      <c r="J728" s="528"/>
    </row>
    <row r="729" spans="1:10" ht="15.75" customHeight="1" thickBot="1" x14ac:dyDescent="0.3">
      <c r="A729" s="558">
        <v>40969</v>
      </c>
      <c r="B729" s="558">
        <v>40969</v>
      </c>
      <c r="C729" s="516" t="s">
        <v>66</v>
      </c>
      <c r="D729" s="516" t="s">
        <v>67</v>
      </c>
      <c r="E729" s="516" t="s">
        <v>816</v>
      </c>
      <c r="F729" s="516" t="s">
        <v>812</v>
      </c>
      <c r="G729" s="531">
        <v>56350</v>
      </c>
      <c r="H729" s="531">
        <v>10718.89</v>
      </c>
      <c r="I729" s="530"/>
      <c r="J729" s="530"/>
    </row>
    <row r="730" spans="1:10" ht="15.75" customHeight="1" thickBot="1" x14ac:dyDescent="0.3">
      <c r="A730" s="558">
        <v>40969</v>
      </c>
      <c r="B730" s="558">
        <v>40969</v>
      </c>
      <c r="C730" s="516" t="s">
        <v>66</v>
      </c>
      <c r="D730" s="516" t="s">
        <v>67</v>
      </c>
      <c r="E730" s="516" t="s">
        <v>816</v>
      </c>
      <c r="F730" s="516" t="s">
        <v>835</v>
      </c>
      <c r="G730" s="528"/>
      <c r="H730" s="529">
        <v>4939.6400000000003</v>
      </c>
      <c r="I730" s="528"/>
      <c r="J730" s="528"/>
    </row>
    <row r="731" spans="1:10" ht="15.75" customHeight="1" thickBot="1" x14ac:dyDescent="0.3">
      <c r="A731" s="558">
        <v>40969</v>
      </c>
      <c r="B731" s="558">
        <v>40969</v>
      </c>
      <c r="C731" s="516" t="s">
        <v>66</v>
      </c>
      <c r="D731" s="516" t="s">
        <v>67</v>
      </c>
      <c r="E731" s="516" t="s">
        <v>816</v>
      </c>
      <c r="F731" s="535" t="s">
        <v>831</v>
      </c>
      <c r="G731" s="534">
        <v>56350</v>
      </c>
      <c r="H731" s="534">
        <v>15658.53</v>
      </c>
      <c r="I731" s="536"/>
      <c r="J731" s="536"/>
    </row>
    <row r="732" spans="1:10" ht="15.75" customHeight="1" thickBot="1" x14ac:dyDescent="0.3">
      <c r="A732" s="558">
        <v>40969</v>
      </c>
      <c r="B732" s="558">
        <v>40969</v>
      </c>
      <c r="C732" s="516" t="s">
        <v>66</v>
      </c>
      <c r="D732" s="516" t="s">
        <v>67</v>
      </c>
      <c r="E732" s="516" t="s">
        <v>292</v>
      </c>
      <c r="F732" s="516" t="s">
        <v>292</v>
      </c>
      <c r="G732" s="528"/>
      <c r="H732" s="529">
        <v>13018.08</v>
      </c>
      <c r="I732" s="528"/>
      <c r="J732" s="528"/>
    </row>
    <row r="733" spans="1:10" ht="15.75" customHeight="1" thickBot="1" x14ac:dyDescent="0.3">
      <c r="A733" s="558">
        <v>40969</v>
      </c>
      <c r="B733" s="558">
        <v>40969</v>
      </c>
      <c r="C733" s="516" t="s">
        <v>66</v>
      </c>
      <c r="D733" s="516" t="s">
        <v>67</v>
      </c>
      <c r="E733" s="532" t="s">
        <v>831</v>
      </c>
      <c r="F733" s="533"/>
      <c r="G733" s="534">
        <v>83801</v>
      </c>
      <c r="H733" s="534">
        <v>28982.61</v>
      </c>
      <c r="I733" s="534">
        <v>5561.73</v>
      </c>
      <c r="J733" s="534">
        <v>0</v>
      </c>
    </row>
    <row r="734" spans="1:10" ht="15.75" thickBot="1" x14ac:dyDescent="0.3">
      <c r="A734" s="558">
        <v>40969</v>
      </c>
      <c r="B734" s="558">
        <v>40969</v>
      </c>
      <c r="C734" s="516" t="s">
        <v>99</v>
      </c>
      <c r="D734" s="516" t="s">
        <v>100</v>
      </c>
      <c r="E734" s="516" t="s">
        <v>820</v>
      </c>
      <c r="F734" s="516" t="s">
        <v>821</v>
      </c>
      <c r="G734" s="528"/>
      <c r="H734" s="529">
        <v>2070</v>
      </c>
      <c r="I734" s="528"/>
      <c r="J734" s="528"/>
    </row>
    <row r="735" spans="1:10" ht="15.75" thickBot="1" x14ac:dyDescent="0.3">
      <c r="A735" s="558">
        <v>40969</v>
      </c>
      <c r="B735" s="558">
        <v>40969</v>
      </c>
      <c r="C735" s="516" t="s">
        <v>99</v>
      </c>
      <c r="D735" s="516" t="s">
        <v>100</v>
      </c>
      <c r="E735" s="516" t="s">
        <v>816</v>
      </c>
      <c r="F735" s="516" t="s">
        <v>812</v>
      </c>
      <c r="G735" s="531">
        <v>2452918</v>
      </c>
      <c r="H735" s="531">
        <v>105475.48</v>
      </c>
      <c r="I735" s="530"/>
      <c r="J735" s="530"/>
    </row>
    <row r="736" spans="1:10" ht="15.75" thickBot="1" x14ac:dyDescent="0.3">
      <c r="A736" s="558">
        <v>40969</v>
      </c>
      <c r="B736" s="558">
        <v>40969</v>
      </c>
      <c r="C736" s="516" t="s">
        <v>99</v>
      </c>
      <c r="D736" s="516" t="s">
        <v>100</v>
      </c>
      <c r="E736" s="516" t="s">
        <v>816</v>
      </c>
      <c r="F736" s="516" t="s">
        <v>812</v>
      </c>
      <c r="G736" s="529">
        <v>62281</v>
      </c>
      <c r="H736" s="528"/>
      <c r="I736" s="528"/>
      <c r="J736" s="528"/>
    </row>
    <row r="737" spans="1:10" ht="15.75" thickBot="1" x14ac:dyDescent="0.3">
      <c r="A737" s="558">
        <v>40969</v>
      </c>
      <c r="B737" s="558">
        <v>40969</v>
      </c>
      <c r="C737" s="516" t="s">
        <v>99</v>
      </c>
      <c r="D737" s="516" t="s">
        <v>100</v>
      </c>
      <c r="E737" s="532" t="s">
        <v>831</v>
      </c>
      <c r="F737" s="533"/>
      <c r="G737" s="534">
        <v>2515199</v>
      </c>
      <c r="H737" s="534">
        <v>107545.48</v>
      </c>
      <c r="I737" s="534">
        <v>0</v>
      </c>
      <c r="J737" s="534">
        <v>0</v>
      </c>
    </row>
    <row r="738" spans="1:10" ht="15.75" customHeight="1" thickBot="1" x14ac:dyDescent="0.3">
      <c r="A738" s="558">
        <v>40969</v>
      </c>
      <c r="B738" s="558">
        <v>40969</v>
      </c>
      <c r="C738" s="516" t="s">
        <v>102</v>
      </c>
      <c r="D738" s="516" t="s">
        <v>103</v>
      </c>
      <c r="E738" s="516" t="s">
        <v>820</v>
      </c>
      <c r="F738" s="516" t="s">
        <v>821</v>
      </c>
      <c r="G738" s="528"/>
      <c r="H738" s="529">
        <v>5175</v>
      </c>
      <c r="I738" s="528"/>
      <c r="J738" s="528"/>
    </row>
    <row r="739" spans="1:10" ht="15.75" customHeight="1" thickBot="1" x14ac:dyDescent="0.3">
      <c r="A739" s="558">
        <v>40969</v>
      </c>
      <c r="B739" s="558">
        <v>40969</v>
      </c>
      <c r="C739" s="516" t="s">
        <v>102</v>
      </c>
      <c r="D739" s="516" t="s">
        <v>103</v>
      </c>
      <c r="E739" s="516" t="s">
        <v>822</v>
      </c>
      <c r="F739" s="516" t="s">
        <v>823</v>
      </c>
      <c r="G739" s="530"/>
      <c r="H739" s="530"/>
      <c r="I739" s="530"/>
      <c r="J739" s="531">
        <v>2776.7</v>
      </c>
    </row>
    <row r="740" spans="1:10" ht="15.75" customHeight="1" thickBot="1" x14ac:dyDescent="0.3">
      <c r="A740" s="558">
        <v>40969</v>
      </c>
      <c r="B740" s="558">
        <v>40969</v>
      </c>
      <c r="C740" s="516" t="s">
        <v>102</v>
      </c>
      <c r="D740" s="516" t="s">
        <v>103</v>
      </c>
      <c r="E740" s="516" t="s">
        <v>827</v>
      </c>
      <c r="F740" s="516" t="s">
        <v>828</v>
      </c>
      <c r="G740" s="528"/>
      <c r="H740" s="528"/>
      <c r="I740" s="528"/>
      <c r="J740" s="529">
        <v>-12657.6</v>
      </c>
    </row>
    <row r="741" spans="1:10" ht="15.75" customHeight="1" thickBot="1" x14ac:dyDescent="0.3">
      <c r="A741" s="558">
        <v>40969</v>
      </c>
      <c r="B741" s="558">
        <v>40969</v>
      </c>
      <c r="C741" s="516" t="s">
        <v>102</v>
      </c>
      <c r="D741" s="516" t="s">
        <v>103</v>
      </c>
      <c r="E741" s="516" t="s">
        <v>829</v>
      </c>
      <c r="F741" s="516" t="s">
        <v>830</v>
      </c>
      <c r="G741" s="530"/>
      <c r="H741" s="531">
        <v>12071.77</v>
      </c>
      <c r="I741" s="530"/>
      <c r="J741" s="530"/>
    </row>
    <row r="742" spans="1:10" ht="15.75" customHeight="1" thickBot="1" x14ac:dyDescent="0.3">
      <c r="A742" s="558">
        <v>40969</v>
      </c>
      <c r="B742" s="558">
        <v>40969</v>
      </c>
      <c r="C742" s="516" t="s">
        <v>102</v>
      </c>
      <c r="D742" s="516" t="s">
        <v>103</v>
      </c>
      <c r="E742" s="532" t="s">
        <v>831</v>
      </c>
      <c r="F742" s="533"/>
      <c r="G742" s="536"/>
      <c r="H742" s="534">
        <v>17246.77</v>
      </c>
      <c r="I742" s="536"/>
      <c r="J742" s="534">
        <v>-9880.9</v>
      </c>
    </row>
    <row r="743" spans="1:10" ht="15.75" customHeight="1" thickBot="1" x14ac:dyDescent="0.3">
      <c r="A743" s="558">
        <v>40969</v>
      </c>
      <c r="B743" s="558">
        <v>40969</v>
      </c>
      <c r="C743" s="516" t="s">
        <v>109</v>
      </c>
      <c r="D743" s="516" t="s">
        <v>110</v>
      </c>
      <c r="E743" s="516" t="s">
        <v>820</v>
      </c>
      <c r="F743" s="516" t="s">
        <v>821</v>
      </c>
      <c r="G743" s="530"/>
      <c r="H743" s="531">
        <v>230</v>
      </c>
      <c r="I743" s="530"/>
      <c r="J743" s="530"/>
    </row>
    <row r="744" spans="1:10" ht="15.75" customHeight="1" thickBot="1" x14ac:dyDescent="0.3">
      <c r="A744" s="558">
        <v>40969</v>
      </c>
      <c r="B744" s="558">
        <v>40969</v>
      </c>
      <c r="C744" s="516" t="s">
        <v>109</v>
      </c>
      <c r="D744" s="516" t="s">
        <v>110</v>
      </c>
      <c r="E744" s="516" t="s">
        <v>832</v>
      </c>
      <c r="F744" s="516" t="s">
        <v>833</v>
      </c>
      <c r="G744" s="528"/>
      <c r="H744" s="528"/>
      <c r="I744" s="529">
        <v>275</v>
      </c>
      <c r="J744" s="528"/>
    </row>
    <row r="745" spans="1:10" ht="15.75" customHeight="1" thickBot="1" x14ac:dyDescent="0.3">
      <c r="A745" s="558">
        <v>40969</v>
      </c>
      <c r="B745" s="558">
        <v>40969</v>
      </c>
      <c r="C745" s="516" t="s">
        <v>109</v>
      </c>
      <c r="D745" s="516" t="s">
        <v>110</v>
      </c>
      <c r="E745" s="516" t="s">
        <v>816</v>
      </c>
      <c r="F745" s="516" t="s">
        <v>812</v>
      </c>
      <c r="G745" s="531">
        <v>604577</v>
      </c>
      <c r="H745" s="531">
        <v>6342.01</v>
      </c>
      <c r="I745" s="530"/>
      <c r="J745" s="530"/>
    </row>
    <row r="746" spans="1:10" ht="15.75" customHeight="1" thickBot="1" x14ac:dyDescent="0.3">
      <c r="A746" s="558">
        <v>40969</v>
      </c>
      <c r="B746" s="558">
        <v>40969</v>
      </c>
      <c r="C746" s="516" t="s">
        <v>109</v>
      </c>
      <c r="D746" s="516" t="s">
        <v>110</v>
      </c>
      <c r="E746" s="516" t="s">
        <v>816</v>
      </c>
      <c r="F746" s="516" t="s">
        <v>834</v>
      </c>
      <c r="G746" s="528"/>
      <c r="H746" s="529">
        <v>6425.38</v>
      </c>
      <c r="I746" s="528"/>
      <c r="J746" s="528"/>
    </row>
    <row r="747" spans="1:10" ht="15.75" customHeight="1" thickBot="1" x14ac:dyDescent="0.3">
      <c r="A747" s="558">
        <v>40969</v>
      </c>
      <c r="B747" s="558">
        <v>40969</v>
      </c>
      <c r="C747" s="516" t="s">
        <v>109</v>
      </c>
      <c r="D747" s="516" t="s">
        <v>110</v>
      </c>
      <c r="E747" s="516" t="s">
        <v>816</v>
      </c>
      <c r="F747" s="535" t="s">
        <v>831</v>
      </c>
      <c r="G747" s="534">
        <v>604577</v>
      </c>
      <c r="H747" s="534">
        <v>12767.39</v>
      </c>
      <c r="I747" s="536"/>
      <c r="J747" s="536"/>
    </row>
    <row r="748" spans="1:10" ht="15.75" customHeight="1" thickBot="1" x14ac:dyDescent="0.3">
      <c r="A748" s="558">
        <v>40969</v>
      </c>
      <c r="B748" s="558">
        <v>40969</v>
      </c>
      <c r="C748" s="516" t="s">
        <v>109</v>
      </c>
      <c r="D748" s="516" t="s">
        <v>110</v>
      </c>
      <c r="E748" s="516" t="s">
        <v>827</v>
      </c>
      <c r="F748" s="516" t="s">
        <v>828</v>
      </c>
      <c r="G748" s="528"/>
      <c r="H748" s="528"/>
      <c r="I748" s="528"/>
      <c r="J748" s="529">
        <v>-2673.6</v>
      </c>
    </row>
    <row r="749" spans="1:10" ht="15.75" customHeight="1" thickBot="1" x14ac:dyDescent="0.3">
      <c r="A749" s="558">
        <v>40969</v>
      </c>
      <c r="B749" s="558">
        <v>40969</v>
      </c>
      <c r="C749" s="516" t="s">
        <v>109</v>
      </c>
      <c r="D749" s="516" t="s">
        <v>110</v>
      </c>
      <c r="E749" s="516" t="s">
        <v>829</v>
      </c>
      <c r="F749" s="516" t="s">
        <v>830</v>
      </c>
      <c r="G749" s="530"/>
      <c r="H749" s="531">
        <v>1258.54</v>
      </c>
      <c r="I749" s="530"/>
      <c r="J749" s="530"/>
    </row>
    <row r="750" spans="1:10" ht="15.75" customHeight="1" thickBot="1" x14ac:dyDescent="0.3">
      <c r="A750" s="558">
        <v>40969</v>
      </c>
      <c r="B750" s="558">
        <v>40969</v>
      </c>
      <c r="C750" s="516" t="s">
        <v>109</v>
      </c>
      <c r="D750" s="516" t="s">
        <v>110</v>
      </c>
      <c r="E750" s="532" t="s">
        <v>831</v>
      </c>
      <c r="F750" s="533"/>
      <c r="G750" s="534">
        <v>604577</v>
      </c>
      <c r="H750" s="534">
        <v>14255.93</v>
      </c>
      <c r="I750" s="534">
        <v>275</v>
      </c>
      <c r="J750" s="534">
        <v>-2673.6</v>
      </c>
    </row>
    <row r="751" spans="1:10" ht="15.75" customHeight="1" thickBot="1" x14ac:dyDescent="0.3">
      <c r="A751" s="558">
        <v>40969</v>
      </c>
      <c r="B751" s="558">
        <v>40969</v>
      </c>
      <c r="C751" s="516" t="s">
        <v>113</v>
      </c>
      <c r="D751" s="516" t="s">
        <v>114</v>
      </c>
      <c r="E751" s="516" t="s">
        <v>832</v>
      </c>
      <c r="F751" s="516" t="s">
        <v>833</v>
      </c>
      <c r="G751" s="530"/>
      <c r="H751" s="530"/>
      <c r="I751" s="531">
        <v>781</v>
      </c>
      <c r="J751" s="530"/>
    </row>
    <row r="752" spans="1:10" ht="15.75" customHeight="1" thickBot="1" x14ac:dyDescent="0.3">
      <c r="A752" s="558">
        <v>40969</v>
      </c>
      <c r="B752" s="558">
        <v>40969</v>
      </c>
      <c r="C752" s="516" t="s">
        <v>113</v>
      </c>
      <c r="D752" s="516" t="s">
        <v>114</v>
      </c>
      <c r="E752" s="516" t="s">
        <v>816</v>
      </c>
      <c r="F752" s="516" t="s">
        <v>834</v>
      </c>
      <c r="G752" s="528"/>
      <c r="H752" s="529">
        <v>104976</v>
      </c>
      <c r="I752" s="528"/>
      <c r="J752" s="528"/>
    </row>
    <row r="753" spans="1:10" ht="15.75" customHeight="1" thickBot="1" x14ac:dyDescent="0.3">
      <c r="A753" s="558">
        <v>40969</v>
      </c>
      <c r="B753" s="558">
        <v>40969</v>
      </c>
      <c r="C753" s="516" t="s">
        <v>113</v>
      </c>
      <c r="D753" s="516" t="s">
        <v>114</v>
      </c>
      <c r="E753" s="532" t="s">
        <v>831</v>
      </c>
      <c r="F753" s="533"/>
      <c r="G753" s="534">
        <v>0</v>
      </c>
      <c r="H753" s="534">
        <v>104976</v>
      </c>
      <c r="I753" s="534">
        <v>781</v>
      </c>
      <c r="J753" s="534">
        <v>0</v>
      </c>
    </row>
    <row r="754" spans="1:10" ht="15.75" customHeight="1" thickBot="1" x14ac:dyDescent="0.3">
      <c r="A754" s="558">
        <v>40969</v>
      </c>
      <c r="B754" s="558">
        <v>40969</v>
      </c>
      <c r="C754" s="532" t="s">
        <v>831</v>
      </c>
      <c r="D754" s="537"/>
      <c r="E754" s="537"/>
      <c r="F754" s="533"/>
      <c r="G754" s="534">
        <v>3633073</v>
      </c>
      <c r="H754" s="534">
        <v>294879.09000000003</v>
      </c>
      <c r="I754" s="534">
        <v>7447.36</v>
      </c>
      <c r="J754" s="534">
        <v>-9808.35</v>
      </c>
    </row>
    <row r="755" spans="1:10" ht="15.75" customHeight="1" thickBot="1" x14ac:dyDescent="0.3">
      <c r="A755" s="558">
        <v>40969</v>
      </c>
      <c r="B755" s="532" t="s">
        <v>831</v>
      </c>
      <c r="C755" s="537"/>
      <c r="D755" s="537"/>
      <c r="E755" s="537"/>
      <c r="F755" s="533"/>
      <c r="G755" s="534">
        <v>12423440</v>
      </c>
      <c r="H755" s="534">
        <v>692417.55</v>
      </c>
      <c r="I755" s="534">
        <v>7447.36</v>
      </c>
      <c r="J755" s="534">
        <v>-11550.75</v>
      </c>
    </row>
  </sheetData>
  <pageMargins left="0.75" right="0.75" top="1" bottom="1" header="0.5" footer="0.5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9" tint="0.39997558519241921"/>
  </sheetPr>
  <dimension ref="A1:J72"/>
  <sheetViews>
    <sheetView showGridLines="0" workbookViewId="0"/>
  </sheetViews>
  <sheetFormatPr defaultRowHeight="15" x14ac:dyDescent="0.25"/>
  <cols>
    <col min="1" max="1" width="14.7109375" style="518" customWidth="1"/>
    <col min="2" max="2" width="11.5703125" style="518" customWidth="1"/>
    <col min="3" max="3" width="22.140625" style="518" bestFit="1" customWidth="1"/>
    <col min="4" max="4" width="21" style="518" bestFit="1" customWidth="1"/>
    <col min="5" max="5" width="14.85546875" style="518" bestFit="1" customWidth="1"/>
    <col min="6" max="6" width="10" style="518" bestFit="1" customWidth="1"/>
    <col min="7" max="7" width="14.42578125" style="518" bestFit="1" customWidth="1"/>
    <col min="8" max="8" width="10.7109375" style="518" bestFit="1" customWidth="1"/>
    <col min="9" max="9" width="10" style="518" bestFit="1" customWidth="1"/>
    <col min="10" max="10" width="10.7109375" style="518" bestFit="1" customWidth="1"/>
    <col min="11" max="16384" width="9.140625" style="518"/>
  </cols>
  <sheetData>
    <row r="1" spans="1:10" ht="15.75" x14ac:dyDescent="0.25">
      <c r="A1" s="517" t="s">
        <v>813</v>
      </c>
    </row>
    <row r="2" spans="1:10" x14ac:dyDescent="0.25">
      <c r="A2" s="519"/>
    </row>
    <row r="3" spans="1:10" ht="15.75" thickBot="1" x14ac:dyDescent="0.3">
      <c r="A3" s="519"/>
    </row>
    <row r="4" spans="1:10" ht="15.75" thickBot="1" x14ac:dyDescent="0.3">
      <c r="A4" s="520"/>
      <c r="B4" s="521"/>
      <c r="C4" s="521"/>
      <c r="D4" s="522"/>
      <c r="E4" s="523"/>
      <c r="F4" s="516" t="s">
        <v>3</v>
      </c>
      <c r="G4" s="516" t="s">
        <v>5</v>
      </c>
      <c r="H4" s="516" t="s">
        <v>876</v>
      </c>
      <c r="I4" s="516" t="s">
        <v>8</v>
      </c>
      <c r="J4" s="516" t="s">
        <v>12</v>
      </c>
    </row>
    <row r="5" spans="1:10" ht="15.75" thickBot="1" x14ac:dyDescent="0.3">
      <c r="A5" s="516" t="s">
        <v>239</v>
      </c>
      <c r="B5" s="525" t="s">
        <v>17</v>
      </c>
      <c r="C5" s="526"/>
      <c r="D5" s="516" t="s">
        <v>815</v>
      </c>
      <c r="E5" s="516" t="s">
        <v>819</v>
      </c>
      <c r="F5" s="523" t="s">
        <v>19</v>
      </c>
      <c r="G5" s="523" t="s">
        <v>20</v>
      </c>
      <c r="H5" s="523" t="s">
        <v>20</v>
      </c>
      <c r="I5" s="523" t="s">
        <v>20</v>
      </c>
      <c r="J5" s="523" t="s">
        <v>20</v>
      </c>
    </row>
    <row r="6" spans="1:10" ht="15.75" thickBot="1" x14ac:dyDescent="0.3">
      <c r="A6" s="516" t="s">
        <v>241</v>
      </c>
      <c r="B6" s="516" t="s">
        <v>82</v>
      </c>
      <c r="C6" s="516" t="s">
        <v>83</v>
      </c>
      <c r="D6" s="516" t="s">
        <v>832</v>
      </c>
      <c r="E6" s="516" t="s">
        <v>833</v>
      </c>
      <c r="F6" s="564"/>
      <c r="G6" s="563">
        <v>680</v>
      </c>
      <c r="H6" s="564"/>
      <c r="I6" s="564"/>
      <c r="J6" s="564"/>
    </row>
    <row r="7" spans="1:10" ht="15.75" thickBot="1" x14ac:dyDescent="0.3">
      <c r="A7" s="516" t="s">
        <v>241</v>
      </c>
      <c r="B7" s="516" t="s">
        <v>82</v>
      </c>
      <c r="C7" s="516" t="s">
        <v>83</v>
      </c>
      <c r="D7" s="516" t="s">
        <v>825</v>
      </c>
      <c r="E7" s="516" t="s">
        <v>878</v>
      </c>
      <c r="F7" s="566"/>
      <c r="G7" s="566"/>
      <c r="H7" s="566"/>
      <c r="I7" s="566"/>
      <c r="J7" s="565">
        <v>573948.96</v>
      </c>
    </row>
    <row r="8" spans="1:10" ht="15.75" thickBot="1" x14ac:dyDescent="0.3">
      <c r="A8" s="516" t="s">
        <v>241</v>
      </c>
      <c r="B8" s="516" t="s">
        <v>82</v>
      </c>
      <c r="C8" s="516" t="s">
        <v>83</v>
      </c>
      <c r="D8" s="516" t="s">
        <v>825</v>
      </c>
      <c r="E8" s="516" t="s">
        <v>812</v>
      </c>
      <c r="F8" s="563">
        <v>1387235</v>
      </c>
      <c r="G8" s="564"/>
      <c r="H8" s="563">
        <v>39508.449999999997</v>
      </c>
      <c r="I8" s="564"/>
      <c r="J8" s="564"/>
    </row>
    <row r="9" spans="1:10" ht="15.75" thickBot="1" x14ac:dyDescent="0.3">
      <c r="A9" s="516" t="s">
        <v>241</v>
      </c>
      <c r="B9" s="516" t="s">
        <v>82</v>
      </c>
      <c r="C9" s="516" t="s">
        <v>83</v>
      </c>
      <c r="D9" s="516" t="s">
        <v>825</v>
      </c>
      <c r="E9" s="535" t="s">
        <v>831</v>
      </c>
      <c r="F9" s="567">
        <v>1387235</v>
      </c>
      <c r="G9" s="568"/>
      <c r="H9" s="567">
        <v>39508.449999999997</v>
      </c>
      <c r="I9" s="568"/>
      <c r="J9" s="567">
        <v>573948.96</v>
      </c>
    </row>
    <row r="10" spans="1:10" ht="15.75" thickBot="1" x14ac:dyDescent="0.3">
      <c r="A10" s="516" t="s">
        <v>241</v>
      </c>
      <c r="B10" s="516" t="s">
        <v>82</v>
      </c>
      <c r="C10" s="516" t="s">
        <v>83</v>
      </c>
      <c r="D10" s="516" t="s">
        <v>292</v>
      </c>
      <c r="E10" s="516" t="s">
        <v>292</v>
      </c>
      <c r="F10" s="564"/>
      <c r="G10" s="564"/>
      <c r="H10" s="564"/>
      <c r="I10" s="563">
        <v>746635.36</v>
      </c>
      <c r="J10" s="564"/>
    </row>
    <row r="11" spans="1:10" ht="15.75" thickBot="1" x14ac:dyDescent="0.3">
      <c r="A11" s="516" t="s">
        <v>241</v>
      </c>
      <c r="B11" s="516" t="s">
        <v>82</v>
      </c>
      <c r="C11" s="516" t="s">
        <v>83</v>
      </c>
      <c r="D11" s="532" t="s">
        <v>831</v>
      </c>
      <c r="E11" s="533"/>
      <c r="F11" s="567">
        <v>1387235</v>
      </c>
      <c r="G11" s="567">
        <v>680</v>
      </c>
      <c r="H11" s="567">
        <v>39508.449999999997</v>
      </c>
      <c r="I11" s="567">
        <v>746635.36</v>
      </c>
      <c r="J11" s="567">
        <v>573948.96</v>
      </c>
    </row>
    <row r="12" spans="1:10" ht="15.75" thickBot="1" x14ac:dyDescent="0.3">
      <c r="A12" s="516" t="s">
        <v>246</v>
      </c>
      <c r="B12" s="516" t="s">
        <v>82</v>
      </c>
      <c r="C12" s="516" t="s">
        <v>83</v>
      </c>
      <c r="D12" s="516" t="s">
        <v>832</v>
      </c>
      <c r="E12" s="516" t="s">
        <v>833</v>
      </c>
      <c r="F12" s="564"/>
      <c r="G12" s="563">
        <v>340</v>
      </c>
      <c r="H12" s="564"/>
      <c r="I12" s="564"/>
      <c r="J12" s="564"/>
    </row>
    <row r="13" spans="1:10" ht="15.75" thickBot="1" x14ac:dyDescent="0.3">
      <c r="A13" s="516" t="s">
        <v>246</v>
      </c>
      <c r="B13" s="516" t="s">
        <v>82</v>
      </c>
      <c r="C13" s="516" t="s">
        <v>83</v>
      </c>
      <c r="D13" s="516" t="s">
        <v>825</v>
      </c>
      <c r="E13" s="516" t="s">
        <v>878</v>
      </c>
      <c r="F13" s="566"/>
      <c r="G13" s="566"/>
      <c r="H13" s="566"/>
      <c r="I13" s="566"/>
      <c r="J13" s="565">
        <v>286974.48</v>
      </c>
    </row>
    <row r="14" spans="1:10" ht="15.75" thickBot="1" x14ac:dyDescent="0.3">
      <c r="A14" s="516" t="s">
        <v>246</v>
      </c>
      <c r="B14" s="516" t="s">
        <v>82</v>
      </c>
      <c r="C14" s="516" t="s">
        <v>83</v>
      </c>
      <c r="D14" s="516" t="s">
        <v>825</v>
      </c>
      <c r="E14" s="516" t="s">
        <v>812</v>
      </c>
      <c r="F14" s="563">
        <v>683790</v>
      </c>
      <c r="G14" s="564"/>
      <c r="H14" s="563">
        <v>19474.34</v>
      </c>
      <c r="I14" s="564"/>
      <c r="J14" s="564"/>
    </row>
    <row r="15" spans="1:10" ht="15.75" thickBot="1" x14ac:dyDescent="0.3">
      <c r="A15" s="516" t="s">
        <v>246</v>
      </c>
      <c r="B15" s="516" t="s">
        <v>82</v>
      </c>
      <c r="C15" s="516" t="s">
        <v>83</v>
      </c>
      <c r="D15" s="516" t="s">
        <v>825</v>
      </c>
      <c r="E15" s="535" t="s">
        <v>831</v>
      </c>
      <c r="F15" s="567">
        <v>683790</v>
      </c>
      <c r="G15" s="568"/>
      <c r="H15" s="567">
        <v>19474.34</v>
      </c>
      <c r="I15" s="568"/>
      <c r="J15" s="567">
        <v>286974.48</v>
      </c>
    </row>
    <row r="16" spans="1:10" ht="15.75" thickBot="1" x14ac:dyDescent="0.3">
      <c r="A16" s="516" t="s">
        <v>246</v>
      </c>
      <c r="B16" s="516" t="s">
        <v>82</v>
      </c>
      <c r="C16" s="516" t="s">
        <v>83</v>
      </c>
      <c r="D16" s="516" t="s">
        <v>292</v>
      </c>
      <c r="E16" s="516" t="s">
        <v>292</v>
      </c>
      <c r="F16" s="564"/>
      <c r="G16" s="564"/>
      <c r="H16" s="564"/>
      <c r="I16" s="563">
        <v>383900.22</v>
      </c>
      <c r="J16" s="564"/>
    </row>
    <row r="17" spans="1:10" ht="15.75" thickBot="1" x14ac:dyDescent="0.3">
      <c r="A17" s="516" t="s">
        <v>246</v>
      </c>
      <c r="B17" s="516" t="s">
        <v>82</v>
      </c>
      <c r="C17" s="516" t="s">
        <v>83</v>
      </c>
      <c r="D17" s="532" t="s">
        <v>831</v>
      </c>
      <c r="E17" s="533"/>
      <c r="F17" s="567">
        <v>683790</v>
      </c>
      <c r="G17" s="567">
        <v>340</v>
      </c>
      <c r="H17" s="567">
        <v>19474.34</v>
      </c>
      <c r="I17" s="567">
        <v>383900.22</v>
      </c>
      <c r="J17" s="567">
        <v>286974.48</v>
      </c>
    </row>
    <row r="18" spans="1:10" ht="15.75" thickBot="1" x14ac:dyDescent="0.3">
      <c r="A18" s="516" t="s">
        <v>249</v>
      </c>
      <c r="B18" s="516" t="s">
        <v>82</v>
      </c>
      <c r="C18" s="516" t="s">
        <v>83</v>
      </c>
      <c r="D18" s="516" t="s">
        <v>832</v>
      </c>
      <c r="E18" s="516" t="s">
        <v>833</v>
      </c>
      <c r="F18" s="564"/>
      <c r="G18" s="563">
        <v>340</v>
      </c>
      <c r="H18" s="564"/>
      <c r="I18" s="564"/>
      <c r="J18" s="564"/>
    </row>
    <row r="19" spans="1:10" ht="15.75" thickBot="1" x14ac:dyDescent="0.3">
      <c r="A19" s="516" t="s">
        <v>249</v>
      </c>
      <c r="B19" s="516" t="s">
        <v>82</v>
      </c>
      <c r="C19" s="516" t="s">
        <v>83</v>
      </c>
      <c r="D19" s="516" t="s">
        <v>825</v>
      </c>
      <c r="E19" s="516" t="s">
        <v>878</v>
      </c>
      <c r="F19" s="566"/>
      <c r="G19" s="566"/>
      <c r="H19" s="566"/>
      <c r="I19" s="566"/>
      <c r="J19" s="565">
        <v>286974.48</v>
      </c>
    </row>
    <row r="20" spans="1:10" ht="15.75" thickBot="1" x14ac:dyDescent="0.3">
      <c r="A20" s="516" t="s">
        <v>249</v>
      </c>
      <c r="B20" s="516" t="s">
        <v>82</v>
      </c>
      <c r="C20" s="516" t="s">
        <v>83</v>
      </c>
      <c r="D20" s="516" t="s">
        <v>825</v>
      </c>
      <c r="E20" s="516" t="s">
        <v>812</v>
      </c>
      <c r="F20" s="563">
        <v>615540</v>
      </c>
      <c r="G20" s="564"/>
      <c r="H20" s="563">
        <v>17530.580000000002</v>
      </c>
      <c r="I20" s="564"/>
      <c r="J20" s="564"/>
    </row>
    <row r="21" spans="1:10" ht="15.75" thickBot="1" x14ac:dyDescent="0.3">
      <c r="A21" s="516" t="s">
        <v>249</v>
      </c>
      <c r="B21" s="516" t="s">
        <v>82</v>
      </c>
      <c r="C21" s="516" t="s">
        <v>83</v>
      </c>
      <c r="D21" s="516" t="s">
        <v>825</v>
      </c>
      <c r="E21" s="535" t="s">
        <v>831</v>
      </c>
      <c r="F21" s="567">
        <v>615540</v>
      </c>
      <c r="G21" s="568"/>
      <c r="H21" s="567">
        <v>17530.580000000002</v>
      </c>
      <c r="I21" s="568"/>
      <c r="J21" s="567">
        <v>286974.48</v>
      </c>
    </row>
    <row r="22" spans="1:10" ht="15.75" thickBot="1" x14ac:dyDescent="0.3">
      <c r="A22" s="516" t="s">
        <v>249</v>
      </c>
      <c r="B22" s="516" t="s">
        <v>82</v>
      </c>
      <c r="C22" s="516" t="s">
        <v>83</v>
      </c>
      <c r="D22" s="516" t="s">
        <v>292</v>
      </c>
      <c r="E22" s="516" t="s">
        <v>292</v>
      </c>
      <c r="F22" s="564"/>
      <c r="G22" s="564"/>
      <c r="H22" s="564"/>
      <c r="I22" s="563">
        <v>345582.62</v>
      </c>
      <c r="J22" s="564"/>
    </row>
    <row r="23" spans="1:10" ht="15.75" thickBot="1" x14ac:dyDescent="0.3">
      <c r="A23" s="516" t="s">
        <v>249</v>
      </c>
      <c r="B23" s="516" t="s">
        <v>82</v>
      </c>
      <c r="C23" s="516" t="s">
        <v>83</v>
      </c>
      <c r="D23" s="532" t="s">
        <v>831</v>
      </c>
      <c r="E23" s="533"/>
      <c r="F23" s="567">
        <v>615540</v>
      </c>
      <c r="G23" s="567">
        <v>340</v>
      </c>
      <c r="H23" s="567">
        <v>17530.580000000002</v>
      </c>
      <c r="I23" s="567">
        <v>345582.62</v>
      </c>
      <c r="J23" s="567">
        <v>286974.48</v>
      </c>
    </row>
    <row r="24" spans="1:10" ht="15.75" thickBot="1" x14ac:dyDescent="0.3">
      <c r="A24" s="516" t="s">
        <v>250</v>
      </c>
      <c r="B24" s="516" t="s">
        <v>82</v>
      </c>
      <c r="C24" s="516" t="s">
        <v>83</v>
      </c>
      <c r="D24" s="516" t="s">
        <v>832</v>
      </c>
      <c r="E24" s="516" t="s">
        <v>833</v>
      </c>
      <c r="F24" s="564"/>
      <c r="G24" s="563">
        <v>340</v>
      </c>
      <c r="H24" s="564"/>
      <c r="I24" s="564"/>
      <c r="J24" s="564"/>
    </row>
    <row r="25" spans="1:10" ht="15.75" thickBot="1" x14ac:dyDescent="0.3">
      <c r="A25" s="516" t="s">
        <v>250</v>
      </c>
      <c r="B25" s="516" t="s">
        <v>82</v>
      </c>
      <c r="C25" s="516" t="s">
        <v>83</v>
      </c>
      <c r="D25" s="516" t="s">
        <v>825</v>
      </c>
      <c r="E25" s="516" t="s">
        <v>878</v>
      </c>
      <c r="F25" s="566"/>
      <c r="G25" s="566"/>
      <c r="H25" s="566"/>
      <c r="I25" s="566"/>
      <c r="J25" s="565">
        <v>286974.48</v>
      </c>
    </row>
    <row r="26" spans="1:10" ht="15.75" thickBot="1" x14ac:dyDescent="0.3">
      <c r="A26" s="516" t="s">
        <v>250</v>
      </c>
      <c r="B26" s="516" t="s">
        <v>82</v>
      </c>
      <c r="C26" s="516" t="s">
        <v>83</v>
      </c>
      <c r="D26" s="516" t="s">
        <v>825</v>
      </c>
      <c r="E26" s="516" t="s">
        <v>812</v>
      </c>
      <c r="F26" s="563">
        <v>878119</v>
      </c>
      <c r="G26" s="564"/>
      <c r="H26" s="563">
        <v>25008.83</v>
      </c>
      <c r="I26" s="564"/>
      <c r="J26" s="564"/>
    </row>
    <row r="27" spans="1:10" ht="15.75" thickBot="1" x14ac:dyDescent="0.3">
      <c r="A27" s="516" t="s">
        <v>250</v>
      </c>
      <c r="B27" s="516" t="s">
        <v>82</v>
      </c>
      <c r="C27" s="516" t="s">
        <v>83</v>
      </c>
      <c r="D27" s="516" t="s">
        <v>825</v>
      </c>
      <c r="E27" s="535" t="s">
        <v>831</v>
      </c>
      <c r="F27" s="567">
        <v>878119</v>
      </c>
      <c r="G27" s="568"/>
      <c r="H27" s="567">
        <v>25008.83</v>
      </c>
      <c r="I27" s="568"/>
      <c r="J27" s="567">
        <v>286974.48</v>
      </c>
    </row>
    <row r="28" spans="1:10" ht="15.75" thickBot="1" x14ac:dyDescent="0.3">
      <c r="A28" s="516" t="s">
        <v>250</v>
      </c>
      <c r="B28" s="516" t="s">
        <v>82</v>
      </c>
      <c r="C28" s="516" t="s">
        <v>83</v>
      </c>
      <c r="D28" s="516" t="s">
        <v>292</v>
      </c>
      <c r="E28" s="516" t="s">
        <v>292</v>
      </c>
      <c r="F28" s="564"/>
      <c r="G28" s="564"/>
      <c r="H28" s="564"/>
      <c r="I28" s="563">
        <v>492185.7</v>
      </c>
      <c r="J28" s="564"/>
    </row>
    <row r="29" spans="1:10" ht="15.75" thickBot="1" x14ac:dyDescent="0.3">
      <c r="A29" s="516" t="s">
        <v>250</v>
      </c>
      <c r="B29" s="516" t="s">
        <v>82</v>
      </c>
      <c r="C29" s="516" t="s">
        <v>83</v>
      </c>
      <c r="D29" s="532" t="s">
        <v>831</v>
      </c>
      <c r="E29" s="533"/>
      <c r="F29" s="567">
        <v>878119</v>
      </c>
      <c r="G29" s="567">
        <v>340</v>
      </c>
      <c r="H29" s="567">
        <v>25008.83</v>
      </c>
      <c r="I29" s="567">
        <v>492185.7</v>
      </c>
      <c r="J29" s="567">
        <v>286974.48</v>
      </c>
    </row>
    <row r="30" spans="1:10" ht="15.75" thickBot="1" x14ac:dyDescent="0.3">
      <c r="A30" s="516" t="s">
        <v>264</v>
      </c>
      <c r="B30" s="516" t="s">
        <v>82</v>
      </c>
      <c r="C30" s="516" t="s">
        <v>83</v>
      </c>
      <c r="D30" s="516" t="s">
        <v>832</v>
      </c>
      <c r="E30" s="516" t="s">
        <v>833</v>
      </c>
      <c r="F30" s="564"/>
      <c r="G30" s="563">
        <v>340</v>
      </c>
      <c r="H30" s="564"/>
      <c r="I30" s="564"/>
      <c r="J30" s="564"/>
    </row>
    <row r="31" spans="1:10" ht="15.75" thickBot="1" x14ac:dyDescent="0.3">
      <c r="A31" s="516" t="s">
        <v>264</v>
      </c>
      <c r="B31" s="516" t="s">
        <v>82</v>
      </c>
      <c r="C31" s="516" t="s">
        <v>83</v>
      </c>
      <c r="D31" s="516" t="s">
        <v>825</v>
      </c>
      <c r="E31" s="516" t="s">
        <v>878</v>
      </c>
      <c r="F31" s="566"/>
      <c r="G31" s="566"/>
      <c r="H31" s="566"/>
      <c r="I31" s="566"/>
      <c r="J31" s="565">
        <v>286974.48</v>
      </c>
    </row>
    <row r="32" spans="1:10" ht="15.75" thickBot="1" x14ac:dyDescent="0.3">
      <c r="A32" s="516" t="s">
        <v>264</v>
      </c>
      <c r="B32" s="516" t="s">
        <v>82</v>
      </c>
      <c r="C32" s="516" t="s">
        <v>83</v>
      </c>
      <c r="D32" s="516" t="s">
        <v>825</v>
      </c>
      <c r="E32" s="516" t="s">
        <v>812</v>
      </c>
      <c r="F32" s="563">
        <v>395892</v>
      </c>
      <c r="G32" s="564"/>
      <c r="H32" s="563">
        <v>11275</v>
      </c>
      <c r="I32" s="564"/>
      <c r="J32" s="564"/>
    </row>
    <row r="33" spans="1:10" ht="15.75" thickBot="1" x14ac:dyDescent="0.3">
      <c r="A33" s="516" t="s">
        <v>264</v>
      </c>
      <c r="B33" s="516" t="s">
        <v>82</v>
      </c>
      <c r="C33" s="516" t="s">
        <v>83</v>
      </c>
      <c r="D33" s="516" t="s">
        <v>825</v>
      </c>
      <c r="E33" s="535" t="s">
        <v>831</v>
      </c>
      <c r="F33" s="567">
        <v>395892</v>
      </c>
      <c r="G33" s="568"/>
      <c r="H33" s="567">
        <v>11275</v>
      </c>
      <c r="I33" s="568"/>
      <c r="J33" s="567">
        <v>286974.48</v>
      </c>
    </row>
    <row r="34" spans="1:10" ht="15.75" thickBot="1" x14ac:dyDescent="0.3">
      <c r="A34" s="516" t="s">
        <v>264</v>
      </c>
      <c r="B34" s="516" t="s">
        <v>82</v>
      </c>
      <c r="C34" s="516" t="s">
        <v>83</v>
      </c>
      <c r="D34" s="516" t="s">
        <v>292</v>
      </c>
      <c r="E34" s="516" t="s">
        <v>292</v>
      </c>
      <c r="F34" s="564"/>
      <c r="G34" s="564"/>
      <c r="H34" s="564"/>
      <c r="I34" s="563">
        <v>221897.46</v>
      </c>
      <c r="J34" s="564"/>
    </row>
    <row r="35" spans="1:10" ht="15.75" thickBot="1" x14ac:dyDescent="0.3">
      <c r="A35" s="516" t="s">
        <v>264</v>
      </c>
      <c r="B35" s="516" t="s">
        <v>82</v>
      </c>
      <c r="C35" s="516" t="s">
        <v>83</v>
      </c>
      <c r="D35" s="532" t="s">
        <v>831</v>
      </c>
      <c r="E35" s="533"/>
      <c r="F35" s="567">
        <v>395892</v>
      </c>
      <c r="G35" s="567">
        <v>340</v>
      </c>
      <c r="H35" s="567">
        <v>11275</v>
      </c>
      <c r="I35" s="567">
        <v>221897.46</v>
      </c>
      <c r="J35" s="567">
        <v>286974.48</v>
      </c>
    </row>
    <row r="36" spans="1:10" ht="15.75" thickBot="1" x14ac:dyDescent="0.3">
      <c r="A36" s="516" t="s">
        <v>322</v>
      </c>
      <c r="B36" s="516" t="s">
        <v>82</v>
      </c>
      <c r="C36" s="516" t="s">
        <v>83</v>
      </c>
      <c r="D36" s="516" t="s">
        <v>832</v>
      </c>
      <c r="E36" s="516" t="s">
        <v>833</v>
      </c>
      <c r="F36" s="564"/>
      <c r="G36" s="563">
        <v>340</v>
      </c>
      <c r="H36" s="564"/>
      <c r="I36" s="564"/>
      <c r="J36" s="564"/>
    </row>
    <row r="37" spans="1:10" ht="15.75" thickBot="1" x14ac:dyDescent="0.3">
      <c r="A37" s="516" t="s">
        <v>322</v>
      </c>
      <c r="B37" s="516" t="s">
        <v>82</v>
      </c>
      <c r="C37" s="516" t="s">
        <v>83</v>
      </c>
      <c r="D37" s="516" t="s">
        <v>825</v>
      </c>
      <c r="E37" s="516" t="s">
        <v>878</v>
      </c>
      <c r="F37" s="566"/>
      <c r="G37" s="566"/>
      <c r="H37" s="566"/>
      <c r="I37" s="566"/>
      <c r="J37" s="565">
        <v>286974.48</v>
      </c>
    </row>
    <row r="38" spans="1:10" ht="15.75" thickBot="1" x14ac:dyDescent="0.3">
      <c r="A38" s="516" t="s">
        <v>322</v>
      </c>
      <c r="B38" s="516" t="s">
        <v>82</v>
      </c>
      <c r="C38" s="516" t="s">
        <v>83</v>
      </c>
      <c r="D38" s="516" t="s">
        <v>825</v>
      </c>
      <c r="E38" s="516" t="s">
        <v>812</v>
      </c>
      <c r="F38" s="563">
        <v>548813</v>
      </c>
      <c r="G38" s="564"/>
      <c r="H38" s="563">
        <v>15630.2</v>
      </c>
      <c r="I38" s="564"/>
      <c r="J38" s="564"/>
    </row>
    <row r="39" spans="1:10" ht="15.75" thickBot="1" x14ac:dyDescent="0.3">
      <c r="A39" s="516" t="s">
        <v>322</v>
      </c>
      <c r="B39" s="516" t="s">
        <v>82</v>
      </c>
      <c r="C39" s="516" t="s">
        <v>83</v>
      </c>
      <c r="D39" s="516" t="s">
        <v>825</v>
      </c>
      <c r="E39" s="535" t="s">
        <v>831</v>
      </c>
      <c r="F39" s="567">
        <v>548813</v>
      </c>
      <c r="G39" s="568"/>
      <c r="H39" s="567">
        <v>15630.2</v>
      </c>
      <c r="I39" s="568"/>
      <c r="J39" s="567">
        <v>286974.48</v>
      </c>
    </row>
    <row r="40" spans="1:10" ht="15.75" thickBot="1" x14ac:dyDescent="0.3">
      <c r="A40" s="516" t="s">
        <v>322</v>
      </c>
      <c r="B40" s="516" t="s">
        <v>82</v>
      </c>
      <c r="C40" s="516" t="s">
        <v>83</v>
      </c>
      <c r="D40" s="516" t="s">
        <v>292</v>
      </c>
      <c r="E40" s="516" t="s">
        <v>292</v>
      </c>
      <c r="F40" s="564"/>
      <c r="G40" s="564"/>
      <c r="H40" s="564"/>
      <c r="I40" s="563">
        <v>307609.69</v>
      </c>
      <c r="J40" s="564"/>
    </row>
    <row r="41" spans="1:10" ht="15.75" thickBot="1" x14ac:dyDescent="0.3">
      <c r="A41" s="516" t="s">
        <v>322</v>
      </c>
      <c r="B41" s="516" t="s">
        <v>82</v>
      </c>
      <c r="C41" s="516" t="s">
        <v>83</v>
      </c>
      <c r="D41" s="532" t="s">
        <v>831</v>
      </c>
      <c r="E41" s="533"/>
      <c r="F41" s="567">
        <v>548813</v>
      </c>
      <c r="G41" s="567">
        <v>340</v>
      </c>
      <c r="H41" s="567">
        <v>15630.2</v>
      </c>
      <c r="I41" s="567">
        <v>307609.69</v>
      </c>
      <c r="J41" s="567">
        <v>286974.48</v>
      </c>
    </row>
    <row r="42" spans="1:10" ht="15.75" thickBot="1" x14ac:dyDescent="0.3">
      <c r="A42" s="516" t="s">
        <v>323</v>
      </c>
      <c r="B42" s="516" t="s">
        <v>82</v>
      </c>
      <c r="C42" s="516" t="s">
        <v>83</v>
      </c>
      <c r="D42" s="516" t="s">
        <v>832</v>
      </c>
      <c r="E42" s="516" t="s">
        <v>833</v>
      </c>
      <c r="F42" s="564"/>
      <c r="G42" s="563">
        <v>340</v>
      </c>
      <c r="H42" s="564"/>
      <c r="I42" s="564"/>
      <c r="J42" s="564"/>
    </row>
    <row r="43" spans="1:10" ht="15.75" thickBot="1" x14ac:dyDescent="0.3">
      <c r="A43" s="516" t="s">
        <v>323</v>
      </c>
      <c r="B43" s="516" t="s">
        <v>82</v>
      </c>
      <c r="C43" s="516" t="s">
        <v>83</v>
      </c>
      <c r="D43" s="516" t="s">
        <v>825</v>
      </c>
      <c r="E43" s="516" t="s">
        <v>878</v>
      </c>
      <c r="F43" s="566"/>
      <c r="G43" s="566"/>
      <c r="H43" s="566"/>
      <c r="I43" s="566"/>
      <c r="J43" s="565">
        <v>286974.48</v>
      </c>
    </row>
    <row r="44" spans="1:10" ht="15.75" thickBot="1" x14ac:dyDescent="0.3">
      <c r="A44" s="516" t="s">
        <v>323</v>
      </c>
      <c r="B44" s="516" t="s">
        <v>82</v>
      </c>
      <c r="C44" s="516" t="s">
        <v>83</v>
      </c>
      <c r="D44" s="516" t="s">
        <v>825</v>
      </c>
      <c r="E44" s="516" t="s">
        <v>812</v>
      </c>
      <c r="F44" s="563">
        <v>455848</v>
      </c>
      <c r="G44" s="564"/>
      <c r="H44" s="563">
        <v>12982.55</v>
      </c>
      <c r="I44" s="564"/>
      <c r="J44" s="564"/>
    </row>
    <row r="45" spans="1:10" ht="15.75" thickBot="1" x14ac:dyDescent="0.3">
      <c r="A45" s="516" t="s">
        <v>323</v>
      </c>
      <c r="B45" s="516" t="s">
        <v>82</v>
      </c>
      <c r="C45" s="516" t="s">
        <v>83</v>
      </c>
      <c r="D45" s="516" t="s">
        <v>825</v>
      </c>
      <c r="E45" s="535" t="s">
        <v>831</v>
      </c>
      <c r="F45" s="567">
        <v>455848</v>
      </c>
      <c r="G45" s="568"/>
      <c r="H45" s="567">
        <v>12982.55</v>
      </c>
      <c r="I45" s="568"/>
      <c r="J45" s="567">
        <v>286974.48</v>
      </c>
    </row>
    <row r="46" spans="1:10" ht="15.75" thickBot="1" x14ac:dyDescent="0.3">
      <c r="A46" s="516" t="s">
        <v>323</v>
      </c>
      <c r="B46" s="516" t="s">
        <v>82</v>
      </c>
      <c r="C46" s="516" t="s">
        <v>83</v>
      </c>
      <c r="D46" s="516" t="s">
        <v>292</v>
      </c>
      <c r="E46" s="516" t="s">
        <v>292</v>
      </c>
      <c r="F46" s="564"/>
      <c r="G46" s="564"/>
      <c r="H46" s="564"/>
      <c r="I46" s="563">
        <v>235226.69</v>
      </c>
      <c r="J46" s="564"/>
    </row>
    <row r="47" spans="1:10" ht="15.75" thickBot="1" x14ac:dyDescent="0.3">
      <c r="A47" s="516" t="s">
        <v>323</v>
      </c>
      <c r="B47" s="516" t="s">
        <v>82</v>
      </c>
      <c r="C47" s="516" t="s">
        <v>83</v>
      </c>
      <c r="D47" s="532" t="s">
        <v>831</v>
      </c>
      <c r="E47" s="533"/>
      <c r="F47" s="567">
        <v>455848</v>
      </c>
      <c r="G47" s="567">
        <v>340</v>
      </c>
      <c r="H47" s="567">
        <v>12982.55</v>
      </c>
      <c r="I47" s="567">
        <v>235226.69</v>
      </c>
      <c r="J47" s="567">
        <v>286974.48</v>
      </c>
    </row>
    <row r="48" spans="1:10" ht="15.75" thickBot="1" x14ac:dyDescent="0.3">
      <c r="A48" s="516" t="s">
        <v>324</v>
      </c>
      <c r="B48" s="516" t="s">
        <v>82</v>
      </c>
      <c r="C48" s="516" t="s">
        <v>83</v>
      </c>
      <c r="D48" s="516" t="s">
        <v>832</v>
      </c>
      <c r="E48" s="516" t="s">
        <v>833</v>
      </c>
      <c r="F48" s="564"/>
      <c r="G48" s="563">
        <v>340</v>
      </c>
      <c r="H48" s="564"/>
      <c r="I48" s="564"/>
      <c r="J48" s="564"/>
    </row>
    <row r="49" spans="1:10" ht="15.75" thickBot="1" x14ac:dyDescent="0.3">
      <c r="A49" s="516" t="s">
        <v>324</v>
      </c>
      <c r="B49" s="516" t="s">
        <v>82</v>
      </c>
      <c r="C49" s="516" t="s">
        <v>83</v>
      </c>
      <c r="D49" s="516" t="s">
        <v>825</v>
      </c>
      <c r="E49" s="516" t="s">
        <v>878</v>
      </c>
      <c r="F49" s="566"/>
      <c r="G49" s="566"/>
      <c r="H49" s="566"/>
      <c r="I49" s="566"/>
      <c r="J49" s="565">
        <v>286974.48</v>
      </c>
    </row>
    <row r="50" spans="1:10" ht="15.75" thickBot="1" x14ac:dyDescent="0.3">
      <c r="A50" s="516" t="s">
        <v>324</v>
      </c>
      <c r="B50" s="516" t="s">
        <v>82</v>
      </c>
      <c r="C50" s="516" t="s">
        <v>83</v>
      </c>
      <c r="D50" s="516" t="s">
        <v>825</v>
      </c>
      <c r="E50" s="516" t="s">
        <v>812</v>
      </c>
      <c r="F50" s="563">
        <v>494453</v>
      </c>
      <c r="G50" s="564"/>
      <c r="H50" s="563">
        <v>14082.02</v>
      </c>
      <c r="I50" s="564"/>
      <c r="J50" s="564"/>
    </row>
    <row r="51" spans="1:10" ht="15.75" thickBot="1" x14ac:dyDescent="0.3">
      <c r="A51" s="516" t="s">
        <v>324</v>
      </c>
      <c r="B51" s="516" t="s">
        <v>82</v>
      </c>
      <c r="C51" s="516" t="s">
        <v>83</v>
      </c>
      <c r="D51" s="516" t="s">
        <v>825</v>
      </c>
      <c r="E51" s="535" t="s">
        <v>831</v>
      </c>
      <c r="F51" s="567">
        <v>494453</v>
      </c>
      <c r="G51" s="568"/>
      <c r="H51" s="567">
        <v>14082.02</v>
      </c>
      <c r="I51" s="568"/>
      <c r="J51" s="567">
        <v>286974.48</v>
      </c>
    </row>
    <row r="52" spans="1:10" ht="15.75" thickBot="1" x14ac:dyDescent="0.3">
      <c r="A52" s="516" t="s">
        <v>324</v>
      </c>
      <c r="B52" s="516" t="s">
        <v>82</v>
      </c>
      <c r="C52" s="516" t="s">
        <v>83</v>
      </c>
      <c r="D52" s="516" t="s">
        <v>292</v>
      </c>
      <c r="E52" s="516" t="s">
        <v>292</v>
      </c>
      <c r="F52" s="564"/>
      <c r="G52" s="564"/>
      <c r="H52" s="564"/>
      <c r="I52" s="563">
        <v>255147.64</v>
      </c>
      <c r="J52" s="564"/>
    </row>
    <row r="53" spans="1:10" ht="15.75" thickBot="1" x14ac:dyDescent="0.3">
      <c r="A53" s="516" t="s">
        <v>324</v>
      </c>
      <c r="B53" s="516" t="s">
        <v>82</v>
      </c>
      <c r="C53" s="516" t="s">
        <v>83</v>
      </c>
      <c r="D53" s="532" t="s">
        <v>831</v>
      </c>
      <c r="E53" s="533"/>
      <c r="F53" s="567">
        <v>494453</v>
      </c>
      <c r="G53" s="567">
        <v>340</v>
      </c>
      <c r="H53" s="567">
        <v>14082.02</v>
      </c>
      <c r="I53" s="567">
        <v>255147.64</v>
      </c>
      <c r="J53" s="567">
        <v>286974.48</v>
      </c>
    </row>
    <row r="54" spans="1:10" ht="15.75" thickBot="1" x14ac:dyDescent="0.3">
      <c r="A54" s="516" t="s">
        <v>797</v>
      </c>
      <c r="B54" s="516" t="s">
        <v>82</v>
      </c>
      <c r="C54" s="516" t="s">
        <v>83</v>
      </c>
      <c r="D54" s="516" t="s">
        <v>832</v>
      </c>
      <c r="E54" s="516" t="s">
        <v>833</v>
      </c>
      <c r="F54" s="564"/>
      <c r="G54" s="563">
        <v>340</v>
      </c>
      <c r="H54" s="564"/>
      <c r="I54" s="564"/>
      <c r="J54" s="564"/>
    </row>
    <row r="55" spans="1:10" ht="15.75" thickBot="1" x14ac:dyDescent="0.3">
      <c r="A55" s="516" t="s">
        <v>797</v>
      </c>
      <c r="B55" s="516" t="s">
        <v>82</v>
      </c>
      <c r="C55" s="516" t="s">
        <v>83</v>
      </c>
      <c r="D55" s="516" t="s">
        <v>825</v>
      </c>
      <c r="E55" s="516" t="s">
        <v>878</v>
      </c>
      <c r="F55" s="566"/>
      <c r="G55" s="566"/>
      <c r="H55" s="566"/>
      <c r="I55" s="566"/>
      <c r="J55" s="565">
        <v>286974.48</v>
      </c>
    </row>
    <row r="56" spans="1:10" ht="15.75" thickBot="1" x14ac:dyDescent="0.3">
      <c r="A56" s="516" t="s">
        <v>797</v>
      </c>
      <c r="B56" s="516" t="s">
        <v>82</v>
      </c>
      <c r="C56" s="516" t="s">
        <v>83</v>
      </c>
      <c r="D56" s="516" t="s">
        <v>825</v>
      </c>
      <c r="E56" s="516" t="s">
        <v>812</v>
      </c>
      <c r="F56" s="563">
        <v>390284</v>
      </c>
      <c r="G56" s="564"/>
      <c r="H56" s="563">
        <v>11115.28</v>
      </c>
      <c r="I56" s="564"/>
      <c r="J56" s="564"/>
    </row>
    <row r="57" spans="1:10" ht="15.75" thickBot="1" x14ac:dyDescent="0.3">
      <c r="A57" s="516" t="s">
        <v>797</v>
      </c>
      <c r="B57" s="516" t="s">
        <v>82</v>
      </c>
      <c r="C57" s="516" t="s">
        <v>83</v>
      </c>
      <c r="D57" s="516" t="s">
        <v>825</v>
      </c>
      <c r="E57" s="535" t="s">
        <v>831</v>
      </c>
      <c r="F57" s="567">
        <v>390284</v>
      </c>
      <c r="G57" s="568"/>
      <c r="H57" s="567">
        <v>11115.28</v>
      </c>
      <c r="I57" s="568"/>
      <c r="J57" s="567">
        <v>286974.48</v>
      </c>
    </row>
    <row r="58" spans="1:10" ht="15.75" thickBot="1" x14ac:dyDescent="0.3">
      <c r="A58" s="516" t="s">
        <v>797</v>
      </c>
      <c r="B58" s="516" t="s">
        <v>82</v>
      </c>
      <c r="C58" s="516" t="s">
        <v>83</v>
      </c>
      <c r="D58" s="516" t="s">
        <v>292</v>
      </c>
      <c r="E58" s="516" t="s">
        <v>292</v>
      </c>
      <c r="F58" s="564"/>
      <c r="G58" s="564"/>
      <c r="H58" s="564"/>
      <c r="I58" s="563">
        <v>201394.35</v>
      </c>
      <c r="J58" s="564"/>
    </row>
    <row r="59" spans="1:10" ht="15.75" thickBot="1" x14ac:dyDescent="0.3">
      <c r="A59" s="516" t="s">
        <v>797</v>
      </c>
      <c r="B59" s="516" t="s">
        <v>82</v>
      </c>
      <c r="C59" s="516" t="s">
        <v>83</v>
      </c>
      <c r="D59" s="532" t="s">
        <v>831</v>
      </c>
      <c r="E59" s="533"/>
      <c r="F59" s="567">
        <v>390284</v>
      </c>
      <c r="G59" s="567">
        <v>340</v>
      </c>
      <c r="H59" s="567">
        <v>11115.28</v>
      </c>
      <c r="I59" s="567">
        <v>201394.35</v>
      </c>
      <c r="J59" s="567">
        <v>286974.48</v>
      </c>
    </row>
    <row r="60" spans="1:10" ht="15.75" thickBot="1" x14ac:dyDescent="0.3">
      <c r="A60" s="516" t="s">
        <v>798</v>
      </c>
      <c r="B60" s="516" t="s">
        <v>82</v>
      </c>
      <c r="C60" s="516" t="s">
        <v>83</v>
      </c>
      <c r="D60" s="516" t="s">
        <v>832</v>
      </c>
      <c r="E60" s="516" t="s">
        <v>833</v>
      </c>
      <c r="F60" s="564"/>
      <c r="G60" s="563">
        <v>340</v>
      </c>
      <c r="H60" s="564"/>
      <c r="I60" s="564"/>
      <c r="J60" s="564"/>
    </row>
    <row r="61" spans="1:10" ht="15.75" thickBot="1" x14ac:dyDescent="0.3">
      <c r="A61" s="516" t="s">
        <v>798</v>
      </c>
      <c r="B61" s="516" t="s">
        <v>82</v>
      </c>
      <c r="C61" s="516" t="s">
        <v>83</v>
      </c>
      <c r="D61" s="516" t="s">
        <v>825</v>
      </c>
      <c r="E61" s="516" t="s">
        <v>878</v>
      </c>
      <c r="F61" s="566"/>
      <c r="G61" s="566"/>
      <c r="H61" s="566"/>
      <c r="I61" s="566"/>
      <c r="J61" s="565">
        <v>286974.48</v>
      </c>
    </row>
    <row r="62" spans="1:10" ht="15.75" thickBot="1" x14ac:dyDescent="0.3">
      <c r="A62" s="516" t="s">
        <v>798</v>
      </c>
      <c r="B62" s="516" t="s">
        <v>82</v>
      </c>
      <c r="C62" s="516" t="s">
        <v>83</v>
      </c>
      <c r="D62" s="516" t="s">
        <v>825</v>
      </c>
      <c r="E62" s="516" t="s">
        <v>812</v>
      </c>
      <c r="F62" s="563">
        <v>298558</v>
      </c>
      <c r="G62" s="564"/>
      <c r="H62" s="563">
        <v>8502.93</v>
      </c>
      <c r="I62" s="564"/>
      <c r="J62" s="564"/>
    </row>
    <row r="63" spans="1:10" ht="15.75" thickBot="1" x14ac:dyDescent="0.3">
      <c r="A63" s="516" t="s">
        <v>798</v>
      </c>
      <c r="B63" s="516" t="s">
        <v>82</v>
      </c>
      <c r="C63" s="516" t="s">
        <v>83</v>
      </c>
      <c r="D63" s="516" t="s">
        <v>825</v>
      </c>
      <c r="E63" s="535" t="s">
        <v>831</v>
      </c>
      <c r="F63" s="567">
        <v>298558</v>
      </c>
      <c r="G63" s="568"/>
      <c r="H63" s="567">
        <v>8502.93</v>
      </c>
      <c r="I63" s="568"/>
      <c r="J63" s="567">
        <v>286974.48</v>
      </c>
    </row>
    <row r="64" spans="1:10" ht="15.75" thickBot="1" x14ac:dyDescent="0.3">
      <c r="A64" s="516" t="s">
        <v>798</v>
      </c>
      <c r="B64" s="516" t="s">
        <v>82</v>
      </c>
      <c r="C64" s="516" t="s">
        <v>83</v>
      </c>
      <c r="D64" s="516" t="s">
        <v>292</v>
      </c>
      <c r="E64" s="516" t="s">
        <v>292</v>
      </c>
      <c r="F64" s="564"/>
      <c r="G64" s="564"/>
      <c r="H64" s="564"/>
      <c r="I64" s="563">
        <v>141585.16</v>
      </c>
      <c r="J64" s="564"/>
    </row>
    <row r="65" spans="1:10" ht="15.75" thickBot="1" x14ac:dyDescent="0.3">
      <c r="A65" s="516" t="s">
        <v>798</v>
      </c>
      <c r="B65" s="516" t="s">
        <v>82</v>
      </c>
      <c r="C65" s="516" t="s">
        <v>83</v>
      </c>
      <c r="D65" s="532" t="s">
        <v>831</v>
      </c>
      <c r="E65" s="533"/>
      <c r="F65" s="567">
        <v>298558</v>
      </c>
      <c r="G65" s="567">
        <v>340</v>
      </c>
      <c r="H65" s="567">
        <v>8502.93</v>
      </c>
      <c r="I65" s="567">
        <v>141585.16</v>
      </c>
      <c r="J65" s="567">
        <v>286974.48</v>
      </c>
    </row>
    <row r="66" spans="1:10" ht="15.75" thickBot="1" x14ac:dyDescent="0.3">
      <c r="A66" s="532" t="s">
        <v>837</v>
      </c>
      <c r="B66" s="537"/>
      <c r="C66" s="537"/>
      <c r="D66" s="537"/>
      <c r="E66" s="533"/>
      <c r="F66" s="567">
        <v>6148532</v>
      </c>
      <c r="G66" s="567">
        <v>3740</v>
      </c>
      <c r="H66" s="567">
        <v>175110.18</v>
      </c>
      <c r="I66" s="567">
        <v>3331164.89</v>
      </c>
      <c r="J66" s="567">
        <v>3156719.28</v>
      </c>
    </row>
    <row r="67" spans="1:10" ht="23.25" thickBot="1" x14ac:dyDescent="0.3">
      <c r="A67" s="524" t="s">
        <v>814</v>
      </c>
      <c r="B67" s="524" t="s">
        <v>82</v>
      </c>
      <c r="C67" s="524" t="s">
        <v>83</v>
      </c>
      <c r="D67" s="524" t="s">
        <v>832</v>
      </c>
      <c r="E67" s="524" t="s">
        <v>833</v>
      </c>
      <c r="F67" s="528"/>
      <c r="G67" s="529">
        <v>340</v>
      </c>
      <c r="H67" s="528"/>
      <c r="I67" s="528"/>
      <c r="J67" s="528"/>
    </row>
    <row r="68" spans="1:10" ht="23.25" thickBot="1" x14ac:dyDescent="0.3">
      <c r="A68" s="524" t="s">
        <v>814</v>
      </c>
      <c r="B68" s="524" t="s">
        <v>82</v>
      </c>
      <c r="C68" s="524" t="s">
        <v>83</v>
      </c>
      <c r="D68" s="524" t="s">
        <v>825</v>
      </c>
      <c r="E68" s="524" t="s">
        <v>878</v>
      </c>
      <c r="F68" s="530"/>
      <c r="G68" s="530"/>
      <c r="H68" s="530"/>
      <c r="I68" s="530"/>
      <c r="J68" s="531">
        <v>286974.48</v>
      </c>
    </row>
    <row r="69" spans="1:10" ht="23.25" thickBot="1" x14ac:dyDescent="0.3">
      <c r="A69" s="524" t="s">
        <v>814</v>
      </c>
      <c r="B69" s="524" t="s">
        <v>82</v>
      </c>
      <c r="C69" s="524" t="s">
        <v>83</v>
      </c>
      <c r="D69" s="524" t="s">
        <v>825</v>
      </c>
      <c r="E69" s="524" t="s">
        <v>812</v>
      </c>
      <c r="F69" s="529">
        <v>574372</v>
      </c>
      <c r="G69" s="528"/>
      <c r="H69" s="529">
        <v>16358.11</v>
      </c>
      <c r="I69" s="528"/>
      <c r="J69" s="528"/>
    </row>
    <row r="70" spans="1:10" ht="23.25" thickBot="1" x14ac:dyDescent="0.3">
      <c r="A70" s="524" t="s">
        <v>814</v>
      </c>
      <c r="B70" s="524" t="s">
        <v>82</v>
      </c>
      <c r="C70" s="524" t="s">
        <v>83</v>
      </c>
      <c r="D70" s="524" t="s">
        <v>825</v>
      </c>
      <c r="E70" s="597" t="s">
        <v>831</v>
      </c>
      <c r="F70" s="534">
        <v>574372</v>
      </c>
      <c r="G70" s="536"/>
      <c r="H70" s="534">
        <v>16358.11</v>
      </c>
      <c r="I70" s="536"/>
      <c r="J70" s="534">
        <v>286974.48</v>
      </c>
    </row>
    <row r="71" spans="1:10" ht="23.25" thickBot="1" x14ac:dyDescent="0.3">
      <c r="A71" s="524" t="s">
        <v>814</v>
      </c>
      <c r="B71" s="524" t="s">
        <v>82</v>
      </c>
      <c r="C71" s="524" t="s">
        <v>83</v>
      </c>
      <c r="D71" s="524" t="s">
        <v>292</v>
      </c>
      <c r="E71" s="524" t="s">
        <v>292</v>
      </c>
      <c r="F71" s="528"/>
      <c r="G71" s="528"/>
      <c r="H71" s="528"/>
      <c r="I71" s="529">
        <v>272384.43</v>
      </c>
      <c r="J71" s="528"/>
    </row>
    <row r="72" spans="1:10" ht="23.25" thickBot="1" x14ac:dyDescent="0.3">
      <c r="A72" s="524" t="s">
        <v>814</v>
      </c>
      <c r="B72" s="524" t="s">
        <v>82</v>
      </c>
      <c r="C72" s="524" t="s">
        <v>83</v>
      </c>
      <c r="D72" s="1371" t="s">
        <v>831</v>
      </c>
      <c r="E72" s="1372"/>
      <c r="F72" s="534">
        <v>574372</v>
      </c>
      <c r="G72" s="534">
        <v>340</v>
      </c>
      <c r="H72" s="534">
        <v>16358.11</v>
      </c>
      <c r="I72" s="534">
        <v>272384.43</v>
      </c>
      <c r="J72" s="534">
        <v>286974.48</v>
      </c>
    </row>
  </sheetData>
  <mergeCells count="1">
    <mergeCell ref="D72:E72"/>
  </mergeCells>
  <pageMargins left="0.75" right="0.75" top="1" bottom="1" header="0.5" footer="0.5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9" tint="0.39997558519241921"/>
    <pageSetUpPr fitToPage="1"/>
  </sheetPr>
  <dimension ref="A2:S75"/>
  <sheetViews>
    <sheetView zoomScale="70" zoomScaleNormal="70" workbookViewId="0"/>
  </sheetViews>
  <sheetFormatPr defaultRowHeight="15" x14ac:dyDescent="0.25"/>
  <cols>
    <col min="1" max="1" width="34" bestFit="1" customWidth="1"/>
    <col min="2" max="2" width="15.7109375" bestFit="1" customWidth="1"/>
    <col min="4" max="4" width="24" bestFit="1" customWidth="1"/>
    <col min="5" max="5" width="42.85546875" bestFit="1" customWidth="1"/>
    <col min="6" max="8" width="10.42578125" customWidth="1"/>
    <col min="9" max="9" width="11.140625" bestFit="1" customWidth="1"/>
    <col min="10" max="10" width="10.7109375" bestFit="1" customWidth="1"/>
    <col min="11" max="11" width="10.7109375" customWidth="1"/>
    <col min="14" max="14" width="34" bestFit="1" customWidth="1"/>
    <col min="15" max="15" width="8.28515625" bestFit="1" customWidth="1"/>
    <col min="16" max="16" width="18.28515625" bestFit="1" customWidth="1"/>
    <col min="17" max="17" width="35.28515625" bestFit="1" customWidth="1"/>
    <col min="18" max="18" width="27.7109375" bestFit="1" customWidth="1"/>
  </cols>
  <sheetData>
    <row r="2" spans="1:12" x14ac:dyDescent="0.25">
      <c r="B2">
        <v>1</v>
      </c>
      <c r="C2">
        <f>+B2+1</f>
        <v>2</v>
      </c>
      <c r="D2">
        <f t="shared" ref="D2:L2" si="0">+C2+1</f>
        <v>3</v>
      </c>
      <c r="E2">
        <f t="shared" si="0"/>
        <v>4</v>
      </c>
      <c r="F2">
        <f t="shared" si="0"/>
        <v>5</v>
      </c>
      <c r="G2">
        <f t="shared" si="0"/>
        <v>6</v>
      </c>
      <c r="H2">
        <f t="shared" si="0"/>
        <v>7</v>
      </c>
      <c r="I2">
        <f t="shared" si="0"/>
        <v>8</v>
      </c>
      <c r="J2">
        <f t="shared" si="0"/>
        <v>9</v>
      </c>
      <c r="K2">
        <f t="shared" si="0"/>
        <v>10</v>
      </c>
      <c r="L2">
        <f t="shared" si="0"/>
        <v>11</v>
      </c>
    </row>
    <row r="3" spans="1:12" ht="15.75" thickBot="1" x14ac:dyDescent="0.3">
      <c r="F3" s="1373" t="s">
        <v>268</v>
      </c>
      <c r="G3" s="1373"/>
      <c r="H3" s="1373"/>
      <c r="I3" s="1373"/>
      <c r="J3" s="1373"/>
      <c r="K3" s="1373"/>
      <c r="L3" s="1373"/>
    </row>
    <row r="4" spans="1:12" x14ac:dyDescent="0.25">
      <c r="B4" s="445" t="s">
        <v>777</v>
      </c>
    </row>
    <row r="5" spans="1:12" ht="15.75" thickBot="1" x14ac:dyDescent="0.3">
      <c r="B5" s="446" t="s">
        <v>778</v>
      </c>
      <c r="H5" s="513" t="s">
        <v>19</v>
      </c>
      <c r="I5" s="513" t="s">
        <v>19</v>
      </c>
      <c r="L5" t="s">
        <v>19</v>
      </c>
    </row>
    <row r="6" spans="1:12" ht="30" x14ac:dyDescent="0.25">
      <c r="B6" s="203" t="s">
        <v>17</v>
      </c>
      <c r="C6" s="204" t="s">
        <v>260</v>
      </c>
      <c r="D6" s="202" t="s">
        <v>261</v>
      </c>
      <c r="E6" t="s">
        <v>128</v>
      </c>
      <c r="F6" s="205" t="s">
        <v>262</v>
      </c>
      <c r="G6" s="205" t="s">
        <v>262</v>
      </c>
      <c r="H6" s="205" t="s">
        <v>263</v>
      </c>
      <c r="I6" s="205" t="s">
        <v>263</v>
      </c>
      <c r="J6" s="205" t="s">
        <v>265</v>
      </c>
      <c r="K6" s="208" t="s">
        <v>266</v>
      </c>
      <c r="L6" s="208" t="s">
        <v>267</v>
      </c>
    </row>
    <row r="7" spans="1:12" x14ac:dyDescent="0.25">
      <c r="A7" s="57" t="s">
        <v>675</v>
      </c>
      <c r="B7" t="s">
        <v>23</v>
      </c>
      <c r="C7" s="55" t="str">
        <f t="shared" ref="C7:C35" si="1">MID(B7,6,3)</f>
        <v>865</v>
      </c>
      <c r="D7" t="s">
        <v>181</v>
      </c>
      <c r="E7" t="s">
        <v>24</v>
      </c>
      <c r="F7" s="206">
        <v>275</v>
      </c>
      <c r="H7">
        <v>5.2519999999999997E-2</v>
      </c>
    </row>
    <row r="8" spans="1:12" x14ac:dyDescent="0.25">
      <c r="B8" t="s">
        <v>142</v>
      </c>
      <c r="C8" s="55" t="str">
        <f t="shared" si="1"/>
        <v>891</v>
      </c>
      <c r="D8" t="s">
        <v>185</v>
      </c>
      <c r="E8" t="s">
        <v>144</v>
      </c>
      <c r="F8" s="206"/>
      <c r="H8">
        <v>5.2519999999999997E-2</v>
      </c>
      <c r="J8" s="206">
        <v>153</v>
      </c>
    </row>
    <row r="9" spans="1:12" x14ac:dyDescent="0.25">
      <c r="A9" s="57"/>
      <c r="B9" t="s">
        <v>145</v>
      </c>
      <c r="C9" s="55" t="str">
        <f t="shared" si="1"/>
        <v>891</v>
      </c>
      <c r="D9" s="57" t="s">
        <v>186</v>
      </c>
      <c r="E9" t="s">
        <v>147</v>
      </c>
      <c r="F9" s="206"/>
    </row>
    <row r="10" spans="1:12" x14ac:dyDescent="0.25">
      <c r="A10" s="58"/>
      <c r="B10" t="s">
        <v>29</v>
      </c>
      <c r="C10" s="55" t="str">
        <f t="shared" si="1"/>
        <v>866</v>
      </c>
      <c r="D10" s="58" t="s">
        <v>191</v>
      </c>
      <c r="E10" t="s">
        <v>30</v>
      </c>
      <c r="F10" s="206">
        <v>275</v>
      </c>
      <c r="H10">
        <v>5.2519999999999997E-2</v>
      </c>
    </row>
    <row r="11" spans="1:12" x14ac:dyDescent="0.25">
      <c r="A11" s="57"/>
      <c r="B11" t="s">
        <v>164</v>
      </c>
      <c r="C11" s="55" t="str">
        <f t="shared" si="1"/>
        <v>892</v>
      </c>
      <c r="D11" s="57" t="s">
        <v>194</v>
      </c>
      <c r="E11" t="s">
        <v>166</v>
      </c>
      <c r="F11" s="206"/>
      <c r="H11">
        <v>5.2519999999999997E-2</v>
      </c>
      <c r="J11" s="206">
        <v>153</v>
      </c>
    </row>
    <row r="12" spans="1:12" x14ac:dyDescent="0.25">
      <c r="A12" s="57"/>
      <c r="B12" t="s">
        <v>167</v>
      </c>
      <c r="C12" s="55" t="str">
        <f t="shared" si="1"/>
        <v>892</v>
      </c>
      <c r="D12" s="57" t="s">
        <v>195</v>
      </c>
      <c r="E12" t="s">
        <v>169</v>
      </c>
      <c r="F12" s="206"/>
      <c r="J12" s="206">
        <v>75</v>
      </c>
    </row>
    <row r="13" spans="1:12" x14ac:dyDescent="0.25">
      <c r="A13" t="s">
        <v>180</v>
      </c>
      <c r="B13" t="s">
        <v>37</v>
      </c>
      <c r="C13" s="55" t="str">
        <f t="shared" si="1"/>
        <v>851</v>
      </c>
      <c r="D13" t="s">
        <v>180</v>
      </c>
      <c r="E13" t="s">
        <v>38</v>
      </c>
      <c r="F13" s="206">
        <v>30</v>
      </c>
      <c r="G13" s="206">
        <v>170</v>
      </c>
      <c r="H13">
        <v>0.18722</v>
      </c>
      <c r="I13">
        <f>+H13-0.05</f>
        <v>0.13722000000000001</v>
      </c>
    </row>
    <row r="14" spans="1:12" x14ac:dyDescent="0.25">
      <c r="A14" s="58"/>
      <c r="B14" t="s">
        <v>34</v>
      </c>
      <c r="C14" s="55" t="str">
        <f t="shared" si="1"/>
        <v>860</v>
      </c>
      <c r="D14" s="58" t="s">
        <v>180</v>
      </c>
      <c r="E14" t="s">
        <v>35</v>
      </c>
      <c r="F14" s="206">
        <v>30</v>
      </c>
      <c r="G14" s="206">
        <v>170</v>
      </c>
      <c r="H14">
        <v>0.18722</v>
      </c>
      <c r="I14">
        <f>+H14-0.05</f>
        <v>0.13722000000000001</v>
      </c>
    </row>
    <row r="15" spans="1:12" x14ac:dyDescent="0.25">
      <c r="A15" s="58"/>
      <c r="B15" t="s">
        <v>41</v>
      </c>
      <c r="C15" s="55" t="str">
        <f t="shared" si="1"/>
        <v>861</v>
      </c>
      <c r="D15" s="58" t="s">
        <v>180</v>
      </c>
      <c r="E15" t="s">
        <v>42</v>
      </c>
      <c r="F15" s="206">
        <v>30</v>
      </c>
      <c r="G15" s="206">
        <v>170</v>
      </c>
      <c r="H15">
        <v>0.18722</v>
      </c>
      <c r="I15">
        <f>+H15-0.05</f>
        <v>0.13722000000000001</v>
      </c>
    </row>
    <row r="16" spans="1:12" x14ac:dyDescent="0.25">
      <c r="A16" s="57" t="s">
        <v>183</v>
      </c>
      <c r="B16" t="s">
        <v>63</v>
      </c>
      <c r="C16" s="55" t="str">
        <f t="shared" si="1"/>
        <v>881</v>
      </c>
      <c r="D16" s="57" t="s">
        <v>183</v>
      </c>
      <c r="E16" t="s">
        <v>64</v>
      </c>
      <c r="F16" s="206">
        <v>153</v>
      </c>
      <c r="G16" s="206">
        <v>153</v>
      </c>
      <c r="H16">
        <v>0.18722</v>
      </c>
      <c r="I16">
        <f>+H16-0.05</f>
        <v>0.13722000000000001</v>
      </c>
      <c r="J16" s="206"/>
    </row>
    <row r="17" spans="1:12" x14ac:dyDescent="0.25">
      <c r="A17" s="57" t="s">
        <v>184</v>
      </c>
      <c r="B17" t="s">
        <v>139</v>
      </c>
      <c r="C17" s="55" t="str">
        <f t="shared" si="1"/>
        <v>881</v>
      </c>
      <c r="D17" s="57" t="s">
        <v>184</v>
      </c>
      <c r="E17" t="s">
        <v>141</v>
      </c>
      <c r="J17" s="206">
        <v>75</v>
      </c>
    </row>
    <row r="18" spans="1:12" x14ac:dyDescent="0.25">
      <c r="A18" t="s">
        <v>182</v>
      </c>
      <c r="B18" t="s">
        <v>135</v>
      </c>
      <c r="C18" s="55" t="str">
        <f t="shared" si="1"/>
        <v>875</v>
      </c>
      <c r="D18" t="s">
        <v>182</v>
      </c>
      <c r="E18" t="s">
        <v>136</v>
      </c>
      <c r="F18" s="206">
        <v>30</v>
      </c>
      <c r="G18" s="206">
        <v>170</v>
      </c>
      <c r="H18" s="207">
        <v>2.7439999999999999E-2</v>
      </c>
      <c r="L18">
        <v>1.0109999999999999</v>
      </c>
    </row>
    <row r="19" spans="1:12" x14ac:dyDescent="0.25">
      <c r="A19" s="57" t="s">
        <v>187</v>
      </c>
      <c r="B19" t="s">
        <v>97</v>
      </c>
      <c r="C19" s="55" t="str">
        <f t="shared" si="1"/>
        <v>895</v>
      </c>
      <c r="D19" s="57" t="s">
        <v>187</v>
      </c>
      <c r="E19" t="s">
        <v>98</v>
      </c>
      <c r="F19" s="206"/>
      <c r="H19" s="207">
        <v>4.2999999999999997E-2</v>
      </c>
      <c r="J19" s="206"/>
      <c r="K19">
        <v>1.8329999999999999E-2</v>
      </c>
    </row>
    <row r="20" spans="1:12" x14ac:dyDescent="0.25">
      <c r="A20" s="57" t="s">
        <v>188</v>
      </c>
      <c r="B20" t="s">
        <v>149</v>
      </c>
      <c r="C20" s="55" t="str">
        <f t="shared" si="1"/>
        <v>895</v>
      </c>
      <c r="D20" s="57" t="s">
        <v>188</v>
      </c>
      <c r="E20" t="s">
        <v>151</v>
      </c>
      <c r="H20" s="207"/>
      <c r="J20" s="206"/>
    </row>
    <row r="21" spans="1:12" x14ac:dyDescent="0.25">
      <c r="A21" s="57" t="s">
        <v>196</v>
      </c>
      <c r="B21" t="s">
        <v>99</v>
      </c>
      <c r="C21" s="55" t="str">
        <f t="shared" si="1"/>
        <v>896</v>
      </c>
      <c r="D21" s="57" t="s">
        <v>196</v>
      </c>
      <c r="E21" t="s">
        <v>100</v>
      </c>
      <c r="H21" s="207">
        <v>4.2999999999999997E-2</v>
      </c>
      <c r="J21" s="206"/>
      <c r="K21">
        <v>1.8329999999999999E-2</v>
      </c>
    </row>
    <row r="22" spans="1:12" x14ac:dyDescent="0.25">
      <c r="A22" s="57" t="s">
        <v>199</v>
      </c>
      <c r="B22" t="s">
        <v>102</v>
      </c>
      <c r="C22" s="55" t="str">
        <f t="shared" si="1"/>
        <v>896</v>
      </c>
      <c r="D22" s="57" t="s">
        <v>199</v>
      </c>
      <c r="E22" t="s">
        <v>103</v>
      </c>
      <c r="J22" s="206"/>
    </row>
    <row r="23" spans="1:12" x14ac:dyDescent="0.25">
      <c r="A23" s="58" t="s">
        <v>190</v>
      </c>
      <c r="B23" t="s">
        <v>45</v>
      </c>
      <c r="C23" s="55" t="str">
        <f t="shared" si="1"/>
        <v>855</v>
      </c>
      <c r="D23" s="58" t="s">
        <v>190</v>
      </c>
      <c r="E23" t="s">
        <v>46</v>
      </c>
      <c r="F23" s="206">
        <v>30</v>
      </c>
      <c r="G23" s="206">
        <v>170</v>
      </c>
      <c r="H23">
        <v>0.19022</v>
      </c>
      <c r="I23">
        <f>+H23-0.05</f>
        <v>0.14022000000000001</v>
      </c>
    </row>
    <row r="24" spans="1:12" x14ac:dyDescent="0.25">
      <c r="A24" s="57" t="s">
        <v>192</v>
      </c>
      <c r="B24" t="s">
        <v>66</v>
      </c>
      <c r="C24" s="55" t="str">
        <f t="shared" si="1"/>
        <v>882</v>
      </c>
      <c r="D24" s="57" t="s">
        <v>192</v>
      </c>
      <c r="E24" t="s">
        <v>67</v>
      </c>
      <c r="F24" s="206">
        <v>153</v>
      </c>
      <c r="G24" s="206">
        <v>153</v>
      </c>
      <c r="H24">
        <v>0.19022</v>
      </c>
      <c r="I24">
        <f>+H24-0.05</f>
        <v>0.14022000000000001</v>
      </c>
      <c r="J24" s="206"/>
    </row>
    <row r="25" spans="1:12" x14ac:dyDescent="0.25">
      <c r="A25" s="57" t="s">
        <v>193</v>
      </c>
      <c r="B25" t="s">
        <v>161</v>
      </c>
      <c r="C25" s="55" t="str">
        <f t="shared" si="1"/>
        <v>882</v>
      </c>
      <c r="D25" s="57" t="s">
        <v>193</v>
      </c>
      <c r="E25" t="s">
        <v>163</v>
      </c>
      <c r="J25" s="206">
        <v>75</v>
      </c>
    </row>
    <row r="26" spans="1:12" x14ac:dyDescent="0.25">
      <c r="A26" s="58" t="s">
        <v>205</v>
      </c>
      <c r="B26" t="s">
        <v>52</v>
      </c>
      <c r="C26" s="55" t="str">
        <f t="shared" si="1"/>
        <v>811</v>
      </c>
      <c r="D26" s="58" t="s">
        <v>205</v>
      </c>
      <c r="E26" t="s">
        <v>53</v>
      </c>
      <c r="F26" s="206">
        <v>12.5</v>
      </c>
      <c r="G26" s="206"/>
      <c r="H26">
        <v>0.22395999999999999</v>
      </c>
    </row>
    <row r="27" spans="1:12" x14ac:dyDescent="0.25">
      <c r="A27" s="58"/>
      <c r="B27" t="s">
        <v>55</v>
      </c>
      <c r="C27" s="55" t="str">
        <f t="shared" si="1"/>
        <v>811</v>
      </c>
      <c r="D27" s="58" t="s">
        <v>205</v>
      </c>
      <c r="E27" t="s">
        <v>56</v>
      </c>
      <c r="F27" s="206">
        <v>12.5</v>
      </c>
      <c r="G27" s="206"/>
      <c r="H27">
        <v>0.22395999999999999</v>
      </c>
    </row>
    <row r="28" spans="1:12" x14ac:dyDescent="0.25">
      <c r="A28" s="58"/>
      <c r="B28" t="s">
        <v>59</v>
      </c>
      <c r="C28" s="55" t="str">
        <f t="shared" si="1"/>
        <v>840</v>
      </c>
      <c r="D28" s="58" t="s">
        <v>205</v>
      </c>
      <c r="E28" t="s">
        <v>60</v>
      </c>
      <c r="F28" s="206">
        <v>12.5</v>
      </c>
      <c r="G28" s="206"/>
      <c r="H28">
        <v>0.22395999999999999</v>
      </c>
    </row>
    <row r="29" spans="1:12" x14ac:dyDescent="0.25">
      <c r="A29" s="58"/>
      <c r="B29" t="s">
        <v>49</v>
      </c>
      <c r="C29" s="55" t="str">
        <f t="shared" si="1"/>
        <v>830</v>
      </c>
      <c r="D29" s="58" t="s">
        <v>205</v>
      </c>
      <c r="E29" t="s">
        <v>50</v>
      </c>
      <c r="F29" s="206">
        <v>12.5</v>
      </c>
      <c r="G29" s="206"/>
      <c r="H29">
        <v>0.22395999999999999</v>
      </c>
    </row>
    <row r="30" spans="1:12" x14ac:dyDescent="0.25">
      <c r="A30" s="57" t="s">
        <v>200</v>
      </c>
      <c r="B30" t="s">
        <v>109</v>
      </c>
      <c r="C30" s="55" t="str">
        <f t="shared" si="1"/>
        <v>992</v>
      </c>
      <c r="D30" s="57" t="s">
        <v>200</v>
      </c>
      <c r="E30" t="s">
        <v>110</v>
      </c>
      <c r="F30" s="206">
        <v>275</v>
      </c>
      <c r="H30" s="502">
        <v>1.0489999999999999E-2</v>
      </c>
    </row>
    <row r="31" spans="1:12" x14ac:dyDescent="0.25">
      <c r="A31" s="57" t="s">
        <v>197</v>
      </c>
      <c r="B31" t="s">
        <v>94</v>
      </c>
      <c r="C31" s="55" t="str">
        <f t="shared" si="1"/>
        <v>896</v>
      </c>
      <c r="D31" s="57" t="s">
        <v>197</v>
      </c>
      <c r="E31" t="s">
        <v>95</v>
      </c>
    </row>
    <row r="32" spans="1:12" x14ac:dyDescent="0.25">
      <c r="A32" s="57" t="s">
        <v>198</v>
      </c>
      <c r="B32" t="s">
        <v>171</v>
      </c>
      <c r="C32" s="55" t="str">
        <f t="shared" si="1"/>
        <v>896</v>
      </c>
      <c r="D32" s="57" t="s">
        <v>198</v>
      </c>
      <c r="E32" t="s">
        <v>172</v>
      </c>
    </row>
    <row r="33" spans="1:19" x14ac:dyDescent="0.25">
      <c r="A33" s="57" t="s">
        <v>189</v>
      </c>
      <c r="B33" t="s">
        <v>106</v>
      </c>
      <c r="C33" s="55" t="str">
        <f t="shared" si="1"/>
        <v>991</v>
      </c>
      <c r="D33" s="57" t="s">
        <v>189</v>
      </c>
      <c r="E33" t="s">
        <v>107</v>
      </c>
      <c r="F33" s="206">
        <v>781</v>
      </c>
      <c r="H33">
        <v>4.8700000000000002E-3</v>
      </c>
    </row>
    <row r="34" spans="1:19" x14ac:dyDescent="0.25">
      <c r="A34" s="58" t="s">
        <v>203</v>
      </c>
      <c r="B34" t="s">
        <v>82</v>
      </c>
      <c r="C34" s="55" t="str">
        <f t="shared" si="1"/>
        <v>996</v>
      </c>
      <c r="D34" s="58" t="s">
        <v>203</v>
      </c>
      <c r="E34" t="s">
        <v>83</v>
      </c>
      <c r="F34" s="206">
        <v>170</v>
      </c>
      <c r="H34">
        <v>2.8479999999999998E-2</v>
      </c>
      <c r="L34">
        <v>0.96819999999999995</v>
      </c>
    </row>
    <row r="35" spans="1:19" x14ac:dyDescent="0.25">
      <c r="A35" s="58" t="s">
        <v>204</v>
      </c>
      <c r="B35" t="s">
        <v>113</v>
      </c>
      <c r="C35" s="55" t="str">
        <f t="shared" si="1"/>
        <v>997</v>
      </c>
      <c r="D35" s="58" t="s">
        <v>204</v>
      </c>
      <c r="E35" t="s">
        <v>114</v>
      </c>
      <c r="F35" s="206">
        <v>781</v>
      </c>
      <c r="H35">
        <v>4.8700000000000002E-3</v>
      </c>
      <c r="K35">
        <v>1.8329999999999999E-2</v>
      </c>
      <c r="L35">
        <v>2.4300000000000002</v>
      </c>
    </row>
    <row r="38" spans="1:19" x14ac:dyDescent="0.25">
      <c r="A38" s="500"/>
      <c r="B38" s="500"/>
      <c r="C38" s="500"/>
      <c r="D38" s="500"/>
      <c r="E38" s="500"/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  <c r="Q38" s="500"/>
    </row>
    <row r="40" spans="1:19" x14ac:dyDescent="0.25">
      <c r="B40" s="241">
        <v>1</v>
      </c>
      <c r="C40" s="241">
        <f t="shared" ref="C40:N40" si="2">+B40+1</f>
        <v>2</v>
      </c>
      <c r="D40" s="241">
        <f t="shared" si="2"/>
        <v>3</v>
      </c>
      <c r="E40" s="241">
        <f t="shared" si="2"/>
        <v>4</v>
      </c>
      <c r="F40" s="241">
        <f t="shared" si="2"/>
        <v>5</v>
      </c>
      <c r="G40" s="241">
        <f t="shared" si="2"/>
        <v>6</v>
      </c>
      <c r="H40" s="241">
        <f t="shared" si="2"/>
        <v>7</v>
      </c>
      <c r="I40" s="241">
        <f t="shared" si="2"/>
        <v>8</v>
      </c>
      <c r="J40" s="241">
        <f t="shared" si="2"/>
        <v>9</v>
      </c>
      <c r="K40" s="241">
        <f t="shared" si="2"/>
        <v>10</v>
      </c>
      <c r="L40" s="241">
        <f t="shared" si="2"/>
        <v>11</v>
      </c>
      <c r="M40" s="241">
        <f t="shared" si="2"/>
        <v>12</v>
      </c>
      <c r="N40" s="241">
        <f t="shared" si="2"/>
        <v>13</v>
      </c>
    </row>
    <row r="41" spans="1:19" x14ac:dyDescent="0.25">
      <c r="B41" s="240"/>
      <c r="C41" s="240"/>
      <c r="D41" s="240"/>
      <c r="E41" s="240"/>
      <c r="F41" s="1373" t="s">
        <v>268</v>
      </c>
      <c r="G41" s="1373"/>
      <c r="H41" s="1373"/>
      <c r="I41" s="1373"/>
      <c r="J41" s="1373"/>
      <c r="K41" s="1373"/>
      <c r="L41" s="1373"/>
      <c r="M41" s="240"/>
    </row>
    <row r="42" spans="1:19" x14ac:dyDescent="0.25">
      <c r="A42" s="240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</row>
    <row r="43" spans="1:19" x14ac:dyDescent="0.25">
      <c r="A43" s="240"/>
      <c r="B43" s="240"/>
      <c r="C43" s="240"/>
      <c r="D43" s="240"/>
      <c r="E43" s="240"/>
      <c r="F43" s="240"/>
      <c r="G43" s="240"/>
      <c r="H43" s="512" t="s">
        <v>243</v>
      </c>
      <c r="I43" s="512" t="s">
        <v>243</v>
      </c>
      <c r="J43" s="240"/>
      <c r="K43" s="240"/>
      <c r="L43" s="512" t="s">
        <v>243</v>
      </c>
      <c r="M43" s="240"/>
    </row>
    <row r="44" spans="1:19" ht="32.25" customHeight="1" x14ac:dyDescent="0.35">
      <c r="A44" s="510" t="s">
        <v>802</v>
      </c>
      <c r="B44" s="240"/>
      <c r="C44" s="499"/>
      <c r="D44" s="240"/>
      <c r="E44" s="240"/>
      <c r="F44" s="538" t="s">
        <v>839</v>
      </c>
      <c r="G44" s="539"/>
      <c r="H44" s="539" t="s">
        <v>263</v>
      </c>
      <c r="I44" s="539" t="s">
        <v>263</v>
      </c>
      <c r="J44" s="538" t="s">
        <v>838</v>
      </c>
      <c r="K44" s="538" t="s">
        <v>266</v>
      </c>
      <c r="L44" s="538" t="s">
        <v>267</v>
      </c>
      <c r="M44" s="240"/>
    </row>
    <row r="45" spans="1:19" x14ac:dyDescent="0.25">
      <c r="A45" s="209" t="s">
        <v>809</v>
      </c>
      <c r="B45" s="511" t="s">
        <v>17</v>
      </c>
      <c r="C45" s="240"/>
      <c r="D45" s="515" t="s">
        <v>261</v>
      </c>
      <c r="E45" s="209" t="s">
        <v>128</v>
      </c>
      <c r="F45" s="209"/>
      <c r="G45" s="209"/>
      <c r="H45" s="209"/>
      <c r="I45" s="209"/>
      <c r="J45" s="209"/>
      <c r="K45" s="209"/>
      <c r="L45" s="209"/>
      <c r="M45" s="240"/>
      <c r="N45" s="209" t="s">
        <v>809</v>
      </c>
    </row>
    <row r="46" spans="1:19" x14ac:dyDescent="0.25">
      <c r="A46" s="240" t="s">
        <v>68</v>
      </c>
      <c r="B46" t="s">
        <v>66</v>
      </c>
      <c r="C46" s="240"/>
      <c r="D46" s="57" t="s">
        <v>192</v>
      </c>
      <c r="E46" t="s">
        <v>67</v>
      </c>
      <c r="F46" s="206">
        <v>153</v>
      </c>
      <c r="G46" s="240"/>
      <c r="H46">
        <v>1.9021999999999999</v>
      </c>
      <c r="I46">
        <v>1.4021999999999999</v>
      </c>
      <c r="J46" s="206">
        <v>170</v>
      </c>
      <c r="K46" s="240"/>
      <c r="L46" s="240"/>
      <c r="M46" s="240"/>
      <c r="N46" s="240" t="s">
        <v>68</v>
      </c>
      <c r="P46" s="450"/>
      <c r="Q46" s="450"/>
      <c r="R46" s="450"/>
      <c r="S46" s="451"/>
    </row>
    <row r="47" spans="1:19" x14ac:dyDescent="0.25">
      <c r="A47" s="240" t="s">
        <v>65</v>
      </c>
      <c r="B47" t="s">
        <v>63</v>
      </c>
      <c r="C47" s="240"/>
      <c r="D47" s="57" t="s">
        <v>183</v>
      </c>
      <c r="E47" t="s">
        <v>64</v>
      </c>
      <c r="F47" s="206">
        <v>153</v>
      </c>
      <c r="G47" s="240"/>
      <c r="H47">
        <v>1.8722000000000001</v>
      </c>
      <c r="I47">
        <v>1.3722000000000001</v>
      </c>
      <c r="J47" s="206">
        <v>170</v>
      </c>
      <c r="K47" s="240"/>
      <c r="L47" s="240"/>
      <c r="M47" s="240"/>
      <c r="N47" s="240" t="s">
        <v>65</v>
      </c>
      <c r="P47" s="450"/>
      <c r="Q47" s="450"/>
      <c r="R47" s="450"/>
      <c r="S47" s="451"/>
    </row>
    <row r="48" spans="1:19" x14ac:dyDescent="0.25">
      <c r="A48" s="240" t="s">
        <v>789</v>
      </c>
      <c r="B48" t="s">
        <v>97</v>
      </c>
      <c r="C48" s="240"/>
      <c r="D48" s="57" t="s">
        <v>187</v>
      </c>
      <c r="E48" t="s">
        <v>98</v>
      </c>
      <c r="F48" s="206">
        <v>230</v>
      </c>
      <c r="G48" s="240"/>
      <c r="H48" s="501">
        <v>0.43</v>
      </c>
      <c r="I48" s="240"/>
      <c r="J48" s="240"/>
      <c r="K48" s="501">
        <v>0.18329999999999999</v>
      </c>
      <c r="L48" s="240"/>
      <c r="M48" s="240"/>
      <c r="N48" s="240" t="s">
        <v>789</v>
      </c>
      <c r="P48" s="450"/>
      <c r="Q48" s="450"/>
      <c r="R48" s="450"/>
      <c r="S48" s="451"/>
    </row>
    <row r="49" spans="1:19" x14ac:dyDescent="0.25">
      <c r="A49" s="240" t="s">
        <v>790</v>
      </c>
      <c r="B49" t="s">
        <v>99</v>
      </c>
      <c r="C49" s="240"/>
      <c r="D49" s="57" t="s">
        <v>196</v>
      </c>
      <c r="E49" t="s">
        <v>100</v>
      </c>
      <c r="F49" s="206">
        <v>230</v>
      </c>
      <c r="G49" s="240"/>
      <c r="H49" s="501">
        <v>0.43</v>
      </c>
      <c r="I49" s="240"/>
      <c r="J49" s="240"/>
      <c r="K49" s="501">
        <v>0.18329999999999999</v>
      </c>
      <c r="L49" s="240"/>
      <c r="M49" s="240"/>
      <c r="N49" s="240" t="s">
        <v>790</v>
      </c>
      <c r="P49" s="450"/>
      <c r="Q49" s="450"/>
      <c r="R49" s="450"/>
      <c r="S49" s="451"/>
    </row>
    <row r="50" spans="1:19" x14ac:dyDescent="0.25">
      <c r="A50" s="240" t="s">
        <v>791</v>
      </c>
      <c r="B50" t="s">
        <v>102</v>
      </c>
      <c r="C50" s="240"/>
      <c r="D50" s="57" t="s">
        <v>199</v>
      </c>
      <c r="E50" t="s">
        <v>103</v>
      </c>
      <c r="F50" s="206">
        <v>75</v>
      </c>
      <c r="G50" s="240"/>
      <c r="H50" s="501"/>
      <c r="I50" s="240"/>
      <c r="J50" s="206">
        <v>75</v>
      </c>
      <c r="K50" s="501">
        <v>0.18329999999999999</v>
      </c>
      <c r="L50" s="240"/>
      <c r="M50" s="240"/>
      <c r="N50" s="240" t="s">
        <v>791</v>
      </c>
      <c r="P50" s="450"/>
      <c r="Q50" s="450"/>
      <c r="R50" s="450"/>
      <c r="S50" s="451"/>
    </row>
    <row r="51" spans="1:19" x14ac:dyDescent="0.25">
      <c r="A51" s="240" t="s">
        <v>792</v>
      </c>
      <c r="B51" t="s">
        <v>99</v>
      </c>
      <c r="C51" s="240"/>
      <c r="D51" s="57" t="s">
        <v>196</v>
      </c>
      <c r="E51" t="s">
        <v>100</v>
      </c>
      <c r="F51" s="206">
        <v>230</v>
      </c>
      <c r="G51" s="240"/>
      <c r="H51" s="501">
        <v>0.43</v>
      </c>
      <c r="I51" s="240"/>
      <c r="J51" s="240"/>
      <c r="K51" s="501">
        <v>0.18329999999999999</v>
      </c>
      <c r="L51" s="240"/>
      <c r="M51" s="240"/>
      <c r="N51" s="240" t="s">
        <v>792</v>
      </c>
      <c r="P51" s="450"/>
      <c r="Q51" s="450"/>
      <c r="R51" s="450"/>
      <c r="S51" s="451"/>
    </row>
    <row r="52" spans="1:19" x14ac:dyDescent="0.25">
      <c r="A52" s="240" t="s">
        <v>793</v>
      </c>
      <c r="B52" t="s">
        <v>97</v>
      </c>
      <c r="C52" s="240"/>
      <c r="D52" s="57" t="s">
        <v>187</v>
      </c>
      <c r="E52" t="s">
        <v>98</v>
      </c>
      <c r="F52" s="206">
        <v>230</v>
      </c>
      <c r="G52" s="240"/>
      <c r="H52" s="501">
        <v>0.43</v>
      </c>
      <c r="I52" s="240"/>
      <c r="J52" s="240"/>
      <c r="K52" s="501">
        <v>0.18329999999999999</v>
      </c>
      <c r="L52" s="240"/>
      <c r="M52" s="240"/>
      <c r="N52" s="240" t="s">
        <v>793</v>
      </c>
      <c r="P52" s="450"/>
      <c r="Q52" s="450"/>
      <c r="R52" s="450"/>
      <c r="S52" s="451"/>
    </row>
    <row r="53" spans="1:19" x14ac:dyDescent="0.25">
      <c r="A53" s="240" t="s">
        <v>794</v>
      </c>
      <c r="B53" t="s">
        <v>109</v>
      </c>
      <c r="C53" s="240"/>
      <c r="D53" s="57" t="s">
        <v>803</v>
      </c>
      <c r="E53" t="s">
        <v>110</v>
      </c>
      <c r="F53" s="206">
        <v>230</v>
      </c>
      <c r="G53" s="240"/>
      <c r="H53" s="502">
        <v>0.10489999999999999</v>
      </c>
      <c r="I53" s="240"/>
      <c r="J53" s="206">
        <v>275</v>
      </c>
      <c r="K53" s="501">
        <v>0.18329999999999999</v>
      </c>
      <c r="L53" s="240">
        <v>2.75</v>
      </c>
      <c r="M53" s="240"/>
      <c r="N53" s="240" t="s">
        <v>794</v>
      </c>
      <c r="P53" s="450"/>
      <c r="Q53" s="450"/>
      <c r="R53" s="450"/>
      <c r="S53" s="451"/>
    </row>
    <row r="54" spans="1:19" x14ac:dyDescent="0.25">
      <c r="A54" s="240" t="s">
        <v>795</v>
      </c>
      <c r="B54" t="s">
        <v>106</v>
      </c>
      <c r="C54" s="240"/>
      <c r="D54" s="58" t="s">
        <v>72</v>
      </c>
      <c r="E54" t="s">
        <v>107</v>
      </c>
      <c r="F54" s="206">
        <v>230</v>
      </c>
      <c r="G54" s="240"/>
      <c r="H54" s="502">
        <v>4.87E-2</v>
      </c>
      <c r="I54" s="240"/>
      <c r="J54" s="206">
        <v>781</v>
      </c>
      <c r="K54" s="501">
        <v>0.18329999999999999</v>
      </c>
      <c r="L54" s="240">
        <v>2.4300000000000002</v>
      </c>
      <c r="M54" s="240"/>
      <c r="N54" s="240" t="s">
        <v>795</v>
      </c>
      <c r="P54" s="450"/>
      <c r="Q54" s="450"/>
      <c r="R54" s="450"/>
      <c r="S54" s="451"/>
    </row>
    <row r="55" spans="1:19" x14ac:dyDescent="0.25">
      <c r="A55" s="240" t="s">
        <v>796</v>
      </c>
      <c r="B55" t="s">
        <v>113</v>
      </c>
      <c r="C55" s="240"/>
      <c r="D55" s="58" t="s">
        <v>115</v>
      </c>
      <c r="E55" t="s">
        <v>114</v>
      </c>
      <c r="F55" s="206">
        <v>0</v>
      </c>
      <c r="G55" s="240"/>
      <c r="H55" s="502">
        <v>4.87E-2</v>
      </c>
      <c r="I55" s="240"/>
      <c r="J55" s="206">
        <v>781</v>
      </c>
      <c r="K55" s="501">
        <v>0.18329999999999999</v>
      </c>
      <c r="L55" s="240">
        <v>2.4300000000000002</v>
      </c>
      <c r="M55" s="240"/>
      <c r="N55" s="240" t="s">
        <v>796</v>
      </c>
      <c r="P55" s="450"/>
      <c r="Q55" s="450"/>
      <c r="R55" s="450"/>
      <c r="S55" s="451"/>
    </row>
    <row r="56" spans="1:19" x14ac:dyDescent="0.25">
      <c r="D56" s="452"/>
      <c r="E56" s="240"/>
      <c r="P56" s="450"/>
      <c r="Q56" s="450"/>
      <c r="R56" s="450"/>
      <c r="S56" s="451"/>
    </row>
    <row r="57" spans="1:19" x14ac:dyDescent="0.25">
      <c r="P57" s="450"/>
      <c r="Q57" s="450"/>
      <c r="R57" s="450"/>
      <c r="S57" s="451"/>
    </row>
    <row r="58" spans="1:19" x14ac:dyDescent="0.25">
      <c r="D58" s="450"/>
      <c r="P58" s="450"/>
      <c r="Q58" s="450"/>
      <c r="R58" s="450"/>
      <c r="S58" s="451"/>
    </row>
    <row r="59" spans="1:19" x14ac:dyDescent="0.25">
      <c r="D59" s="450"/>
      <c r="P59" s="450"/>
      <c r="Q59" s="450"/>
      <c r="R59" s="450"/>
      <c r="S59" s="451"/>
    </row>
    <row r="60" spans="1:19" x14ac:dyDescent="0.25">
      <c r="D60" s="450"/>
      <c r="P60" s="450"/>
      <c r="Q60" s="450"/>
      <c r="R60" s="450"/>
      <c r="S60" s="451"/>
    </row>
    <row r="61" spans="1:19" x14ac:dyDescent="0.25">
      <c r="D61" s="450"/>
      <c r="P61" s="450"/>
      <c r="Q61" s="450"/>
      <c r="R61" s="450"/>
      <c r="S61" s="451"/>
    </row>
    <row r="62" spans="1:19" x14ac:dyDescent="0.25">
      <c r="D62" s="450"/>
      <c r="P62" s="450"/>
      <c r="Q62" s="450"/>
      <c r="R62" s="450"/>
      <c r="S62" s="451"/>
    </row>
    <row r="63" spans="1:19" x14ac:dyDescent="0.25">
      <c r="D63" s="450"/>
      <c r="P63" s="450"/>
      <c r="Q63" s="450"/>
      <c r="R63" s="450"/>
      <c r="S63" s="451"/>
    </row>
    <row r="64" spans="1:19" x14ac:dyDescent="0.25">
      <c r="D64" s="450"/>
      <c r="P64" s="450"/>
      <c r="Q64" s="450"/>
      <c r="R64" s="450"/>
      <c r="S64" s="451"/>
    </row>
    <row r="65" spans="1:19" x14ac:dyDescent="0.25">
      <c r="D65" s="450"/>
      <c r="P65" s="450"/>
      <c r="Q65" s="450"/>
      <c r="R65" s="450"/>
      <c r="S65" s="451"/>
    </row>
    <row r="66" spans="1:19" x14ac:dyDescent="0.25">
      <c r="A66" s="449"/>
      <c r="D66" s="450"/>
      <c r="P66" s="450"/>
      <c r="Q66" s="450"/>
      <c r="R66" s="450"/>
      <c r="S66" s="451"/>
    </row>
    <row r="67" spans="1:19" x14ac:dyDescent="0.25">
      <c r="A67" s="449"/>
      <c r="D67" s="450"/>
      <c r="P67" s="450"/>
      <c r="Q67" s="450"/>
      <c r="R67" s="450"/>
      <c r="S67" s="451"/>
    </row>
    <row r="68" spans="1:19" x14ac:dyDescent="0.25">
      <c r="A68" s="449"/>
      <c r="D68" s="450"/>
      <c r="P68" s="450"/>
      <c r="Q68" s="450"/>
      <c r="R68" s="450"/>
      <c r="S68" s="451"/>
    </row>
    <row r="69" spans="1:19" x14ac:dyDescent="0.25">
      <c r="A69" s="449"/>
      <c r="D69" s="450"/>
      <c r="P69" s="452"/>
      <c r="Q69" s="452"/>
      <c r="R69" s="452"/>
    </row>
    <row r="70" spans="1:19" x14ac:dyDescent="0.25">
      <c r="A70" s="449"/>
      <c r="D70" s="450"/>
      <c r="P70" s="452"/>
      <c r="Q70" s="452"/>
      <c r="R70" s="452"/>
    </row>
    <row r="71" spans="1:19" x14ac:dyDescent="0.25">
      <c r="A71" s="449"/>
      <c r="D71" s="450"/>
      <c r="P71" s="452"/>
      <c r="Q71" s="452"/>
    </row>
    <row r="72" spans="1:19" x14ac:dyDescent="0.25">
      <c r="A72" s="449"/>
      <c r="D72" s="450"/>
      <c r="P72" s="452"/>
      <c r="Q72" s="452"/>
    </row>
    <row r="73" spans="1:19" x14ac:dyDescent="0.25">
      <c r="D73" s="450"/>
    </row>
    <row r="74" spans="1:19" x14ac:dyDescent="0.25">
      <c r="D74" s="450"/>
    </row>
    <row r="75" spans="1:19" x14ac:dyDescent="0.25">
      <c r="D75" s="450"/>
    </row>
  </sheetData>
  <autoFilter ref="B6:E6"/>
  <sortState ref="O16:R23">
    <sortCondition ref="O16:O23"/>
    <sortCondition ref="P16:P23"/>
  </sortState>
  <mergeCells count="2">
    <mergeCell ref="F3:L3"/>
    <mergeCell ref="F41:L41"/>
  </mergeCells>
  <printOptions gridLines="1"/>
  <pageMargins left="0.7" right="0.7" top="0.75" bottom="0.75" header="0.3" footer="0.3"/>
  <pageSetup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9" tint="0.39997558519241921"/>
  </sheetPr>
  <dimension ref="A1:J66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I20" sqref="I20"/>
    </sheetView>
  </sheetViews>
  <sheetFormatPr defaultRowHeight="15" x14ac:dyDescent="0.25"/>
  <cols>
    <col min="1" max="1" width="14.5703125" customWidth="1"/>
    <col min="2" max="2" width="11.140625" customWidth="1"/>
    <col min="3" max="3" width="22.42578125" customWidth="1"/>
    <col min="4" max="4" width="7.42578125" customWidth="1"/>
    <col min="5" max="5" width="9.140625" customWidth="1"/>
    <col min="6" max="6" width="40.5703125" bestFit="1" customWidth="1"/>
    <col min="7" max="7" width="11.28515625" customWidth="1"/>
    <col min="9" max="9" width="13.85546875" bestFit="1" customWidth="1"/>
  </cols>
  <sheetData>
    <row r="1" spans="1:10" ht="30" x14ac:dyDescent="0.25">
      <c r="A1" t="s">
        <v>17</v>
      </c>
      <c r="B1" s="56" t="s">
        <v>179</v>
      </c>
      <c r="C1" s="55" t="s">
        <v>18</v>
      </c>
      <c r="D1" t="s">
        <v>126</v>
      </c>
      <c r="E1" t="s">
        <v>127</v>
      </c>
      <c r="F1" t="s">
        <v>128</v>
      </c>
      <c r="G1" t="s">
        <v>129</v>
      </c>
    </row>
    <row r="2" spans="1:10" x14ac:dyDescent="0.25">
      <c r="A2" t="s">
        <v>37</v>
      </c>
      <c r="B2" s="55" t="str">
        <f t="shared" ref="B2:B33" si="0">MID(A2,6,3)</f>
        <v>851</v>
      </c>
      <c r="C2" t="s">
        <v>180</v>
      </c>
      <c r="D2">
        <v>2</v>
      </c>
      <c r="E2" t="s">
        <v>130</v>
      </c>
      <c r="F2" t="s">
        <v>38</v>
      </c>
      <c r="G2" t="s">
        <v>132</v>
      </c>
      <c r="J2" s="55"/>
    </row>
    <row r="3" spans="1:10" x14ac:dyDescent="0.25">
      <c r="A3" t="s">
        <v>23</v>
      </c>
      <c r="B3" s="55" t="str">
        <f t="shared" si="0"/>
        <v>865</v>
      </c>
      <c r="C3" t="s">
        <v>181</v>
      </c>
      <c r="D3">
        <v>2</v>
      </c>
      <c r="E3" t="s">
        <v>130</v>
      </c>
      <c r="F3" t="s">
        <v>24</v>
      </c>
      <c r="G3" t="s">
        <v>132</v>
      </c>
      <c r="J3" s="55"/>
    </row>
    <row r="4" spans="1:10" x14ac:dyDescent="0.25">
      <c r="A4" t="s">
        <v>135</v>
      </c>
      <c r="B4" s="55" t="str">
        <f t="shared" si="0"/>
        <v>875</v>
      </c>
      <c r="C4" t="s">
        <v>182</v>
      </c>
      <c r="D4">
        <v>2</v>
      </c>
      <c r="E4" t="s">
        <v>130</v>
      </c>
      <c r="F4" t="s">
        <v>136</v>
      </c>
      <c r="G4" t="s">
        <v>132</v>
      </c>
      <c r="J4" s="55"/>
    </row>
    <row r="5" spans="1:10" x14ac:dyDescent="0.25">
      <c r="A5" t="s">
        <v>63</v>
      </c>
      <c r="B5" s="55" t="str">
        <f t="shared" si="0"/>
        <v>881</v>
      </c>
      <c r="C5" t="s">
        <v>183</v>
      </c>
      <c r="D5">
        <v>2</v>
      </c>
      <c r="E5" t="s">
        <v>130</v>
      </c>
      <c r="F5" t="s">
        <v>64</v>
      </c>
      <c r="G5" t="s">
        <v>132</v>
      </c>
      <c r="J5" s="55"/>
    </row>
    <row r="6" spans="1:10" x14ac:dyDescent="0.25">
      <c r="A6" t="s">
        <v>139</v>
      </c>
      <c r="B6" s="55" t="str">
        <f t="shared" si="0"/>
        <v>881</v>
      </c>
      <c r="C6" s="57" t="s">
        <v>184</v>
      </c>
      <c r="D6">
        <v>2</v>
      </c>
      <c r="E6" t="s">
        <v>130</v>
      </c>
      <c r="F6" t="s">
        <v>141</v>
      </c>
      <c r="G6" t="s">
        <v>132</v>
      </c>
      <c r="J6" s="55"/>
    </row>
    <row r="7" spans="1:10" x14ac:dyDescent="0.25">
      <c r="A7" t="s">
        <v>142</v>
      </c>
      <c r="B7" s="55" t="str">
        <f t="shared" si="0"/>
        <v>891</v>
      </c>
      <c r="C7" t="s">
        <v>185</v>
      </c>
      <c r="D7">
        <v>2</v>
      </c>
      <c r="E7" t="s">
        <v>130</v>
      </c>
      <c r="F7" t="s">
        <v>144</v>
      </c>
      <c r="G7" t="s">
        <v>132</v>
      </c>
      <c r="J7" s="55"/>
    </row>
    <row r="8" spans="1:10" x14ac:dyDescent="0.25">
      <c r="A8" t="s">
        <v>145</v>
      </c>
      <c r="B8" s="55" t="str">
        <f t="shared" si="0"/>
        <v>891</v>
      </c>
      <c r="C8" s="57" t="s">
        <v>186</v>
      </c>
      <c r="D8">
        <v>2</v>
      </c>
      <c r="E8" t="s">
        <v>130</v>
      </c>
      <c r="F8" t="s">
        <v>147</v>
      </c>
      <c r="G8" t="s">
        <v>132</v>
      </c>
      <c r="J8" s="55"/>
    </row>
    <row r="9" spans="1:10" x14ac:dyDescent="0.25">
      <c r="A9" t="s">
        <v>97</v>
      </c>
      <c r="B9" s="55" t="str">
        <f t="shared" si="0"/>
        <v>895</v>
      </c>
      <c r="C9" s="58" t="s">
        <v>187</v>
      </c>
      <c r="D9">
        <v>2</v>
      </c>
      <c r="E9" t="s">
        <v>130</v>
      </c>
      <c r="F9" t="s">
        <v>98</v>
      </c>
      <c r="G9" t="s">
        <v>132</v>
      </c>
      <c r="J9" s="55"/>
    </row>
    <row r="10" spans="1:10" x14ac:dyDescent="0.25">
      <c r="A10" t="s">
        <v>149</v>
      </c>
      <c r="B10" s="55" t="str">
        <f t="shared" si="0"/>
        <v>895</v>
      </c>
      <c r="C10" s="57" t="s">
        <v>188</v>
      </c>
      <c r="D10">
        <v>2</v>
      </c>
      <c r="E10" t="s">
        <v>130</v>
      </c>
      <c r="F10" t="s">
        <v>151</v>
      </c>
      <c r="G10" t="s">
        <v>132</v>
      </c>
      <c r="J10" s="55"/>
    </row>
    <row r="11" spans="1:10" x14ac:dyDescent="0.25">
      <c r="A11" t="s">
        <v>106</v>
      </c>
      <c r="B11" s="55" t="str">
        <f t="shared" si="0"/>
        <v>991</v>
      </c>
      <c r="C11" s="58" t="s">
        <v>189</v>
      </c>
      <c r="D11">
        <v>2</v>
      </c>
      <c r="E11" t="s">
        <v>130</v>
      </c>
      <c r="F11" t="s">
        <v>107</v>
      </c>
      <c r="G11" t="s">
        <v>132</v>
      </c>
      <c r="J11" s="55"/>
    </row>
    <row r="12" spans="1:10" x14ac:dyDescent="0.25">
      <c r="A12" t="s">
        <v>153</v>
      </c>
      <c r="B12" s="55" t="str">
        <f t="shared" si="0"/>
        <v>995</v>
      </c>
      <c r="C12" s="57" t="s">
        <v>202</v>
      </c>
      <c r="D12">
        <v>2</v>
      </c>
      <c r="E12" t="s">
        <v>130</v>
      </c>
      <c r="F12" t="s">
        <v>154</v>
      </c>
      <c r="G12" t="s">
        <v>132</v>
      </c>
      <c r="J12" s="55"/>
    </row>
    <row r="13" spans="1:10" x14ac:dyDescent="0.25">
      <c r="A13" t="s">
        <v>155</v>
      </c>
      <c r="B13" s="55" t="str">
        <f t="shared" si="0"/>
        <v>994</v>
      </c>
      <c r="C13" s="58" t="s">
        <v>206</v>
      </c>
      <c r="D13">
        <v>2</v>
      </c>
      <c r="E13" t="s">
        <v>130</v>
      </c>
      <c r="F13" t="s">
        <v>156</v>
      </c>
      <c r="G13" t="s">
        <v>132</v>
      </c>
      <c r="J13" s="55"/>
    </row>
    <row r="14" spans="1:10" x14ac:dyDescent="0.25">
      <c r="A14" t="s">
        <v>45</v>
      </c>
      <c r="B14" s="55" t="str">
        <f t="shared" si="0"/>
        <v>855</v>
      </c>
      <c r="C14" s="58" t="s">
        <v>190</v>
      </c>
      <c r="D14">
        <v>2</v>
      </c>
      <c r="E14" t="s">
        <v>130</v>
      </c>
      <c r="F14" t="s">
        <v>46</v>
      </c>
      <c r="G14" t="s">
        <v>132</v>
      </c>
      <c r="J14" s="55"/>
    </row>
    <row r="15" spans="1:10" x14ac:dyDescent="0.25">
      <c r="A15" t="s">
        <v>29</v>
      </c>
      <c r="B15" s="55" t="str">
        <f t="shared" si="0"/>
        <v>866</v>
      </c>
      <c r="C15" s="58" t="s">
        <v>191</v>
      </c>
      <c r="D15">
        <v>2</v>
      </c>
      <c r="E15" t="s">
        <v>130</v>
      </c>
      <c r="F15" t="s">
        <v>30</v>
      </c>
      <c r="G15" t="s">
        <v>132</v>
      </c>
      <c r="J15" s="55"/>
    </row>
    <row r="16" spans="1:10" x14ac:dyDescent="0.25">
      <c r="A16" t="s">
        <v>66</v>
      </c>
      <c r="B16" s="55" t="str">
        <f t="shared" si="0"/>
        <v>882</v>
      </c>
      <c r="C16" s="58" t="s">
        <v>192</v>
      </c>
      <c r="D16">
        <v>2</v>
      </c>
      <c r="E16" t="s">
        <v>130</v>
      </c>
      <c r="F16" t="s">
        <v>67</v>
      </c>
      <c r="G16" t="s">
        <v>132</v>
      </c>
      <c r="J16" s="55"/>
    </row>
    <row r="17" spans="1:10" x14ac:dyDescent="0.25">
      <c r="A17" t="s">
        <v>161</v>
      </c>
      <c r="B17" s="55" t="str">
        <f t="shared" si="0"/>
        <v>882</v>
      </c>
      <c r="C17" s="57" t="s">
        <v>193</v>
      </c>
      <c r="D17">
        <v>2</v>
      </c>
      <c r="E17" t="s">
        <v>130</v>
      </c>
      <c r="F17" t="s">
        <v>163</v>
      </c>
      <c r="G17" t="s">
        <v>132</v>
      </c>
      <c r="J17" s="55"/>
    </row>
    <row r="18" spans="1:10" x14ac:dyDescent="0.25">
      <c r="A18" t="s">
        <v>164</v>
      </c>
      <c r="B18" s="55" t="str">
        <f t="shared" si="0"/>
        <v>892</v>
      </c>
      <c r="C18" s="57" t="s">
        <v>194</v>
      </c>
      <c r="D18">
        <v>2</v>
      </c>
      <c r="E18" t="s">
        <v>130</v>
      </c>
      <c r="F18" t="s">
        <v>166</v>
      </c>
      <c r="G18" t="s">
        <v>132</v>
      </c>
      <c r="J18" s="55"/>
    </row>
    <row r="19" spans="1:10" x14ac:dyDescent="0.25">
      <c r="A19" t="s">
        <v>167</v>
      </c>
      <c r="B19" s="55" t="str">
        <f t="shared" si="0"/>
        <v>892</v>
      </c>
      <c r="C19" s="57" t="s">
        <v>195</v>
      </c>
      <c r="D19">
        <v>2</v>
      </c>
      <c r="E19" t="s">
        <v>130</v>
      </c>
      <c r="F19" t="s">
        <v>169</v>
      </c>
      <c r="G19" t="s">
        <v>132</v>
      </c>
      <c r="J19" s="55"/>
    </row>
    <row r="20" spans="1:10" x14ac:dyDescent="0.25">
      <c r="A20" t="s">
        <v>99</v>
      </c>
      <c r="B20" s="55" t="str">
        <f t="shared" si="0"/>
        <v>896</v>
      </c>
      <c r="C20" s="57" t="s">
        <v>196</v>
      </c>
      <c r="D20">
        <v>2</v>
      </c>
      <c r="E20" t="s">
        <v>130</v>
      </c>
      <c r="F20" t="s">
        <v>100</v>
      </c>
      <c r="G20" t="s">
        <v>132</v>
      </c>
      <c r="J20" s="55"/>
    </row>
    <row r="21" spans="1:10" x14ac:dyDescent="0.25">
      <c r="A21" t="s">
        <v>94</v>
      </c>
      <c r="B21" s="55" t="str">
        <f t="shared" si="0"/>
        <v>896</v>
      </c>
      <c r="C21" s="58" t="s">
        <v>197</v>
      </c>
      <c r="D21">
        <v>2</v>
      </c>
      <c r="E21" t="s">
        <v>130</v>
      </c>
      <c r="F21" t="s">
        <v>95</v>
      </c>
      <c r="G21" t="s">
        <v>132</v>
      </c>
      <c r="J21" s="55"/>
    </row>
    <row r="22" spans="1:10" x14ac:dyDescent="0.25">
      <c r="A22" t="s">
        <v>171</v>
      </c>
      <c r="B22" s="55" t="str">
        <f t="shared" si="0"/>
        <v>896</v>
      </c>
      <c r="C22" s="57" t="s">
        <v>198</v>
      </c>
      <c r="D22">
        <v>2</v>
      </c>
      <c r="E22" t="s">
        <v>130</v>
      </c>
      <c r="F22" t="s">
        <v>172</v>
      </c>
      <c r="G22" t="s">
        <v>132</v>
      </c>
      <c r="J22" s="55"/>
    </row>
    <row r="23" spans="1:10" x14ac:dyDescent="0.25">
      <c r="A23" t="s">
        <v>102</v>
      </c>
      <c r="B23" s="55" t="str">
        <f t="shared" si="0"/>
        <v>896</v>
      </c>
      <c r="C23" s="58" t="s">
        <v>199</v>
      </c>
      <c r="D23">
        <v>2</v>
      </c>
      <c r="E23" t="s">
        <v>130</v>
      </c>
      <c r="F23" t="s">
        <v>103</v>
      </c>
      <c r="G23" t="s">
        <v>132</v>
      </c>
      <c r="J23" s="55"/>
    </row>
    <row r="24" spans="1:10" x14ac:dyDescent="0.25">
      <c r="A24" t="s">
        <v>109</v>
      </c>
      <c r="B24" s="55" t="str">
        <f t="shared" si="0"/>
        <v>992</v>
      </c>
      <c r="C24" s="58" t="s">
        <v>200</v>
      </c>
      <c r="D24">
        <v>2</v>
      </c>
      <c r="E24" t="s">
        <v>130</v>
      </c>
      <c r="F24" t="s">
        <v>110</v>
      </c>
      <c r="G24" t="s">
        <v>132</v>
      </c>
      <c r="J24" s="55"/>
    </row>
    <row r="25" spans="1:10" x14ac:dyDescent="0.25">
      <c r="A25" t="s">
        <v>175</v>
      </c>
      <c r="B25" s="55" t="str">
        <f t="shared" si="0"/>
        <v>995</v>
      </c>
      <c r="C25" s="58" t="s">
        <v>201</v>
      </c>
      <c r="D25">
        <v>2</v>
      </c>
      <c r="E25" t="s">
        <v>130</v>
      </c>
      <c r="F25" t="s">
        <v>154</v>
      </c>
      <c r="G25" t="s">
        <v>132</v>
      </c>
      <c r="J25" s="55"/>
    </row>
    <row r="26" spans="1:10" x14ac:dyDescent="0.25">
      <c r="A26" t="s">
        <v>82</v>
      </c>
      <c r="B26" s="55" t="str">
        <f t="shared" si="0"/>
        <v>996</v>
      </c>
      <c r="C26" s="58" t="s">
        <v>203</v>
      </c>
      <c r="D26">
        <v>2</v>
      </c>
      <c r="E26" t="s">
        <v>130</v>
      </c>
      <c r="F26" t="s">
        <v>83</v>
      </c>
      <c r="G26" t="s">
        <v>132</v>
      </c>
      <c r="J26" s="55"/>
    </row>
    <row r="27" spans="1:10" x14ac:dyDescent="0.25">
      <c r="A27" t="s">
        <v>113</v>
      </c>
      <c r="B27" s="55" t="str">
        <f t="shared" si="0"/>
        <v>997</v>
      </c>
      <c r="C27" s="58" t="s">
        <v>204</v>
      </c>
      <c r="D27">
        <v>2</v>
      </c>
      <c r="E27" t="s">
        <v>130</v>
      </c>
      <c r="F27" t="s">
        <v>114</v>
      </c>
      <c r="G27" t="s">
        <v>132</v>
      </c>
      <c r="J27" s="55"/>
    </row>
    <row r="28" spans="1:10" x14ac:dyDescent="0.25">
      <c r="A28" t="s">
        <v>52</v>
      </c>
      <c r="B28" s="55" t="str">
        <f t="shared" si="0"/>
        <v>811</v>
      </c>
      <c r="C28" s="58" t="s">
        <v>205</v>
      </c>
      <c r="D28">
        <v>2</v>
      </c>
      <c r="E28" t="s">
        <v>176</v>
      </c>
      <c r="F28" t="s">
        <v>53</v>
      </c>
      <c r="G28" t="s">
        <v>132</v>
      </c>
      <c r="J28" s="55"/>
    </row>
    <row r="29" spans="1:10" x14ac:dyDescent="0.25">
      <c r="A29" t="s">
        <v>55</v>
      </c>
      <c r="B29" s="55" t="str">
        <f t="shared" si="0"/>
        <v>811</v>
      </c>
      <c r="C29" s="58" t="s">
        <v>205</v>
      </c>
      <c r="D29">
        <v>2</v>
      </c>
      <c r="E29" t="s">
        <v>176</v>
      </c>
      <c r="F29" t="s">
        <v>56</v>
      </c>
      <c r="G29" t="s">
        <v>132</v>
      </c>
      <c r="J29" s="55"/>
    </row>
    <row r="30" spans="1:10" x14ac:dyDescent="0.25">
      <c r="A30" t="s">
        <v>59</v>
      </c>
      <c r="B30" s="55" t="str">
        <f t="shared" si="0"/>
        <v>840</v>
      </c>
      <c r="C30" s="58" t="s">
        <v>205</v>
      </c>
      <c r="D30">
        <v>2</v>
      </c>
      <c r="E30" t="s">
        <v>176</v>
      </c>
      <c r="F30" t="s">
        <v>60</v>
      </c>
      <c r="G30" t="s">
        <v>132</v>
      </c>
      <c r="J30" s="55"/>
    </row>
    <row r="31" spans="1:10" x14ac:dyDescent="0.25">
      <c r="A31" t="s">
        <v>49</v>
      </c>
      <c r="B31" s="55" t="str">
        <f t="shared" si="0"/>
        <v>830</v>
      </c>
      <c r="C31" s="58" t="s">
        <v>205</v>
      </c>
      <c r="D31">
        <v>2</v>
      </c>
      <c r="E31" t="s">
        <v>178</v>
      </c>
      <c r="F31" t="s">
        <v>50</v>
      </c>
      <c r="G31" t="s">
        <v>132</v>
      </c>
      <c r="J31" s="55"/>
    </row>
    <row r="32" spans="1:10" x14ac:dyDescent="0.25">
      <c r="A32" t="s">
        <v>34</v>
      </c>
      <c r="B32" s="55" t="str">
        <f t="shared" si="0"/>
        <v>860</v>
      </c>
      <c r="C32" s="58" t="s">
        <v>180</v>
      </c>
      <c r="D32">
        <v>2</v>
      </c>
      <c r="E32" t="s">
        <v>178</v>
      </c>
      <c r="F32" t="s">
        <v>35</v>
      </c>
      <c r="G32" t="s">
        <v>132</v>
      </c>
      <c r="J32" s="55"/>
    </row>
    <row r="33" spans="1:10" x14ac:dyDescent="0.25">
      <c r="A33" t="s">
        <v>41</v>
      </c>
      <c r="B33" s="55" t="str">
        <f t="shared" si="0"/>
        <v>861</v>
      </c>
      <c r="C33" s="58" t="s">
        <v>180</v>
      </c>
      <c r="D33">
        <v>2</v>
      </c>
      <c r="E33" t="s">
        <v>178</v>
      </c>
      <c r="F33" t="s">
        <v>42</v>
      </c>
      <c r="G33" t="s">
        <v>132</v>
      </c>
      <c r="J33" s="55"/>
    </row>
    <row r="40" spans="1:10" x14ac:dyDescent="0.25">
      <c r="A40" t="s">
        <v>37</v>
      </c>
      <c r="B40" s="55" t="s">
        <v>207</v>
      </c>
      <c r="C40" t="s">
        <v>180</v>
      </c>
      <c r="D40">
        <v>2</v>
      </c>
      <c r="E40" t="s">
        <v>130</v>
      </c>
      <c r="F40" t="s">
        <v>133</v>
      </c>
      <c r="G40" t="s">
        <v>131</v>
      </c>
    </row>
    <row r="41" spans="1:10" x14ac:dyDescent="0.25">
      <c r="A41" t="s">
        <v>23</v>
      </c>
      <c r="B41" s="55" t="s">
        <v>208</v>
      </c>
      <c r="C41" t="s">
        <v>181</v>
      </c>
      <c r="D41">
        <v>2</v>
      </c>
      <c r="E41" t="s">
        <v>130</v>
      </c>
      <c r="F41" t="s">
        <v>134</v>
      </c>
      <c r="G41" t="s">
        <v>131</v>
      </c>
    </row>
    <row r="42" spans="1:10" x14ac:dyDescent="0.25">
      <c r="A42" t="s">
        <v>135</v>
      </c>
      <c r="B42" s="55" t="s">
        <v>209</v>
      </c>
      <c r="C42" t="s">
        <v>182</v>
      </c>
      <c r="D42">
        <v>2</v>
      </c>
      <c r="E42" t="s">
        <v>130</v>
      </c>
      <c r="F42" t="s">
        <v>137</v>
      </c>
      <c r="G42" t="s">
        <v>131</v>
      </c>
    </row>
    <row r="43" spans="1:10" x14ac:dyDescent="0.25">
      <c r="A43" t="s">
        <v>63</v>
      </c>
      <c r="B43" s="55" t="s">
        <v>210</v>
      </c>
      <c r="C43" t="s">
        <v>183</v>
      </c>
      <c r="D43">
        <v>2</v>
      </c>
      <c r="E43" t="s">
        <v>130</v>
      </c>
      <c r="F43" t="s">
        <v>138</v>
      </c>
      <c r="G43" t="s">
        <v>131</v>
      </c>
    </row>
    <row r="44" spans="1:10" x14ac:dyDescent="0.25">
      <c r="A44" t="s">
        <v>139</v>
      </c>
      <c r="B44" s="55" t="s">
        <v>210</v>
      </c>
      <c r="C44" s="57" t="s">
        <v>184</v>
      </c>
      <c r="D44">
        <v>2</v>
      </c>
      <c r="E44" t="s">
        <v>130</v>
      </c>
      <c r="F44" t="s">
        <v>140</v>
      </c>
      <c r="G44" t="s">
        <v>131</v>
      </c>
    </row>
    <row r="45" spans="1:10" x14ac:dyDescent="0.25">
      <c r="A45" t="s">
        <v>142</v>
      </c>
      <c r="B45" s="55" t="s">
        <v>211</v>
      </c>
      <c r="C45" t="s">
        <v>185</v>
      </c>
      <c r="D45">
        <v>2</v>
      </c>
      <c r="E45" t="s">
        <v>130</v>
      </c>
      <c r="F45" t="s">
        <v>143</v>
      </c>
      <c r="G45" t="s">
        <v>131</v>
      </c>
    </row>
    <row r="46" spans="1:10" x14ac:dyDescent="0.25">
      <c r="A46" t="s">
        <v>145</v>
      </c>
      <c r="B46" s="55" t="s">
        <v>211</v>
      </c>
      <c r="C46" s="57" t="s">
        <v>186</v>
      </c>
      <c r="D46">
        <v>2</v>
      </c>
      <c r="E46" t="s">
        <v>130</v>
      </c>
      <c r="F46" t="s">
        <v>146</v>
      </c>
      <c r="G46" t="s">
        <v>131</v>
      </c>
    </row>
    <row r="47" spans="1:10" x14ac:dyDescent="0.25">
      <c r="A47" t="s">
        <v>97</v>
      </c>
      <c r="B47" s="55" t="s">
        <v>212</v>
      </c>
      <c r="C47" s="58" t="s">
        <v>187</v>
      </c>
      <c r="D47">
        <v>2</v>
      </c>
      <c r="E47" t="s">
        <v>130</v>
      </c>
      <c r="F47" t="s">
        <v>148</v>
      </c>
      <c r="G47" t="s">
        <v>131</v>
      </c>
    </row>
    <row r="48" spans="1:10" x14ac:dyDescent="0.25">
      <c r="A48" t="s">
        <v>149</v>
      </c>
      <c r="B48" s="55" t="s">
        <v>212</v>
      </c>
      <c r="C48" s="57" t="s">
        <v>188</v>
      </c>
      <c r="D48">
        <v>2</v>
      </c>
      <c r="E48" t="s">
        <v>130</v>
      </c>
      <c r="F48" t="s">
        <v>150</v>
      </c>
      <c r="G48" t="s">
        <v>131</v>
      </c>
    </row>
    <row r="49" spans="1:7" x14ac:dyDescent="0.25">
      <c r="A49" t="s">
        <v>106</v>
      </c>
      <c r="B49" s="55" t="s">
        <v>213</v>
      </c>
      <c r="C49" s="58" t="s">
        <v>189</v>
      </c>
      <c r="D49">
        <v>2</v>
      </c>
      <c r="E49" t="s">
        <v>130</v>
      </c>
      <c r="F49" t="s">
        <v>152</v>
      </c>
      <c r="G49" t="s">
        <v>131</v>
      </c>
    </row>
    <row r="50" spans="1:7" x14ac:dyDescent="0.25">
      <c r="A50" t="s">
        <v>153</v>
      </c>
      <c r="B50" s="55" t="s">
        <v>214</v>
      </c>
      <c r="C50" s="57" t="s">
        <v>202</v>
      </c>
      <c r="D50">
        <v>2</v>
      </c>
      <c r="E50" t="s">
        <v>130</v>
      </c>
      <c r="F50" t="s">
        <v>154</v>
      </c>
      <c r="G50" t="s">
        <v>131</v>
      </c>
    </row>
    <row r="51" spans="1:7" x14ac:dyDescent="0.25">
      <c r="A51" t="s">
        <v>155</v>
      </c>
      <c r="B51" s="55" t="s">
        <v>215</v>
      </c>
      <c r="C51" s="58" t="s">
        <v>206</v>
      </c>
      <c r="D51">
        <v>2</v>
      </c>
      <c r="E51" t="s">
        <v>130</v>
      </c>
      <c r="F51" t="s">
        <v>157</v>
      </c>
      <c r="G51" t="s">
        <v>131</v>
      </c>
    </row>
    <row r="52" spans="1:7" x14ac:dyDescent="0.25">
      <c r="A52" t="s">
        <v>45</v>
      </c>
      <c r="B52" s="55" t="s">
        <v>216</v>
      </c>
      <c r="C52" s="58" t="s">
        <v>190</v>
      </c>
      <c r="D52">
        <v>2</v>
      </c>
      <c r="E52" t="s">
        <v>130</v>
      </c>
      <c r="F52" t="s">
        <v>158</v>
      </c>
      <c r="G52" t="s">
        <v>131</v>
      </c>
    </row>
    <row r="53" spans="1:7" x14ac:dyDescent="0.25">
      <c r="A53" t="s">
        <v>29</v>
      </c>
      <c r="B53" s="55" t="s">
        <v>217</v>
      </c>
      <c r="C53" s="58" t="s">
        <v>191</v>
      </c>
      <c r="D53">
        <v>2</v>
      </c>
      <c r="E53" t="s">
        <v>130</v>
      </c>
      <c r="F53" t="s">
        <v>159</v>
      </c>
      <c r="G53" t="s">
        <v>131</v>
      </c>
    </row>
    <row r="54" spans="1:7" x14ac:dyDescent="0.25">
      <c r="A54" t="s">
        <v>66</v>
      </c>
      <c r="B54" s="55" t="s">
        <v>218</v>
      </c>
      <c r="C54" s="58" t="s">
        <v>192</v>
      </c>
      <c r="D54">
        <v>2</v>
      </c>
      <c r="E54" t="s">
        <v>130</v>
      </c>
      <c r="F54" t="s">
        <v>160</v>
      </c>
      <c r="G54" t="s">
        <v>131</v>
      </c>
    </row>
    <row r="55" spans="1:7" x14ac:dyDescent="0.25">
      <c r="A55" t="s">
        <v>161</v>
      </c>
      <c r="B55" s="55" t="s">
        <v>218</v>
      </c>
      <c r="C55" s="57" t="s">
        <v>193</v>
      </c>
      <c r="D55">
        <v>2</v>
      </c>
      <c r="E55" t="s">
        <v>130</v>
      </c>
      <c r="F55" t="s">
        <v>162</v>
      </c>
      <c r="G55" t="s">
        <v>131</v>
      </c>
    </row>
    <row r="56" spans="1:7" x14ac:dyDescent="0.25">
      <c r="A56" t="s">
        <v>164</v>
      </c>
      <c r="B56" s="55" t="s">
        <v>219</v>
      </c>
      <c r="C56" s="57" t="s">
        <v>194</v>
      </c>
      <c r="D56">
        <v>2</v>
      </c>
      <c r="E56" t="s">
        <v>130</v>
      </c>
      <c r="F56" t="s">
        <v>165</v>
      </c>
      <c r="G56" t="s">
        <v>131</v>
      </c>
    </row>
    <row r="57" spans="1:7" x14ac:dyDescent="0.25">
      <c r="A57" t="s">
        <v>167</v>
      </c>
      <c r="B57" s="55" t="s">
        <v>219</v>
      </c>
      <c r="C57" s="57" t="s">
        <v>195</v>
      </c>
      <c r="D57">
        <v>2</v>
      </c>
      <c r="E57" t="s">
        <v>130</v>
      </c>
      <c r="F57" t="s">
        <v>168</v>
      </c>
      <c r="G57" t="s">
        <v>131</v>
      </c>
    </row>
    <row r="58" spans="1:7" x14ac:dyDescent="0.25">
      <c r="A58" t="s">
        <v>99</v>
      </c>
      <c r="B58" s="55" t="s">
        <v>220</v>
      </c>
      <c r="C58" s="57" t="s">
        <v>196</v>
      </c>
      <c r="D58">
        <v>2</v>
      </c>
      <c r="E58" t="s">
        <v>130</v>
      </c>
      <c r="F58" t="s">
        <v>170</v>
      </c>
      <c r="G58" t="s">
        <v>131</v>
      </c>
    </row>
    <row r="59" spans="1:7" x14ac:dyDescent="0.25">
      <c r="A59" t="s">
        <v>102</v>
      </c>
      <c r="B59" s="55" t="s">
        <v>220</v>
      </c>
      <c r="C59" s="58" t="s">
        <v>199</v>
      </c>
      <c r="D59">
        <v>2</v>
      </c>
      <c r="E59" t="s">
        <v>130</v>
      </c>
      <c r="F59" t="s">
        <v>173</v>
      </c>
      <c r="G59" t="s">
        <v>131</v>
      </c>
    </row>
    <row r="60" spans="1:7" x14ac:dyDescent="0.25">
      <c r="A60" t="s">
        <v>109</v>
      </c>
      <c r="B60" s="55" t="s">
        <v>221</v>
      </c>
      <c r="C60" s="58" t="s">
        <v>200</v>
      </c>
      <c r="D60">
        <v>2</v>
      </c>
      <c r="E60" t="s">
        <v>130</v>
      </c>
      <c r="F60" t="s">
        <v>174</v>
      </c>
      <c r="G60" t="s">
        <v>131</v>
      </c>
    </row>
    <row r="61" spans="1:7" x14ac:dyDescent="0.25">
      <c r="A61" t="s">
        <v>175</v>
      </c>
      <c r="B61" s="55" t="s">
        <v>214</v>
      </c>
      <c r="C61" s="58" t="s">
        <v>201</v>
      </c>
      <c r="D61">
        <v>2</v>
      </c>
      <c r="E61" t="s">
        <v>130</v>
      </c>
      <c r="F61" t="s">
        <v>154</v>
      </c>
      <c r="G61" t="s">
        <v>131</v>
      </c>
    </row>
    <row r="62" spans="1:7" x14ac:dyDescent="0.25">
      <c r="A62" t="s">
        <v>52</v>
      </c>
      <c r="B62" s="55" t="s">
        <v>222</v>
      </c>
      <c r="C62" s="58" t="s">
        <v>205</v>
      </c>
      <c r="D62">
        <v>2</v>
      </c>
      <c r="E62" t="s">
        <v>176</v>
      </c>
      <c r="F62" t="s">
        <v>177</v>
      </c>
      <c r="G62" t="s">
        <v>131</v>
      </c>
    </row>
    <row r="63" spans="1:7" x14ac:dyDescent="0.25">
      <c r="A63" t="s">
        <v>59</v>
      </c>
      <c r="B63" s="55" t="s">
        <v>223</v>
      </c>
      <c r="C63" s="58" t="s">
        <v>205</v>
      </c>
      <c r="D63">
        <v>2</v>
      </c>
      <c r="E63" t="s">
        <v>176</v>
      </c>
      <c r="F63" t="s">
        <v>60</v>
      </c>
      <c r="G63" t="s">
        <v>131</v>
      </c>
    </row>
    <row r="64" spans="1:7" x14ac:dyDescent="0.25">
      <c r="A64" t="s">
        <v>49</v>
      </c>
      <c r="B64" s="55" t="s">
        <v>224</v>
      </c>
      <c r="C64" s="58" t="s">
        <v>205</v>
      </c>
      <c r="D64">
        <v>2</v>
      </c>
      <c r="E64" t="s">
        <v>178</v>
      </c>
      <c r="F64" t="s">
        <v>50</v>
      </c>
      <c r="G64" t="s">
        <v>131</v>
      </c>
    </row>
    <row r="65" spans="1:7" x14ac:dyDescent="0.25">
      <c r="A65" t="s">
        <v>34</v>
      </c>
      <c r="B65" s="55" t="s">
        <v>225</v>
      </c>
      <c r="C65" s="58" t="s">
        <v>180</v>
      </c>
      <c r="D65">
        <v>2</v>
      </c>
      <c r="E65" t="s">
        <v>178</v>
      </c>
      <c r="F65" t="s">
        <v>35</v>
      </c>
      <c r="G65" t="s">
        <v>131</v>
      </c>
    </row>
    <row r="66" spans="1:7" x14ac:dyDescent="0.25">
      <c r="A66" t="s">
        <v>41</v>
      </c>
      <c r="B66" s="55" t="s">
        <v>226</v>
      </c>
      <c r="C66" s="58" t="s">
        <v>180</v>
      </c>
      <c r="D66">
        <v>2</v>
      </c>
      <c r="E66" t="s">
        <v>178</v>
      </c>
      <c r="F66" t="s">
        <v>42</v>
      </c>
      <c r="G66" t="s">
        <v>131</v>
      </c>
    </row>
  </sheetData>
  <autoFilter ref="A1:G33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9" tint="0.39997558519241921"/>
  </sheetPr>
  <dimension ref="A1:Q44"/>
  <sheetViews>
    <sheetView workbookViewId="0">
      <selection activeCell="P24" sqref="P24"/>
    </sheetView>
  </sheetViews>
  <sheetFormatPr defaultRowHeight="12.75" x14ac:dyDescent="0.2"/>
  <cols>
    <col min="1" max="1" width="12" style="210" customWidth="1"/>
    <col min="2" max="2" width="13" style="210" customWidth="1"/>
    <col min="3" max="3" width="3.5703125" style="210" customWidth="1"/>
    <col min="4" max="4" width="11.140625" style="210" customWidth="1"/>
    <col min="5" max="5" width="11.42578125" style="210" customWidth="1"/>
    <col min="6" max="6" width="3.5703125" style="210" customWidth="1"/>
    <col min="7" max="7" width="13.28515625" style="210" customWidth="1"/>
    <col min="8" max="13" width="9.140625" style="210"/>
    <col min="14" max="14" width="13.7109375" style="210" bestFit="1" customWidth="1"/>
    <col min="15" max="16384" width="9.140625" style="210"/>
  </cols>
  <sheetData>
    <row r="1" spans="1:17" x14ac:dyDescent="0.2">
      <c r="B1" s="540" t="s">
        <v>293</v>
      </c>
      <c r="C1" s="540"/>
      <c r="D1" s="540"/>
      <c r="E1" s="540"/>
      <c r="F1" s="540"/>
      <c r="G1" s="337"/>
    </row>
    <row r="2" spans="1:17" x14ac:dyDescent="0.2">
      <c r="B2" s="541"/>
      <c r="C2" s="541"/>
      <c r="D2" s="541"/>
      <c r="E2" s="541"/>
      <c r="F2" s="541"/>
    </row>
    <row r="3" spans="1:17" x14ac:dyDescent="0.2">
      <c r="D3" s="553" t="s">
        <v>294</v>
      </c>
      <c r="E3" s="337" t="s">
        <v>295</v>
      </c>
      <c r="F3" s="554"/>
      <c r="G3" s="554"/>
    </row>
    <row r="4" spans="1:17" x14ac:dyDescent="0.2">
      <c r="D4" s="555" t="s">
        <v>321</v>
      </c>
      <c r="E4" s="337" t="s">
        <v>296</v>
      </c>
      <c r="F4" s="554"/>
    </row>
    <row r="5" spans="1:17" x14ac:dyDescent="0.2">
      <c r="B5" s="246" t="s">
        <v>297</v>
      </c>
      <c r="D5" s="542" t="s">
        <v>298</v>
      </c>
      <c r="E5" s="542" t="s">
        <v>299</v>
      </c>
      <c r="F5" s="542"/>
      <c r="G5" s="246" t="s">
        <v>300</v>
      </c>
      <c r="I5" s="542"/>
      <c r="K5" s="542" t="s">
        <v>852</v>
      </c>
      <c r="N5" s="246" t="s">
        <v>297</v>
      </c>
      <c r="O5" s="210">
        <v>10</v>
      </c>
    </row>
    <row r="6" spans="1:17" x14ac:dyDescent="0.2">
      <c r="B6" s="246" t="s">
        <v>301</v>
      </c>
      <c r="D6" s="246" t="s">
        <v>302</v>
      </c>
      <c r="E6" s="246" t="s">
        <v>303</v>
      </c>
      <c r="F6" s="246"/>
      <c r="G6" s="246" t="s">
        <v>304</v>
      </c>
      <c r="I6" s="542" t="s">
        <v>786</v>
      </c>
      <c r="J6" s="542" t="s">
        <v>294</v>
      </c>
      <c r="K6" s="542" t="s">
        <v>853</v>
      </c>
      <c r="L6" s="542"/>
      <c r="N6" s="246" t="s">
        <v>301</v>
      </c>
    </row>
    <row r="7" spans="1:17" x14ac:dyDescent="0.2">
      <c r="B7" s="556" t="s">
        <v>320</v>
      </c>
      <c r="D7" s="543" t="s">
        <v>205</v>
      </c>
      <c r="E7" s="246" t="s">
        <v>305</v>
      </c>
      <c r="F7" s="246"/>
      <c r="G7" s="246" t="s">
        <v>306</v>
      </c>
      <c r="I7" s="246" t="s">
        <v>487</v>
      </c>
      <c r="J7" s="246" t="s">
        <v>487</v>
      </c>
      <c r="K7" s="246" t="s">
        <v>854</v>
      </c>
      <c r="L7" s="246"/>
      <c r="N7" s="246" t="s">
        <v>398</v>
      </c>
    </row>
    <row r="8" spans="1:17" x14ac:dyDescent="0.2">
      <c r="B8" s="542" t="s">
        <v>307</v>
      </c>
      <c r="D8" s="542" t="s">
        <v>308</v>
      </c>
      <c r="E8" s="542" t="s">
        <v>309</v>
      </c>
      <c r="F8" s="542"/>
      <c r="G8" s="542" t="s">
        <v>310</v>
      </c>
      <c r="I8" s="544" t="s">
        <v>398</v>
      </c>
      <c r="J8" s="544" t="s">
        <v>398</v>
      </c>
      <c r="K8" s="544" t="s">
        <v>398</v>
      </c>
      <c r="L8" s="544"/>
      <c r="N8" s="545"/>
    </row>
    <row r="9" spans="1:17" x14ac:dyDescent="0.2">
      <c r="B9" s="542"/>
      <c r="D9" s="542"/>
      <c r="E9" s="542"/>
      <c r="F9" s="542"/>
      <c r="G9" s="542"/>
      <c r="N9" s="542"/>
    </row>
    <row r="10" spans="1:17" s="550" customFormat="1" x14ac:dyDescent="0.2">
      <c r="A10" s="1081">
        <v>41030</v>
      </c>
      <c r="B10" s="1082">
        <v>0.34904000000000002</v>
      </c>
      <c r="D10" s="548">
        <v>2.5659999999999999E-2</v>
      </c>
      <c r="E10" s="548">
        <v>1.16E-3</v>
      </c>
      <c r="F10" s="1083"/>
      <c r="G10" s="1084">
        <v>0</v>
      </c>
      <c r="I10" s="551">
        <v>0.17219999999999999</v>
      </c>
      <c r="J10" s="551">
        <f>+E10/0.1</f>
        <v>1.1599999999999999E-2</v>
      </c>
      <c r="K10" s="551">
        <v>0.88</v>
      </c>
      <c r="N10" s="1085">
        <v>3.4904000000000002</v>
      </c>
      <c r="O10" s="550" t="s">
        <v>1040</v>
      </c>
    </row>
    <row r="11" spans="1:17" x14ac:dyDescent="0.2">
      <c r="A11" s="557"/>
      <c r="B11" s="542"/>
      <c r="D11" s="542"/>
      <c r="E11" s="542"/>
      <c r="F11" s="542"/>
      <c r="G11" s="542"/>
      <c r="N11" s="542"/>
    </row>
    <row r="12" spans="1:17" x14ac:dyDescent="0.2">
      <c r="A12" s="557">
        <v>41000</v>
      </c>
      <c r="B12" s="552">
        <v>0.47422999999999998</v>
      </c>
      <c r="C12" s="547"/>
      <c r="D12" s="548">
        <v>2.5659999999999999E-2</v>
      </c>
      <c r="E12" s="548">
        <v>1.16E-3</v>
      </c>
      <c r="F12" s="542"/>
      <c r="G12" s="549">
        <v>0</v>
      </c>
      <c r="I12" s="551">
        <v>0.17219999999999999</v>
      </c>
      <c r="J12" s="551">
        <f>+E12/0.1</f>
        <v>1.1599999999999999E-2</v>
      </c>
      <c r="K12" s="551">
        <v>0.87660000000000005</v>
      </c>
      <c r="N12" s="546">
        <v>4.7423000000000002</v>
      </c>
    </row>
    <row r="13" spans="1:17" x14ac:dyDescent="0.2">
      <c r="B13" s="542"/>
      <c r="D13" s="542"/>
      <c r="E13" s="542"/>
      <c r="F13" s="542"/>
      <c r="G13" s="542"/>
      <c r="N13" s="542"/>
    </row>
    <row r="14" spans="1:17" x14ac:dyDescent="0.2">
      <c r="A14" s="557">
        <v>40969</v>
      </c>
      <c r="B14" s="552">
        <v>0.47422999999999998</v>
      </c>
      <c r="C14" s="547"/>
      <c r="D14" s="548">
        <v>2.5659999999999999E-2</v>
      </c>
      <c r="E14" s="548">
        <v>1.16E-3</v>
      </c>
      <c r="F14" s="542"/>
      <c r="G14" s="549">
        <v>0</v>
      </c>
      <c r="I14" s="551">
        <v>0.17219999999999999</v>
      </c>
      <c r="J14" s="551">
        <f>+E14/0.1</f>
        <v>1.1599999999999999E-2</v>
      </c>
      <c r="K14" s="551">
        <v>0.87660000000000005</v>
      </c>
      <c r="N14" s="546">
        <v>4.7423000000000002</v>
      </c>
    </row>
    <row r="15" spans="1:17" x14ac:dyDescent="0.2">
      <c r="B15" s="542"/>
      <c r="D15" s="542"/>
      <c r="E15" s="542"/>
      <c r="F15" s="542"/>
      <c r="G15" s="542"/>
      <c r="N15" s="542"/>
    </row>
    <row r="16" spans="1:17" x14ac:dyDescent="0.2">
      <c r="A16" s="557">
        <v>40940</v>
      </c>
      <c r="B16" s="552">
        <v>0.47422999999999998</v>
      </c>
      <c r="C16" s="547"/>
      <c r="D16" s="548">
        <v>2.5659999999999999E-2</v>
      </c>
      <c r="E16" s="548">
        <v>1.16E-3</v>
      </c>
      <c r="F16" s="542"/>
      <c r="G16" s="549">
        <v>0</v>
      </c>
      <c r="I16" s="551">
        <v>0.17219999999999999</v>
      </c>
      <c r="J16" s="551">
        <f>+E16/0.1</f>
        <v>1.1599999999999999E-2</v>
      </c>
      <c r="K16" s="551">
        <v>0.87660000000000005</v>
      </c>
      <c r="L16" s="551"/>
      <c r="N16" s="546">
        <v>4.7423000000000002</v>
      </c>
      <c r="O16" s="547"/>
      <c r="P16" s="548"/>
      <c r="Q16" s="548"/>
    </row>
    <row r="17" spans="1:14" x14ac:dyDescent="0.2">
      <c r="B17" s="552"/>
      <c r="D17" s="542"/>
      <c r="E17" s="542"/>
      <c r="F17" s="542"/>
      <c r="G17" s="542"/>
      <c r="K17" s="551"/>
      <c r="N17" s="542"/>
    </row>
    <row r="18" spans="1:14" x14ac:dyDescent="0.2">
      <c r="A18" s="557">
        <v>40909</v>
      </c>
      <c r="B18" s="552">
        <v>0.51601999999999992</v>
      </c>
      <c r="C18" s="547"/>
      <c r="D18" s="548">
        <v>2.5659999999999999E-2</v>
      </c>
      <c r="E18" s="548">
        <v>1.16E-3</v>
      </c>
      <c r="F18" s="542"/>
      <c r="G18" s="549">
        <v>0</v>
      </c>
      <c r="I18" s="551">
        <v>0.17199999999999999</v>
      </c>
      <c r="J18" s="551">
        <f>+E18/0.1</f>
        <v>1.1599999999999999E-2</v>
      </c>
      <c r="K18" s="551">
        <v>0.82269999999999999</v>
      </c>
      <c r="L18" s="551"/>
      <c r="N18" s="546">
        <v>5.1601999999999997</v>
      </c>
    </row>
    <row r="19" spans="1:14" x14ac:dyDescent="0.2">
      <c r="B19" s="552"/>
      <c r="D19" s="542"/>
      <c r="E19" s="542"/>
      <c r="F19" s="542"/>
      <c r="G19" s="542"/>
      <c r="I19" s="550"/>
      <c r="N19" s="542"/>
    </row>
    <row r="20" spans="1:14" x14ac:dyDescent="0.2">
      <c r="A20" s="557">
        <v>40878</v>
      </c>
      <c r="B20" s="552">
        <v>0.51601999999999992</v>
      </c>
      <c r="C20" s="547"/>
      <c r="D20" s="548">
        <v>1.8870000000000001E-2</v>
      </c>
      <c r="E20" s="548">
        <v>9.6000000000000002E-4</v>
      </c>
      <c r="F20" s="542"/>
      <c r="G20" s="549">
        <v>0</v>
      </c>
      <c r="I20" s="551">
        <v>0.17199999999999999</v>
      </c>
      <c r="J20" s="551">
        <f>+E20/0.1</f>
        <v>9.5999999999999992E-3</v>
      </c>
      <c r="K20" s="551">
        <v>0.82269999999999999</v>
      </c>
      <c r="L20" s="551"/>
      <c r="N20" s="546">
        <v>5.1601999999999997</v>
      </c>
    </row>
    <row r="21" spans="1:14" x14ac:dyDescent="0.2">
      <c r="B21" s="552"/>
      <c r="D21" s="542"/>
      <c r="E21" s="542"/>
      <c r="F21" s="542"/>
      <c r="G21" s="542"/>
      <c r="I21" s="550"/>
      <c r="N21" s="542"/>
    </row>
    <row r="22" spans="1:14" x14ac:dyDescent="0.2">
      <c r="A22" s="557">
        <v>40848</v>
      </c>
      <c r="B22" s="552">
        <v>0.51601999999999992</v>
      </c>
      <c r="C22" s="547"/>
      <c r="D22" s="548">
        <v>1.8870000000000001E-2</v>
      </c>
      <c r="E22" s="548">
        <v>9.6000000000000002E-4</v>
      </c>
      <c r="F22" s="542"/>
      <c r="G22" s="549">
        <v>0</v>
      </c>
      <c r="I22" s="551">
        <v>0.17199999999999999</v>
      </c>
      <c r="J22" s="551">
        <f>+E22/0.1</f>
        <v>9.5999999999999992E-3</v>
      </c>
      <c r="K22" s="551">
        <v>0.82269999999999999</v>
      </c>
      <c r="L22" s="551"/>
      <c r="N22" s="546">
        <v>5.1601999999999997</v>
      </c>
    </row>
    <row r="23" spans="1:14" x14ac:dyDescent="0.2">
      <c r="B23" s="552"/>
      <c r="D23" s="542"/>
      <c r="E23" s="542"/>
      <c r="F23" s="542"/>
      <c r="G23" s="542"/>
      <c r="I23" s="550"/>
      <c r="N23" s="542"/>
    </row>
    <row r="24" spans="1:14" x14ac:dyDescent="0.2">
      <c r="A24" s="557">
        <v>40817</v>
      </c>
      <c r="B24" s="552">
        <v>0.5605</v>
      </c>
      <c r="C24" s="547"/>
      <c r="D24" s="548">
        <v>1.8870000000000001E-2</v>
      </c>
      <c r="E24" s="548">
        <v>9.6000000000000002E-4</v>
      </c>
      <c r="F24" s="542"/>
      <c r="G24" s="549">
        <v>0</v>
      </c>
      <c r="I24" s="551">
        <v>0.18459999999999999</v>
      </c>
      <c r="J24" s="551">
        <f>+E24/0.1</f>
        <v>9.5999999999999992E-3</v>
      </c>
      <c r="K24" s="551">
        <v>0.87829999999999997</v>
      </c>
      <c r="L24" s="551"/>
      <c r="N24" s="546">
        <v>5.6049999999999995</v>
      </c>
    </row>
    <row r="25" spans="1:14" x14ac:dyDescent="0.2">
      <c r="B25" s="552"/>
      <c r="D25" s="542"/>
      <c r="E25" s="542"/>
      <c r="F25" s="542"/>
      <c r="G25" s="542"/>
      <c r="I25" s="550"/>
      <c r="N25" s="542"/>
    </row>
    <row r="26" spans="1:14" x14ac:dyDescent="0.2">
      <c r="A26" s="557">
        <v>40787</v>
      </c>
      <c r="B26" s="552">
        <v>0.5605</v>
      </c>
      <c r="C26" s="547"/>
      <c r="D26" s="548">
        <v>1.8870000000000001E-2</v>
      </c>
      <c r="E26" s="548">
        <v>9.6000000000000002E-4</v>
      </c>
      <c r="F26" s="542"/>
      <c r="G26" s="549">
        <v>0</v>
      </c>
      <c r="I26" s="551">
        <v>0.18459999999999999</v>
      </c>
      <c r="J26" s="551">
        <f>+E26/0.1</f>
        <v>9.5999999999999992E-3</v>
      </c>
      <c r="K26" s="551">
        <v>0.87829999999999997</v>
      </c>
      <c r="L26" s="551"/>
      <c r="N26" s="546">
        <v>5.6049999999999995</v>
      </c>
    </row>
    <row r="27" spans="1:14" x14ac:dyDescent="0.2">
      <c r="B27" s="552"/>
      <c r="D27" s="542"/>
      <c r="E27" s="542"/>
      <c r="F27" s="542"/>
      <c r="G27" s="542"/>
      <c r="I27" s="550"/>
      <c r="N27" s="542"/>
    </row>
    <row r="28" spans="1:14" x14ac:dyDescent="0.2">
      <c r="A28" s="557">
        <v>40756</v>
      </c>
      <c r="B28" s="552">
        <v>0.5605</v>
      </c>
      <c r="C28" s="547"/>
      <c r="D28" s="548">
        <v>1.8870000000000001E-2</v>
      </c>
      <c r="E28" s="548">
        <v>9.6000000000000002E-4</v>
      </c>
      <c r="F28" s="542"/>
      <c r="G28" s="549">
        <v>0</v>
      </c>
      <c r="I28" s="551">
        <v>0.18459999999999999</v>
      </c>
      <c r="J28" s="551">
        <f>+E28/0.1</f>
        <v>9.5999999999999992E-3</v>
      </c>
      <c r="K28" s="551">
        <v>0.87829999999999997</v>
      </c>
      <c r="L28" s="551"/>
      <c r="N28" s="546">
        <v>5.6049999999999995</v>
      </c>
    </row>
    <row r="29" spans="1:14" x14ac:dyDescent="0.2">
      <c r="B29" s="552"/>
      <c r="D29" s="542"/>
      <c r="E29" s="542"/>
      <c r="F29" s="542"/>
      <c r="G29" s="542"/>
      <c r="I29" s="550"/>
      <c r="N29" s="542"/>
    </row>
    <row r="30" spans="1:14" x14ac:dyDescent="0.2">
      <c r="A30" s="557">
        <v>40725</v>
      </c>
      <c r="B30" s="552">
        <v>0.56142999999999998</v>
      </c>
      <c r="C30" s="547"/>
      <c r="D30" s="548">
        <v>1.8870000000000001E-2</v>
      </c>
      <c r="E30" s="548">
        <v>9.6000000000000002E-4</v>
      </c>
      <c r="F30" s="542"/>
      <c r="G30" s="549">
        <v>0</v>
      </c>
      <c r="I30" s="551">
        <v>0.185</v>
      </c>
      <c r="J30" s="551">
        <f>+E30/0.1</f>
        <v>9.5999999999999992E-3</v>
      </c>
      <c r="K30" s="551">
        <v>0.88229999999999997</v>
      </c>
      <c r="L30" s="551"/>
      <c r="N30" s="546">
        <v>5.6143000000000001</v>
      </c>
    </row>
    <row r="31" spans="1:14" x14ac:dyDescent="0.2">
      <c r="B31" s="552"/>
      <c r="D31" s="542"/>
      <c r="E31" s="542"/>
      <c r="F31" s="542"/>
      <c r="G31" s="542"/>
      <c r="I31" s="550"/>
      <c r="N31" s="542"/>
    </row>
    <row r="32" spans="1:14" x14ac:dyDescent="0.2">
      <c r="A32" s="557">
        <v>40695</v>
      </c>
      <c r="B32" s="552">
        <v>0.56142999999999998</v>
      </c>
      <c r="C32" s="547"/>
      <c r="D32" s="548">
        <v>1.8870000000000001E-2</v>
      </c>
      <c r="E32" s="548">
        <v>9.6000000000000002E-4</v>
      </c>
      <c r="F32" s="542"/>
      <c r="G32" s="549">
        <v>0</v>
      </c>
      <c r="I32" s="551">
        <v>0.185</v>
      </c>
      <c r="J32" s="551">
        <f>+E32/0.1</f>
        <v>9.5999999999999992E-3</v>
      </c>
      <c r="K32" s="551">
        <v>0.88229999999999997</v>
      </c>
      <c r="L32" s="551"/>
      <c r="N32" s="546">
        <v>5.6143000000000001</v>
      </c>
    </row>
    <row r="33" spans="1:14" x14ac:dyDescent="0.2">
      <c r="B33" s="552"/>
      <c r="D33" s="542"/>
      <c r="E33" s="542"/>
      <c r="F33" s="542"/>
      <c r="G33" s="542"/>
      <c r="I33" s="550"/>
      <c r="N33" s="542"/>
    </row>
    <row r="34" spans="1:14" x14ac:dyDescent="0.2">
      <c r="A34" s="557">
        <v>40664</v>
      </c>
      <c r="B34" s="552">
        <v>0.56142999999999998</v>
      </c>
      <c r="C34" s="547"/>
      <c r="D34" s="548">
        <v>1.7589999999999998E-2</v>
      </c>
      <c r="E34" s="548">
        <v>8.8999999999999995E-4</v>
      </c>
      <c r="F34" s="542"/>
      <c r="G34" s="549">
        <v>0</v>
      </c>
      <c r="I34" s="551">
        <v>0.185</v>
      </c>
      <c r="J34" s="551">
        <f>+E34/0.1</f>
        <v>8.8999999999999982E-3</v>
      </c>
      <c r="K34" s="551">
        <v>0.88229999999999997</v>
      </c>
      <c r="L34" s="551"/>
      <c r="N34" s="546">
        <v>5.6143000000000001</v>
      </c>
    </row>
    <row r="35" spans="1:14" x14ac:dyDescent="0.2">
      <c r="B35" s="552"/>
      <c r="D35" s="542"/>
      <c r="E35" s="542"/>
      <c r="F35" s="542"/>
      <c r="G35" s="542"/>
      <c r="I35" s="550"/>
      <c r="N35" s="542"/>
    </row>
    <row r="36" spans="1:14" x14ac:dyDescent="0.2">
      <c r="A36" s="557">
        <v>40634</v>
      </c>
      <c r="B36" s="552">
        <v>0.5272</v>
      </c>
      <c r="C36" s="547"/>
      <c r="D36" s="548">
        <v>1.7589999999999998E-2</v>
      </c>
      <c r="E36" s="548">
        <v>8.8999999999999995E-4</v>
      </c>
      <c r="F36" s="542"/>
      <c r="G36" s="549">
        <v>0</v>
      </c>
      <c r="I36" s="551">
        <v>0.1847</v>
      </c>
      <c r="J36" s="551">
        <f>+E36/0.1</f>
        <v>8.8999999999999982E-3</v>
      </c>
      <c r="K36" s="551">
        <v>0.88390000000000002</v>
      </c>
      <c r="L36" s="551"/>
      <c r="N36" s="546">
        <v>5.2720000000000002</v>
      </c>
    </row>
    <row r="37" spans="1:14" x14ac:dyDescent="0.2">
      <c r="B37" s="552"/>
      <c r="D37" s="542"/>
      <c r="E37" s="542"/>
      <c r="F37" s="542"/>
      <c r="G37" s="542"/>
      <c r="I37" s="550"/>
      <c r="N37" s="542"/>
    </row>
    <row r="38" spans="1:14" x14ac:dyDescent="0.2">
      <c r="A38" s="557">
        <v>40603</v>
      </c>
      <c r="B38" s="552">
        <v>0.5272</v>
      </c>
      <c r="C38" s="547"/>
      <c r="D38" s="548">
        <v>1.3610000000000001E-2</v>
      </c>
      <c r="E38" s="548">
        <v>7.0999999999999991E-4</v>
      </c>
      <c r="F38" s="542"/>
      <c r="G38" s="549">
        <v>0</v>
      </c>
      <c r="I38" s="551">
        <v>0.1847</v>
      </c>
      <c r="J38" s="551">
        <f>+E38/0.1</f>
        <v>7.0999999999999987E-3</v>
      </c>
      <c r="K38" s="551">
        <v>0.88390000000000002</v>
      </c>
      <c r="L38" s="551"/>
      <c r="N38" s="546">
        <v>5.2720000000000002</v>
      </c>
    </row>
    <row r="39" spans="1:14" x14ac:dyDescent="0.2">
      <c r="B39" s="552"/>
      <c r="D39" s="542"/>
      <c r="E39" s="542"/>
      <c r="F39" s="542"/>
      <c r="G39" s="542"/>
      <c r="I39" s="550"/>
      <c r="N39" s="542"/>
    </row>
    <row r="40" spans="1:14" x14ac:dyDescent="0.2">
      <c r="A40" s="557">
        <v>40575</v>
      </c>
      <c r="B40" s="552">
        <v>0.5272</v>
      </c>
      <c r="C40" s="547"/>
      <c r="D40" s="548">
        <v>1.3610000000000001E-2</v>
      </c>
      <c r="E40" s="548">
        <v>7.0999999999999991E-4</v>
      </c>
      <c r="F40" s="542"/>
      <c r="G40" s="549">
        <v>0</v>
      </c>
      <c r="I40" s="551">
        <v>0.1847</v>
      </c>
      <c r="J40" s="551">
        <f>+E40/0.1</f>
        <v>7.0999999999999987E-3</v>
      </c>
      <c r="K40" s="551">
        <v>0.88390000000000002</v>
      </c>
      <c r="L40" s="551"/>
      <c r="N40" s="546">
        <v>5.2720000000000002</v>
      </c>
    </row>
    <row r="41" spans="1:14" x14ac:dyDescent="0.2">
      <c r="B41" s="552"/>
      <c r="D41" s="542"/>
      <c r="E41" s="542"/>
      <c r="F41" s="542"/>
      <c r="G41" s="542"/>
      <c r="I41" s="550"/>
      <c r="N41" s="542"/>
    </row>
    <row r="42" spans="1:14" x14ac:dyDescent="0.2">
      <c r="A42" s="557">
        <v>40544</v>
      </c>
      <c r="B42" s="552">
        <v>0.53857999999999995</v>
      </c>
      <c r="C42" s="547"/>
      <c r="D42" s="548">
        <v>1.3610000000000001E-2</v>
      </c>
      <c r="E42" s="548">
        <v>7.0999999999999991E-4</v>
      </c>
      <c r="F42" s="542"/>
      <c r="G42" s="549">
        <v>0</v>
      </c>
      <c r="I42" s="551">
        <v>0.18479999999999999</v>
      </c>
      <c r="J42" s="551">
        <f>+E42/0.1</f>
        <v>7.0999999999999987E-3</v>
      </c>
      <c r="K42" s="551">
        <v>0.87749999999999995</v>
      </c>
      <c r="L42" s="551"/>
      <c r="N42" s="546">
        <v>5.3857999999999997</v>
      </c>
    </row>
    <row r="43" spans="1:14" x14ac:dyDescent="0.2">
      <c r="B43" s="552"/>
      <c r="D43" s="542"/>
      <c r="E43" s="542"/>
      <c r="F43" s="542"/>
      <c r="G43" s="542"/>
      <c r="I43" s="550"/>
      <c r="N43" s="542"/>
    </row>
    <row r="44" spans="1:14" x14ac:dyDescent="0.2">
      <c r="A44" s="557">
        <v>40513</v>
      </c>
      <c r="B44" s="552">
        <v>0.53857999999999995</v>
      </c>
      <c r="C44" s="547"/>
      <c r="D44" s="548">
        <v>1.3260000000000001E-2</v>
      </c>
      <c r="E44" s="548">
        <v>9.2999999999999995E-4</v>
      </c>
      <c r="F44" s="542"/>
      <c r="G44" s="549">
        <v>0</v>
      </c>
      <c r="I44" s="551">
        <v>0.18479999999999999</v>
      </c>
      <c r="J44" s="551">
        <f>+E44/0.1</f>
        <v>9.2999999999999992E-3</v>
      </c>
      <c r="K44" s="551"/>
      <c r="L44" s="551"/>
      <c r="N44" s="546">
        <v>5.3857999999999997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N50"/>
  <sheetViews>
    <sheetView zoomScaleNormal="100" zoomScaleSheetLayoutView="80" zoomScalePageLayoutView="50" workbookViewId="0"/>
  </sheetViews>
  <sheetFormatPr defaultRowHeight="12.75" x14ac:dyDescent="0.2"/>
  <cols>
    <col min="1" max="1" width="10" style="777" customWidth="1"/>
    <col min="2" max="2" width="36.28515625" style="777" bestFit="1" customWidth="1"/>
    <col min="3" max="3" width="2" style="777" customWidth="1"/>
    <col min="4" max="7" width="15.42578125" style="777" customWidth="1"/>
    <col min="8" max="8" width="15.42578125" style="786" customWidth="1"/>
    <col min="9" max="12" width="15.42578125" style="777" customWidth="1"/>
    <col min="13" max="13" width="15.42578125" style="786" customWidth="1"/>
    <col min="14" max="14" width="16.42578125" style="777" customWidth="1"/>
    <col min="15" max="16384" width="9.140625" style="777"/>
  </cols>
  <sheetData>
    <row r="1" spans="1:14" ht="15.75" x14ac:dyDescent="0.25">
      <c r="A1" s="956" t="s">
        <v>1156</v>
      </c>
      <c r="B1" s="932"/>
      <c r="C1" s="932"/>
      <c r="D1" s="932"/>
      <c r="E1" s="932"/>
      <c r="F1" s="932"/>
      <c r="G1" s="932"/>
      <c r="H1" s="933"/>
      <c r="I1" s="932"/>
      <c r="J1" s="932"/>
      <c r="K1" s="932"/>
      <c r="L1" s="932"/>
      <c r="M1" s="933"/>
    </row>
    <row r="2" spans="1:14" x14ac:dyDescent="0.2">
      <c r="A2" s="932" t="s">
        <v>1157</v>
      </c>
      <c r="B2" s="932"/>
      <c r="C2" s="932"/>
      <c r="D2" s="932"/>
      <c r="E2" s="932"/>
      <c r="F2" s="932"/>
      <c r="G2" s="932"/>
      <c r="H2" s="933"/>
      <c r="I2" s="932"/>
      <c r="J2" s="932"/>
      <c r="K2" s="932"/>
      <c r="L2" s="934" t="s">
        <v>1140</v>
      </c>
      <c r="M2" s="933"/>
    </row>
    <row r="3" spans="1:14" x14ac:dyDescent="0.2">
      <c r="A3" s="932"/>
      <c r="B3" s="932"/>
      <c r="C3" s="932"/>
      <c r="D3" s="935" t="s">
        <v>298</v>
      </c>
      <c r="E3" s="935" t="s">
        <v>299</v>
      </c>
      <c r="F3" s="935" t="s">
        <v>570</v>
      </c>
      <c r="G3" s="935"/>
      <c r="H3" s="935" t="s">
        <v>932</v>
      </c>
      <c r="I3" s="935" t="s">
        <v>932</v>
      </c>
      <c r="J3" s="936"/>
      <c r="K3" s="935" t="s">
        <v>928</v>
      </c>
      <c r="L3" s="934" t="s">
        <v>928</v>
      </c>
      <c r="M3" s="935"/>
      <c r="N3" s="937"/>
    </row>
    <row r="4" spans="1:14" x14ac:dyDescent="0.2">
      <c r="A4" s="932"/>
      <c r="B4" s="932"/>
      <c r="C4" s="932"/>
      <c r="D4" s="938" t="s">
        <v>929</v>
      </c>
      <c r="E4" s="938" t="s">
        <v>930</v>
      </c>
      <c r="F4" s="938" t="s">
        <v>931</v>
      </c>
      <c r="G4" s="938" t="s">
        <v>486</v>
      </c>
      <c r="H4" s="938" t="s">
        <v>1138</v>
      </c>
      <c r="I4" s="938" t="s">
        <v>487</v>
      </c>
      <c r="J4" s="938" t="s">
        <v>487</v>
      </c>
      <c r="K4" s="938" t="s">
        <v>1139</v>
      </c>
      <c r="L4" s="939" t="s">
        <v>1139</v>
      </c>
      <c r="M4" s="938" t="s">
        <v>1149</v>
      </c>
      <c r="N4" s="937"/>
    </row>
    <row r="5" spans="1:14" x14ac:dyDescent="0.2">
      <c r="A5" s="940" t="s">
        <v>1078</v>
      </c>
      <c r="B5" s="932"/>
      <c r="C5" s="932"/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37"/>
    </row>
    <row r="6" spans="1:14" x14ac:dyDescent="0.2">
      <c r="A6" s="932"/>
      <c r="B6" s="932" t="s">
        <v>1141</v>
      </c>
      <c r="C6" s="932"/>
      <c r="D6" s="942">
        <f>+'Exh R11Proposed Increase Detail'!I9</f>
        <v>12.5</v>
      </c>
      <c r="E6" s="932"/>
      <c r="F6" s="932"/>
      <c r="G6" s="942">
        <f>+'Exh R11Proposed Increase Detail'!I132</f>
        <v>275</v>
      </c>
      <c r="H6" s="1051">
        <f>+'Exh R11Proposed Increase Detail'!I211</f>
        <v>170</v>
      </c>
      <c r="I6" s="932"/>
      <c r="J6" s="932"/>
      <c r="K6" s="942">
        <f>+'Exh R11Proposed Increase Detail'!I248</f>
        <v>275</v>
      </c>
      <c r="L6" s="942">
        <f>+'Exh R11Proposed Increase Detail'!I267</f>
        <v>781</v>
      </c>
      <c r="M6" s="933"/>
    </row>
    <row r="7" spans="1:14" x14ac:dyDescent="0.2">
      <c r="A7" s="932"/>
      <c r="B7" s="943" t="s">
        <v>1143</v>
      </c>
      <c r="C7" s="932"/>
      <c r="D7" s="942"/>
      <c r="E7" s="942">
        <f>+'Exh R11Proposed Increase Detail'!I39</f>
        <v>30</v>
      </c>
      <c r="F7" s="942">
        <f>+'Exh R11Proposed Increase Detail'!I86</f>
        <v>30</v>
      </c>
      <c r="G7" s="932"/>
      <c r="H7" s="933"/>
      <c r="I7" s="932"/>
      <c r="J7" s="932"/>
      <c r="K7" s="932"/>
      <c r="L7" s="932"/>
      <c r="M7" s="944">
        <f>+'Retail Rates'!F18</f>
        <v>30</v>
      </c>
    </row>
    <row r="8" spans="1:14" x14ac:dyDescent="0.2">
      <c r="A8" s="932"/>
      <c r="B8" s="943" t="s">
        <v>1144</v>
      </c>
      <c r="C8" s="932"/>
      <c r="D8" s="942"/>
      <c r="E8" s="945">
        <f>+'Exh R11Proposed Increase Detail'!I40</f>
        <v>170</v>
      </c>
      <c r="F8" s="945">
        <f>+'Exh R11Proposed Increase Detail'!I87</f>
        <v>170</v>
      </c>
      <c r="G8" s="932"/>
      <c r="H8" s="933"/>
      <c r="I8" s="932"/>
      <c r="J8" s="932"/>
      <c r="K8" s="932"/>
      <c r="L8" s="932"/>
      <c r="M8" s="944">
        <f>+'Retail Rates'!G18</f>
        <v>170</v>
      </c>
    </row>
    <row r="9" spans="1:14" x14ac:dyDescent="0.2">
      <c r="A9" s="932"/>
      <c r="B9" s="943"/>
      <c r="C9" s="932"/>
      <c r="D9" s="942"/>
      <c r="E9" s="945"/>
      <c r="F9" s="945"/>
      <c r="G9" s="932"/>
      <c r="H9" s="933"/>
      <c r="I9" s="932"/>
      <c r="J9" s="932"/>
      <c r="K9" s="932"/>
      <c r="L9" s="932"/>
      <c r="M9" s="933"/>
    </row>
    <row r="10" spans="1:14" x14ac:dyDescent="0.2">
      <c r="A10" s="932"/>
      <c r="B10" s="932" t="s">
        <v>1142</v>
      </c>
      <c r="C10" s="932"/>
      <c r="D10" s="946">
        <f>+'Exh R11Proposed Increase Detail'!I12</f>
        <v>2.2395999999999998</v>
      </c>
      <c r="E10" s="946">
        <f>+'Exh R11Proposed Increase Detail'!I43</f>
        <v>1.8721999999999999</v>
      </c>
      <c r="F10" s="946">
        <f>+'Exh R11Proposed Increase Detail'!I90</f>
        <v>1.9022000000000001</v>
      </c>
      <c r="G10" s="946">
        <f>+'Exh R11Proposed Increase Detail'!I134</f>
        <v>0.5252</v>
      </c>
      <c r="H10" s="947">
        <f>+'Exh R11Proposed Increase Detail'!I213</f>
        <v>0.2848</v>
      </c>
      <c r="I10" s="946">
        <f>+'Exh R11Proposed Increase Detail'!I228</f>
        <v>4.87E-2</v>
      </c>
      <c r="J10" s="946">
        <f>+'Exh R11Proposed Increase Detail'!I166</f>
        <v>0.43</v>
      </c>
      <c r="K10" s="946">
        <f>+'Exh R11Proposed Increase Detail'!I252</f>
        <v>0.10489999999999999</v>
      </c>
      <c r="L10" s="946">
        <f>+'Exh R11Proposed Increase Detail'!I271</f>
        <v>4.87E-2</v>
      </c>
      <c r="M10" s="946">
        <f>+'Retail Rates'!H18*10</f>
        <v>0.27439999999999998</v>
      </c>
    </row>
    <row r="11" spans="1:14" x14ac:dyDescent="0.2">
      <c r="A11" s="932"/>
      <c r="B11" s="932" t="s">
        <v>1145</v>
      </c>
      <c r="C11" s="932"/>
      <c r="D11" s="946"/>
      <c r="E11" s="946">
        <f>+'Exh R11Proposed Increase Detail'!I44</f>
        <v>1.3722000000000001</v>
      </c>
      <c r="F11" s="946">
        <f>+'Exh R11Proposed Increase Detail'!I91</f>
        <v>1.4022000000000001</v>
      </c>
      <c r="G11" s="946"/>
      <c r="H11" s="947"/>
      <c r="I11" s="946"/>
      <c r="J11" s="946"/>
      <c r="K11" s="946"/>
      <c r="L11" s="946"/>
      <c r="M11" s="947"/>
    </row>
    <row r="12" spans="1:14" x14ac:dyDescent="0.2">
      <c r="A12" s="932"/>
      <c r="B12" s="932"/>
      <c r="C12" s="932"/>
      <c r="D12" s="946"/>
      <c r="E12" s="946"/>
      <c r="F12" s="946"/>
      <c r="G12" s="946"/>
      <c r="H12" s="947"/>
      <c r="I12" s="946"/>
      <c r="J12" s="946"/>
      <c r="K12" s="946"/>
      <c r="L12" s="946"/>
      <c r="M12" s="947"/>
    </row>
    <row r="13" spans="1:14" x14ac:dyDescent="0.2">
      <c r="A13" s="932"/>
      <c r="B13" s="932" t="s">
        <v>1148</v>
      </c>
      <c r="C13" s="932"/>
      <c r="D13" s="932"/>
      <c r="E13" s="932"/>
      <c r="F13" s="932"/>
      <c r="G13" s="932"/>
      <c r="H13" s="1052">
        <f>+'Exh R11Proposed Increase Detail'!I215</f>
        <v>0.96819999999999995</v>
      </c>
      <c r="I13" s="945">
        <f>+'Exh R11Proposed Increase Detail'!I230</f>
        <v>2.4300000000000002</v>
      </c>
      <c r="J13" s="932"/>
      <c r="K13" s="945">
        <f>+'Exh R11Proposed Increase Detail'!I253</f>
        <v>2.75</v>
      </c>
      <c r="L13" s="945">
        <f>+'Exh R11Proposed Increase Detail'!I272</f>
        <v>2.4300000000000002</v>
      </c>
      <c r="M13" s="933">
        <f>+'Retail Rates'!L18</f>
        <v>1.0109999999999999</v>
      </c>
    </row>
    <row r="14" spans="1:14" x14ac:dyDescent="0.2">
      <c r="A14" s="932"/>
      <c r="B14" s="932" t="s">
        <v>990</v>
      </c>
      <c r="C14" s="932"/>
      <c r="D14" s="932"/>
      <c r="E14" s="932"/>
      <c r="F14" s="932"/>
      <c r="G14" s="932"/>
      <c r="H14" s="933"/>
      <c r="I14" s="945">
        <f>+'Exh R11Proposed Increase Detail'!I226</f>
        <v>781</v>
      </c>
      <c r="J14" s="945">
        <f>+'Exh R11Proposed Increase Detail'!I164</f>
        <v>230</v>
      </c>
      <c r="K14" s="945">
        <f>+'Exh R11Proposed Increase Detail'!I250</f>
        <v>230</v>
      </c>
      <c r="L14" s="945">
        <f>+'Exh R11Proposed Increase Detail'!I269</f>
        <v>230</v>
      </c>
      <c r="M14" s="933"/>
    </row>
    <row r="15" spans="1:14" x14ac:dyDescent="0.2">
      <c r="A15" s="932"/>
      <c r="B15" s="932" t="s">
        <v>1150</v>
      </c>
      <c r="C15" s="932"/>
      <c r="D15" s="946"/>
      <c r="E15" s="946"/>
      <c r="F15" s="946"/>
      <c r="G15" s="946"/>
      <c r="H15" s="947"/>
      <c r="I15" s="946">
        <f>+'Exh R11Proposed Increase Detail'!I233</f>
        <v>0.18329999999999999</v>
      </c>
      <c r="J15" s="946">
        <f>+'Exh R11Proposed Increase Detail'!I170</f>
        <v>0.18329999999999999</v>
      </c>
      <c r="K15" s="946">
        <f>+'Exh R11Proposed Increase Detail'!I257</f>
        <v>0.18329999999999999</v>
      </c>
      <c r="L15" s="946">
        <f>+'Exh R11Proposed Increase Detail'!I276</f>
        <v>0.18329999999999999</v>
      </c>
      <c r="M15" s="933"/>
    </row>
    <row r="16" spans="1:14" x14ac:dyDescent="0.2">
      <c r="A16" s="932"/>
      <c r="B16" s="932"/>
      <c r="C16" s="932"/>
      <c r="D16" s="946"/>
      <c r="E16" s="946"/>
      <c r="F16" s="946"/>
      <c r="G16" s="946"/>
      <c r="H16" s="947"/>
      <c r="I16" s="946"/>
      <c r="J16" s="946"/>
      <c r="K16" s="946"/>
      <c r="L16" s="946"/>
      <c r="M16" s="947"/>
    </row>
    <row r="17" spans="1:13" x14ac:dyDescent="0.2">
      <c r="A17" s="932"/>
      <c r="B17" s="932" t="s">
        <v>1146</v>
      </c>
      <c r="C17" s="932"/>
      <c r="D17" s="932"/>
      <c r="E17" s="932"/>
      <c r="F17" s="932"/>
      <c r="G17" s="932"/>
      <c r="H17" s="933"/>
      <c r="I17" s="932"/>
      <c r="J17" s="932"/>
      <c r="K17" s="932"/>
      <c r="L17" s="932"/>
      <c r="M17" s="933"/>
    </row>
    <row r="18" spans="1:13" x14ac:dyDescent="0.2">
      <c r="A18" s="932"/>
      <c r="B18" s="932" t="s">
        <v>1147</v>
      </c>
      <c r="C18" s="932"/>
      <c r="D18" s="932"/>
      <c r="E18" s="942">
        <f>+'Exh R11Proposed Increase Detail'!I51</f>
        <v>153</v>
      </c>
      <c r="F18" s="942">
        <f>+'Exh R11Proposed Increase Detail'!I98</f>
        <v>153</v>
      </c>
      <c r="G18" s="942">
        <f>+F18</f>
        <v>153</v>
      </c>
      <c r="H18" s="933"/>
      <c r="I18" s="932"/>
      <c r="J18" s="932"/>
      <c r="K18" s="932"/>
      <c r="L18" s="932"/>
      <c r="M18" s="933"/>
    </row>
    <row r="19" spans="1:13" x14ac:dyDescent="0.2">
      <c r="A19" s="932"/>
      <c r="B19" s="948" t="s">
        <v>1142</v>
      </c>
      <c r="C19" s="932"/>
      <c r="D19" s="932"/>
      <c r="E19" s="946">
        <f>+E10</f>
        <v>1.8721999999999999</v>
      </c>
      <c r="F19" s="946">
        <f>+F10</f>
        <v>1.9022000000000001</v>
      </c>
      <c r="G19" s="946">
        <f>+G10</f>
        <v>0.5252</v>
      </c>
      <c r="H19" s="933"/>
      <c r="I19" s="932"/>
      <c r="J19" s="932"/>
      <c r="K19" s="932"/>
      <c r="L19" s="932"/>
      <c r="M19" s="933"/>
    </row>
    <row r="20" spans="1:13" x14ac:dyDescent="0.2">
      <c r="A20" s="932"/>
      <c r="B20" s="948" t="s">
        <v>1145</v>
      </c>
      <c r="C20" s="932"/>
      <c r="D20" s="932"/>
      <c r="E20" s="946">
        <f>+E11</f>
        <v>1.3722000000000001</v>
      </c>
      <c r="F20" s="946">
        <f>+F11</f>
        <v>1.4022000000000001</v>
      </c>
      <c r="G20" s="932"/>
      <c r="H20" s="933"/>
      <c r="I20" s="932"/>
      <c r="J20" s="932"/>
      <c r="K20" s="932"/>
      <c r="L20" s="932"/>
      <c r="M20" s="933"/>
    </row>
    <row r="21" spans="1:13" x14ac:dyDescent="0.2">
      <c r="A21" s="932"/>
      <c r="B21" s="932"/>
      <c r="C21" s="932"/>
      <c r="D21" s="932"/>
      <c r="E21" s="932"/>
      <c r="F21" s="932"/>
      <c r="G21" s="932"/>
      <c r="H21" s="933"/>
      <c r="I21" s="932"/>
      <c r="J21" s="932"/>
      <c r="K21" s="932"/>
      <c r="L21" s="932"/>
      <c r="M21" s="933"/>
    </row>
    <row r="22" spans="1:13" x14ac:dyDescent="0.2">
      <c r="A22" s="932"/>
      <c r="B22" s="932" t="s">
        <v>1151</v>
      </c>
      <c r="C22" s="932"/>
      <c r="D22" s="932"/>
      <c r="E22" s="932"/>
      <c r="F22" s="932"/>
      <c r="G22" s="932"/>
      <c r="H22" s="933"/>
      <c r="I22" s="932"/>
      <c r="J22" s="932"/>
      <c r="K22" s="932"/>
      <c r="L22" s="932"/>
      <c r="M22" s="933"/>
    </row>
    <row r="23" spans="1:13" x14ac:dyDescent="0.2">
      <c r="A23" s="932"/>
      <c r="B23" s="932" t="s">
        <v>1147</v>
      </c>
      <c r="C23" s="932"/>
      <c r="D23" s="932"/>
      <c r="E23" s="949">
        <f>+'Retail Rates'!J17</f>
        <v>75</v>
      </c>
      <c r="F23" s="949">
        <f>+'Retail Rates'!J25</f>
        <v>75</v>
      </c>
      <c r="G23" s="949">
        <f>+'Retail Rates'!J12</f>
        <v>75</v>
      </c>
      <c r="H23" s="933"/>
      <c r="I23" s="932"/>
      <c r="J23" s="949">
        <f>+'Exh R11Proposed Increase Detail'!I199</f>
        <v>75</v>
      </c>
      <c r="K23" s="932"/>
      <c r="L23" s="932"/>
      <c r="M23" s="933"/>
    </row>
    <row r="24" spans="1:13" x14ac:dyDescent="0.2">
      <c r="A24" s="932"/>
      <c r="B24" s="932"/>
      <c r="C24" s="932"/>
      <c r="D24" s="932"/>
      <c r="E24" s="932"/>
      <c r="F24" s="932"/>
      <c r="G24" s="932"/>
      <c r="H24" s="933"/>
      <c r="I24" s="932"/>
      <c r="J24" s="932"/>
      <c r="K24" s="932"/>
      <c r="L24" s="934" t="s">
        <v>1140</v>
      </c>
      <c r="M24" s="933"/>
    </row>
    <row r="25" spans="1:13" x14ac:dyDescent="0.2">
      <c r="A25" s="932"/>
      <c r="B25" s="932"/>
      <c r="C25" s="932"/>
      <c r="D25" s="932"/>
      <c r="E25" s="932"/>
      <c r="F25" s="932"/>
      <c r="G25" s="932"/>
      <c r="H25" s="933"/>
      <c r="I25" s="932"/>
      <c r="J25" s="932"/>
      <c r="K25" s="932"/>
      <c r="L25" s="934" t="s">
        <v>928</v>
      </c>
      <c r="M25" s="933"/>
    </row>
    <row r="26" spans="1:13" x14ac:dyDescent="0.2">
      <c r="A26" s="940" t="s">
        <v>1152</v>
      </c>
      <c r="B26" s="932"/>
      <c r="C26" s="932"/>
      <c r="D26" s="932"/>
      <c r="E26" s="932"/>
      <c r="F26" s="932"/>
      <c r="G26" s="932"/>
      <c r="H26" s="933"/>
      <c r="I26" s="932"/>
      <c r="J26" s="932"/>
      <c r="K26" s="932"/>
      <c r="L26" s="939" t="s">
        <v>1139</v>
      </c>
      <c r="M26" s="933"/>
    </row>
    <row r="27" spans="1:13" x14ac:dyDescent="0.2">
      <c r="A27" s="932"/>
      <c r="B27" s="932" t="s">
        <v>1141</v>
      </c>
      <c r="C27" s="932"/>
      <c r="D27" s="942">
        <f>+'Exh R11Proposed Increase Detail'!L9</f>
        <v>15.5</v>
      </c>
      <c r="E27" s="932"/>
      <c r="F27" s="932"/>
      <c r="G27" s="942">
        <f>+'Exh R11Proposed Increase Detail'!L132</f>
        <v>275</v>
      </c>
      <c r="H27" s="1051">
        <f>+'Exh R11Proposed Increase Detail'!L211</f>
        <v>175</v>
      </c>
      <c r="I27" s="932"/>
      <c r="J27" s="932"/>
      <c r="K27" s="942">
        <f>+'Exh R11Proposed Increase Detail'!L248</f>
        <v>275</v>
      </c>
      <c r="L27" s="950"/>
      <c r="M27" s="933"/>
    </row>
    <row r="28" spans="1:13" x14ac:dyDescent="0.2">
      <c r="A28" s="932"/>
      <c r="B28" s="943" t="s">
        <v>1143</v>
      </c>
      <c r="C28" s="932"/>
      <c r="D28" s="932"/>
      <c r="E28" s="942">
        <f>+'Exh R11Proposed Increase Detail'!L39</f>
        <v>35</v>
      </c>
      <c r="F28" s="942">
        <f>+'Exh R11Proposed Increase Detail'!L86</f>
        <v>35</v>
      </c>
      <c r="G28" s="932"/>
      <c r="H28" s="933"/>
      <c r="I28" s="932"/>
      <c r="J28" s="932"/>
      <c r="K28" s="932"/>
      <c r="L28" s="950"/>
      <c r="M28" s="1051">
        <f>F28</f>
        <v>35</v>
      </c>
    </row>
    <row r="29" spans="1:13" x14ac:dyDescent="0.2">
      <c r="A29" s="932"/>
      <c r="B29" s="943" t="s">
        <v>1144</v>
      </c>
      <c r="C29" s="932"/>
      <c r="D29" s="932"/>
      <c r="E29" s="942">
        <f>+'Exh R11Proposed Increase Detail'!L40</f>
        <v>175</v>
      </c>
      <c r="F29" s="942">
        <f>+'Exh R11Proposed Increase Detail'!L87</f>
        <v>175</v>
      </c>
      <c r="G29" s="932"/>
      <c r="H29" s="933"/>
      <c r="I29" s="932"/>
      <c r="J29" s="932"/>
      <c r="K29" s="932"/>
      <c r="L29" s="950"/>
      <c r="M29" s="1051">
        <f>F29</f>
        <v>175</v>
      </c>
    </row>
    <row r="30" spans="1:13" x14ac:dyDescent="0.2">
      <c r="A30" s="932"/>
      <c r="B30" s="943"/>
      <c r="C30" s="932"/>
      <c r="D30" s="932"/>
      <c r="E30" s="932"/>
      <c r="F30" s="932"/>
      <c r="G30" s="932"/>
      <c r="H30" s="933"/>
      <c r="I30" s="932"/>
      <c r="J30" s="932"/>
      <c r="K30" s="932"/>
      <c r="L30" s="950"/>
      <c r="M30" s="933"/>
    </row>
    <row r="31" spans="1:13" x14ac:dyDescent="0.2">
      <c r="A31" s="932"/>
      <c r="B31" s="932" t="s">
        <v>1142</v>
      </c>
      <c r="C31" s="932"/>
      <c r="D31" s="932">
        <f>+'Exh R11Proposed Increase Detail'!L12</f>
        <v>2.3121</v>
      </c>
      <c r="E31" s="946">
        <f>+'Exh R11Proposed Increase Detail'!L43</f>
        <v>2.1141999999999999</v>
      </c>
      <c r="F31" s="946">
        <f>+'Exh R11Proposed Increase Detail'!L90</f>
        <v>2.1522999999999999</v>
      </c>
      <c r="G31" s="946">
        <f>+'Exh R11Proposed Increase Detail'!L134</f>
        <v>0.61170000000000002</v>
      </c>
      <c r="H31" s="933">
        <f>+'Exh R11Proposed Increase Detail'!L213</f>
        <v>0.32219999999999999</v>
      </c>
      <c r="I31" s="932">
        <f>+'Exh R11Proposed Increase Detail'!L228</f>
        <v>4.87E-2</v>
      </c>
      <c r="J31" s="946">
        <f>+'Exh R11Proposed Increase Detail'!L166</f>
        <v>0.43</v>
      </c>
      <c r="K31" s="932">
        <f>+'Exh R11Proposed Increase Detail'!L252</f>
        <v>0.10489999999999999</v>
      </c>
      <c r="L31" s="950"/>
      <c r="M31" s="786">
        <f>+H31</f>
        <v>0.32219999999999999</v>
      </c>
    </row>
    <row r="32" spans="1:13" x14ac:dyDescent="0.2">
      <c r="A32" s="932"/>
      <c r="B32" s="932" t="s">
        <v>1145</v>
      </c>
      <c r="C32" s="932"/>
      <c r="D32" s="932"/>
      <c r="E32" s="946">
        <f>+'Exh R11Proposed Increase Detail'!L44</f>
        <v>1.6141999999999999</v>
      </c>
      <c r="F32" s="946">
        <f>+'Exh R11Proposed Increase Detail'!L91</f>
        <v>1.6522999999999999</v>
      </c>
      <c r="G32" s="932"/>
      <c r="H32" s="933"/>
      <c r="I32" s="932"/>
      <c r="J32" s="932"/>
      <c r="K32" s="932"/>
      <c r="L32" s="950"/>
    </row>
    <row r="33" spans="1:13" x14ac:dyDescent="0.2">
      <c r="A33" s="932"/>
      <c r="B33" s="932"/>
      <c r="C33" s="932"/>
      <c r="D33" s="932"/>
      <c r="E33" s="932"/>
      <c r="F33" s="932"/>
      <c r="G33" s="932"/>
      <c r="H33" s="933"/>
      <c r="I33" s="932"/>
      <c r="J33" s="932"/>
      <c r="K33" s="932"/>
      <c r="L33" s="950"/>
    </row>
    <row r="34" spans="1:13" x14ac:dyDescent="0.2">
      <c r="A34" s="932"/>
      <c r="B34" s="932" t="s">
        <v>1148</v>
      </c>
      <c r="C34" s="932"/>
      <c r="D34" s="932"/>
      <c r="E34" s="932"/>
      <c r="F34" s="932"/>
      <c r="G34" s="932"/>
      <c r="H34" s="1053">
        <f>+'Exh R11Proposed Increase Detail'!L215</f>
        <v>1.0900000000000001</v>
      </c>
      <c r="I34" s="945">
        <f>+'Exh R11Proposed Increase Detail'!L230</f>
        <v>2.4300000000000002</v>
      </c>
      <c r="J34" s="932"/>
      <c r="K34" s="945">
        <f>+'Exh R11Proposed Increase Detail'!L253</f>
        <v>2.75</v>
      </c>
      <c r="L34" s="951"/>
      <c r="M34" s="962">
        <f>+H34</f>
        <v>1.0900000000000001</v>
      </c>
    </row>
    <row r="35" spans="1:13" x14ac:dyDescent="0.2">
      <c r="A35" s="932"/>
      <c r="B35" s="932" t="s">
        <v>990</v>
      </c>
      <c r="C35" s="932"/>
      <c r="D35" s="932"/>
      <c r="E35" s="932"/>
      <c r="F35" s="932"/>
      <c r="G35" s="932"/>
      <c r="H35" s="933"/>
      <c r="I35" s="945">
        <f>+'Exh R11Proposed Increase Detail'!L226</f>
        <v>781</v>
      </c>
      <c r="J35" s="945">
        <f>+'Exh R11Proposed Increase Detail'!L164</f>
        <v>600</v>
      </c>
      <c r="K35" s="945">
        <f>+'Exh R11Proposed Increase Detail'!L250</f>
        <v>600</v>
      </c>
      <c r="L35" s="951"/>
      <c r="M35" s="933"/>
    </row>
    <row r="36" spans="1:13" x14ac:dyDescent="0.2">
      <c r="A36" s="932"/>
      <c r="B36" s="932" t="s">
        <v>1150</v>
      </c>
      <c r="C36" s="932"/>
      <c r="D36" s="932"/>
      <c r="E36" s="932"/>
      <c r="F36" s="932"/>
      <c r="G36" s="932"/>
      <c r="H36" s="933"/>
      <c r="I36" s="946">
        <f>+'Exh R11Proposed Increase Detail'!L233</f>
        <v>0.18329999999999999</v>
      </c>
      <c r="J36" s="946">
        <f>+'Exh R11Proposed Increase Detail'!L170</f>
        <v>0.18329999999999999</v>
      </c>
      <c r="K36" s="946">
        <f>+'Exh R11Proposed Increase Detail'!L257</f>
        <v>0.18329999999999999</v>
      </c>
      <c r="L36" s="952"/>
      <c r="M36" s="933"/>
    </row>
    <row r="37" spans="1:13" x14ac:dyDescent="0.2">
      <c r="A37" s="932"/>
      <c r="B37" s="932"/>
      <c r="C37" s="932"/>
      <c r="D37" s="932"/>
      <c r="E37" s="932"/>
      <c r="F37" s="932"/>
      <c r="G37" s="932"/>
      <c r="H37" s="933"/>
      <c r="I37" s="932"/>
      <c r="J37" s="932"/>
      <c r="K37" s="932"/>
      <c r="L37" s="950"/>
      <c r="M37" s="933"/>
    </row>
    <row r="38" spans="1:13" x14ac:dyDescent="0.2">
      <c r="A38" s="932"/>
      <c r="B38" s="932" t="s">
        <v>1146</v>
      </c>
      <c r="C38" s="932"/>
      <c r="D38" s="932"/>
      <c r="E38" s="932"/>
      <c r="F38" s="932"/>
      <c r="G38" s="932"/>
      <c r="H38" s="933"/>
      <c r="I38" s="932"/>
      <c r="J38" s="932"/>
      <c r="K38" s="932"/>
      <c r="L38" s="950"/>
      <c r="M38" s="933"/>
    </row>
    <row r="39" spans="1:13" x14ac:dyDescent="0.2">
      <c r="A39" s="932"/>
      <c r="B39" s="932" t="s">
        <v>1147</v>
      </c>
      <c r="C39" s="932"/>
      <c r="D39" s="932"/>
      <c r="E39" s="942">
        <f>+'Exh R11Proposed Increase Detail'!L51</f>
        <v>592</v>
      </c>
      <c r="F39" s="942">
        <f>+'Exh R11Proposed Increase Detail'!L98</f>
        <v>592</v>
      </c>
      <c r="G39" s="942">
        <f>+F39</f>
        <v>592</v>
      </c>
      <c r="H39" s="933"/>
      <c r="I39" s="932"/>
      <c r="J39" s="932"/>
      <c r="K39" s="932"/>
      <c r="L39" s="950"/>
      <c r="M39" s="933"/>
    </row>
    <row r="40" spans="1:13" x14ac:dyDescent="0.2">
      <c r="A40" s="932"/>
      <c r="B40" s="948" t="s">
        <v>1142</v>
      </c>
      <c r="C40" s="932"/>
      <c r="D40" s="932"/>
      <c r="E40" s="946">
        <f>+E31</f>
        <v>2.1141999999999999</v>
      </c>
      <c r="F40" s="946">
        <f>+F31</f>
        <v>2.1522999999999999</v>
      </c>
      <c r="G40" s="946">
        <f>+G31</f>
        <v>0.61170000000000002</v>
      </c>
      <c r="H40" s="933"/>
      <c r="I40" s="932"/>
      <c r="J40" s="932"/>
      <c r="K40" s="932"/>
      <c r="L40" s="950"/>
      <c r="M40" s="933"/>
    </row>
    <row r="41" spans="1:13" x14ac:dyDescent="0.2">
      <c r="A41" s="932"/>
      <c r="B41" s="948" t="s">
        <v>1145</v>
      </c>
      <c r="C41" s="932"/>
      <c r="D41" s="932"/>
      <c r="E41" s="946">
        <f>+E32</f>
        <v>1.6141999999999999</v>
      </c>
      <c r="F41" s="946">
        <f>+F32</f>
        <v>1.6522999999999999</v>
      </c>
      <c r="G41" s="932"/>
      <c r="H41" s="933"/>
      <c r="I41" s="932"/>
      <c r="J41" s="932"/>
      <c r="K41" s="932"/>
      <c r="L41" s="950"/>
      <c r="M41" s="933"/>
    </row>
    <row r="42" spans="1:13" x14ac:dyDescent="0.2">
      <c r="A42" s="932"/>
      <c r="B42" s="932"/>
      <c r="C42" s="932"/>
      <c r="D42" s="932"/>
      <c r="E42" s="932"/>
      <c r="F42" s="932"/>
      <c r="G42" s="932"/>
      <c r="H42" s="933"/>
      <c r="I42" s="932"/>
      <c r="J42" s="932"/>
      <c r="K42" s="932"/>
      <c r="L42" s="950"/>
      <c r="M42" s="933"/>
    </row>
    <row r="43" spans="1:13" x14ac:dyDescent="0.2">
      <c r="A43" s="932"/>
      <c r="B43" s="932" t="s">
        <v>1154</v>
      </c>
      <c r="C43" s="932"/>
      <c r="D43" s="932"/>
      <c r="E43" s="932"/>
      <c r="F43" s="932"/>
      <c r="G43" s="932"/>
      <c r="H43" s="933"/>
      <c r="I43" s="932"/>
      <c r="J43" s="932"/>
      <c r="K43" s="932"/>
      <c r="L43" s="950"/>
      <c r="M43" s="933"/>
    </row>
    <row r="44" spans="1:13" x14ac:dyDescent="0.2">
      <c r="A44" s="932"/>
      <c r="B44" s="932" t="s">
        <v>1147</v>
      </c>
      <c r="C44" s="932"/>
      <c r="D44" s="932"/>
      <c r="E44" s="949">
        <f>+E23</f>
        <v>75</v>
      </c>
      <c r="F44" s="949">
        <f>+F23</f>
        <v>75</v>
      </c>
      <c r="G44" s="949">
        <f>+G23</f>
        <v>75</v>
      </c>
      <c r="H44" s="944"/>
      <c r="I44" s="949"/>
      <c r="J44" s="949">
        <f>+J23</f>
        <v>75</v>
      </c>
      <c r="K44" s="932"/>
      <c r="L44" s="950"/>
      <c r="M44" s="933"/>
    </row>
    <row r="45" spans="1:13" x14ac:dyDescent="0.2">
      <c r="A45" s="932"/>
      <c r="B45" s="932"/>
      <c r="C45" s="932"/>
      <c r="D45" s="932"/>
      <c r="E45" s="932"/>
      <c r="F45" s="932"/>
      <c r="G45" s="932"/>
      <c r="H45" s="933"/>
      <c r="I45" s="932"/>
      <c r="J45" s="932"/>
      <c r="K45" s="932"/>
      <c r="L45" s="932"/>
      <c r="M45" s="933"/>
    </row>
    <row r="46" spans="1:13" x14ac:dyDescent="0.2">
      <c r="B46" s="932" t="s">
        <v>1153</v>
      </c>
      <c r="E46" s="786"/>
      <c r="F46" s="786"/>
      <c r="G46" s="786"/>
    </row>
    <row r="47" spans="1:13" x14ac:dyDescent="0.2">
      <c r="B47" s="932" t="s">
        <v>1147</v>
      </c>
      <c r="E47" s="1054">
        <f>J35</f>
        <v>600</v>
      </c>
      <c r="F47" s="1054">
        <f>J35</f>
        <v>600</v>
      </c>
      <c r="G47" s="1054">
        <f>J35</f>
        <v>600</v>
      </c>
    </row>
    <row r="48" spans="1:13" x14ac:dyDescent="0.2">
      <c r="B48" s="948" t="s">
        <v>1142</v>
      </c>
      <c r="E48" s="1055">
        <f>+E31</f>
        <v>2.1141999999999999</v>
      </c>
      <c r="F48" s="1055">
        <f t="shared" ref="F48:G48" si="0">+F31</f>
        <v>2.1522999999999999</v>
      </c>
      <c r="G48" s="1055">
        <f t="shared" si="0"/>
        <v>0.61170000000000002</v>
      </c>
    </row>
    <row r="49" spans="2:7" x14ac:dyDescent="0.2">
      <c r="B49" s="948" t="s">
        <v>1145</v>
      </c>
      <c r="E49" s="953">
        <f t="shared" ref="E49:F49" si="1">+E32</f>
        <v>1.6141999999999999</v>
      </c>
      <c r="F49" s="953">
        <f t="shared" si="1"/>
        <v>1.6522999999999999</v>
      </c>
      <c r="G49" s="953"/>
    </row>
    <row r="50" spans="2:7" x14ac:dyDescent="0.2">
      <c r="B50" s="948" t="s">
        <v>1155</v>
      </c>
      <c r="E50" s="942">
        <v>300</v>
      </c>
      <c r="F50" s="942">
        <v>300</v>
      </c>
      <c r="G50" s="942">
        <v>300</v>
      </c>
    </row>
  </sheetData>
  <pageMargins left="1" right="1" top="1.25" bottom="1" header="0.55000000000000004" footer="0.55000000000000004"/>
  <pageSetup scale="5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39997558519241921"/>
  </sheetPr>
  <dimension ref="A1:Z124"/>
  <sheetViews>
    <sheetView topLeftCell="D1" zoomScale="80" zoomScaleNormal="80" workbookViewId="0">
      <selection activeCell="AA2" sqref="AA2"/>
    </sheetView>
  </sheetViews>
  <sheetFormatPr defaultRowHeight="15" x14ac:dyDescent="0.25"/>
  <cols>
    <col min="1" max="1" width="15.5703125" style="398" customWidth="1"/>
    <col min="2" max="2" width="31.42578125" bestFit="1" customWidth="1"/>
    <col min="3" max="3" width="10.85546875" customWidth="1"/>
    <col min="4" max="4" width="12.42578125" customWidth="1"/>
    <col min="5" max="5" width="16.42578125" bestFit="1" customWidth="1"/>
    <col min="6" max="7" width="15" bestFit="1" customWidth="1"/>
    <col min="8" max="8" width="16.42578125" bestFit="1" customWidth="1"/>
    <col min="9" max="9" width="2" customWidth="1"/>
    <col min="10" max="10" width="12.42578125" bestFit="1" customWidth="1"/>
    <col min="11" max="11" width="14" customWidth="1"/>
    <col min="12" max="12" width="10.5703125" bestFit="1" customWidth="1"/>
    <col min="13" max="13" width="2" customWidth="1"/>
    <col min="14" max="14" width="13.5703125" bestFit="1" customWidth="1"/>
    <col min="15" max="15" width="14.28515625" bestFit="1" customWidth="1"/>
    <col min="16" max="16" width="14.5703125" bestFit="1" customWidth="1"/>
    <col min="17" max="17" width="12" bestFit="1" customWidth="1"/>
    <col min="18" max="18" width="13.28515625" customWidth="1"/>
    <col min="19" max="19" width="14.5703125" bestFit="1" customWidth="1"/>
    <col min="20" max="20" width="11.5703125" bestFit="1" customWidth="1"/>
    <col min="21" max="21" width="13" bestFit="1" customWidth="1"/>
    <col min="22" max="22" width="11" bestFit="1" customWidth="1"/>
    <col min="23" max="24" width="9.28515625" bestFit="1" customWidth="1"/>
    <col min="25" max="25" width="12.5703125" bestFit="1" customWidth="1"/>
    <col min="26" max="26" width="12" bestFit="1" customWidth="1"/>
  </cols>
  <sheetData>
    <row r="1" spans="1:26" ht="16.5" thickTop="1" thickBot="1" x14ac:dyDescent="0.3">
      <c r="A1" s="508"/>
      <c r="B1" s="508"/>
      <c r="C1" s="508"/>
      <c r="D1" s="508"/>
      <c r="J1" s="453" t="s">
        <v>327</v>
      </c>
      <c r="K1" s="454"/>
      <c r="L1" s="455"/>
      <c r="N1" s="455"/>
      <c r="O1" s="454"/>
      <c r="P1" s="454"/>
      <c r="Q1" s="456"/>
      <c r="R1" s="456"/>
      <c r="S1" s="456"/>
      <c r="T1" s="456"/>
      <c r="U1" s="454"/>
      <c r="V1" s="455"/>
      <c r="W1" s="455"/>
      <c r="X1" s="455"/>
      <c r="Y1" s="455"/>
      <c r="Z1" s="457"/>
    </row>
    <row r="2" spans="1:26" ht="41.25" customHeight="1" thickTop="1" thickBot="1" x14ac:dyDescent="0.3">
      <c r="A2" s="508"/>
      <c r="B2" s="508"/>
      <c r="C2" s="508"/>
      <c r="D2" s="508"/>
      <c r="G2" s="504" t="s">
        <v>805</v>
      </c>
      <c r="H2" s="505" t="s">
        <v>806</v>
      </c>
      <c r="L2" s="504" t="s">
        <v>805</v>
      </c>
      <c r="N2" s="504" t="s">
        <v>805</v>
      </c>
      <c r="Q2" s="503" t="s">
        <v>804</v>
      </c>
      <c r="R2" s="504" t="s">
        <v>805</v>
      </c>
      <c r="S2" s="504" t="s">
        <v>805</v>
      </c>
      <c r="V2" s="504" t="s">
        <v>805</v>
      </c>
      <c r="W2" s="504" t="s">
        <v>805</v>
      </c>
      <c r="X2" s="504" t="s">
        <v>805</v>
      </c>
      <c r="Y2" s="504" t="s">
        <v>805</v>
      </c>
      <c r="Z2" s="505" t="s">
        <v>806</v>
      </c>
    </row>
    <row r="3" spans="1:26" ht="27" thickTop="1" thickBot="1" x14ac:dyDescent="0.3">
      <c r="B3" s="458"/>
      <c r="C3" s="506" t="s">
        <v>780</v>
      </c>
      <c r="D3" s="507" t="s">
        <v>781</v>
      </c>
      <c r="E3" s="453" t="s">
        <v>333</v>
      </c>
      <c r="F3" s="460" t="s">
        <v>333</v>
      </c>
      <c r="G3" s="455" t="s">
        <v>333</v>
      </c>
      <c r="H3" s="461" t="s">
        <v>333</v>
      </c>
      <c r="J3" s="453" t="s">
        <v>327</v>
      </c>
      <c r="K3" s="460" t="s">
        <v>782</v>
      </c>
      <c r="L3" s="455" t="s">
        <v>783</v>
      </c>
      <c r="M3" s="459"/>
      <c r="N3" s="455" t="s">
        <v>784</v>
      </c>
      <c r="O3" s="460" t="s">
        <v>785</v>
      </c>
      <c r="P3" s="460" t="s">
        <v>231</v>
      </c>
      <c r="Q3" s="460" t="s">
        <v>231</v>
      </c>
      <c r="R3" s="460" t="s">
        <v>449</v>
      </c>
      <c r="S3" s="460" t="s">
        <v>786</v>
      </c>
      <c r="T3" s="460" t="s">
        <v>292</v>
      </c>
      <c r="U3" s="460" t="s">
        <v>294</v>
      </c>
      <c r="V3" s="455" t="s">
        <v>787</v>
      </c>
      <c r="W3" s="455" t="s">
        <v>294</v>
      </c>
      <c r="X3" s="455" t="s">
        <v>788</v>
      </c>
      <c r="Y3" s="455" t="s">
        <v>292</v>
      </c>
      <c r="Z3" s="461" t="s">
        <v>292</v>
      </c>
    </row>
    <row r="4" spans="1:26" ht="15.75" thickTop="1" x14ac:dyDescent="0.25">
      <c r="A4" s="398" t="s">
        <v>17</v>
      </c>
      <c r="B4" s="458"/>
      <c r="C4" s="459"/>
      <c r="D4" s="459"/>
      <c r="E4" s="462"/>
      <c r="F4" s="463"/>
      <c r="G4" s="464"/>
      <c r="H4" s="465"/>
      <c r="J4" s="466"/>
      <c r="K4" s="467">
        <v>10</v>
      </c>
      <c r="L4" s="468">
        <v>11</v>
      </c>
      <c r="M4" s="458"/>
      <c r="N4" s="468">
        <v>13</v>
      </c>
      <c r="O4" s="467">
        <v>14</v>
      </c>
      <c r="P4" s="467">
        <v>15</v>
      </c>
      <c r="Q4" s="467">
        <v>16</v>
      </c>
      <c r="R4" s="467">
        <v>17</v>
      </c>
      <c r="S4" s="467">
        <v>18</v>
      </c>
      <c r="T4" s="467">
        <v>19</v>
      </c>
      <c r="U4" s="467">
        <v>20</v>
      </c>
      <c r="V4" s="468">
        <v>21</v>
      </c>
      <c r="W4" s="468">
        <v>22</v>
      </c>
      <c r="X4" s="468">
        <v>23</v>
      </c>
      <c r="Y4" s="468">
        <v>24</v>
      </c>
      <c r="Z4" s="465">
        <v>25</v>
      </c>
    </row>
    <row r="5" spans="1:26" x14ac:dyDescent="0.25">
      <c r="A5" s="1073" t="str">
        <f>VLOOKUP($B5,'Retail Rates'!$A$46:$B$55,2,FALSE)</f>
        <v>LGING882</v>
      </c>
      <c r="B5" s="469" t="s">
        <v>68</v>
      </c>
      <c r="C5" s="470">
        <v>40634</v>
      </c>
      <c r="D5" s="470">
        <f>+C5</f>
        <v>40634</v>
      </c>
      <c r="E5" s="471">
        <v>3784.2099999999996</v>
      </c>
      <c r="F5" s="472">
        <v>5846.9299999999994</v>
      </c>
      <c r="G5" s="473">
        <v>1490.3899999999999</v>
      </c>
      <c r="H5" s="465">
        <v>-3553.11</v>
      </c>
      <c r="J5" s="471">
        <v>24306</v>
      </c>
      <c r="K5" s="472">
        <v>22912</v>
      </c>
      <c r="L5" s="473">
        <v>1394</v>
      </c>
      <c r="N5" s="464">
        <v>510</v>
      </c>
      <c r="O5" s="474">
        <v>459</v>
      </c>
      <c r="P5" s="474">
        <v>3362.7299999999996</v>
      </c>
      <c r="Q5" s="463">
        <v>2025.2</v>
      </c>
      <c r="R5" s="464">
        <v>245.47</v>
      </c>
      <c r="S5" s="464">
        <v>734.92</v>
      </c>
      <c r="T5" s="463">
        <v>0</v>
      </c>
      <c r="U5" s="463">
        <v>0</v>
      </c>
      <c r="V5" s="464">
        <v>0</v>
      </c>
      <c r="W5" s="464">
        <v>0</v>
      </c>
      <c r="X5" s="464">
        <v>0</v>
      </c>
      <c r="Y5" s="464">
        <v>0</v>
      </c>
      <c r="Z5" s="465">
        <v>-3553.11</v>
      </c>
    </row>
    <row r="6" spans="1:26" x14ac:dyDescent="0.25">
      <c r="A6" s="1073" t="str">
        <f>VLOOKUP($B6,'Retail Rates'!$A$46:$B$55,2,FALSE)</f>
        <v>LGCMG881</v>
      </c>
      <c r="B6" s="469" t="s">
        <v>65</v>
      </c>
      <c r="C6" s="470">
        <v>40634</v>
      </c>
      <c r="D6" s="470">
        <f>+C6</f>
        <v>40634</v>
      </c>
      <c r="E6" s="471">
        <v>4776.0200000000004</v>
      </c>
      <c r="F6" s="472">
        <v>153</v>
      </c>
      <c r="G6" s="473">
        <v>4623.0200000000004</v>
      </c>
      <c r="H6" s="465">
        <v>0</v>
      </c>
      <c r="J6" s="471">
        <v>6618</v>
      </c>
      <c r="K6" s="472">
        <v>0</v>
      </c>
      <c r="L6" s="473">
        <v>6618</v>
      </c>
      <c r="N6" s="464">
        <v>170</v>
      </c>
      <c r="O6" s="474">
        <v>153</v>
      </c>
      <c r="P6" s="463">
        <v>0</v>
      </c>
      <c r="Q6" s="463">
        <v>0</v>
      </c>
      <c r="R6" s="464">
        <v>958.12</v>
      </c>
      <c r="S6" s="464">
        <v>3489.01</v>
      </c>
      <c r="T6" s="463">
        <v>0</v>
      </c>
      <c r="U6" s="463">
        <v>0</v>
      </c>
      <c r="V6" s="464">
        <v>0</v>
      </c>
      <c r="W6" s="475">
        <v>5.89</v>
      </c>
      <c r="X6" s="464">
        <v>0</v>
      </c>
      <c r="Y6" s="464">
        <v>0</v>
      </c>
      <c r="Z6" s="465">
        <v>0</v>
      </c>
    </row>
    <row r="7" spans="1:26" x14ac:dyDescent="0.25">
      <c r="A7" s="1073" t="str">
        <f>VLOOKUP($B7,'Retail Rates'!$A$46:$B$55,2,FALSE)</f>
        <v>LGCMG895</v>
      </c>
      <c r="B7" s="476" t="s">
        <v>789</v>
      </c>
      <c r="C7" s="470">
        <v>40634</v>
      </c>
      <c r="D7" s="470">
        <v>40603</v>
      </c>
      <c r="E7" s="471">
        <v>27000.199999999997</v>
      </c>
      <c r="F7" s="472">
        <v>27579.479999999996</v>
      </c>
      <c r="G7" s="473">
        <v>0</v>
      </c>
      <c r="H7" s="465">
        <v>-579.28</v>
      </c>
      <c r="J7" s="471">
        <v>578196</v>
      </c>
      <c r="K7" s="472">
        <v>578196</v>
      </c>
      <c r="L7" s="473">
        <v>0</v>
      </c>
      <c r="N7" s="464">
        <v>0</v>
      </c>
      <c r="O7" s="474">
        <v>2300</v>
      </c>
      <c r="P7" s="474">
        <v>24862.42</v>
      </c>
      <c r="Q7" s="463">
        <v>0</v>
      </c>
      <c r="R7" s="463">
        <v>0</v>
      </c>
      <c r="S7" s="474">
        <v>6.55</v>
      </c>
      <c r="T7" s="463">
        <v>0</v>
      </c>
      <c r="U7" s="474">
        <v>410.51000000000005</v>
      </c>
      <c r="V7" s="475">
        <v>0</v>
      </c>
      <c r="W7" s="464">
        <v>0</v>
      </c>
      <c r="X7" s="475">
        <v>0</v>
      </c>
      <c r="Y7" s="464">
        <v>0</v>
      </c>
      <c r="Z7" s="465">
        <v>-579.28</v>
      </c>
    </row>
    <row r="8" spans="1:26" x14ac:dyDescent="0.25">
      <c r="A8" s="1073" t="str">
        <f>VLOOKUP($B8,'Retail Rates'!$A$46:$B$55,2,FALSE)</f>
        <v>LGING896</v>
      </c>
      <c r="B8" s="477" t="s">
        <v>790</v>
      </c>
      <c r="C8" s="470">
        <v>40634</v>
      </c>
      <c r="D8" s="470">
        <v>40603</v>
      </c>
      <c r="E8" s="471">
        <v>382457.36</v>
      </c>
      <c r="F8" s="472">
        <v>407417.83999999997</v>
      </c>
      <c r="G8" s="473">
        <v>0</v>
      </c>
      <c r="H8" s="465">
        <v>-24960.48</v>
      </c>
      <c r="J8" s="471">
        <v>9008752</v>
      </c>
      <c r="K8" s="472">
        <v>9008752</v>
      </c>
      <c r="L8" s="473">
        <v>0</v>
      </c>
      <c r="N8" s="464">
        <v>0</v>
      </c>
      <c r="O8" s="463">
        <v>13800</v>
      </c>
      <c r="P8" s="463">
        <v>387376.37999999995</v>
      </c>
      <c r="Q8" s="463">
        <v>0</v>
      </c>
      <c r="R8" s="463">
        <v>0</v>
      </c>
      <c r="S8" s="474">
        <v>6241.46</v>
      </c>
      <c r="T8" s="463">
        <v>0</v>
      </c>
      <c r="U8" s="463">
        <v>0</v>
      </c>
      <c r="V8" s="464">
        <v>0</v>
      </c>
      <c r="W8" s="464">
        <v>0</v>
      </c>
      <c r="X8" s="464">
        <v>0</v>
      </c>
      <c r="Y8" s="464">
        <v>0</v>
      </c>
      <c r="Z8" s="465">
        <v>-24960.48</v>
      </c>
    </row>
    <row r="9" spans="1:26" x14ac:dyDescent="0.25">
      <c r="A9" s="1073" t="str">
        <f>VLOOKUP($B9,'Retail Rates'!$A$46:$B$55,2,FALSE)</f>
        <v>LGING896PM</v>
      </c>
      <c r="B9" s="477" t="s">
        <v>791</v>
      </c>
      <c r="C9" s="470">
        <v>40634</v>
      </c>
      <c r="D9" s="470">
        <v>40603</v>
      </c>
      <c r="E9" s="471">
        <v>-32405.309999999998</v>
      </c>
      <c r="F9" s="472">
        <v>26927.22</v>
      </c>
      <c r="G9" s="473">
        <v>53516.08</v>
      </c>
      <c r="H9" s="465">
        <v>-112848.61</v>
      </c>
      <c r="J9" s="471">
        <v>0</v>
      </c>
      <c r="K9" s="472">
        <v>0</v>
      </c>
      <c r="L9" s="473">
        <v>0</v>
      </c>
      <c r="N9" s="464">
        <v>0</v>
      </c>
      <c r="O9" s="474">
        <v>5175</v>
      </c>
      <c r="P9" s="463">
        <v>0</v>
      </c>
      <c r="Q9" s="463">
        <v>0</v>
      </c>
      <c r="R9" s="463">
        <v>0</v>
      </c>
      <c r="S9" s="474">
        <v>21752.22</v>
      </c>
      <c r="T9" s="463">
        <v>0</v>
      </c>
      <c r="U9" s="463">
        <v>0</v>
      </c>
      <c r="V9" s="464">
        <v>0</v>
      </c>
      <c r="W9" s="464">
        <v>0</v>
      </c>
      <c r="X9" s="475">
        <v>0</v>
      </c>
      <c r="Y9" s="464">
        <v>53516.08</v>
      </c>
      <c r="Z9" s="465">
        <v>-112848.61</v>
      </c>
    </row>
    <row r="10" spans="1:26" x14ac:dyDescent="0.25">
      <c r="A10" s="1073" t="str">
        <f>VLOOKUP($B10,'Retail Rates'!$A$46:$B$55,2,FALSE)</f>
        <v>LGING896</v>
      </c>
      <c r="B10" s="477" t="s">
        <v>792</v>
      </c>
      <c r="C10" s="470">
        <v>40634</v>
      </c>
      <c r="D10" s="470">
        <v>40603</v>
      </c>
      <c r="E10" s="471">
        <v>10044.66</v>
      </c>
      <c r="F10" s="472">
        <v>10044.66</v>
      </c>
      <c r="G10" s="473">
        <v>0</v>
      </c>
      <c r="H10" s="465">
        <v>0</v>
      </c>
      <c r="J10" s="471">
        <v>228248</v>
      </c>
      <c r="K10" s="472">
        <v>228248</v>
      </c>
      <c r="L10" s="473">
        <v>0</v>
      </c>
      <c r="N10" s="464">
        <v>0</v>
      </c>
      <c r="O10" s="474">
        <v>230</v>
      </c>
      <c r="P10" s="474">
        <v>9814.66</v>
      </c>
      <c r="Q10" s="463">
        <v>0</v>
      </c>
      <c r="R10" s="463">
        <v>0</v>
      </c>
      <c r="S10" s="463">
        <v>0</v>
      </c>
      <c r="T10" s="463">
        <v>0</v>
      </c>
      <c r="U10" s="463">
        <v>0</v>
      </c>
      <c r="V10" s="464">
        <v>0</v>
      </c>
      <c r="W10" s="464">
        <v>0</v>
      </c>
      <c r="X10" s="464">
        <v>0</v>
      </c>
      <c r="Y10" s="464">
        <v>0</v>
      </c>
      <c r="Z10" s="465">
        <v>0</v>
      </c>
    </row>
    <row r="11" spans="1:26" x14ac:dyDescent="0.25">
      <c r="A11" s="1073" t="str">
        <f>VLOOKUP($B11,'Retail Rates'!$A$46:$B$55,2,FALSE)</f>
        <v>LGCMG895</v>
      </c>
      <c r="B11" s="477" t="s">
        <v>793</v>
      </c>
      <c r="C11" s="470">
        <v>40634</v>
      </c>
      <c r="D11" s="470">
        <v>40603</v>
      </c>
      <c r="E11" s="471">
        <v>9759.159999999998</v>
      </c>
      <c r="F11" s="472">
        <v>10715.349999999999</v>
      </c>
      <c r="G11" s="473">
        <v>406.89</v>
      </c>
      <c r="H11" s="465">
        <v>-1363.08</v>
      </c>
      <c r="J11" s="471">
        <v>229686</v>
      </c>
      <c r="K11" s="472">
        <v>228879</v>
      </c>
      <c r="L11" s="473">
        <v>807</v>
      </c>
      <c r="N11" s="464">
        <v>0</v>
      </c>
      <c r="O11" s="474">
        <v>460</v>
      </c>
      <c r="P11" s="474">
        <v>9841.7999999999993</v>
      </c>
      <c r="Q11" s="463">
        <v>0</v>
      </c>
      <c r="R11" s="463">
        <v>0</v>
      </c>
      <c r="S11" s="474">
        <v>251.05</v>
      </c>
      <c r="T11" s="463">
        <v>0</v>
      </c>
      <c r="U11" s="474">
        <v>162.5</v>
      </c>
      <c r="V11" s="464">
        <v>34.700000000000003</v>
      </c>
      <c r="W11" s="464">
        <v>0.56999999999999995</v>
      </c>
      <c r="X11" s="464">
        <v>0</v>
      </c>
      <c r="Y11" s="464">
        <v>371.62</v>
      </c>
      <c r="Z11" s="465">
        <v>-1363.08</v>
      </c>
    </row>
    <row r="12" spans="1:26" x14ac:dyDescent="0.25">
      <c r="A12" s="1073" t="str">
        <f>VLOOKUP($B12,'Retail Rates'!$A$46:$B$55,2,FALSE)</f>
        <v>LGING992</v>
      </c>
      <c r="B12" s="477" t="s">
        <v>794</v>
      </c>
      <c r="C12" s="470">
        <v>40634</v>
      </c>
      <c r="D12" s="470">
        <v>40603</v>
      </c>
      <c r="E12" s="471">
        <v>15694.079999999998</v>
      </c>
      <c r="F12" s="472">
        <v>15642.199999999999</v>
      </c>
      <c r="G12" s="473">
        <v>4647.67</v>
      </c>
      <c r="H12" s="465">
        <v>-4595.79</v>
      </c>
      <c r="J12" s="471">
        <v>577574</v>
      </c>
      <c r="K12" s="472">
        <v>568290</v>
      </c>
      <c r="L12" s="473">
        <v>9284</v>
      </c>
      <c r="N12" s="464">
        <v>275</v>
      </c>
      <c r="O12" s="463">
        <v>230</v>
      </c>
      <c r="P12" s="463">
        <v>5961.36</v>
      </c>
      <c r="Q12" s="463">
        <v>0</v>
      </c>
      <c r="R12" s="463">
        <v>6369.83</v>
      </c>
      <c r="S12" s="463">
        <v>3081.01</v>
      </c>
      <c r="T12" s="463">
        <v>0</v>
      </c>
      <c r="U12" s="463">
        <v>0</v>
      </c>
      <c r="V12" s="464">
        <v>97.39</v>
      </c>
      <c r="W12" s="464">
        <v>0</v>
      </c>
      <c r="X12" s="464">
        <v>0</v>
      </c>
      <c r="Y12" s="464">
        <v>4275.28</v>
      </c>
      <c r="Z12" s="465">
        <v>-4595.79</v>
      </c>
    </row>
    <row r="13" spans="1:26" x14ac:dyDescent="0.25">
      <c r="A13" s="1073" t="str">
        <f>VLOOKUP($B13,'Retail Rates'!$A$46:$B$55,2,FALSE)</f>
        <v>LGCMG991</v>
      </c>
      <c r="B13" s="477" t="s">
        <v>795</v>
      </c>
      <c r="C13" s="470">
        <v>40634</v>
      </c>
      <c r="D13" s="470">
        <v>40603</v>
      </c>
      <c r="E13" s="471">
        <v>16761.21</v>
      </c>
      <c r="F13" s="472">
        <v>22983.61</v>
      </c>
      <c r="G13" s="473">
        <v>781</v>
      </c>
      <c r="H13" s="465">
        <v>-7003.4</v>
      </c>
      <c r="J13" s="471">
        <v>438480</v>
      </c>
      <c r="K13" s="472">
        <v>438480</v>
      </c>
      <c r="L13" s="473">
        <v>0</v>
      </c>
      <c r="N13" s="464">
        <v>781</v>
      </c>
      <c r="O13" s="463">
        <v>230</v>
      </c>
      <c r="P13" s="463">
        <v>2135.4</v>
      </c>
      <c r="Q13" s="463">
        <v>0</v>
      </c>
      <c r="R13" s="463">
        <v>18225</v>
      </c>
      <c r="S13" s="463">
        <v>2393.21</v>
      </c>
      <c r="T13" s="463">
        <v>0</v>
      </c>
      <c r="U13" s="463">
        <v>0</v>
      </c>
      <c r="V13" s="464">
        <v>0</v>
      </c>
      <c r="W13" s="464">
        <v>0</v>
      </c>
      <c r="X13" s="464">
        <v>0</v>
      </c>
      <c r="Y13" s="464">
        <v>0</v>
      </c>
      <c r="Z13" s="465">
        <v>-7003.4</v>
      </c>
    </row>
    <row r="14" spans="1:26" x14ac:dyDescent="0.25">
      <c r="A14" s="1073" t="str">
        <f>VLOOKUP($B14,'Retail Rates'!$A$46:$B$55,2,FALSE)</f>
        <v>LGING997</v>
      </c>
      <c r="B14" s="477" t="s">
        <v>796</v>
      </c>
      <c r="C14" s="470">
        <v>40634</v>
      </c>
      <c r="D14" s="470">
        <f>+C14</f>
        <v>40634</v>
      </c>
      <c r="E14" s="471">
        <v>0</v>
      </c>
      <c r="F14" s="472">
        <v>0</v>
      </c>
      <c r="G14" s="473">
        <v>0</v>
      </c>
      <c r="H14" s="465">
        <v>0</v>
      </c>
      <c r="J14" s="471">
        <v>0</v>
      </c>
      <c r="K14" s="472">
        <v>0</v>
      </c>
      <c r="L14" s="473">
        <v>0</v>
      </c>
      <c r="N14" s="464">
        <v>0</v>
      </c>
      <c r="O14" s="463">
        <v>0</v>
      </c>
      <c r="P14" s="463">
        <v>0</v>
      </c>
      <c r="Q14" s="463">
        <v>0</v>
      </c>
      <c r="R14" s="463">
        <v>0</v>
      </c>
      <c r="S14" s="463">
        <v>0</v>
      </c>
      <c r="T14" s="463">
        <v>0</v>
      </c>
      <c r="U14" s="463">
        <v>0</v>
      </c>
      <c r="V14" s="464">
        <v>0</v>
      </c>
      <c r="W14" s="464">
        <v>0</v>
      </c>
      <c r="X14" s="464">
        <v>0</v>
      </c>
      <c r="Y14" s="464">
        <v>0</v>
      </c>
      <c r="Z14" s="465">
        <v>0</v>
      </c>
    </row>
    <row r="15" spans="1:26" x14ac:dyDescent="0.25">
      <c r="A15" s="1073" t="str">
        <f>VLOOKUP($B15,'Retail Rates'!$A$46:$B$55,2,FALSE)</f>
        <v>LGING882</v>
      </c>
      <c r="B15" s="469" t="s">
        <v>68</v>
      </c>
      <c r="C15" s="470">
        <v>40664</v>
      </c>
      <c r="D15" s="470">
        <f>+C15</f>
        <v>40664</v>
      </c>
      <c r="E15" s="471">
        <v>6081.9500000000007</v>
      </c>
      <c r="F15" s="472">
        <v>4456.05</v>
      </c>
      <c r="G15" s="473">
        <v>2058.65</v>
      </c>
      <c r="H15" s="465">
        <v>-432.75</v>
      </c>
      <c r="J15" s="471">
        <v>21250</v>
      </c>
      <c r="K15" s="472">
        <v>18617</v>
      </c>
      <c r="L15" s="473">
        <v>2633</v>
      </c>
      <c r="N15" s="464">
        <v>170</v>
      </c>
      <c r="O15" s="474">
        <v>153</v>
      </c>
      <c r="P15" s="474">
        <v>2660.4700000000003</v>
      </c>
      <c r="Q15" s="463">
        <v>1642.58</v>
      </c>
      <c r="R15" s="464">
        <v>419.2</v>
      </c>
      <c r="S15" s="464">
        <v>1469.45</v>
      </c>
      <c r="T15" s="463">
        <v>0</v>
      </c>
      <c r="U15" s="463">
        <v>0</v>
      </c>
      <c r="V15" s="464">
        <v>0</v>
      </c>
      <c r="W15" s="464">
        <v>0</v>
      </c>
      <c r="X15" s="464">
        <v>0</v>
      </c>
      <c r="Y15" s="464">
        <v>0</v>
      </c>
      <c r="Z15" s="465">
        <v>-432.75</v>
      </c>
    </row>
    <row r="16" spans="1:26" x14ac:dyDescent="0.25">
      <c r="A16" s="1073" t="str">
        <f>VLOOKUP($B16,'Retail Rates'!$A$46:$B$55,2,FALSE)</f>
        <v>LGCMG881</v>
      </c>
      <c r="B16" s="469" t="s">
        <v>65</v>
      </c>
      <c r="C16" s="470">
        <v>40664</v>
      </c>
      <c r="D16" s="470">
        <f>+C16</f>
        <v>40664</v>
      </c>
      <c r="E16" s="471">
        <v>1962.29</v>
      </c>
      <c r="F16" s="472">
        <v>153</v>
      </c>
      <c r="G16" s="473">
        <v>1809.29</v>
      </c>
      <c r="H16" s="465">
        <v>0</v>
      </c>
      <c r="J16" s="471">
        <v>2339</v>
      </c>
      <c r="K16" s="472">
        <v>0</v>
      </c>
      <c r="L16" s="473">
        <v>2339</v>
      </c>
      <c r="N16" s="464">
        <v>170</v>
      </c>
      <c r="O16" s="474">
        <v>153</v>
      </c>
      <c r="P16" s="463">
        <v>0</v>
      </c>
      <c r="Q16" s="463">
        <v>0</v>
      </c>
      <c r="R16" s="464">
        <v>370.96000000000004</v>
      </c>
      <c r="S16" s="464">
        <v>1266.25</v>
      </c>
      <c r="T16" s="463">
        <v>0</v>
      </c>
      <c r="U16" s="463">
        <v>0</v>
      </c>
      <c r="V16" s="464">
        <v>0</v>
      </c>
      <c r="W16" s="475">
        <v>2.08</v>
      </c>
      <c r="X16" s="464">
        <v>0</v>
      </c>
      <c r="Y16" s="464">
        <v>0</v>
      </c>
      <c r="Z16" s="465">
        <v>0</v>
      </c>
    </row>
    <row r="17" spans="1:26" x14ac:dyDescent="0.25">
      <c r="A17" s="1073" t="str">
        <f>VLOOKUP($B17,'Retail Rates'!$A$46:$B$55,2,FALSE)</f>
        <v>LGCMG895</v>
      </c>
      <c r="B17" s="476" t="s">
        <v>789</v>
      </c>
      <c r="C17" s="470">
        <v>40664</v>
      </c>
      <c r="D17" s="470">
        <v>40634</v>
      </c>
      <c r="E17" s="471">
        <v>22320.079999999994</v>
      </c>
      <c r="F17" s="472">
        <v>22130.429999999997</v>
      </c>
      <c r="G17" s="473">
        <v>474.22999999999996</v>
      </c>
      <c r="H17" s="465">
        <v>-284.58</v>
      </c>
      <c r="J17" s="471">
        <v>452132</v>
      </c>
      <c r="K17" s="472">
        <v>451189</v>
      </c>
      <c r="L17" s="473">
        <v>943</v>
      </c>
      <c r="N17" s="464">
        <v>0</v>
      </c>
      <c r="O17" s="474">
        <v>2300</v>
      </c>
      <c r="P17" s="474">
        <v>19401.129999999997</v>
      </c>
      <c r="Q17" s="463">
        <v>0</v>
      </c>
      <c r="R17" s="463">
        <v>0</v>
      </c>
      <c r="S17" s="474">
        <v>27.75</v>
      </c>
      <c r="T17" s="463">
        <v>0</v>
      </c>
      <c r="U17" s="474">
        <v>401.55</v>
      </c>
      <c r="V17" s="475">
        <v>40.549999999999997</v>
      </c>
      <c r="W17" s="464">
        <v>0.84</v>
      </c>
      <c r="X17" s="475">
        <v>0</v>
      </c>
      <c r="Y17" s="464">
        <v>432.84</v>
      </c>
      <c r="Z17" s="465">
        <v>-284.58</v>
      </c>
    </row>
    <row r="18" spans="1:26" x14ac:dyDescent="0.25">
      <c r="A18" s="1073" t="str">
        <f>VLOOKUP($B18,'Retail Rates'!$A$46:$B$55,2,FALSE)</f>
        <v>LGING896</v>
      </c>
      <c r="B18" s="477" t="s">
        <v>790</v>
      </c>
      <c r="C18" s="470">
        <v>40664</v>
      </c>
      <c r="D18" s="470">
        <v>40634</v>
      </c>
      <c r="E18" s="471">
        <v>293362.83999999997</v>
      </c>
      <c r="F18" s="472">
        <v>295451.62999999995</v>
      </c>
      <c r="G18" s="473">
        <v>2809.19</v>
      </c>
      <c r="H18" s="465">
        <v>-4897.9800000000005</v>
      </c>
      <c r="J18" s="471">
        <v>6412231</v>
      </c>
      <c r="K18" s="472">
        <v>6406635</v>
      </c>
      <c r="L18" s="473">
        <v>5596</v>
      </c>
      <c r="N18" s="464">
        <v>0</v>
      </c>
      <c r="O18" s="463">
        <v>13800</v>
      </c>
      <c r="P18" s="463">
        <v>275485.31999999995</v>
      </c>
      <c r="Q18" s="463">
        <v>0</v>
      </c>
      <c r="R18" s="463">
        <v>0</v>
      </c>
      <c r="S18" s="474">
        <v>6166.3099999999995</v>
      </c>
      <c r="T18" s="463">
        <v>0</v>
      </c>
      <c r="U18" s="463">
        <v>0</v>
      </c>
      <c r="V18" s="464">
        <v>240.63</v>
      </c>
      <c r="W18" s="464">
        <v>0</v>
      </c>
      <c r="X18" s="464">
        <v>0</v>
      </c>
      <c r="Y18" s="464">
        <v>2568.56</v>
      </c>
      <c r="Z18" s="465">
        <v>-4897.9800000000005</v>
      </c>
    </row>
    <row r="19" spans="1:26" x14ac:dyDescent="0.25">
      <c r="A19" s="1073" t="str">
        <f>VLOOKUP($B19,'Retail Rates'!$A$46:$B$55,2,FALSE)</f>
        <v>LGING896PM</v>
      </c>
      <c r="B19" s="477" t="s">
        <v>791</v>
      </c>
      <c r="C19" s="470">
        <v>40664</v>
      </c>
      <c r="D19" s="470">
        <v>40634</v>
      </c>
      <c r="E19" s="471">
        <v>-80419.070000000007</v>
      </c>
      <c r="F19" s="472">
        <v>27833.719999999998</v>
      </c>
      <c r="G19" s="473">
        <v>24230.219999999998</v>
      </c>
      <c r="H19" s="465">
        <v>-132483.01</v>
      </c>
      <c r="J19" s="471">
        <v>0</v>
      </c>
      <c r="K19" s="472">
        <v>0</v>
      </c>
      <c r="L19" s="473">
        <v>0</v>
      </c>
      <c r="N19" s="464">
        <v>0</v>
      </c>
      <c r="O19" s="474">
        <v>5175</v>
      </c>
      <c r="P19" s="463">
        <v>0</v>
      </c>
      <c r="Q19" s="463">
        <v>0</v>
      </c>
      <c r="R19" s="463">
        <v>0</v>
      </c>
      <c r="S19" s="474">
        <v>22658.719999999998</v>
      </c>
      <c r="T19" s="463">
        <v>0</v>
      </c>
      <c r="U19" s="463">
        <v>0</v>
      </c>
      <c r="V19" s="464">
        <v>0</v>
      </c>
      <c r="W19" s="464">
        <v>0</v>
      </c>
      <c r="X19" s="475">
        <v>0</v>
      </c>
      <c r="Y19" s="464">
        <v>24230.219999999998</v>
      </c>
      <c r="Z19" s="465">
        <v>-132483.01</v>
      </c>
    </row>
    <row r="20" spans="1:26" x14ac:dyDescent="0.25">
      <c r="A20" s="1073" t="str">
        <f>VLOOKUP($B20,'Retail Rates'!$A$46:$B$55,2,FALSE)</f>
        <v>LGING896</v>
      </c>
      <c r="B20" s="477" t="s">
        <v>792</v>
      </c>
      <c r="C20" s="470">
        <v>40664</v>
      </c>
      <c r="D20" s="470">
        <v>40634</v>
      </c>
      <c r="E20" s="471">
        <v>9613.2000000000007</v>
      </c>
      <c r="F20" s="472">
        <v>9613.2000000000007</v>
      </c>
      <c r="G20" s="473">
        <v>0</v>
      </c>
      <c r="H20" s="465">
        <v>0</v>
      </c>
      <c r="J20" s="471">
        <v>218214</v>
      </c>
      <c r="K20" s="472">
        <v>218214</v>
      </c>
      <c r="L20" s="473">
        <v>0</v>
      </c>
      <c r="N20" s="464">
        <v>0</v>
      </c>
      <c r="O20" s="474">
        <v>230</v>
      </c>
      <c r="P20" s="474">
        <v>9383.2000000000007</v>
      </c>
      <c r="Q20" s="463">
        <v>0</v>
      </c>
      <c r="R20" s="463">
        <v>0</v>
      </c>
      <c r="S20" s="463">
        <v>0</v>
      </c>
      <c r="T20" s="463">
        <v>0</v>
      </c>
      <c r="U20" s="463">
        <v>0</v>
      </c>
      <c r="V20" s="464">
        <v>0</v>
      </c>
      <c r="W20" s="464">
        <v>0</v>
      </c>
      <c r="X20" s="464">
        <v>0</v>
      </c>
      <c r="Y20" s="464">
        <v>0</v>
      </c>
      <c r="Z20" s="465">
        <v>0</v>
      </c>
    </row>
    <row r="21" spans="1:26" x14ac:dyDescent="0.25">
      <c r="A21" s="1073" t="str">
        <f>VLOOKUP($B21,'Retail Rates'!$A$46:$B$55,2,FALSE)</f>
        <v>LGCMG895</v>
      </c>
      <c r="B21" s="477" t="s">
        <v>793</v>
      </c>
      <c r="C21" s="470">
        <v>40664</v>
      </c>
      <c r="D21" s="470">
        <v>40634</v>
      </c>
      <c r="E21" s="471">
        <v>4182.1200000000008</v>
      </c>
      <c r="F21" s="472">
        <v>6691.02</v>
      </c>
      <c r="G21" s="473">
        <v>0</v>
      </c>
      <c r="H21" s="465">
        <v>-2508.8999999999996</v>
      </c>
      <c r="J21" s="471">
        <v>141569</v>
      </c>
      <c r="K21" s="472">
        <v>141569</v>
      </c>
      <c r="L21" s="473">
        <v>0</v>
      </c>
      <c r="N21" s="464">
        <v>0</v>
      </c>
      <c r="O21" s="474">
        <v>460</v>
      </c>
      <c r="P21" s="474">
        <v>6087.47</v>
      </c>
      <c r="Q21" s="463">
        <v>0</v>
      </c>
      <c r="R21" s="463">
        <v>0</v>
      </c>
      <c r="S21" s="474">
        <v>17.55</v>
      </c>
      <c r="T21" s="463">
        <v>0</v>
      </c>
      <c r="U21" s="474">
        <v>126</v>
      </c>
      <c r="V21" s="464">
        <v>0</v>
      </c>
      <c r="W21" s="464">
        <v>0</v>
      </c>
      <c r="X21" s="464">
        <v>0</v>
      </c>
      <c r="Y21" s="464">
        <v>0</v>
      </c>
      <c r="Z21" s="465">
        <v>-2508.8999999999996</v>
      </c>
    </row>
    <row r="22" spans="1:26" x14ac:dyDescent="0.25">
      <c r="A22" s="1073" t="str">
        <f>VLOOKUP($B22,'Retail Rates'!$A$46:$B$55,2,FALSE)</f>
        <v>LGING992</v>
      </c>
      <c r="B22" s="477" t="s">
        <v>794</v>
      </c>
      <c r="C22" s="470">
        <v>40664</v>
      </c>
      <c r="D22" s="470">
        <v>40634</v>
      </c>
      <c r="E22" s="471">
        <v>10063.909999999998</v>
      </c>
      <c r="F22" s="472">
        <v>15976.489999999998</v>
      </c>
      <c r="G22" s="473">
        <v>275</v>
      </c>
      <c r="H22" s="465">
        <v>-6187.58</v>
      </c>
      <c r="J22" s="471">
        <v>488716</v>
      </c>
      <c r="K22" s="472">
        <v>488716</v>
      </c>
      <c r="L22" s="473">
        <v>0</v>
      </c>
      <c r="N22" s="464">
        <v>275</v>
      </c>
      <c r="O22" s="463">
        <v>230</v>
      </c>
      <c r="P22" s="463">
        <v>5126.63</v>
      </c>
      <c r="Q22" s="463">
        <v>0</v>
      </c>
      <c r="R22" s="463">
        <v>6369.83</v>
      </c>
      <c r="S22" s="463">
        <v>4250.03</v>
      </c>
      <c r="T22" s="463">
        <v>0</v>
      </c>
      <c r="U22" s="463">
        <v>0</v>
      </c>
      <c r="V22" s="464">
        <v>0</v>
      </c>
      <c r="W22" s="464">
        <v>0</v>
      </c>
      <c r="X22" s="464">
        <v>0</v>
      </c>
      <c r="Y22" s="464">
        <v>0</v>
      </c>
      <c r="Z22" s="465">
        <v>-6187.58</v>
      </c>
    </row>
    <row r="23" spans="1:26" x14ac:dyDescent="0.25">
      <c r="A23" s="1073" t="str">
        <f>VLOOKUP($B23,'Retail Rates'!$A$46:$B$55,2,FALSE)</f>
        <v>LGCMG991</v>
      </c>
      <c r="B23" s="477" t="s">
        <v>795</v>
      </c>
      <c r="C23" s="470">
        <v>40664</v>
      </c>
      <c r="D23" s="470">
        <v>40634</v>
      </c>
      <c r="E23" s="471">
        <v>17364.839999999997</v>
      </c>
      <c r="F23" s="472">
        <v>20760.059999999998</v>
      </c>
      <c r="G23" s="473">
        <v>781</v>
      </c>
      <c r="H23" s="465">
        <v>-4176.22</v>
      </c>
      <c r="J23" s="471">
        <v>112201</v>
      </c>
      <c r="K23" s="472">
        <v>112201</v>
      </c>
      <c r="L23" s="473">
        <v>0</v>
      </c>
      <c r="N23" s="464">
        <v>781</v>
      </c>
      <c r="O23" s="463">
        <v>230</v>
      </c>
      <c r="P23" s="463">
        <v>546.41999999999996</v>
      </c>
      <c r="Q23" s="463">
        <v>0</v>
      </c>
      <c r="R23" s="463">
        <v>18225</v>
      </c>
      <c r="S23" s="463">
        <v>1758.64</v>
      </c>
      <c r="T23" s="463">
        <v>0</v>
      </c>
      <c r="U23" s="463">
        <v>0</v>
      </c>
      <c r="V23" s="464">
        <v>0</v>
      </c>
      <c r="W23" s="464">
        <v>0</v>
      </c>
      <c r="X23" s="464">
        <v>0</v>
      </c>
      <c r="Y23" s="464">
        <v>0</v>
      </c>
      <c r="Z23" s="465">
        <v>-4176.22</v>
      </c>
    </row>
    <row r="24" spans="1:26" x14ac:dyDescent="0.25">
      <c r="A24" s="1073" t="str">
        <f>VLOOKUP($B24,'Retail Rates'!$A$46:$B$55,2,FALSE)</f>
        <v>LGING997</v>
      </c>
      <c r="B24" s="477" t="s">
        <v>796</v>
      </c>
      <c r="C24" s="470">
        <v>40664</v>
      </c>
      <c r="D24" s="470">
        <f>+C24</f>
        <v>40664</v>
      </c>
      <c r="E24" s="471">
        <v>151093.14000000001</v>
      </c>
      <c r="F24" s="472">
        <v>218567.61000000002</v>
      </c>
      <c r="G24" s="473">
        <v>1562</v>
      </c>
      <c r="H24" s="465">
        <v>-69036.469999999987</v>
      </c>
      <c r="J24" s="471">
        <v>426325</v>
      </c>
      <c r="K24" s="472">
        <v>426325</v>
      </c>
      <c r="L24" s="473">
        <v>0</v>
      </c>
      <c r="N24" s="464">
        <v>1562</v>
      </c>
      <c r="O24" s="463">
        <v>0</v>
      </c>
      <c r="P24" s="463">
        <v>2076.1999999999998</v>
      </c>
      <c r="Q24" s="463">
        <v>0</v>
      </c>
      <c r="R24" s="463">
        <v>209952</v>
      </c>
      <c r="S24" s="463">
        <v>6539.41</v>
      </c>
      <c r="T24" s="463">
        <v>0</v>
      </c>
      <c r="U24" s="463">
        <v>0</v>
      </c>
      <c r="V24" s="464">
        <v>0</v>
      </c>
      <c r="W24" s="464">
        <v>0</v>
      </c>
      <c r="X24" s="464">
        <v>0</v>
      </c>
      <c r="Y24" s="464">
        <v>0</v>
      </c>
      <c r="Z24" s="465">
        <v>-69036.469999999987</v>
      </c>
    </row>
    <row r="25" spans="1:26" x14ac:dyDescent="0.25">
      <c r="A25" s="1073" t="str">
        <f>VLOOKUP($B25,'Retail Rates'!$A$46:$B$55,2,FALSE)</f>
        <v>LGING882</v>
      </c>
      <c r="B25" s="469" t="s">
        <v>68</v>
      </c>
      <c r="C25" s="470">
        <v>40695</v>
      </c>
      <c r="D25" s="470">
        <f>+C25</f>
        <v>40695</v>
      </c>
      <c r="E25" s="471">
        <v>15626.600000000002</v>
      </c>
      <c r="F25" s="472">
        <v>14223.53</v>
      </c>
      <c r="G25" s="473">
        <v>7585.24</v>
      </c>
      <c r="H25" s="465">
        <v>-6182.1699999999992</v>
      </c>
      <c r="J25" s="471">
        <v>69730</v>
      </c>
      <c r="K25" s="472">
        <v>59423</v>
      </c>
      <c r="L25" s="473">
        <v>10307</v>
      </c>
      <c r="N25" s="464">
        <v>340</v>
      </c>
      <c r="O25" s="474">
        <v>306</v>
      </c>
      <c r="P25" s="474">
        <v>8674.4500000000007</v>
      </c>
      <c r="Q25" s="463">
        <v>5243.08</v>
      </c>
      <c r="R25" s="464">
        <v>1303.0999999999999</v>
      </c>
      <c r="S25" s="464">
        <v>5942.1399999999994</v>
      </c>
      <c r="T25" s="463">
        <v>0</v>
      </c>
      <c r="U25" s="463">
        <v>0</v>
      </c>
      <c r="V25" s="464">
        <v>0</v>
      </c>
      <c r="W25" s="464">
        <v>0</v>
      </c>
      <c r="X25" s="464">
        <v>0</v>
      </c>
      <c r="Y25" s="464">
        <v>0</v>
      </c>
      <c r="Z25" s="465">
        <v>-6182.1699999999992</v>
      </c>
    </row>
    <row r="26" spans="1:26" x14ac:dyDescent="0.25">
      <c r="A26" s="1073" t="str">
        <f>VLOOKUP($B26,'Retail Rates'!$A$46:$B$55,2,FALSE)</f>
        <v>LGCMG881</v>
      </c>
      <c r="B26" s="469" t="s">
        <v>65</v>
      </c>
      <c r="C26" s="470">
        <v>40695</v>
      </c>
      <c r="D26" s="470">
        <f>+C26</f>
        <v>40695</v>
      </c>
      <c r="E26" s="471">
        <v>1190.1399999999999</v>
      </c>
      <c r="F26" s="472">
        <v>153</v>
      </c>
      <c r="G26" s="473">
        <v>1037.1399999999999</v>
      </c>
      <c r="H26" s="465">
        <v>0</v>
      </c>
      <c r="J26" s="471">
        <v>1168</v>
      </c>
      <c r="K26" s="472">
        <v>0</v>
      </c>
      <c r="L26" s="473">
        <v>1168</v>
      </c>
      <c r="N26" s="464">
        <v>170</v>
      </c>
      <c r="O26" s="474">
        <v>153</v>
      </c>
      <c r="P26" s="463">
        <v>0</v>
      </c>
      <c r="Q26" s="463">
        <v>0</v>
      </c>
      <c r="R26" s="464">
        <v>210.27</v>
      </c>
      <c r="S26" s="464">
        <v>655.75</v>
      </c>
      <c r="T26" s="463">
        <v>0</v>
      </c>
      <c r="U26" s="463">
        <v>0</v>
      </c>
      <c r="V26" s="464">
        <v>0</v>
      </c>
      <c r="W26" s="475">
        <v>1.1200000000000001</v>
      </c>
      <c r="X26" s="464">
        <v>0</v>
      </c>
      <c r="Y26" s="464">
        <v>0</v>
      </c>
      <c r="Z26" s="465">
        <v>0</v>
      </c>
    </row>
    <row r="27" spans="1:26" x14ac:dyDescent="0.25">
      <c r="A27" s="1073" t="str">
        <f>VLOOKUP($B27,'Retail Rates'!$A$46:$B$55,2,FALSE)</f>
        <v>LGCMG895</v>
      </c>
      <c r="B27" s="476" t="s">
        <v>789</v>
      </c>
      <c r="C27" s="470">
        <v>40695</v>
      </c>
      <c r="D27" s="470">
        <v>40664</v>
      </c>
      <c r="E27" s="471">
        <v>21234.000000000004</v>
      </c>
      <c r="F27" s="472">
        <v>21312.960000000003</v>
      </c>
      <c r="G27" s="473">
        <v>129.59</v>
      </c>
      <c r="H27" s="465">
        <v>-208.55</v>
      </c>
      <c r="J27" s="471">
        <v>432332</v>
      </c>
      <c r="K27" s="472">
        <v>432087</v>
      </c>
      <c r="L27" s="473">
        <v>245</v>
      </c>
      <c r="N27" s="464">
        <v>0</v>
      </c>
      <c r="O27" s="474">
        <v>2300</v>
      </c>
      <c r="P27" s="474">
        <v>18579.75</v>
      </c>
      <c r="Q27" s="463">
        <v>0</v>
      </c>
      <c r="R27" s="463">
        <v>0</v>
      </c>
      <c r="S27" s="474">
        <v>48.65</v>
      </c>
      <c r="T27" s="463">
        <v>0</v>
      </c>
      <c r="U27" s="474">
        <v>384.56000000000006</v>
      </c>
      <c r="V27" s="475">
        <v>10.54</v>
      </c>
      <c r="W27" s="464">
        <v>0.22</v>
      </c>
      <c r="X27" s="475">
        <v>0</v>
      </c>
      <c r="Y27" s="464">
        <v>118.83</v>
      </c>
      <c r="Z27" s="465">
        <v>-208.55</v>
      </c>
    </row>
    <row r="28" spans="1:26" x14ac:dyDescent="0.25">
      <c r="A28" s="1073" t="str">
        <f>VLOOKUP($B28,'Retail Rates'!$A$46:$B$55,2,FALSE)</f>
        <v>LGING896</v>
      </c>
      <c r="B28" s="477" t="s">
        <v>790</v>
      </c>
      <c r="C28" s="470">
        <v>40695</v>
      </c>
      <c r="D28" s="470">
        <v>40664</v>
      </c>
      <c r="E28" s="471">
        <v>276495.56</v>
      </c>
      <c r="F28" s="472">
        <v>288220.82</v>
      </c>
      <c r="G28" s="473">
        <v>0</v>
      </c>
      <c r="H28" s="465">
        <v>-11725.26</v>
      </c>
      <c r="J28" s="471">
        <v>6229875</v>
      </c>
      <c r="K28" s="472">
        <v>6229875</v>
      </c>
      <c r="L28" s="473">
        <v>0</v>
      </c>
      <c r="N28" s="464">
        <v>0</v>
      </c>
      <c r="O28" s="463">
        <v>13800</v>
      </c>
      <c r="P28" s="463">
        <v>267884.67</v>
      </c>
      <c r="Q28" s="463">
        <v>0</v>
      </c>
      <c r="R28" s="463">
        <v>0</v>
      </c>
      <c r="S28" s="474">
        <v>6536.15</v>
      </c>
      <c r="T28" s="463">
        <v>0</v>
      </c>
      <c r="U28" s="463">
        <v>0</v>
      </c>
      <c r="V28" s="464">
        <v>0</v>
      </c>
      <c r="W28" s="464">
        <v>0</v>
      </c>
      <c r="X28" s="464">
        <v>0</v>
      </c>
      <c r="Y28" s="464">
        <v>0</v>
      </c>
      <c r="Z28" s="465">
        <v>-11725.26</v>
      </c>
    </row>
    <row r="29" spans="1:26" x14ac:dyDescent="0.25">
      <c r="A29" s="1073" t="str">
        <f>VLOOKUP($B29,'Retail Rates'!$A$46:$B$55,2,FALSE)</f>
        <v>LGING896PM</v>
      </c>
      <c r="B29" s="477" t="s">
        <v>791</v>
      </c>
      <c r="C29" s="470">
        <v>40695</v>
      </c>
      <c r="D29" s="470">
        <v>40664</v>
      </c>
      <c r="E29" s="471">
        <v>-64642.399999999994</v>
      </c>
      <c r="F29" s="472">
        <v>27978.400000000001</v>
      </c>
      <c r="G29" s="473">
        <v>4126.87</v>
      </c>
      <c r="H29" s="465">
        <v>-96747.67</v>
      </c>
      <c r="J29" s="471">
        <v>0</v>
      </c>
      <c r="K29" s="472">
        <v>0</v>
      </c>
      <c r="L29" s="473">
        <v>0</v>
      </c>
      <c r="N29" s="464">
        <v>0</v>
      </c>
      <c r="O29" s="474">
        <v>5175</v>
      </c>
      <c r="P29" s="463">
        <v>0</v>
      </c>
      <c r="Q29" s="463">
        <v>0</v>
      </c>
      <c r="R29" s="463">
        <v>0</v>
      </c>
      <c r="S29" s="474">
        <v>22803.4</v>
      </c>
      <c r="T29" s="463">
        <v>0</v>
      </c>
      <c r="U29" s="463">
        <v>0</v>
      </c>
      <c r="V29" s="464">
        <v>0</v>
      </c>
      <c r="W29" s="464">
        <v>0</v>
      </c>
      <c r="X29" s="475">
        <v>0</v>
      </c>
      <c r="Y29" s="464">
        <v>4126.87</v>
      </c>
      <c r="Z29" s="465">
        <v>-96747.67</v>
      </c>
    </row>
    <row r="30" spans="1:26" x14ac:dyDescent="0.25">
      <c r="A30" s="1073" t="str">
        <f>VLOOKUP($B30,'Retail Rates'!$A$46:$B$55,2,FALSE)</f>
        <v>LGING896</v>
      </c>
      <c r="B30" s="477" t="s">
        <v>792</v>
      </c>
      <c r="C30" s="470">
        <v>40695</v>
      </c>
      <c r="D30" s="470">
        <v>40664</v>
      </c>
      <c r="E30" s="471">
        <v>9149.32</v>
      </c>
      <c r="F30" s="472">
        <v>9149.32</v>
      </c>
      <c r="G30" s="473">
        <v>0</v>
      </c>
      <c r="H30" s="465">
        <v>0</v>
      </c>
      <c r="J30" s="471">
        <v>207426</v>
      </c>
      <c r="K30" s="472">
        <v>207426</v>
      </c>
      <c r="L30" s="473">
        <v>0</v>
      </c>
      <c r="N30" s="464">
        <v>0</v>
      </c>
      <c r="O30" s="474">
        <v>230</v>
      </c>
      <c r="P30" s="474">
        <v>8919.32</v>
      </c>
      <c r="Q30" s="463">
        <v>0</v>
      </c>
      <c r="R30" s="463">
        <v>0</v>
      </c>
      <c r="S30" s="463">
        <v>0</v>
      </c>
      <c r="T30" s="463">
        <v>0</v>
      </c>
      <c r="U30" s="463">
        <v>0</v>
      </c>
      <c r="V30" s="464">
        <v>0</v>
      </c>
      <c r="W30" s="464">
        <v>0</v>
      </c>
      <c r="X30" s="464">
        <v>0</v>
      </c>
      <c r="Y30" s="464">
        <v>0</v>
      </c>
      <c r="Z30" s="465">
        <v>0</v>
      </c>
    </row>
    <row r="31" spans="1:26" x14ac:dyDescent="0.25">
      <c r="A31" s="1073" t="str">
        <f>VLOOKUP($B31,'Retail Rates'!$A$46:$B$55,2,FALSE)</f>
        <v>LGCMG895</v>
      </c>
      <c r="B31" s="477" t="s">
        <v>793</v>
      </c>
      <c r="C31" s="470">
        <v>40695</v>
      </c>
      <c r="D31" s="470">
        <v>40664</v>
      </c>
      <c r="E31" s="471">
        <v>4252.99</v>
      </c>
      <c r="F31" s="472">
        <v>5284.99</v>
      </c>
      <c r="G31" s="473">
        <v>0</v>
      </c>
      <c r="H31" s="465">
        <v>-1032</v>
      </c>
      <c r="J31" s="471">
        <v>107162</v>
      </c>
      <c r="K31" s="472">
        <v>107162</v>
      </c>
      <c r="L31" s="473">
        <v>0</v>
      </c>
      <c r="N31" s="464">
        <v>0</v>
      </c>
      <c r="O31" s="474">
        <v>460</v>
      </c>
      <c r="P31" s="474">
        <v>4607.97</v>
      </c>
      <c r="Q31" s="463">
        <v>0</v>
      </c>
      <c r="R31" s="463">
        <v>0</v>
      </c>
      <c r="S31" s="474">
        <v>121.65</v>
      </c>
      <c r="T31" s="463">
        <v>0</v>
      </c>
      <c r="U31" s="474">
        <v>95.37</v>
      </c>
      <c r="V31" s="464">
        <v>0</v>
      </c>
      <c r="W31" s="464">
        <v>0</v>
      </c>
      <c r="X31" s="464">
        <v>0</v>
      </c>
      <c r="Y31" s="464">
        <v>0</v>
      </c>
      <c r="Z31" s="465">
        <v>-1032</v>
      </c>
    </row>
    <row r="32" spans="1:26" x14ac:dyDescent="0.25">
      <c r="A32" s="1073" t="str">
        <f>VLOOKUP($B32,'Retail Rates'!$A$46:$B$55,2,FALSE)</f>
        <v>LGING992</v>
      </c>
      <c r="B32" s="477" t="s">
        <v>794</v>
      </c>
      <c r="C32" s="470">
        <v>40695</v>
      </c>
      <c r="D32" s="470">
        <v>40664</v>
      </c>
      <c r="E32" s="471">
        <v>8267.08</v>
      </c>
      <c r="F32" s="472">
        <v>14862.42</v>
      </c>
      <c r="G32" s="473">
        <v>275</v>
      </c>
      <c r="H32" s="465">
        <v>-6870.34</v>
      </c>
      <c r="J32" s="471">
        <v>553503</v>
      </c>
      <c r="K32" s="472">
        <v>553503</v>
      </c>
      <c r="L32" s="473">
        <v>0</v>
      </c>
      <c r="N32" s="464">
        <v>275</v>
      </c>
      <c r="O32" s="463">
        <v>230</v>
      </c>
      <c r="P32" s="463">
        <v>5806.25</v>
      </c>
      <c r="Q32" s="463">
        <v>0</v>
      </c>
      <c r="R32" s="463">
        <v>6369.83</v>
      </c>
      <c r="S32" s="463">
        <v>2456.34</v>
      </c>
      <c r="T32" s="463">
        <v>0</v>
      </c>
      <c r="U32" s="463">
        <v>0</v>
      </c>
      <c r="V32" s="464">
        <v>0</v>
      </c>
      <c r="W32" s="464">
        <v>0</v>
      </c>
      <c r="X32" s="464">
        <v>0</v>
      </c>
      <c r="Y32" s="464">
        <v>0</v>
      </c>
      <c r="Z32" s="465">
        <v>-6870.34</v>
      </c>
    </row>
    <row r="33" spans="1:26" x14ac:dyDescent="0.25">
      <c r="A33" s="1073" t="str">
        <f>VLOOKUP($B33,'Retail Rates'!$A$46:$B$55,2,FALSE)</f>
        <v>LGCMG991</v>
      </c>
      <c r="B33" s="477" t="s">
        <v>795</v>
      </c>
      <c r="C33" s="470">
        <v>40695</v>
      </c>
      <c r="D33" s="470">
        <v>40664</v>
      </c>
      <c r="E33" s="471">
        <v>17620.649999999998</v>
      </c>
      <c r="F33" s="472">
        <v>19639.329999999998</v>
      </c>
      <c r="G33" s="473">
        <v>781</v>
      </c>
      <c r="H33" s="465">
        <v>-2799.6800000000003</v>
      </c>
      <c r="J33" s="471">
        <v>54366</v>
      </c>
      <c r="K33" s="472">
        <v>54366</v>
      </c>
      <c r="L33" s="473">
        <v>0</v>
      </c>
      <c r="N33" s="464">
        <v>781</v>
      </c>
      <c r="O33" s="463">
        <v>230</v>
      </c>
      <c r="P33" s="463">
        <v>264.76</v>
      </c>
      <c r="Q33" s="463">
        <v>0</v>
      </c>
      <c r="R33" s="463">
        <v>18225</v>
      </c>
      <c r="S33" s="463">
        <v>919.57</v>
      </c>
      <c r="T33" s="463">
        <v>0</v>
      </c>
      <c r="U33" s="463">
        <v>0</v>
      </c>
      <c r="V33" s="464">
        <v>0</v>
      </c>
      <c r="W33" s="464">
        <v>0</v>
      </c>
      <c r="X33" s="464">
        <v>0</v>
      </c>
      <c r="Y33" s="464">
        <v>0</v>
      </c>
      <c r="Z33" s="465">
        <v>-2799.6800000000003</v>
      </c>
    </row>
    <row r="34" spans="1:26" x14ac:dyDescent="0.25">
      <c r="A34" s="1073" t="str">
        <f>VLOOKUP($B34,'Retail Rates'!$A$46:$B$55,2,FALSE)</f>
        <v>LGING997</v>
      </c>
      <c r="B34" s="477" t="s">
        <v>796</v>
      </c>
      <c r="C34" s="470">
        <v>40695</v>
      </c>
      <c r="D34" s="470">
        <f>+C34</f>
        <v>40695</v>
      </c>
      <c r="E34" s="471">
        <v>135901.33000000002</v>
      </c>
      <c r="F34" s="472">
        <v>109338.04000000001</v>
      </c>
      <c r="G34" s="473">
        <v>781</v>
      </c>
      <c r="H34" s="465">
        <v>25782.29</v>
      </c>
      <c r="J34" s="471">
        <v>700119</v>
      </c>
      <c r="K34" s="472">
        <v>700119</v>
      </c>
      <c r="L34" s="473">
        <v>0</v>
      </c>
      <c r="N34" s="464">
        <v>781</v>
      </c>
      <c r="O34" s="463">
        <v>0</v>
      </c>
      <c r="P34" s="463">
        <v>3409.58</v>
      </c>
      <c r="Q34" s="463">
        <v>0</v>
      </c>
      <c r="R34" s="463">
        <v>104976</v>
      </c>
      <c r="S34" s="463">
        <v>952.46</v>
      </c>
      <c r="T34" s="463">
        <v>0</v>
      </c>
      <c r="U34" s="463">
        <v>0</v>
      </c>
      <c r="V34" s="464">
        <v>0</v>
      </c>
      <c r="W34" s="464">
        <v>0</v>
      </c>
      <c r="X34" s="464">
        <v>0</v>
      </c>
      <c r="Y34" s="464">
        <v>0</v>
      </c>
      <c r="Z34" s="465">
        <v>25782.29</v>
      </c>
    </row>
    <row r="35" spans="1:26" x14ac:dyDescent="0.25">
      <c r="A35" s="1073" t="str">
        <f>VLOOKUP($B35,'Retail Rates'!$A$46:$B$55,2,FALSE)</f>
        <v>LGING882</v>
      </c>
      <c r="B35" s="469" t="s">
        <v>68</v>
      </c>
      <c r="C35" s="470">
        <v>40725</v>
      </c>
      <c r="D35" s="470">
        <f>+C35</f>
        <v>40725</v>
      </c>
      <c r="E35" s="471">
        <v>12526.68</v>
      </c>
      <c r="F35" s="472">
        <v>12783.88</v>
      </c>
      <c r="G35" s="473">
        <v>645.92000000000007</v>
      </c>
      <c r="H35" s="465">
        <v>-903.11999999999989</v>
      </c>
      <c r="J35" s="471">
        <v>54589</v>
      </c>
      <c r="K35" s="472">
        <v>54182</v>
      </c>
      <c r="L35" s="473">
        <v>407</v>
      </c>
      <c r="N35" s="464">
        <v>340</v>
      </c>
      <c r="O35" s="474">
        <v>306</v>
      </c>
      <c r="P35" s="474">
        <v>7697.4</v>
      </c>
      <c r="Q35" s="463">
        <v>4780.4799999999996</v>
      </c>
      <c r="R35" s="464">
        <v>77.42</v>
      </c>
      <c r="S35" s="464">
        <v>228.5</v>
      </c>
      <c r="T35" s="463">
        <v>0</v>
      </c>
      <c r="U35" s="463">
        <v>0</v>
      </c>
      <c r="V35" s="464">
        <v>0</v>
      </c>
      <c r="W35" s="464">
        <v>0</v>
      </c>
      <c r="X35" s="464">
        <v>0</v>
      </c>
      <c r="Y35" s="464">
        <v>0</v>
      </c>
      <c r="Z35" s="465">
        <v>-903.11999999999989</v>
      </c>
    </row>
    <row r="36" spans="1:26" x14ac:dyDescent="0.25">
      <c r="A36" s="1073" t="str">
        <f>VLOOKUP($B36,'Retail Rates'!$A$46:$B$55,2,FALSE)</f>
        <v>LGCMG881</v>
      </c>
      <c r="B36" s="469" t="s">
        <v>65</v>
      </c>
      <c r="C36" s="470">
        <v>40725</v>
      </c>
      <c r="D36" s="470">
        <f>+C36</f>
        <v>40725</v>
      </c>
      <c r="E36" s="471">
        <v>1735.94</v>
      </c>
      <c r="F36" s="472">
        <v>306</v>
      </c>
      <c r="G36" s="473">
        <v>1429.94</v>
      </c>
      <c r="H36" s="465">
        <v>0</v>
      </c>
      <c r="J36" s="471">
        <v>1454</v>
      </c>
      <c r="K36" s="472">
        <v>0</v>
      </c>
      <c r="L36" s="473">
        <v>1454</v>
      </c>
      <c r="N36" s="464">
        <v>340</v>
      </c>
      <c r="O36" s="474">
        <v>306</v>
      </c>
      <c r="P36" s="463">
        <v>0</v>
      </c>
      <c r="Q36" s="463">
        <v>0</v>
      </c>
      <c r="R36" s="464">
        <v>272.22000000000003</v>
      </c>
      <c r="S36" s="464">
        <v>816.32</v>
      </c>
      <c r="T36" s="463">
        <v>0</v>
      </c>
      <c r="U36" s="463">
        <v>0</v>
      </c>
      <c r="V36" s="464">
        <v>0</v>
      </c>
      <c r="W36" s="475">
        <v>1.4</v>
      </c>
      <c r="X36" s="464">
        <v>0</v>
      </c>
      <c r="Y36" s="464">
        <v>0</v>
      </c>
      <c r="Z36" s="465">
        <v>0</v>
      </c>
    </row>
    <row r="37" spans="1:26" x14ac:dyDescent="0.25">
      <c r="A37" s="1073" t="str">
        <f>VLOOKUP($B37,'Retail Rates'!$A$46:$B$55,2,FALSE)</f>
        <v>LGCMG895</v>
      </c>
      <c r="B37" s="476" t="s">
        <v>789</v>
      </c>
      <c r="C37" s="470">
        <v>40725</v>
      </c>
      <c r="D37" s="470">
        <v>40695</v>
      </c>
      <c r="E37" s="471">
        <v>18010.919999999998</v>
      </c>
      <c r="F37" s="472">
        <v>17999.739999999998</v>
      </c>
      <c r="G37" s="473">
        <v>252.53</v>
      </c>
      <c r="H37" s="465">
        <v>-241.35</v>
      </c>
      <c r="J37" s="471">
        <v>357416</v>
      </c>
      <c r="K37" s="472">
        <v>356963</v>
      </c>
      <c r="L37" s="473">
        <v>453</v>
      </c>
      <c r="N37" s="464">
        <v>0</v>
      </c>
      <c r="O37" s="474">
        <v>2300</v>
      </c>
      <c r="P37" s="474">
        <v>15349.43</v>
      </c>
      <c r="Q37" s="463">
        <v>0</v>
      </c>
      <c r="R37" s="463">
        <v>0</v>
      </c>
      <c r="S37" s="474">
        <v>7.62</v>
      </c>
      <c r="T37" s="463">
        <v>0</v>
      </c>
      <c r="U37" s="474">
        <v>342.69000000000005</v>
      </c>
      <c r="V37" s="475">
        <v>19.48</v>
      </c>
      <c r="W37" s="464">
        <v>0.43</v>
      </c>
      <c r="X37" s="475">
        <v>0</v>
      </c>
      <c r="Y37" s="464">
        <v>232.62</v>
      </c>
      <c r="Z37" s="465">
        <v>-241.35</v>
      </c>
    </row>
    <row r="38" spans="1:26" x14ac:dyDescent="0.25">
      <c r="A38" s="1073" t="str">
        <f>VLOOKUP($B38,'Retail Rates'!$A$46:$B$55,2,FALSE)</f>
        <v>LGING896</v>
      </c>
      <c r="B38" s="477" t="s">
        <v>790</v>
      </c>
      <c r="C38" s="470">
        <v>40725</v>
      </c>
      <c r="D38" s="470">
        <v>40695</v>
      </c>
      <c r="E38" s="471">
        <v>245458.5799999999</v>
      </c>
      <c r="F38" s="472">
        <v>253149.30999999991</v>
      </c>
      <c r="G38" s="473">
        <v>0</v>
      </c>
      <c r="H38" s="465">
        <v>-7690.7300000000005</v>
      </c>
      <c r="J38" s="471">
        <v>5441572</v>
      </c>
      <c r="K38" s="472">
        <v>5441572</v>
      </c>
      <c r="L38" s="473">
        <v>0</v>
      </c>
      <c r="N38" s="464">
        <v>0</v>
      </c>
      <c r="O38" s="463">
        <v>13800</v>
      </c>
      <c r="P38" s="463">
        <v>233987.62999999992</v>
      </c>
      <c r="Q38" s="463">
        <v>0</v>
      </c>
      <c r="R38" s="463">
        <v>0</v>
      </c>
      <c r="S38" s="474">
        <v>5361.68</v>
      </c>
      <c r="T38" s="463">
        <v>0</v>
      </c>
      <c r="U38" s="463">
        <v>0</v>
      </c>
      <c r="V38" s="464">
        <v>0</v>
      </c>
      <c r="W38" s="464">
        <v>0</v>
      </c>
      <c r="X38" s="464">
        <v>0</v>
      </c>
      <c r="Y38" s="464">
        <v>0</v>
      </c>
      <c r="Z38" s="465">
        <v>-7690.7300000000005</v>
      </c>
    </row>
    <row r="39" spans="1:26" x14ac:dyDescent="0.25">
      <c r="A39" s="1073" t="str">
        <f>VLOOKUP($B39,'Retail Rates'!$A$46:$B$55,2,FALSE)</f>
        <v>LGING896PM</v>
      </c>
      <c r="B39" s="477" t="s">
        <v>791</v>
      </c>
      <c r="C39" s="470">
        <v>40725</v>
      </c>
      <c r="D39" s="470">
        <v>40695</v>
      </c>
      <c r="E39" s="471">
        <v>-30986.410000000018</v>
      </c>
      <c r="F39" s="472">
        <v>16553.88</v>
      </c>
      <c r="G39" s="473">
        <v>36147.32</v>
      </c>
      <c r="H39" s="465">
        <v>-83687.610000000015</v>
      </c>
      <c r="J39" s="471">
        <v>0</v>
      </c>
      <c r="K39" s="472">
        <v>0</v>
      </c>
      <c r="L39" s="473">
        <v>0</v>
      </c>
      <c r="N39" s="464">
        <v>0</v>
      </c>
      <c r="O39" s="474">
        <v>5175</v>
      </c>
      <c r="P39" s="463">
        <v>0</v>
      </c>
      <c r="Q39" s="463">
        <v>0</v>
      </c>
      <c r="R39" s="463">
        <v>0</v>
      </c>
      <c r="S39" s="474">
        <v>11378.880000000001</v>
      </c>
      <c r="T39" s="463">
        <v>0</v>
      </c>
      <c r="U39" s="463">
        <v>0</v>
      </c>
      <c r="V39" s="464">
        <v>0</v>
      </c>
      <c r="W39" s="464">
        <v>0</v>
      </c>
      <c r="X39" s="475">
        <v>0</v>
      </c>
      <c r="Y39" s="464">
        <v>36147.32</v>
      </c>
      <c r="Z39" s="465">
        <v>-83687.610000000015</v>
      </c>
    </row>
    <row r="40" spans="1:26" x14ac:dyDescent="0.25">
      <c r="A40" s="1073" t="str">
        <f>VLOOKUP($B40,'Retail Rates'!$A$46:$B$55,2,FALSE)</f>
        <v>LGING896</v>
      </c>
      <c r="B40" s="477" t="s">
        <v>792</v>
      </c>
      <c r="C40" s="470">
        <v>40725</v>
      </c>
      <c r="D40" s="470">
        <v>40695</v>
      </c>
      <c r="E40" s="471">
        <v>9201.9500000000007</v>
      </c>
      <c r="F40" s="472">
        <v>9201.9500000000007</v>
      </c>
      <c r="G40" s="473">
        <v>0</v>
      </c>
      <c r="H40" s="465">
        <v>0</v>
      </c>
      <c r="J40" s="471">
        <v>208650</v>
      </c>
      <c r="K40" s="472">
        <v>208650</v>
      </c>
      <c r="L40" s="473">
        <v>0</v>
      </c>
      <c r="N40" s="464">
        <v>0</v>
      </c>
      <c r="O40" s="474">
        <v>230</v>
      </c>
      <c r="P40" s="474">
        <v>8971.9500000000007</v>
      </c>
      <c r="Q40" s="463">
        <v>0</v>
      </c>
      <c r="R40" s="463">
        <v>0</v>
      </c>
      <c r="S40" s="463">
        <v>0</v>
      </c>
      <c r="T40" s="463">
        <v>0</v>
      </c>
      <c r="U40" s="463">
        <v>0</v>
      </c>
      <c r="V40" s="464">
        <v>0</v>
      </c>
      <c r="W40" s="464">
        <v>0</v>
      </c>
      <c r="X40" s="464">
        <v>0</v>
      </c>
      <c r="Y40" s="464">
        <v>0</v>
      </c>
      <c r="Z40" s="465">
        <v>0</v>
      </c>
    </row>
    <row r="41" spans="1:26" x14ac:dyDescent="0.25">
      <c r="A41" s="1073" t="str">
        <f>VLOOKUP($B41,'Retail Rates'!$A$46:$B$55,2,FALSE)</f>
        <v>LGCMG895</v>
      </c>
      <c r="B41" s="477" t="s">
        <v>793</v>
      </c>
      <c r="C41" s="470">
        <v>40725</v>
      </c>
      <c r="D41" s="470">
        <v>40695</v>
      </c>
      <c r="E41" s="471">
        <v>2238.33</v>
      </c>
      <c r="F41" s="472">
        <v>3815.94</v>
      </c>
      <c r="G41" s="473">
        <v>0</v>
      </c>
      <c r="H41" s="465">
        <v>-1577.6100000000001</v>
      </c>
      <c r="J41" s="471">
        <v>76143</v>
      </c>
      <c r="K41" s="472">
        <v>76143</v>
      </c>
      <c r="L41" s="473">
        <v>0</v>
      </c>
      <c r="N41" s="464">
        <v>0</v>
      </c>
      <c r="O41" s="474">
        <v>460</v>
      </c>
      <c r="P41" s="474">
        <v>3274.15</v>
      </c>
      <c r="Q41" s="463">
        <v>0</v>
      </c>
      <c r="R41" s="463">
        <v>0</v>
      </c>
      <c r="S41" s="474">
        <v>8.69</v>
      </c>
      <c r="T41" s="463">
        <v>0</v>
      </c>
      <c r="U41" s="474">
        <v>73.099999999999994</v>
      </c>
      <c r="V41" s="464">
        <v>0</v>
      </c>
      <c r="W41" s="464">
        <v>0</v>
      </c>
      <c r="X41" s="464">
        <v>0</v>
      </c>
      <c r="Y41" s="464">
        <v>0</v>
      </c>
      <c r="Z41" s="465">
        <v>-1577.6100000000001</v>
      </c>
    </row>
    <row r="42" spans="1:26" x14ac:dyDescent="0.25">
      <c r="A42" s="1073" t="str">
        <f>VLOOKUP($B42,'Retail Rates'!$A$46:$B$55,2,FALSE)</f>
        <v>LGING992</v>
      </c>
      <c r="B42" s="477" t="s">
        <v>794</v>
      </c>
      <c r="C42" s="470">
        <v>40725</v>
      </c>
      <c r="D42" s="470">
        <v>40695</v>
      </c>
      <c r="E42" s="471">
        <v>9066.16</v>
      </c>
      <c r="F42" s="472">
        <v>16096.69</v>
      </c>
      <c r="G42" s="473">
        <v>275</v>
      </c>
      <c r="H42" s="465">
        <v>-7305.53</v>
      </c>
      <c r="J42" s="471">
        <v>475131</v>
      </c>
      <c r="K42" s="472">
        <v>475131</v>
      </c>
      <c r="L42" s="473">
        <v>0</v>
      </c>
      <c r="N42" s="464">
        <v>275</v>
      </c>
      <c r="O42" s="463">
        <v>230</v>
      </c>
      <c r="P42" s="463">
        <v>4984.12</v>
      </c>
      <c r="Q42" s="463">
        <v>0</v>
      </c>
      <c r="R42" s="463">
        <v>6369.83</v>
      </c>
      <c r="S42" s="463">
        <v>4512.74</v>
      </c>
      <c r="T42" s="463">
        <v>0</v>
      </c>
      <c r="U42" s="463">
        <v>0</v>
      </c>
      <c r="V42" s="464">
        <v>0</v>
      </c>
      <c r="W42" s="464">
        <v>0</v>
      </c>
      <c r="X42" s="464">
        <v>0</v>
      </c>
      <c r="Y42" s="464">
        <v>0</v>
      </c>
      <c r="Z42" s="465">
        <v>-7305.53</v>
      </c>
    </row>
    <row r="43" spans="1:26" x14ac:dyDescent="0.25">
      <c r="A43" s="1073" t="str">
        <f>VLOOKUP($B43,'Retail Rates'!$A$46:$B$55,2,FALSE)</f>
        <v>LGCMG991</v>
      </c>
      <c r="B43" s="477" t="s">
        <v>795</v>
      </c>
      <c r="C43" s="470">
        <v>40725</v>
      </c>
      <c r="D43" s="470">
        <v>40695</v>
      </c>
      <c r="E43" s="471">
        <v>19126.690000000002</v>
      </c>
      <c r="F43" s="472">
        <v>18915.79</v>
      </c>
      <c r="G43" s="473">
        <v>781</v>
      </c>
      <c r="H43" s="465">
        <v>-570.1</v>
      </c>
      <c r="J43" s="471">
        <v>12058</v>
      </c>
      <c r="K43" s="472">
        <v>12058</v>
      </c>
      <c r="L43" s="473">
        <v>0</v>
      </c>
      <c r="N43" s="464">
        <v>781</v>
      </c>
      <c r="O43" s="463">
        <v>230</v>
      </c>
      <c r="P43" s="463">
        <v>58.72</v>
      </c>
      <c r="Q43" s="463">
        <v>0</v>
      </c>
      <c r="R43" s="463">
        <v>18225</v>
      </c>
      <c r="S43" s="463">
        <v>402.07</v>
      </c>
      <c r="T43" s="463">
        <v>0</v>
      </c>
      <c r="U43" s="463">
        <v>0</v>
      </c>
      <c r="V43" s="464">
        <v>0</v>
      </c>
      <c r="W43" s="464">
        <v>0</v>
      </c>
      <c r="X43" s="464">
        <v>0</v>
      </c>
      <c r="Y43" s="464">
        <v>0</v>
      </c>
      <c r="Z43" s="465">
        <v>-570.1</v>
      </c>
    </row>
    <row r="44" spans="1:26" x14ac:dyDescent="0.25">
      <c r="A44" s="1073" t="str">
        <f>VLOOKUP($B44,'Retail Rates'!$A$46:$B$55,2,FALSE)</f>
        <v>LGING997</v>
      </c>
      <c r="B44" s="477" t="s">
        <v>796</v>
      </c>
      <c r="C44" s="470">
        <v>40725</v>
      </c>
      <c r="D44" s="470">
        <f>+C44</f>
        <v>40725</v>
      </c>
      <c r="E44" s="471">
        <v>94859.28</v>
      </c>
      <c r="F44" s="472">
        <v>111779.18</v>
      </c>
      <c r="G44" s="473">
        <v>26217.65</v>
      </c>
      <c r="H44" s="465">
        <v>-43137.549999999996</v>
      </c>
      <c r="J44" s="471">
        <v>1171817</v>
      </c>
      <c r="K44" s="472">
        <v>1120520</v>
      </c>
      <c r="L44" s="473">
        <v>51297</v>
      </c>
      <c r="N44" s="464">
        <v>781</v>
      </c>
      <c r="O44" s="463">
        <v>0</v>
      </c>
      <c r="P44" s="463">
        <v>5456.93</v>
      </c>
      <c r="Q44" s="463">
        <v>0</v>
      </c>
      <c r="R44" s="463">
        <v>104976</v>
      </c>
      <c r="S44" s="463">
        <v>1346.25</v>
      </c>
      <c r="T44" s="463">
        <v>0</v>
      </c>
      <c r="U44" s="463">
        <v>0</v>
      </c>
      <c r="V44" s="464">
        <v>249.82</v>
      </c>
      <c r="W44" s="464">
        <v>0</v>
      </c>
      <c r="X44" s="464">
        <v>0</v>
      </c>
      <c r="Y44" s="464">
        <v>25186.83</v>
      </c>
      <c r="Z44" s="465">
        <v>-43137.549999999996</v>
      </c>
    </row>
    <row r="45" spans="1:26" x14ac:dyDescent="0.25">
      <c r="A45" s="1073" t="str">
        <f>VLOOKUP($B45,'Retail Rates'!$A$46:$B$55,2,FALSE)</f>
        <v>LGING882</v>
      </c>
      <c r="B45" s="469" t="s">
        <v>68</v>
      </c>
      <c r="C45" s="470">
        <v>40756</v>
      </c>
      <c r="D45" s="470">
        <f>+C45</f>
        <v>40756</v>
      </c>
      <c r="E45" s="471">
        <v>5157.25</v>
      </c>
      <c r="F45" s="472">
        <v>8373.57</v>
      </c>
      <c r="G45" s="473">
        <v>1415.3400000000001</v>
      </c>
      <c r="H45" s="465">
        <v>-4631.66</v>
      </c>
      <c r="J45" s="471">
        <v>36391</v>
      </c>
      <c r="K45" s="472">
        <v>34928</v>
      </c>
      <c r="L45" s="473">
        <v>1463</v>
      </c>
      <c r="N45" s="464">
        <v>340</v>
      </c>
      <c r="O45" s="474">
        <v>306</v>
      </c>
      <c r="P45" s="474">
        <v>4997.5999999999995</v>
      </c>
      <c r="Q45" s="463">
        <v>3069.97</v>
      </c>
      <c r="R45" s="464">
        <v>255.14</v>
      </c>
      <c r="S45" s="464">
        <v>820.2</v>
      </c>
      <c r="T45" s="463">
        <v>0</v>
      </c>
      <c r="U45" s="463">
        <v>0</v>
      </c>
      <c r="V45" s="464">
        <v>0</v>
      </c>
      <c r="W45" s="464">
        <v>0</v>
      </c>
      <c r="X45" s="464">
        <v>0</v>
      </c>
      <c r="Y45" s="464">
        <v>0</v>
      </c>
      <c r="Z45" s="465">
        <v>-4631.66</v>
      </c>
    </row>
    <row r="46" spans="1:26" x14ac:dyDescent="0.25">
      <c r="A46" s="1073" t="str">
        <f>VLOOKUP($B46,'Retail Rates'!$A$46:$B$55,2,FALSE)</f>
        <v>LGCMG881</v>
      </c>
      <c r="B46" s="469" t="s">
        <v>65</v>
      </c>
      <c r="C46" s="470">
        <v>40756</v>
      </c>
      <c r="D46" s="470">
        <f>+C46</f>
        <v>40756</v>
      </c>
      <c r="E46" s="471">
        <v>-169.60000000000002</v>
      </c>
      <c r="F46" s="472">
        <v>0</v>
      </c>
      <c r="G46" s="473">
        <v>-169.60000000000002</v>
      </c>
      <c r="H46" s="465">
        <v>0</v>
      </c>
      <c r="J46" s="471">
        <v>-226</v>
      </c>
      <c r="K46" s="472">
        <v>0</v>
      </c>
      <c r="L46" s="473">
        <v>-226</v>
      </c>
      <c r="N46" s="464">
        <v>0</v>
      </c>
      <c r="O46" s="474">
        <v>0</v>
      </c>
      <c r="P46" s="463">
        <v>0</v>
      </c>
      <c r="Q46" s="463">
        <v>0</v>
      </c>
      <c r="R46" s="464">
        <v>-42.310000000000016</v>
      </c>
      <c r="S46" s="464">
        <v>-127.07000000000001</v>
      </c>
      <c r="T46" s="463">
        <v>0</v>
      </c>
      <c r="U46" s="463">
        <v>0</v>
      </c>
      <c r="V46" s="464">
        <v>0</v>
      </c>
      <c r="W46" s="475">
        <v>-0.21999999999999997</v>
      </c>
      <c r="X46" s="464">
        <v>0</v>
      </c>
      <c r="Y46" s="464">
        <v>0</v>
      </c>
      <c r="Z46" s="465">
        <v>0</v>
      </c>
    </row>
    <row r="47" spans="1:26" x14ac:dyDescent="0.25">
      <c r="A47" s="1073" t="str">
        <f>VLOOKUP($B47,'Retail Rates'!$A$46:$B$55,2,FALSE)</f>
        <v>LGCMG895</v>
      </c>
      <c r="B47" s="476" t="s">
        <v>789</v>
      </c>
      <c r="C47" s="470">
        <v>40756</v>
      </c>
      <c r="D47" s="470">
        <v>40725</v>
      </c>
      <c r="E47" s="471">
        <v>16637.489999999998</v>
      </c>
      <c r="F47" s="472">
        <v>16989.32</v>
      </c>
      <c r="G47" s="473">
        <v>0</v>
      </c>
      <c r="H47" s="465">
        <v>-351.83000000000004</v>
      </c>
      <c r="J47" s="471">
        <v>333216</v>
      </c>
      <c r="K47" s="472">
        <v>333216</v>
      </c>
      <c r="L47" s="473">
        <v>0</v>
      </c>
      <c r="N47" s="464">
        <v>0</v>
      </c>
      <c r="O47" s="474">
        <v>2300</v>
      </c>
      <c r="P47" s="474">
        <v>14328.29</v>
      </c>
      <c r="Q47" s="463">
        <v>0</v>
      </c>
      <c r="R47" s="463">
        <v>0</v>
      </c>
      <c r="S47" s="474">
        <v>41.14</v>
      </c>
      <c r="T47" s="463">
        <v>0</v>
      </c>
      <c r="U47" s="474">
        <v>319.89</v>
      </c>
      <c r="V47" s="475">
        <v>0</v>
      </c>
      <c r="W47" s="464">
        <v>0</v>
      </c>
      <c r="X47" s="475">
        <v>0</v>
      </c>
      <c r="Y47" s="464">
        <v>0</v>
      </c>
      <c r="Z47" s="465">
        <v>-351.83000000000004</v>
      </c>
    </row>
    <row r="48" spans="1:26" x14ac:dyDescent="0.25">
      <c r="A48" s="1073" t="str">
        <f>VLOOKUP($B48,'Retail Rates'!$A$46:$B$55,2,FALSE)</f>
        <v>LGING896</v>
      </c>
      <c r="B48" s="477" t="s">
        <v>790</v>
      </c>
      <c r="C48" s="470">
        <v>40756</v>
      </c>
      <c r="D48" s="470">
        <v>40725</v>
      </c>
      <c r="E48" s="471">
        <v>240052.39999999991</v>
      </c>
      <c r="F48" s="472">
        <v>253228.81999999992</v>
      </c>
      <c r="G48" s="473">
        <v>0</v>
      </c>
      <c r="H48" s="465">
        <v>-13176.42</v>
      </c>
      <c r="J48" s="471">
        <v>5488416</v>
      </c>
      <c r="K48" s="472">
        <v>5488416</v>
      </c>
      <c r="L48" s="473">
        <v>0</v>
      </c>
      <c r="N48" s="464">
        <v>0</v>
      </c>
      <c r="O48" s="463">
        <v>13800</v>
      </c>
      <c r="P48" s="463">
        <v>236001.92999999991</v>
      </c>
      <c r="Q48" s="463">
        <v>0</v>
      </c>
      <c r="R48" s="463">
        <v>0</v>
      </c>
      <c r="S48" s="474">
        <v>3426.8900000000003</v>
      </c>
      <c r="T48" s="463">
        <v>0</v>
      </c>
      <c r="U48" s="463">
        <v>0</v>
      </c>
      <c r="V48" s="464">
        <v>0</v>
      </c>
      <c r="W48" s="464">
        <v>0</v>
      </c>
      <c r="X48" s="464">
        <v>0</v>
      </c>
      <c r="Y48" s="464">
        <v>0</v>
      </c>
      <c r="Z48" s="465">
        <v>-13176.42</v>
      </c>
    </row>
    <row r="49" spans="1:26" x14ac:dyDescent="0.25">
      <c r="A49" s="1073" t="str">
        <f>VLOOKUP($B49,'Retail Rates'!$A$46:$B$55,2,FALSE)</f>
        <v>LGING896PM</v>
      </c>
      <c r="B49" s="477" t="s">
        <v>791</v>
      </c>
      <c r="C49" s="470">
        <v>40756</v>
      </c>
      <c r="D49" s="470">
        <v>40725</v>
      </c>
      <c r="E49" s="471">
        <v>24175.850000000006</v>
      </c>
      <c r="F49" s="472">
        <v>25240.57</v>
      </c>
      <c r="G49" s="473">
        <v>59556.340000000004</v>
      </c>
      <c r="H49" s="465">
        <v>-60621.06</v>
      </c>
      <c r="J49" s="471">
        <v>0</v>
      </c>
      <c r="K49" s="472">
        <v>0</v>
      </c>
      <c r="L49" s="473">
        <v>0</v>
      </c>
      <c r="N49" s="464">
        <v>0</v>
      </c>
      <c r="O49" s="474">
        <v>5175</v>
      </c>
      <c r="P49" s="463">
        <v>0</v>
      </c>
      <c r="Q49" s="463">
        <v>0</v>
      </c>
      <c r="R49" s="463">
        <v>0</v>
      </c>
      <c r="S49" s="474">
        <v>20065.57</v>
      </c>
      <c r="T49" s="463">
        <v>0</v>
      </c>
      <c r="U49" s="463">
        <v>0</v>
      </c>
      <c r="V49" s="464">
        <v>0</v>
      </c>
      <c r="W49" s="464">
        <v>0</v>
      </c>
      <c r="X49" s="475">
        <v>0</v>
      </c>
      <c r="Y49" s="464">
        <v>59556.340000000004</v>
      </c>
      <c r="Z49" s="465">
        <v>-60621.06</v>
      </c>
    </row>
    <row r="50" spans="1:26" x14ac:dyDescent="0.25">
      <c r="A50" s="1073" t="str">
        <f>VLOOKUP($B50,'Retail Rates'!$A$46:$B$55,2,FALSE)</f>
        <v>LGING896</v>
      </c>
      <c r="B50" s="477" t="s">
        <v>792</v>
      </c>
      <c r="C50" s="470">
        <v>40756</v>
      </c>
      <c r="D50" s="470">
        <v>40725</v>
      </c>
      <c r="E50" s="471">
        <v>6849.72</v>
      </c>
      <c r="F50" s="472">
        <v>6849.72</v>
      </c>
      <c r="G50" s="473">
        <v>0</v>
      </c>
      <c r="H50" s="465">
        <v>0</v>
      </c>
      <c r="J50" s="471">
        <v>153947</v>
      </c>
      <c r="K50" s="472">
        <v>153947</v>
      </c>
      <c r="L50" s="473">
        <v>0</v>
      </c>
      <c r="N50" s="464">
        <v>0</v>
      </c>
      <c r="O50" s="474">
        <v>230</v>
      </c>
      <c r="P50" s="474">
        <v>6619.72</v>
      </c>
      <c r="Q50" s="463">
        <v>0</v>
      </c>
      <c r="R50" s="463">
        <v>0</v>
      </c>
      <c r="S50" s="463">
        <v>0</v>
      </c>
      <c r="T50" s="463">
        <v>0</v>
      </c>
      <c r="U50" s="463">
        <v>0</v>
      </c>
      <c r="V50" s="464">
        <v>0</v>
      </c>
      <c r="W50" s="464">
        <v>0</v>
      </c>
      <c r="X50" s="464">
        <v>0</v>
      </c>
      <c r="Y50" s="464">
        <v>0</v>
      </c>
      <c r="Z50" s="465">
        <v>0</v>
      </c>
    </row>
    <row r="51" spans="1:26" x14ac:dyDescent="0.25">
      <c r="A51" s="1073" t="str">
        <f>VLOOKUP($B51,'Retail Rates'!$A$46:$B$55,2,FALSE)</f>
        <v>LGCMG895</v>
      </c>
      <c r="B51" s="477" t="s">
        <v>793</v>
      </c>
      <c r="C51" s="470">
        <v>40756</v>
      </c>
      <c r="D51" s="470">
        <v>40725</v>
      </c>
      <c r="E51" s="471">
        <v>2321.3199999999997</v>
      </c>
      <c r="F51" s="472">
        <v>3201.97</v>
      </c>
      <c r="G51" s="473">
        <v>0</v>
      </c>
      <c r="H51" s="465">
        <v>-880.65</v>
      </c>
      <c r="J51" s="471">
        <v>61642</v>
      </c>
      <c r="K51" s="472">
        <v>61642</v>
      </c>
      <c r="L51" s="473">
        <v>0</v>
      </c>
      <c r="N51" s="464">
        <v>0</v>
      </c>
      <c r="O51" s="474">
        <v>460</v>
      </c>
      <c r="P51" s="474">
        <v>2650.6099999999997</v>
      </c>
      <c r="Q51" s="463">
        <v>0</v>
      </c>
      <c r="R51" s="463">
        <v>0</v>
      </c>
      <c r="S51" s="474">
        <v>32.19</v>
      </c>
      <c r="T51" s="463">
        <v>0</v>
      </c>
      <c r="U51" s="474">
        <v>59.17</v>
      </c>
      <c r="V51" s="464">
        <v>0</v>
      </c>
      <c r="W51" s="464">
        <v>0</v>
      </c>
      <c r="X51" s="464">
        <v>0</v>
      </c>
      <c r="Y51" s="464">
        <v>0</v>
      </c>
      <c r="Z51" s="465">
        <v>-880.65</v>
      </c>
    </row>
    <row r="52" spans="1:26" x14ac:dyDescent="0.25">
      <c r="A52" s="1073" t="str">
        <f>VLOOKUP($B52,'Retail Rates'!$A$46:$B$55,2,FALSE)</f>
        <v>LGING992</v>
      </c>
      <c r="B52" s="477" t="s">
        <v>794</v>
      </c>
      <c r="C52" s="470">
        <v>40756</v>
      </c>
      <c r="D52" s="470">
        <v>40725</v>
      </c>
      <c r="E52" s="471">
        <v>8605.6899999999987</v>
      </c>
      <c r="F52" s="472">
        <v>14205.4</v>
      </c>
      <c r="G52" s="473">
        <v>275</v>
      </c>
      <c r="H52" s="465">
        <v>-5874.71</v>
      </c>
      <c r="J52" s="471">
        <v>489708</v>
      </c>
      <c r="K52" s="472">
        <v>489708</v>
      </c>
      <c r="L52" s="473">
        <v>0</v>
      </c>
      <c r="N52" s="464">
        <v>275</v>
      </c>
      <c r="O52" s="463">
        <v>230</v>
      </c>
      <c r="P52" s="463">
        <v>5137.04</v>
      </c>
      <c r="Q52" s="463">
        <v>0</v>
      </c>
      <c r="R52" s="463">
        <v>6369.83</v>
      </c>
      <c r="S52" s="463">
        <v>2468.5300000000002</v>
      </c>
      <c r="T52" s="463">
        <v>0</v>
      </c>
      <c r="U52" s="463">
        <v>0</v>
      </c>
      <c r="V52" s="464">
        <v>0</v>
      </c>
      <c r="W52" s="464">
        <v>0</v>
      </c>
      <c r="X52" s="464">
        <v>0</v>
      </c>
      <c r="Y52" s="464">
        <v>0</v>
      </c>
      <c r="Z52" s="465">
        <v>-5874.71</v>
      </c>
    </row>
    <row r="53" spans="1:26" x14ac:dyDescent="0.25">
      <c r="A53" s="1073" t="str">
        <f>VLOOKUP($B53,'Retail Rates'!$A$46:$B$55,2,FALSE)</f>
        <v>LGCMG991</v>
      </c>
      <c r="B53" s="477" t="s">
        <v>795</v>
      </c>
      <c r="C53" s="470">
        <v>40756</v>
      </c>
      <c r="D53" s="470">
        <v>40725</v>
      </c>
      <c r="E53" s="471">
        <v>20247.09</v>
      </c>
      <c r="F53" s="472">
        <v>18674.29</v>
      </c>
      <c r="G53" s="473">
        <v>1695.5499999999997</v>
      </c>
      <c r="H53" s="465">
        <v>-122.75</v>
      </c>
      <c r="J53" s="471">
        <v>7917</v>
      </c>
      <c r="K53" s="472">
        <v>6370</v>
      </c>
      <c r="L53" s="473">
        <v>1547</v>
      </c>
      <c r="N53" s="464">
        <v>781</v>
      </c>
      <c r="O53" s="463">
        <v>230</v>
      </c>
      <c r="P53" s="463">
        <v>31.02</v>
      </c>
      <c r="Q53" s="463">
        <v>0</v>
      </c>
      <c r="R53" s="463">
        <v>18225</v>
      </c>
      <c r="S53" s="463">
        <v>188.27</v>
      </c>
      <c r="T53" s="463">
        <v>0</v>
      </c>
      <c r="U53" s="463">
        <v>0</v>
      </c>
      <c r="V53" s="464">
        <v>7.53</v>
      </c>
      <c r="W53" s="464">
        <v>0</v>
      </c>
      <c r="X53" s="464">
        <v>0</v>
      </c>
      <c r="Y53" s="464">
        <v>907.01999999999987</v>
      </c>
      <c r="Z53" s="465">
        <v>-122.75</v>
      </c>
    </row>
    <row r="54" spans="1:26" x14ac:dyDescent="0.25">
      <c r="A54" s="1073" t="str">
        <f>VLOOKUP($B54,'Retail Rates'!$A$46:$B$55,2,FALSE)</f>
        <v>LGING997</v>
      </c>
      <c r="B54" s="477" t="s">
        <v>796</v>
      </c>
      <c r="C54" s="470">
        <v>40756</v>
      </c>
      <c r="D54" s="470">
        <f>+C54</f>
        <v>40756</v>
      </c>
      <c r="E54" s="471">
        <v>121313.09000000001</v>
      </c>
      <c r="F54" s="472">
        <v>108798.35</v>
      </c>
      <c r="G54" s="473">
        <v>21955.07</v>
      </c>
      <c r="H54" s="465">
        <v>-9440.33</v>
      </c>
      <c r="J54" s="471">
        <v>660418</v>
      </c>
      <c r="K54" s="472">
        <v>614630</v>
      </c>
      <c r="L54" s="473">
        <v>45788</v>
      </c>
      <c r="N54" s="464">
        <v>781</v>
      </c>
      <c r="O54" s="463">
        <v>0</v>
      </c>
      <c r="P54" s="463">
        <v>2993.25</v>
      </c>
      <c r="Q54" s="463">
        <v>0</v>
      </c>
      <c r="R54" s="463">
        <v>104976</v>
      </c>
      <c r="S54" s="463">
        <v>829.1</v>
      </c>
      <c r="T54" s="463">
        <v>0</v>
      </c>
      <c r="U54" s="463">
        <v>0</v>
      </c>
      <c r="V54" s="464">
        <v>222.99</v>
      </c>
      <c r="W54" s="464">
        <v>0</v>
      </c>
      <c r="X54" s="464">
        <v>0</v>
      </c>
      <c r="Y54" s="464">
        <v>20951.079999999998</v>
      </c>
      <c r="Z54" s="465">
        <v>-9440.33</v>
      </c>
    </row>
    <row r="55" spans="1:26" x14ac:dyDescent="0.25">
      <c r="A55" s="1073" t="str">
        <f>VLOOKUP($B55,'Retail Rates'!$A$46:$B$55,2,FALSE)</f>
        <v>LGING882</v>
      </c>
      <c r="B55" s="469" t="s">
        <v>68</v>
      </c>
      <c r="C55" s="470">
        <v>40787</v>
      </c>
      <c r="D55" s="470">
        <f>+C55</f>
        <v>40787</v>
      </c>
      <c r="E55" s="471">
        <v>4167.8500000000013</v>
      </c>
      <c r="F55" s="472">
        <v>10643.84</v>
      </c>
      <c r="G55" s="473">
        <v>340</v>
      </c>
      <c r="H55" s="465">
        <v>-6815.9899999999989</v>
      </c>
      <c r="J55" s="471">
        <v>44893</v>
      </c>
      <c r="K55" s="472">
        <v>44893</v>
      </c>
      <c r="L55" s="473">
        <v>0</v>
      </c>
      <c r="N55" s="464">
        <v>340</v>
      </c>
      <c r="O55" s="474">
        <v>306</v>
      </c>
      <c r="P55" s="474">
        <v>6394.8899999999994</v>
      </c>
      <c r="Q55" s="463">
        <v>3942.95</v>
      </c>
      <c r="R55" s="464">
        <v>0</v>
      </c>
      <c r="S55" s="464">
        <v>0</v>
      </c>
      <c r="T55" s="463">
        <v>0</v>
      </c>
      <c r="U55" s="463">
        <v>0</v>
      </c>
      <c r="V55" s="464">
        <v>0</v>
      </c>
      <c r="W55" s="464">
        <v>0</v>
      </c>
      <c r="X55" s="464">
        <v>0</v>
      </c>
      <c r="Y55" s="464">
        <v>0</v>
      </c>
      <c r="Z55" s="465">
        <v>-6815.9899999999989</v>
      </c>
    </row>
    <row r="56" spans="1:26" x14ac:dyDescent="0.25">
      <c r="A56" s="1073" t="str">
        <f>VLOOKUP($B56,'Retail Rates'!$A$46:$B$55,2,FALSE)</f>
        <v>LGCMG881</v>
      </c>
      <c r="B56" s="469" t="s">
        <v>65</v>
      </c>
      <c r="C56" s="470">
        <v>40787</v>
      </c>
      <c r="D56" s="470">
        <f>+C56</f>
        <v>40787</v>
      </c>
      <c r="E56" s="471">
        <v>1005.0500000000001</v>
      </c>
      <c r="F56" s="472">
        <v>153</v>
      </c>
      <c r="G56" s="473">
        <v>852.05000000000007</v>
      </c>
      <c r="H56" s="465">
        <v>0</v>
      </c>
      <c r="J56" s="471">
        <v>911</v>
      </c>
      <c r="K56" s="472">
        <v>0</v>
      </c>
      <c r="L56" s="473">
        <v>911</v>
      </c>
      <c r="N56" s="464">
        <v>170</v>
      </c>
      <c r="O56" s="474">
        <v>153</v>
      </c>
      <c r="P56" s="463">
        <v>0</v>
      </c>
      <c r="Q56" s="463">
        <v>0</v>
      </c>
      <c r="R56" s="464">
        <v>170.56</v>
      </c>
      <c r="S56" s="464">
        <v>510.62</v>
      </c>
      <c r="T56" s="463">
        <v>0</v>
      </c>
      <c r="U56" s="463">
        <v>0</v>
      </c>
      <c r="V56" s="464">
        <v>0</v>
      </c>
      <c r="W56" s="475">
        <v>0.87</v>
      </c>
      <c r="X56" s="464">
        <v>0</v>
      </c>
      <c r="Y56" s="464">
        <v>0</v>
      </c>
      <c r="Z56" s="465">
        <v>0</v>
      </c>
    </row>
    <row r="57" spans="1:26" x14ac:dyDescent="0.25">
      <c r="A57" s="1073" t="str">
        <f>VLOOKUP($B57,'Retail Rates'!$A$46:$B$55,2,FALSE)</f>
        <v>LGCMG895</v>
      </c>
      <c r="B57" s="476" t="s">
        <v>789</v>
      </c>
      <c r="C57" s="470">
        <v>40787</v>
      </c>
      <c r="D57" s="470">
        <v>40756</v>
      </c>
      <c r="E57" s="471">
        <v>17932.36</v>
      </c>
      <c r="F57" s="472">
        <v>18222.96</v>
      </c>
      <c r="G57" s="473">
        <v>0</v>
      </c>
      <c r="H57" s="465">
        <v>-290.60000000000002</v>
      </c>
      <c r="J57" s="471">
        <v>361930</v>
      </c>
      <c r="K57" s="472">
        <v>361930</v>
      </c>
      <c r="L57" s="473">
        <v>0</v>
      </c>
      <c r="N57" s="464">
        <v>0</v>
      </c>
      <c r="O57" s="474">
        <v>2300</v>
      </c>
      <c r="P57" s="474">
        <v>15562.990000000002</v>
      </c>
      <c r="Q57" s="463">
        <v>0</v>
      </c>
      <c r="R57" s="463">
        <v>0</v>
      </c>
      <c r="S57" s="474">
        <v>12.51</v>
      </c>
      <c r="T57" s="463">
        <v>0</v>
      </c>
      <c r="U57" s="474">
        <v>347.46000000000004</v>
      </c>
      <c r="V57" s="475">
        <v>0</v>
      </c>
      <c r="W57" s="464">
        <v>0</v>
      </c>
      <c r="X57" s="475">
        <v>0</v>
      </c>
      <c r="Y57" s="464">
        <v>0</v>
      </c>
      <c r="Z57" s="465">
        <v>-290.60000000000002</v>
      </c>
    </row>
    <row r="58" spans="1:26" x14ac:dyDescent="0.25">
      <c r="A58" s="1073" t="str">
        <f>VLOOKUP($B58,'Retail Rates'!$A$46:$B$55,2,FALSE)</f>
        <v>LGING896</v>
      </c>
      <c r="B58" s="477" t="s">
        <v>790</v>
      </c>
      <c r="C58" s="470">
        <v>40787</v>
      </c>
      <c r="D58" s="470">
        <v>40756</v>
      </c>
      <c r="E58" s="471">
        <v>277249.93</v>
      </c>
      <c r="F58" s="472">
        <v>284886.83999999997</v>
      </c>
      <c r="G58" s="473">
        <v>0</v>
      </c>
      <c r="H58" s="465">
        <v>-7636.91</v>
      </c>
      <c r="J58" s="471">
        <v>6224480</v>
      </c>
      <c r="K58" s="472">
        <v>6224480</v>
      </c>
      <c r="L58" s="473">
        <v>0</v>
      </c>
      <c r="N58" s="464">
        <v>0</v>
      </c>
      <c r="O58" s="463">
        <v>13800</v>
      </c>
      <c r="P58" s="463">
        <v>267652.68</v>
      </c>
      <c r="Q58" s="463">
        <v>0</v>
      </c>
      <c r="R58" s="463">
        <v>0</v>
      </c>
      <c r="S58" s="474">
        <v>3434.1600000000003</v>
      </c>
      <c r="T58" s="463">
        <v>0</v>
      </c>
      <c r="U58" s="463">
        <v>0</v>
      </c>
      <c r="V58" s="464">
        <v>0</v>
      </c>
      <c r="W58" s="464">
        <v>0</v>
      </c>
      <c r="X58" s="464">
        <v>0</v>
      </c>
      <c r="Y58" s="464">
        <v>0</v>
      </c>
      <c r="Z58" s="465">
        <v>-7636.91</v>
      </c>
    </row>
    <row r="59" spans="1:26" x14ac:dyDescent="0.25">
      <c r="A59" s="1073" t="str">
        <f>VLOOKUP($B59,'Retail Rates'!$A$46:$B$55,2,FALSE)</f>
        <v>LGING896PM</v>
      </c>
      <c r="B59" s="477" t="s">
        <v>791</v>
      </c>
      <c r="C59" s="470">
        <v>40787</v>
      </c>
      <c r="D59" s="470">
        <v>40756</v>
      </c>
      <c r="E59" s="471">
        <v>-25034.82</v>
      </c>
      <c r="F59" s="472">
        <v>19568.169999999998</v>
      </c>
      <c r="G59" s="473">
        <v>2308.0300000000002</v>
      </c>
      <c r="H59" s="465">
        <v>-46911.02</v>
      </c>
      <c r="J59" s="471">
        <v>0</v>
      </c>
      <c r="K59" s="472">
        <v>0</v>
      </c>
      <c r="L59" s="473">
        <v>0</v>
      </c>
      <c r="N59" s="464">
        <v>0</v>
      </c>
      <c r="O59" s="474">
        <v>5175</v>
      </c>
      <c r="P59" s="463">
        <v>0</v>
      </c>
      <c r="Q59" s="463">
        <v>0</v>
      </c>
      <c r="R59" s="463">
        <v>0</v>
      </c>
      <c r="S59" s="474">
        <v>14393.17</v>
      </c>
      <c r="T59" s="463">
        <v>0</v>
      </c>
      <c r="U59" s="463">
        <v>0</v>
      </c>
      <c r="V59" s="464">
        <v>0</v>
      </c>
      <c r="W59" s="464">
        <v>0</v>
      </c>
      <c r="X59" s="475">
        <v>0</v>
      </c>
      <c r="Y59" s="464">
        <v>2308.0300000000002</v>
      </c>
      <c r="Z59" s="465">
        <v>-46911.02</v>
      </c>
    </row>
    <row r="60" spans="1:26" x14ac:dyDescent="0.25">
      <c r="A60" s="1073" t="str">
        <f>VLOOKUP($B60,'Retail Rates'!$A$46:$B$55,2,FALSE)</f>
        <v>LGING896</v>
      </c>
      <c r="B60" s="477" t="s">
        <v>792</v>
      </c>
      <c r="C60" s="470">
        <v>40787</v>
      </c>
      <c r="D60" s="470">
        <v>40756</v>
      </c>
      <c r="E60" s="471">
        <v>8619.39</v>
      </c>
      <c r="F60" s="472">
        <v>8619.39</v>
      </c>
      <c r="G60" s="473">
        <v>0</v>
      </c>
      <c r="H60" s="465">
        <v>0</v>
      </c>
      <c r="J60" s="471">
        <v>195102</v>
      </c>
      <c r="K60" s="472">
        <v>195102</v>
      </c>
      <c r="L60" s="473">
        <v>0</v>
      </c>
      <c r="N60" s="464">
        <v>0</v>
      </c>
      <c r="O60" s="474">
        <v>230</v>
      </c>
      <c r="P60" s="474">
        <v>8389.39</v>
      </c>
      <c r="Q60" s="463">
        <v>0</v>
      </c>
      <c r="R60" s="463">
        <v>0</v>
      </c>
      <c r="S60" s="463">
        <v>0</v>
      </c>
      <c r="T60" s="463">
        <v>0</v>
      </c>
      <c r="U60" s="463">
        <v>0</v>
      </c>
      <c r="V60" s="464">
        <v>0</v>
      </c>
      <c r="W60" s="464">
        <v>0</v>
      </c>
      <c r="X60" s="464">
        <v>0</v>
      </c>
      <c r="Y60" s="464">
        <v>0</v>
      </c>
      <c r="Z60" s="465">
        <v>0</v>
      </c>
    </row>
    <row r="61" spans="1:26" x14ac:dyDescent="0.25">
      <c r="A61" s="1073" t="str">
        <f>VLOOKUP($B61,'Retail Rates'!$A$46:$B$55,2,FALSE)</f>
        <v>LGCMG895</v>
      </c>
      <c r="B61" s="477" t="s">
        <v>793</v>
      </c>
      <c r="C61" s="470">
        <v>40787</v>
      </c>
      <c r="D61" s="470">
        <v>40756</v>
      </c>
      <c r="E61" s="471">
        <v>3188.8000000000006</v>
      </c>
      <c r="F61" s="472">
        <v>3518.7300000000005</v>
      </c>
      <c r="G61" s="473">
        <v>104.21</v>
      </c>
      <c r="H61" s="465">
        <v>-434.14</v>
      </c>
      <c r="J61" s="471">
        <v>69577</v>
      </c>
      <c r="K61" s="472">
        <v>69363</v>
      </c>
      <c r="L61" s="473">
        <v>214</v>
      </c>
      <c r="N61" s="464">
        <v>0</v>
      </c>
      <c r="O61" s="474">
        <v>460</v>
      </c>
      <c r="P61" s="474">
        <v>2982.61</v>
      </c>
      <c r="Q61" s="463">
        <v>0</v>
      </c>
      <c r="R61" s="463">
        <v>0</v>
      </c>
      <c r="S61" s="474">
        <v>9.5299999999999994</v>
      </c>
      <c r="T61" s="463">
        <v>0</v>
      </c>
      <c r="U61" s="474">
        <v>66.59</v>
      </c>
      <c r="V61" s="464">
        <v>9.1999999999999993</v>
      </c>
      <c r="W61" s="464">
        <v>0.21</v>
      </c>
      <c r="X61" s="464">
        <v>0</v>
      </c>
      <c r="Y61" s="464">
        <v>94.8</v>
      </c>
      <c r="Z61" s="465">
        <v>-434.14</v>
      </c>
    </row>
    <row r="62" spans="1:26" x14ac:dyDescent="0.25">
      <c r="A62" s="1073" t="str">
        <f>VLOOKUP($B62,'Retail Rates'!$A$46:$B$55,2,FALSE)</f>
        <v>LGING992</v>
      </c>
      <c r="B62" s="477" t="s">
        <v>794</v>
      </c>
      <c r="C62" s="470">
        <v>40787</v>
      </c>
      <c r="D62" s="470">
        <v>40756</v>
      </c>
      <c r="E62" s="471">
        <v>4695.6200000000008</v>
      </c>
      <c r="F62" s="472">
        <v>12211.6</v>
      </c>
      <c r="G62" s="473">
        <v>275</v>
      </c>
      <c r="H62" s="465">
        <v>-7790.98</v>
      </c>
      <c r="J62" s="471">
        <v>486986</v>
      </c>
      <c r="K62" s="472">
        <v>486986</v>
      </c>
      <c r="L62" s="473">
        <v>0</v>
      </c>
      <c r="N62" s="464">
        <v>275</v>
      </c>
      <c r="O62" s="463">
        <v>230</v>
      </c>
      <c r="P62" s="463">
        <v>5108.4799999999996</v>
      </c>
      <c r="Q62" s="463">
        <v>0</v>
      </c>
      <c r="R62" s="463">
        <v>6369.83</v>
      </c>
      <c r="S62" s="463">
        <v>503.29</v>
      </c>
      <c r="T62" s="463">
        <v>0</v>
      </c>
      <c r="U62" s="463">
        <v>0</v>
      </c>
      <c r="V62" s="464">
        <v>0</v>
      </c>
      <c r="W62" s="464">
        <v>0</v>
      </c>
      <c r="X62" s="464">
        <v>0</v>
      </c>
      <c r="Y62" s="464">
        <v>0</v>
      </c>
      <c r="Z62" s="465">
        <v>-7790.98</v>
      </c>
    </row>
    <row r="63" spans="1:26" x14ac:dyDescent="0.25">
      <c r="A63" s="1073" t="str">
        <f>VLOOKUP($B63,'Retail Rates'!$A$46:$B$55,2,FALSE)</f>
        <v>LGCMG991</v>
      </c>
      <c r="B63" s="477" t="s">
        <v>795</v>
      </c>
      <c r="C63" s="470">
        <v>40787</v>
      </c>
      <c r="D63" s="470">
        <v>40756</v>
      </c>
      <c r="E63" s="471">
        <v>18964.719999999998</v>
      </c>
      <c r="F63" s="472">
        <v>18592.21</v>
      </c>
      <c r="G63" s="473">
        <v>781</v>
      </c>
      <c r="H63" s="465">
        <v>-408.49</v>
      </c>
      <c r="J63" s="471">
        <v>4711</v>
      </c>
      <c r="K63" s="472">
        <v>4711</v>
      </c>
      <c r="L63" s="473">
        <v>0</v>
      </c>
      <c r="N63" s="464">
        <v>781</v>
      </c>
      <c r="O63" s="463">
        <v>230</v>
      </c>
      <c r="P63" s="463">
        <v>22.94</v>
      </c>
      <c r="Q63" s="463">
        <v>0</v>
      </c>
      <c r="R63" s="463">
        <v>18225</v>
      </c>
      <c r="S63" s="463">
        <v>114.27</v>
      </c>
      <c r="T63" s="463">
        <v>0</v>
      </c>
      <c r="U63" s="463">
        <v>0</v>
      </c>
      <c r="V63" s="464">
        <v>0</v>
      </c>
      <c r="W63" s="464">
        <v>0</v>
      </c>
      <c r="X63" s="464">
        <v>0</v>
      </c>
      <c r="Y63" s="464">
        <v>0</v>
      </c>
      <c r="Z63" s="465">
        <v>-408.49</v>
      </c>
    </row>
    <row r="64" spans="1:26" ht="16.5" customHeight="1" x14ac:dyDescent="0.25">
      <c r="A64" s="1073" t="str">
        <f>VLOOKUP($B64,'Retail Rates'!$A$46:$B$55,2,FALSE)</f>
        <v>LGING997</v>
      </c>
      <c r="B64" s="477" t="s">
        <v>796</v>
      </c>
      <c r="C64" s="470">
        <v>40787</v>
      </c>
      <c r="D64" s="470">
        <f>+C64</f>
        <v>40787</v>
      </c>
      <c r="E64" s="471">
        <v>87474.700000000012</v>
      </c>
      <c r="F64" s="472">
        <v>109411.3</v>
      </c>
      <c r="G64" s="473">
        <v>781</v>
      </c>
      <c r="H64" s="465">
        <v>-22717.599999999999</v>
      </c>
      <c r="J64" s="471">
        <v>506154</v>
      </c>
      <c r="K64" s="472">
        <v>506154</v>
      </c>
      <c r="L64" s="473">
        <v>0</v>
      </c>
      <c r="N64" s="464">
        <v>781</v>
      </c>
      <c r="O64" s="463">
        <v>0</v>
      </c>
      <c r="P64" s="463">
        <v>2464.9699999999998</v>
      </c>
      <c r="Q64" s="463">
        <v>0</v>
      </c>
      <c r="R64" s="463">
        <v>104976</v>
      </c>
      <c r="S64" s="463">
        <v>1970.33</v>
      </c>
      <c r="T64" s="463">
        <v>0</v>
      </c>
      <c r="U64" s="463">
        <v>0</v>
      </c>
      <c r="V64" s="464">
        <v>0</v>
      </c>
      <c r="W64" s="464">
        <v>0</v>
      </c>
      <c r="X64" s="464">
        <v>0</v>
      </c>
      <c r="Y64" s="464">
        <v>0</v>
      </c>
      <c r="Z64" s="465">
        <v>-22717.599999999999</v>
      </c>
    </row>
    <row r="65" spans="1:26" x14ac:dyDescent="0.25">
      <c r="A65" s="1073" t="str">
        <f>VLOOKUP($B65,'Retail Rates'!$A$46:$B$55,2,FALSE)</f>
        <v>LGING882</v>
      </c>
      <c r="B65" s="469" t="s">
        <v>68</v>
      </c>
      <c r="C65" s="470">
        <v>40817</v>
      </c>
      <c r="D65" s="470">
        <f>+C65</f>
        <v>40817</v>
      </c>
      <c r="E65" s="471">
        <v>26238.219999999998</v>
      </c>
      <c r="F65" s="472">
        <v>10903.14</v>
      </c>
      <c r="G65" s="473">
        <v>15932.21</v>
      </c>
      <c r="H65" s="465">
        <v>-597.13</v>
      </c>
      <c r="J65" s="471">
        <v>68139</v>
      </c>
      <c r="K65" s="472">
        <v>46030</v>
      </c>
      <c r="L65" s="473">
        <v>22109</v>
      </c>
      <c r="N65" s="464">
        <v>340</v>
      </c>
      <c r="O65" s="474">
        <v>306</v>
      </c>
      <c r="P65" s="474">
        <v>6554.32</v>
      </c>
      <c r="Q65" s="463">
        <v>4042.82</v>
      </c>
      <c r="R65" s="464">
        <v>3200.12</v>
      </c>
      <c r="S65" s="464">
        <v>12392.09</v>
      </c>
      <c r="T65" s="463">
        <v>0</v>
      </c>
      <c r="U65" s="463">
        <v>0</v>
      </c>
      <c r="V65" s="464">
        <v>0</v>
      </c>
      <c r="W65" s="464">
        <v>0</v>
      </c>
      <c r="X65" s="464">
        <v>0</v>
      </c>
      <c r="Y65" s="464">
        <v>0</v>
      </c>
      <c r="Z65" s="465">
        <v>-597.13</v>
      </c>
    </row>
    <row r="66" spans="1:26" x14ac:dyDescent="0.25">
      <c r="A66" s="1073" t="str">
        <f>VLOOKUP($B66,'Retail Rates'!$A$46:$B$55,2,FALSE)</f>
        <v>LGCMG881</v>
      </c>
      <c r="B66" s="469" t="s">
        <v>65</v>
      </c>
      <c r="C66" s="470">
        <v>40817</v>
      </c>
      <c r="D66" s="470">
        <f>+C66</f>
        <v>40817</v>
      </c>
      <c r="E66" s="471">
        <v>1056.71</v>
      </c>
      <c r="F66" s="472">
        <v>153</v>
      </c>
      <c r="G66" s="473">
        <v>903.71</v>
      </c>
      <c r="H66" s="465">
        <v>0</v>
      </c>
      <c r="J66" s="471">
        <v>980</v>
      </c>
      <c r="K66" s="472">
        <v>0</v>
      </c>
      <c r="L66" s="473">
        <v>980</v>
      </c>
      <c r="N66" s="464">
        <v>170</v>
      </c>
      <c r="O66" s="474">
        <v>153</v>
      </c>
      <c r="P66" s="463">
        <v>0</v>
      </c>
      <c r="Q66" s="463">
        <v>0</v>
      </c>
      <c r="R66" s="464">
        <v>183.48</v>
      </c>
      <c r="S66" s="464">
        <v>549.29</v>
      </c>
      <c r="T66" s="463">
        <v>0</v>
      </c>
      <c r="U66" s="463">
        <v>0</v>
      </c>
      <c r="V66" s="464">
        <v>0</v>
      </c>
      <c r="W66" s="475">
        <v>0.94</v>
      </c>
      <c r="X66" s="464">
        <v>0</v>
      </c>
      <c r="Y66" s="464">
        <v>0</v>
      </c>
      <c r="Z66" s="465">
        <v>0</v>
      </c>
    </row>
    <row r="67" spans="1:26" x14ac:dyDescent="0.25">
      <c r="A67" s="1073" t="str">
        <f>VLOOKUP($B67,'Retail Rates'!$A$46:$B$55,2,FALSE)</f>
        <v>LGCMG895</v>
      </c>
      <c r="B67" s="476" t="s">
        <v>789</v>
      </c>
      <c r="C67" s="470">
        <v>40817</v>
      </c>
      <c r="D67" s="470">
        <v>40787</v>
      </c>
      <c r="E67" s="471">
        <v>19833.870000000003</v>
      </c>
      <c r="F67" s="472">
        <v>20056.68</v>
      </c>
      <c r="G67" s="473">
        <v>27.650000000000002</v>
      </c>
      <c r="H67" s="465">
        <v>-250.46</v>
      </c>
      <c r="J67" s="471">
        <v>403321</v>
      </c>
      <c r="K67" s="472">
        <v>403262</v>
      </c>
      <c r="L67" s="473">
        <v>59</v>
      </c>
      <c r="N67" s="464">
        <v>0</v>
      </c>
      <c r="O67" s="474">
        <v>2300</v>
      </c>
      <c r="P67" s="474">
        <v>17340.27</v>
      </c>
      <c r="Q67" s="463">
        <v>0</v>
      </c>
      <c r="R67" s="463">
        <v>0</v>
      </c>
      <c r="S67" s="474">
        <v>29.28</v>
      </c>
      <c r="T67" s="463">
        <v>0</v>
      </c>
      <c r="U67" s="474">
        <v>387.13</v>
      </c>
      <c r="V67" s="475">
        <v>2.54</v>
      </c>
      <c r="W67" s="464">
        <v>0.06</v>
      </c>
      <c r="X67" s="475">
        <v>0</v>
      </c>
      <c r="Y67" s="464">
        <v>25.05</v>
      </c>
      <c r="Z67" s="465">
        <v>-250.46</v>
      </c>
    </row>
    <row r="68" spans="1:26" x14ac:dyDescent="0.25">
      <c r="A68" s="1073" t="str">
        <f>VLOOKUP($B68,'Retail Rates'!$A$46:$B$55,2,FALSE)</f>
        <v>LGING896</v>
      </c>
      <c r="B68" s="477" t="s">
        <v>790</v>
      </c>
      <c r="C68" s="470">
        <v>40817</v>
      </c>
      <c r="D68" s="470">
        <v>40787</v>
      </c>
      <c r="E68" s="471">
        <v>277583.03999999998</v>
      </c>
      <c r="F68" s="472">
        <v>285394.44</v>
      </c>
      <c r="G68" s="473">
        <v>1325.3700000000001</v>
      </c>
      <c r="H68" s="465">
        <v>-9136.77</v>
      </c>
      <c r="J68" s="471">
        <v>6230349</v>
      </c>
      <c r="K68" s="472">
        <v>6227514</v>
      </c>
      <c r="L68" s="473">
        <v>2835</v>
      </c>
      <c r="N68" s="464">
        <v>0</v>
      </c>
      <c r="O68" s="463">
        <v>13807.67</v>
      </c>
      <c r="P68" s="463">
        <v>267783.16000000003</v>
      </c>
      <c r="Q68" s="463">
        <v>0</v>
      </c>
      <c r="R68" s="463">
        <v>0</v>
      </c>
      <c r="S68" s="474">
        <v>3803.61</v>
      </c>
      <c r="T68" s="463">
        <v>0</v>
      </c>
      <c r="U68" s="463">
        <v>0</v>
      </c>
      <c r="V68" s="464">
        <v>121.91</v>
      </c>
      <c r="W68" s="464">
        <v>0</v>
      </c>
      <c r="X68" s="464">
        <v>0</v>
      </c>
      <c r="Y68" s="464">
        <v>1203.46</v>
      </c>
      <c r="Z68" s="465">
        <v>-9136.77</v>
      </c>
    </row>
    <row r="69" spans="1:26" x14ac:dyDescent="0.25">
      <c r="A69" s="1073" t="str">
        <f>VLOOKUP($B69,'Retail Rates'!$A$46:$B$55,2,FALSE)</f>
        <v>LGING896PM</v>
      </c>
      <c r="B69" s="477" t="s">
        <v>791</v>
      </c>
      <c r="C69" s="470">
        <v>40817</v>
      </c>
      <c r="D69" s="470">
        <v>40787</v>
      </c>
      <c r="E69" s="471">
        <v>12423.96</v>
      </c>
      <c r="F69" s="472">
        <v>27163.84</v>
      </c>
      <c r="G69" s="473">
        <v>40956.61</v>
      </c>
      <c r="H69" s="465">
        <v>-55696.49</v>
      </c>
      <c r="J69" s="471">
        <v>0</v>
      </c>
      <c r="K69" s="472">
        <v>0</v>
      </c>
      <c r="L69" s="473">
        <v>0</v>
      </c>
      <c r="N69" s="464">
        <v>0</v>
      </c>
      <c r="O69" s="474">
        <v>5175</v>
      </c>
      <c r="P69" s="463">
        <v>0</v>
      </c>
      <c r="Q69" s="463">
        <v>0</v>
      </c>
      <c r="R69" s="463">
        <v>0</v>
      </c>
      <c r="S69" s="474">
        <v>21988.84</v>
      </c>
      <c r="T69" s="463">
        <v>0</v>
      </c>
      <c r="U69" s="463">
        <v>0</v>
      </c>
      <c r="V69" s="464">
        <v>0</v>
      </c>
      <c r="W69" s="464">
        <v>0</v>
      </c>
      <c r="X69" s="475">
        <v>0</v>
      </c>
      <c r="Y69" s="464">
        <v>40956.61</v>
      </c>
      <c r="Z69" s="465">
        <v>-55696.49</v>
      </c>
    </row>
    <row r="70" spans="1:26" x14ac:dyDescent="0.25">
      <c r="A70" s="1073" t="str">
        <f>VLOOKUP($B70,'Retail Rates'!$A$46:$B$55,2,FALSE)</f>
        <v>LGING896</v>
      </c>
      <c r="B70" s="477" t="s">
        <v>792</v>
      </c>
      <c r="C70" s="470">
        <v>40817</v>
      </c>
      <c r="D70" s="470">
        <v>40787</v>
      </c>
      <c r="E70" s="471">
        <v>9430.5400000000009</v>
      </c>
      <c r="F70" s="472">
        <v>9430.5400000000009</v>
      </c>
      <c r="G70" s="473">
        <v>0</v>
      </c>
      <c r="H70" s="465">
        <v>0</v>
      </c>
      <c r="J70" s="471">
        <v>213966</v>
      </c>
      <c r="K70" s="472">
        <v>213966</v>
      </c>
      <c r="L70" s="473">
        <v>0</v>
      </c>
      <c r="N70" s="464">
        <v>0</v>
      </c>
      <c r="O70" s="474">
        <v>230</v>
      </c>
      <c r="P70" s="474">
        <v>9200.5400000000009</v>
      </c>
      <c r="Q70" s="463">
        <v>0</v>
      </c>
      <c r="R70" s="463">
        <v>0</v>
      </c>
      <c r="S70" s="463">
        <v>0</v>
      </c>
      <c r="T70" s="463">
        <v>0</v>
      </c>
      <c r="U70" s="463">
        <v>0</v>
      </c>
      <c r="V70" s="464">
        <v>0</v>
      </c>
      <c r="W70" s="464">
        <v>0</v>
      </c>
      <c r="X70" s="464">
        <v>0</v>
      </c>
      <c r="Y70" s="464">
        <v>0</v>
      </c>
      <c r="Z70" s="465">
        <v>0</v>
      </c>
    </row>
    <row r="71" spans="1:26" x14ac:dyDescent="0.25">
      <c r="A71" s="1073" t="str">
        <f>VLOOKUP($B71,'Retail Rates'!$A$46:$B$55,2,FALSE)</f>
        <v>LGCMG895</v>
      </c>
      <c r="B71" s="477" t="s">
        <v>793</v>
      </c>
      <c r="C71" s="470">
        <v>40817</v>
      </c>
      <c r="D71" s="470">
        <v>40787</v>
      </c>
      <c r="E71" s="471">
        <v>3459.12</v>
      </c>
      <c r="F71" s="472">
        <v>3874.2</v>
      </c>
      <c r="G71" s="473">
        <v>0</v>
      </c>
      <c r="H71" s="465">
        <v>-415.08</v>
      </c>
      <c r="J71" s="471">
        <v>77666</v>
      </c>
      <c r="K71" s="472">
        <v>77666</v>
      </c>
      <c r="L71" s="473">
        <v>0</v>
      </c>
      <c r="N71" s="464">
        <v>0</v>
      </c>
      <c r="O71" s="474">
        <v>460</v>
      </c>
      <c r="P71" s="474">
        <v>3339.64</v>
      </c>
      <c r="Q71" s="463">
        <v>0</v>
      </c>
      <c r="R71" s="463">
        <v>0</v>
      </c>
      <c r="S71" s="474">
        <v>0</v>
      </c>
      <c r="T71" s="463">
        <v>0</v>
      </c>
      <c r="U71" s="474">
        <v>74.56</v>
      </c>
      <c r="V71" s="464">
        <v>0</v>
      </c>
      <c r="W71" s="464">
        <v>0</v>
      </c>
      <c r="X71" s="464">
        <v>0</v>
      </c>
      <c r="Y71" s="464">
        <v>0</v>
      </c>
      <c r="Z71" s="465">
        <v>-415.08</v>
      </c>
    </row>
    <row r="72" spans="1:26" x14ac:dyDescent="0.25">
      <c r="A72" s="1073" t="str">
        <f>VLOOKUP($B72,'Retail Rates'!$A$46:$B$55,2,FALSE)</f>
        <v>LGING992</v>
      </c>
      <c r="B72" s="477" t="s">
        <v>794</v>
      </c>
      <c r="C72" s="470">
        <v>40817</v>
      </c>
      <c r="D72" s="470">
        <v>40787</v>
      </c>
      <c r="E72" s="471">
        <v>8204.369999999999</v>
      </c>
      <c r="F72" s="472">
        <v>12462.349999999999</v>
      </c>
      <c r="G72" s="473">
        <v>275</v>
      </c>
      <c r="H72" s="465">
        <v>-4532.9799999999996</v>
      </c>
      <c r="J72" s="471">
        <v>425848</v>
      </c>
      <c r="K72" s="472">
        <v>425848</v>
      </c>
      <c r="L72" s="473">
        <v>0</v>
      </c>
      <c r="N72" s="464">
        <v>275</v>
      </c>
      <c r="O72" s="463">
        <v>230</v>
      </c>
      <c r="P72" s="463">
        <v>4467.1499999999996</v>
      </c>
      <c r="Q72" s="463">
        <v>0</v>
      </c>
      <c r="R72" s="463">
        <v>6369.83</v>
      </c>
      <c r="S72" s="463">
        <v>1395.37</v>
      </c>
      <c r="T72" s="463">
        <v>0</v>
      </c>
      <c r="U72" s="463">
        <v>0</v>
      </c>
      <c r="V72" s="464">
        <v>0</v>
      </c>
      <c r="W72" s="464">
        <v>0</v>
      </c>
      <c r="X72" s="464">
        <v>0</v>
      </c>
      <c r="Y72" s="464">
        <v>0</v>
      </c>
      <c r="Z72" s="465">
        <v>-4532.9799999999996</v>
      </c>
    </row>
    <row r="73" spans="1:26" x14ac:dyDescent="0.25">
      <c r="A73" s="1073" t="str">
        <f>VLOOKUP($B73,'Retail Rates'!$A$46:$B$55,2,FALSE)</f>
        <v>LGCMG991</v>
      </c>
      <c r="B73" s="477" t="s">
        <v>795</v>
      </c>
      <c r="C73" s="470">
        <v>40817</v>
      </c>
      <c r="D73" s="470">
        <v>40787</v>
      </c>
      <c r="E73" s="471">
        <v>19756.739999999998</v>
      </c>
      <c r="F73" s="472">
        <v>18652.98</v>
      </c>
      <c r="G73" s="473">
        <v>1150.46</v>
      </c>
      <c r="H73" s="465">
        <v>-46.7</v>
      </c>
      <c r="J73" s="471">
        <v>3288</v>
      </c>
      <c r="K73" s="472">
        <v>2580</v>
      </c>
      <c r="L73" s="473">
        <v>708</v>
      </c>
      <c r="N73" s="464">
        <v>781</v>
      </c>
      <c r="O73" s="463">
        <v>230</v>
      </c>
      <c r="P73" s="463">
        <v>12.56</v>
      </c>
      <c r="Q73" s="463">
        <v>0</v>
      </c>
      <c r="R73" s="463">
        <v>18225</v>
      </c>
      <c r="S73" s="463">
        <v>185.42</v>
      </c>
      <c r="T73" s="463">
        <v>0</v>
      </c>
      <c r="U73" s="463">
        <v>0</v>
      </c>
      <c r="V73" s="464">
        <v>3.45</v>
      </c>
      <c r="W73" s="464">
        <v>0</v>
      </c>
      <c r="X73" s="464">
        <v>0</v>
      </c>
      <c r="Y73" s="464">
        <v>366.01</v>
      </c>
      <c r="Z73" s="465">
        <v>-46.7</v>
      </c>
    </row>
    <row r="74" spans="1:26" ht="16.5" customHeight="1" x14ac:dyDescent="0.25">
      <c r="A74" s="1073" t="str">
        <f>VLOOKUP($B74,'Retail Rates'!$A$46:$B$55,2,FALSE)</f>
        <v>LGING997</v>
      </c>
      <c r="B74" s="477" t="s">
        <v>796</v>
      </c>
      <c r="C74" s="470">
        <v>40817</v>
      </c>
      <c r="D74" s="470">
        <f>+C74</f>
        <v>40817</v>
      </c>
      <c r="E74" s="471">
        <v>102171.88</v>
      </c>
      <c r="F74" s="472">
        <v>104976</v>
      </c>
      <c r="G74" s="473">
        <v>781</v>
      </c>
      <c r="H74" s="465">
        <v>-3585.12</v>
      </c>
      <c r="J74" s="471">
        <v>0</v>
      </c>
      <c r="K74" s="472">
        <v>0</v>
      </c>
      <c r="L74" s="473">
        <v>0</v>
      </c>
      <c r="N74" s="464">
        <v>781</v>
      </c>
      <c r="O74" s="463">
        <v>0</v>
      </c>
      <c r="P74" s="463">
        <v>0</v>
      </c>
      <c r="Q74" s="463">
        <v>0</v>
      </c>
      <c r="R74" s="463">
        <v>104976</v>
      </c>
      <c r="S74" s="463">
        <v>0</v>
      </c>
      <c r="T74" s="463">
        <v>0</v>
      </c>
      <c r="U74" s="463">
        <v>0</v>
      </c>
      <c r="V74" s="464">
        <v>0</v>
      </c>
      <c r="W74" s="464">
        <v>0</v>
      </c>
      <c r="X74" s="464">
        <v>0</v>
      </c>
      <c r="Y74" s="464">
        <v>0</v>
      </c>
      <c r="Z74" s="465">
        <v>-3585.12</v>
      </c>
    </row>
    <row r="75" spans="1:26" x14ac:dyDescent="0.25">
      <c r="A75" s="1073" t="str">
        <f>VLOOKUP($B75,'Retail Rates'!$A$46:$B$55,2,FALSE)</f>
        <v>LGING882</v>
      </c>
      <c r="B75" s="469" t="s">
        <v>68</v>
      </c>
      <c r="C75" s="470">
        <v>40848</v>
      </c>
      <c r="D75" s="470">
        <f>+C75</f>
        <v>40848</v>
      </c>
      <c r="E75" s="471">
        <v>21770.98</v>
      </c>
      <c r="F75" s="472">
        <v>16799.79</v>
      </c>
      <c r="G75" s="473">
        <v>5270.09</v>
      </c>
      <c r="H75" s="465">
        <v>-298.89999999999998</v>
      </c>
      <c r="J75" s="471">
        <v>67226</v>
      </c>
      <c r="K75" s="472">
        <v>60320</v>
      </c>
      <c r="L75" s="473">
        <v>6906</v>
      </c>
      <c r="N75" s="464">
        <v>340</v>
      </c>
      <c r="O75" s="474">
        <v>306</v>
      </c>
      <c r="P75" s="474">
        <v>11474.07</v>
      </c>
      <c r="Q75" s="463">
        <v>5019.72</v>
      </c>
      <c r="R75" s="464">
        <v>1313.66</v>
      </c>
      <c r="S75" s="464">
        <v>3616.4300000000003</v>
      </c>
      <c r="T75" s="463">
        <v>0</v>
      </c>
      <c r="U75" s="463">
        <v>0</v>
      </c>
      <c r="V75" s="464">
        <v>0</v>
      </c>
      <c r="W75" s="464">
        <v>0</v>
      </c>
      <c r="X75" s="464">
        <v>0</v>
      </c>
      <c r="Y75" s="464">
        <v>0</v>
      </c>
      <c r="Z75" s="465">
        <v>-298.89999999999998</v>
      </c>
    </row>
    <row r="76" spans="1:26" x14ac:dyDescent="0.25">
      <c r="A76" s="1073" t="str">
        <f>VLOOKUP($B76,'Retail Rates'!$A$46:$B$55,2,FALSE)</f>
        <v>LGCMG881</v>
      </c>
      <c r="B76" s="469" t="s">
        <v>65</v>
      </c>
      <c r="C76" s="470">
        <v>40848</v>
      </c>
      <c r="D76" s="470">
        <f>+C76</f>
        <v>40848</v>
      </c>
      <c r="E76" s="471">
        <v>0</v>
      </c>
      <c r="F76" s="472">
        <v>0</v>
      </c>
      <c r="G76" s="473">
        <v>0</v>
      </c>
      <c r="H76" s="465">
        <v>0</v>
      </c>
      <c r="J76" s="471">
        <v>0</v>
      </c>
      <c r="K76" s="472">
        <v>0</v>
      </c>
      <c r="L76" s="473">
        <v>0</v>
      </c>
      <c r="N76" s="464">
        <v>0</v>
      </c>
      <c r="O76" s="474">
        <v>0</v>
      </c>
      <c r="P76" s="463">
        <v>0</v>
      </c>
      <c r="Q76" s="463">
        <v>0</v>
      </c>
      <c r="R76" s="464">
        <v>0</v>
      </c>
      <c r="S76" s="464">
        <v>0</v>
      </c>
      <c r="T76" s="463">
        <v>0</v>
      </c>
      <c r="U76" s="463">
        <v>0</v>
      </c>
      <c r="V76" s="464">
        <v>0</v>
      </c>
      <c r="W76" s="475">
        <v>0</v>
      </c>
      <c r="X76" s="464">
        <v>0</v>
      </c>
      <c r="Y76" s="464">
        <v>0</v>
      </c>
      <c r="Z76" s="465">
        <v>0</v>
      </c>
    </row>
    <row r="77" spans="1:26" x14ac:dyDescent="0.25">
      <c r="A77" s="1073" t="str">
        <f>VLOOKUP($B77,'Retail Rates'!$A$46:$B$55,2,FALSE)</f>
        <v>LGCMG895</v>
      </c>
      <c r="B77" s="476" t="s">
        <v>789</v>
      </c>
      <c r="C77" s="470">
        <v>40848</v>
      </c>
      <c r="D77" s="470">
        <v>40817</v>
      </c>
      <c r="E77" s="471">
        <v>22334.639999999999</v>
      </c>
      <c r="F77" s="472">
        <v>23181.1</v>
      </c>
      <c r="G77" s="473">
        <v>0</v>
      </c>
      <c r="H77" s="465">
        <v>-846.46</v>
      </c>
      <c r="J77" s="471">
        <v>473860</v>
      </c>
      <c r="K77" s="472">
        <v>473860</v>
      </c>
      <c r="L77" s="473">
        <v>0</v>
      </c>
      <c r="N77" s="464">
        <v>0</v>
      </c>
      <c r="O77" s="474">
        <v>2300</v>
      </c>
      <c r="P77" s="474">
        <v>20375.989999999998</v>
      </c>
      <c r="Q77" s="463">
        <v>0</v>
      </c>
      <c r="R77" s="463">
        <v>0</v>
      </c>
      <c r="S77" s="474">
        <v>50.22</v>
      </c>
      <c r="T77" s="463">
        <v>0</v>
      </c>
      <c r="U77" s="474">
        <v>454.89</v>
      </c>
      <c r="V77" s="475">
        <v>0</v>
      </c>
      <c r="W77" s="464">
        <v>0</v>
      </c>
      <c r="X77" s="475">
        <v>0</v>
      </c>
      <c r="Y77" s="464">
        <v>0</v>
      </c>
      <c r="Z77" s="465">
        <v>-846.46</v>
      </c>
    </row>
    <row r="78" spans="1:26" x14ac:dyDescent="0.25">
      <c r="A78" s="1073" t="str">
        <f>VLOOKUP($B78,'Retail Rates'!$A$46:$B$55,2,FALSE)</f>
        <v>LGING896</v>
      </c>
      <c r="B78" s="477" t="s">
        <v>790</v>
      </c>
      <c r="C78" s="470">
        <v>40848</v>
      </c>
      <c r="D78" s="470">
        <v>40817</v>
      </c>
      <c r="E78" s="471">
        <v>364370.20000000007</v>
      </c>
      <c r="F78" s="472">
        <v>359891.09000000008</v>
      </c>
      <c r="G78" s="473">
        <v>7819</v>
      </c>
      <c r="H78" s="465">
        <v>-3339.8900000000003</v>
      </c>
      <c r="J78" s="471">
        <v>7932522</v>
      </c>
      <c r="K78" s="472">
        <v>7914776</v>
      </c>
      <c r="L78" s="473">
        <v>17746</v>
      </c>
      <c r="N78" s="464">
        <v>0</v>
      </c>
      <c r="O78" s="463">
        <v>13800</v>
      </c>
      <c r="P78" s="463">
        <v>340335.40000000008</v>
      </c>
      <c r="Q78" s="463">
        <v>0</v>
      </c>
      <c r="R78" s="463">
        <v>0</v>
      </c>
      <c r="S78" s="474">
        <v>5755.69</v>
      </c>
      <c r="T78" s="463">
        <v>0</v>
      </c>
      <c r="U78" s="463">
        <v>0</v>
      </c>
      <c r="V78" s="464">
        <v>763.08</v>
      </c>
      <c r="W78" s="464">
        <v>0</v>
      </c>
      <c r="X78" s="464">
        <v>0</v>
      </c>
      <c r="Y78" s="464">
        <v>7055.92</v>
      </c>
      <c r="Z78" s="465">
        <v>-3339.8900000000003</v>
      </c>
    </row>
    <row r="79" spans="1:26" x14ac:dyDescent="0.25">
      <c r="A79" s="1073" t="str">
        <f>VLOOKUP($B79,'Retail Rates'!$A$46:$B$55,2,FALSE)</f>
        <v>LGING896PM</v>
      </c>
      <c r="B79" s="477" t="s">
        <v>791</v>
      </c>
      <c r="C79" s="470">
        <v>40848</v>
      </c>
      <c r="D79" s="470">
        <v>40817</v>
      </c>
      <c r="E79" s="471">
        <v>50486.320000000007</v>
      </c>
      <c r="F79" s="472">
        <v>39830.480000000003</v>
      </c>
      <c r="G79" s="473">
        <v>59965.82</v>
      </c>
      <c r="H79" s="465">
        <v>-49309.979999999996</v>
      </c>
      <c r="J79" s="471">
        <v>0</v>
      </c>
      <c r="K79" s="472">
        <v>0</v>
      </c>
      <c r="L79" s="473">
        <v>0</v>
      </c>
      <c r="N79" s="464">
        <v>0</v>
      </c>
      <c r="O79" s="474">
        <v>5175</v>
      </c>
      <c r="P79" s="463">
        <v>0</v>
      </c>
      <c r="Q79" s="463">
        <v>0</v>
      </c>
      <c r="R79" s="463">
        <v>0</v>
      </c>
      <c r="S79" s="474">
        <v>34655.480000000003</v>
      </c>
      <c r="T79" s="463">
        <v>0</v>
      </c>
      <c r="U79" s="463">
        <v>0</v>
      </c>
      <c r="V79" s="464">
        <v>0</v>
      </c>
      <c r="W79" s="464">
        <v>0</v>
      </c>
      <c r="X79" s="475">
        <v>0</v>
      </c>
      <c r="Y79" s="464">
        <v>59965.82</v>
      </c>
      <c r="Z79" s="465">
        <v>-49309.979999999996</v>
      </c>
    </row>
    <row r="80" spans="1:26" x14ac:dyDescent="0.25">
      <c r="A80" s="1073" t="str">
        <f>VLOOKUP($B80,'Retail Rates'!$A$46:$B$55,2,FALSE)</f>
        <v>LGING896</v>
      </c>
      <c r="B80" s="477" t="s">
        <v>792</v>
      </c>
      <c r="C80" s="470">
        <v>40848</v>
      </c>
      <c r="D80" s="470">
        <v>40817</v>
      </c>
      <c r="E80" s="471">
        <v>9408.14</v>
      </c>
      <c r="F80" s="472">
        <v>9408.14</v>
      </c>
      <c r="G80" s="473">
        <v>0</v>
      </c>
      <c r="H80" s="465">
        <v>0</v>
      </c>
      <c r="J80" s="471">
        <v>213445</v>
      </c>
      <c r="K80" s="472">
        <v>213445</v>
      </c>
      <c r="L80" s="473">
        <v>0</v>
      </c>
      <c r="N80" s="464">
        <v>0</v>
      </c>
      <c r="O80" s="474">
        <v>230</v>
      </c>
      <c r="P80" s="474">
        <v>9178.14</v>
      </c>
      <c r="Q80" s="463">
        <v>0</v>
      </c>
      <c r="R80" s="463">
        <v>0</v>
      </c>
      <c r="S80" s="463">
        <v>0</v>
      </c>
      <c r="T80" s="463">
        <v>0</v>
      </c>
      <c r="U80" s="463">
        <v>0</v>
      </c>
      <c r="V80" s="464">
        <v>0</v>
      </c>
      <c r="W80" s="464">
        <v>0</v>
      </c>
      <c r="X80" s="464">
        <v>0</v>
      </c>
      <c r="Y80" s="464">
        <v>0</v>
      </c>
      <c r="Z80" s="465">
        <v>0</v>
      </c>
    </row>
    <row r="81" spans="1:26" x14ac:dyDescent="0.25">
      <c r="A81" s="1073" t="str">
        <f>VLOOKUP($B81,'Retail Rates'!$A$46:$B$55,2,FALSE)</f>
        <v>LGCMG895</v>
      </c>
      <c r="B81" s="477" t="s">
        <v>793</v>
      </c>
      <c r="C81" s="470">
        <v>40848</v>
      </c>
      <c r="D81" s="470">
        <v>40817</v>
      </c>
      <c r="E81" s="471">
        <v>7442.79</v>
      </c>
      <c r="F81" s="472">
        <v>5938.8600000000006</v>
      </c>
      <c r="G81" s="473">
        <v>1964.73</v>
      </c>
      <c r="H81" s="465">
        <v>-460.8</v>
      </c>
      <c r="J81" s="471">
        <v>126090</v>
      </c>
      <c r="K81" s="472">
        <v>121543</v>
      </c>
      <c r="L81" s="473">
        <v>4547</v>
      </c>
      <c r="N81" s="464">
        <v>0</v>
      </c>
      <c r="O81" s="474">
        <v>460</v>
      </c>
      <c r="P81" s="474">
        <v>5226.3500000000004</v>
      </c>
      <c r="Q81" s="463">
        <v>0</v>
      </c>
      <c r="R81" s="463">
        <v>0</v>
      </c>
      <c r="S81" s="474">
        <v>135.83000000000001</v>
      </c>
      <c r="T81" s="463">
        <v>0</v>
      </c>
      <c r="U81" s="474">
        <v>116.68</v>
      </c>
      <c r="V81" s="464">
        <v>195.52</v>
      </c>
      <c r="W81" s="464">
        <v>4.37</v>
      </c>
      <c r="X81" s="464">
        <v>0</v>
      </c>
      <c r="Y81" s="464">
        <v>1764.84</v>
      </c>
      <c r="Z81" s="465">
        <v>-460.8</v>
      </c>
    </row>
    <row r="82" spans="1:26" x14ac:dyDescent="0.25">
      <c r="A82" s="1073" t="str">
        <f>VLOOKUP($B82,'Retail Rates'!$A$46:$B$55,2,FALSE)</f>
        <v>LGING992</v>
      </c>
      <c r="B82" s="477" t="s">
        <v>794</v>
      </c>
      <c r="C82" s="470">
        <v>40848</v>
      </c>
      <c r="D82" s="470">
        <v>40817</v>
      </c>
      <c r="E82" s="471">
        <v>28038.019999999997</v>
      </c>
      <c r="F82" s="472">
        <v>16440.53</v>
      </c>
      <c r="G82" s="473">
        <v>14750.13</v>
      </c>
      <c r="H82" s="465">
        <v>-3152.64</v>
      </c>
      <c r="J82" s="471">
        <v>392303</v>
      </c>
      <c r="K82" s="472">
        <v>357280</v>
      </c>
      <c r="L82" s="473">
        <v>35023</v>
      </c>
      <c r="N82" s="464">
        <v>275</v>
      </c>
      <c r="O82" s="463">
        <v>230</v>
      </c>
      <c r="P82" s="463">
        <v>3747.87</v>
      </c>
      <c r="Q82" s="463">
        <v>0</v>
      </c>
      <c r="R82" s="463">
        <v>6369.83</v>
      </c>
      <c r="S82" s="463">
        <v>6092.83</v>
      </c>
      <c r="T82" s="463">
        <v>0</v>
      </c>
      <c r="U82" s="463">
        <v>0</v>
      </c>
      <c r="V82" s="464">
        <v>367.39</v>
      </c>
      <c r="W82" s="464">
        <v>0</v>
      </c>
      <c r="X82" s="464">
        <v>0</v>
      </c>
      <c r="Y82" s="464">
        <v>14107.74</v>
      </c>
      <c r="Z82" s="465">
        <v>-3152.64</v>
      </c>
    </row>
    <row r="83" spans="1:26" x14ac:dyDescent="0.25">
      <c r="A83" s="1073" t="str">
        <f>VLOOKUP($B83,'Retail Rates'!$A$46:$B$55,2,FALSE)</f>
        <v>LGCMG991</v>
      </c>
      <c r="B83" s="477" t="s">
        <v>795</v>
      </c>
      <c r="C83" s="470">
        <v>40848</v>
      </c>
      <c r="D83" s="470">
        <v>40817</v>
      </c>
      <c r="E83" s="471">
        <v>24313.29</v>
      </c>
      <c r="F83" s="472">
        <v>20465.010000000002</v>
      </c>
      <c r="G83" s="473">
        <v>3848.28</v>
      </c>
      <c r="H83" s="465">
        <v>0</v>
      </c>
      <c r="J83" s="471">
        <v>84123</v>
      </c>
      <c r="K83" s="472">
        <v>76600</v>
      </c>
      <c r="L83" s="473">
        <v>7523</v>
      </c>
      <c r="N83" s="464">
        <v>781</v>
      </c>
      <c r="O83" s="463">
        <v>230</v>
      </c>
      <c r="P83" s="463">
        <v>373.04</v>
      </c>
      <c r="Q83" s="463">
        <v>0</v>
      </c>
      <c r="R83" s="463">
        <v>18225</v>
      </c>
      <c r="S83" s="463">
        <v>1636.97</v>
      </c>
      <c r="T83" s="463">
        <v>0</v>
      </c>
      <c r="U83" s="463">
        <v>0</v>
      </c>
      <c r="V83" s="464">
        <v>36.64</v>
      </c>
      <c r="W83" s="464">
        <v>0</v>
      </c>
      <c r="X83" s="464">
        <v>0</v>
      </c>
      <c r="Y83" s="464">
        <v>3030.6400000000003</v>
      </c>
      <c r="Z83" s="465">
        <v>0</v>
      </c>
    </row>
    <row r="84" spans="1:26" ht="16.5" customHeight="1" x14ac:dyDescent="0.25">
      <c r="A84" s="1073" t="str">
        <f>VLOOKUP($B84,'Retail Rates'!$A$46:$B$55,2,FALSE)</f>
        <v>LGING997</v>
      </c>
      <c r="B84" s="477" t="s">
        <v>796</v>
      </c>
      <c r="C84" s="470">
        <v>40848</v>
      </c>
      <c r="D84" s="470">
        <f>+C84</f>
        <v>40848</v>
      </c>
      <c r="E84" s="471">
        <v>105841.22</v>
      </c>
      <c r="F84" s="472">
        <v>104981.37</v>
      </c>
      <c r="G84" s="473">
        <v>859.85</v>
      </c>
      <c r="H84" s="465">
        <v>0</v>
      </c>
      <c r="J84" s="471">
        <v>151</v>
      </c>
      <c r="K84" s="472">
        <v>0</v>
      </c>
      <c r="L84" s="473">
        <v>151</v>
      </c>
      <c r="N84" s="464">
        <v>781</v>
      </c>
      <c r="O84" s="463">
        <v>0</v>
      </c>
      <c r="P84" s="463">
        <v>0</v>
      </c>
      <c r="Q84" s="463">
        <v>0</v>
      </c>
      <c r="R84" s="463">
        <v>104976</v>
      </c>
      <c r="S84" s="463">
        <v>5.37</v>
      </c>
      <c r="T84" s="463">
        <v>0</v>
      </c>
      <c r="U84" s="463">
        <v>0</v>
      </c>
      <c r="V84" s="464">
        <v>0.74</v>
      </c>
      <c r="W84" s="464">
        <v>0</v>
      </c>
      <c r="X84" s="464">
        <v>0</v>
      </c>
      <c r="Y84" s="464">
        <v>78.11</v>
      </c>
      <c r="Z84" s="465">
        <v>0</v>
      </c>
    </row>
    <row r="85" spans="1:26" x14ac:dyDescent="0.25">
      <c r="A85" s="1073" t="str">
        <f>VLOOKUP($B85,'Retail Rates'!$A$46:$B$55,2,FALSE)</f>
        <v>LGING882</v>
      </c>
      <c r="B85" s="469" t="s">
        <v>68</v>
      </c>
      <c r="C85" s="470">
        <v>40878</v>
      </c>
      <c r="D85" s="470">
        <f>+C85</f>
        <v>40878</v>
      </c>
      <c r="E85" s="471">
        <v>2451.7399999999998</v>
      </c>
      <c r="F85" s="472">
        <v>10162.51</v>
      </c>
      <c r="G85" s="473">
        <v>340</v>
      </c>
      <c r="H85" s="465">
        <v>-8050.77</v>
      </c>
      <c r="J85" s="471">
        <v>36172</v>
      </c>
      <c r="K85" s="472">
        <v>36172</v>
      </c>
      <c r="L85" s="473">
        <v>0</v>
      </c>
      <c r="N85" s="464">
        <v>340</v>
      </c>
      <c r="O85" s="474">
        <v>306</v>
      </c>
      <c r="P85" s="463">
        <v>6880.63</v>
      </c>
      <c r="Q85" s="463">
        <v>2975.88</v>
      </c>
      <c r="R85" s="464">
        <v>0</v>
      </c>
      <c r="S85" s="464">
        <v>0</v>
      </c>
      <c r="T85" s="463">
        <v>0</v>
      </c>
      <c r="U85" s="463">
        <v>0</v>
      </c>
      <c r="V85" s="464">
        <v>0</v>
      </c>
      <c r="W85" s="475">
        <v>0</v>
      </c>
      <c r="X85" s="464">
        <v>0</v>
      </c>
      <c r="Y85" s="464">
        <v>0</v>
      </c>
      <c r="Z85" s="465">
        <v>-8050.77</v>
      </c>
    </row>
    <row r="86" spans="1:26" x14ac:dyDescent="0.25">
      <c r="A86" s="1073" t="str">
        <f>VLOOKUP($B86,'Retail Rates'!$A$46:$B$55,2,FALSE)</f>
        <v>LGCMG881</v>
      </c>
      <c r="B86" s="469" t="s">
        <v>65</v>
      </c>
      <c r="C86" s="470">
        <v>40878</v>
      </c>
      <c r="D86" s="470">
        <f>+C86</f>
        <v>40878</v>
      </c>
      <c r="E86" s="471">
        <v>0</v>
      </c>
      <c r="F86" s="472">
        <v>0</v>
      </c>
      <c r="G86" s="473">
        <v>0</v>
      </c>
      <c r="H86" s="465">
        <v>0</v>
      </c>
      <c r="J86" s="471">
        <v>0</v>
      </c>
      <c r="K86" s="472">
        <v>0</v>
      </c>
      <c r="L86" s="473">
        <v>0</v>
      </c>
      <c r="N86" s="464">
        <v>0</v>
      </c>
      <c r="O86" s="474">
        <v>0</v>
      </c>
      <c r="P86" s="474">
        <v>0</v>
      </c>
      <c r="Q86" s="463">
        <v>0</v>
      </c>
      <c r="R86" s="464">
        <v>0</v>
      </c>
      <c r="S86" s="464">
        <v>0</v>
      </c>
      <c r="T86" s="463">
        <v>0</v>
      </c>
      <c r="U86" s="474">
        <v>0</v>
      </c>
      <c r="V86" s="475">
        <v>0</v>
      </c>
      <c r="W86" s="464">
        <v>0</v>
      </c>
      <c r="X86" s="475">
        <v>0</v>
      </c>
      <c r="Y86" s="464">
        <v>0</v>
      </c>
      <c r="Z86" s="465">
        <v>0</v>
      </c>
    </row>
    <row r="87" spans="1:26" x14ac:dyDescent="0.25">
      <c r="A87" s="1073" t="str">
        <f>VLOOKUP($B87,'Retail Rates'!$A$46:$B$55,2,FALSE)</f>
        <v>LGCMG895</v>
      </c>
      <c r="B87" s="476" t="s">
        <v>789</v>
      </c>
      <c r="C87" s="470">
        <v>40878</v>
      </c>
      <c r="D87" s="470">
        <v>40848</v>
      </c>
      <c r="E87" s="471">
        <v>23882.79</v>
      </c>
      <c r="F87" s="472">
        <v>23994.26</v>
      </c>
      <c r="G87" s="473">
        <v>88.06</v>
      </c>
      <c r="H87" s="465">
        <v>-199.53</v>
      </c>
      <c r="J87" s="471">
        <v>492918</v>
      </c>
      <c r="K87" s="472">
        <v>492705</v>
      </c>
      <c r="L87" s="473">
        <v>213</v>
      </c>
      <c r="N87" s="464">
        <v>0</v>
      </c>
      <c r="O87" s="463">
        <v>2300</v>
      </c>
      <c r="P87" s="463">
        <v>21186.309999999998</v>
      </c>
      <c r="Q87" s="463">
        <v>0</v>
      </c>
      <c r="R87" s="463">
        <v>0</v>
      </c>
      <c r="S87" s="474">
        <v>34.96</v>
      </c>
      <c r="T87" s="463">
        <v>0</v>
      </c>
      <c r="U87" s="463">
        <v>472.99</v>
      </c>
      <c r="V87" s="464">
        <v>9.16</v>
      </c>
      <c r="W87" s="464">
        <v>0.2</v>
      </c>
      <c r="X87" s="464">
        <v>0</v>
      </c>
      <c r="Y87" s="464">
        <v>78.7</v>
      </c>
      <c r="Z87" s="465">
        <v>-199.53</v>
      </c>
    </row>
    <row r="88" spans="1:26" x14ac:dyDescent="0.25">
      <c r="A88" s="1073" t="str">
        <f>VLOOKUP($B88,'Retail Rates'!$A$46:$B$55,2,FALSE)</f>
        <v>LGING896</v>
      </c>
      <c r="B88" s="477" t="s">
        <v>790</v>
      </c>
      <c r="C88" s="470">
        <v>40878</v>
      </c>
      <c r="D88" s="470">
        <v>40848</v>
      </c>
      <c r="E88" s="471">
        <v>345577.63</v>
      </c>
      <c r="F88" s="472">
        <v>349223.67999999999</v>
      </c>
      <c r="G88" s="473">
        <v>2197.8000000000002</v>
      </c>
      <c r="H88" s="465">
        <v>-5843.8499999999995</v>
      </c>
      <c r="J88" s="471">
        <v>7711696</v>
      </c>
      <c r="K88" s="472">
        <v>7706368</v>
      </c>
      <c r="L88" s="473">
        <v>5328</v>
      </c>
      <c r="N88" s="464">
        <v>0</v>
      </c>
      <c r="O88" s="474">
        <v>13800</v>
      </c>
      <c r="P88" s="463">
        <v>331373.87</v>
      </c>
      <c r="Q88" s="463">
        <v>0</v>
      </c>
      <c r="R88" s="463">
        <v>0</v>
      </c>
      <c r="S88" s="474">
        <v>4049.81</v>
      </c>
      <c r="T88" s="463">
        <v>0</v>
      </c>
      <c r="U88" s="463">
        <v>0</v>
      </c>
      <c r="V88" s="464">
        <v>229.1</v>
      </c>
      <c r="W88" s="464">
        <v>0</v>
      </c>
      <c r="X88" s="475">
        <v>0</v>
      </c>
      <c r="Y88" s="464">
        <v>1968.7</v>
      </c>
      <c r="Z88" s="465">
        <v>-5843.8499999999995</v>
      </c>
    </row>
    <row r="89" spans="1:26" x14ac:dyDescent="0.25">
      <c r="A89" s="1073" t="str">
        <f>VLOOKUP($B89,'Retail Rates'!$A$46:$B$55,2,FALSE)</f>
        <v>LGING896PM</v>
      </c>
      <c r="B89" s="477" t="s">
        <v>791</v>
      </c>
      <c r="C89" s="470">
        <v>40878</v>
      </c>
      <c r="D89" s="470">
        <v>40848</v>
      </c>
      <c r="E89" s="471">
        <v>10956.14</v>
      </c>
      <c r="F89" s="472">
        <v>31661.519999999997</v>
      </c>
      <c r="G89" s="473">
        <v>35555.129999999997</v>
      </c>
      <c r="H89" s="465">
        <v>-56260.509999999995</v>
      </c>
      <c r="J89" s="471">
        <v>0</v>
      </c>
      <c r="K89" s="472">
        <v>0</v>
      </c>
      <c r="L89" s="473">
        <v>0</v>
      </c>
      <c r="N89" s="464">
        <v>0</v>
      </c>
      <c r="O89" s="474">
        <v>5175</v>
      </c>
      <c r="P89" s="474">
        <v>0</v>
      </c>
      <c r="Q89" s="463">
        <v>0</v>
      </c>
      <c r="R89" s="463">
        <v>0</v>
      </c>
      <c r="S89" s="463">
        <v>26486.519999999997</v>
      </c>
      <c r="T89" s="463">
        <v>0</v>
      </c>
      <c r="U89" s="463">
        <v>0</v>
      </c>
      <c r="V89" s="464">
        <v>0</v>
      </c>
      <c r="W89" s="464">
        <v>0</v>
      </c>
      <c r="X89" s="464">
        <v>0</v>
      </c>
      <c r="Y89" s="464">
        <v>35555.129999999997</v>
      </c>
      <c r="Z89" s="465">
        <v>-56260.509999999995</v>
      </c>
    </row>
    <row r="90" spans="1:26" x14ac:dyDescent="0.25">
      <c r="A90" s="1073" t="str">
        <f>VLOOKUP($B90,'Retail Rates'!$A$46:$B$55,2,FALSE)</f>
        <v>LGING896</v>
      </c>
      <c r="B90" s="477" t="s">
        <v>792</v>
      </c>
      <c r="C90" s="470">
        <v>40878</v>
      </c>
      <c r="D90" s="470">
        <v>40848</v>
      </c>
      <c r="E90" s="471">
        <v>9940</v>
      </c>
      <c r="F90" s="472">
        <v>9940</v>
      </c>
      <c r="G90" s="473">
        <v>0</v>
      </c>
      <c r="H90" s="465">
        <v>0</v>
      </c>
      <c r="J90" s="471">
        <v>225814</v>
      </c>
      <c r="K90" s="472">
        <v>225814</v>
      </c>
      <c r="L90" s="473">
        <v>0</v>
      </c>
      <c r="N90" s="464">
        <v>0</v>
      </c>
      <c r="O90" s="474">
        <v>230</v>
      </c>
      <c r="P90" s="474">
        <v>9710</v>
      </c>
      <c r="Q90" s="463">
        <v>0</v>
      </c>
      <c r="R90" s="463">
        <v>0</v>
      </c>
      <c r="S90" s="474">
        <v>0</v>
      </c>
      <c r="T90" s="463">
        <v>0</v>
      </c>
      <c r="U90" s="474">
        <v>0</v>
      </c>
      <c r="V90" s="464">
        <v>0</v>
      </c>
      <c r="W90" s="464">
        <v>0</v>
      </c>
      <c r="X90" s="464">
        <v>0</v>
      </c>
      <c r="Y90" s="464">
        <v>0</v>
      </c>
      <c r="Z90" s="465">
        <v>0</v>
      </c>
    </row>
    <row r="91" spans="1:26" x14ac:dyDescent="0.25">
      <c r="A91" s="1073" t="str">
        <f>VLOOKUP($B91,'Retail Rates'!$A$46:$B$55,2,FALSE)</f>
        <v>LGCMG895</v>
      </c>
      <c r="B91" s="477" t="s">
        <v>793</v>
      </c>
      <c r="C91" s="470">
        <v>40878</v>
      </c>
      <c r="D91" s="470">
        <v>40848</v>
      </c>
      <c r="E91" s="471">
        <v>8666.91</v>
      </c>
      <c r="F91" s="472">
        <v>8810.98</v>
      </c>
      <c r="G91" s="473">
        <v>473</v>
      </c>
      <c r="H91" s="465">
        <v>-617.07000000000005</v>
      </c>
      <c r="J91" s="471">
        <v>189766</v>
      </c>
      <c r="K91" s="472">
        <v>188622</v>
      </c>
      <c r="L91" s="473">
        <v>1144</v>
      </c>
      <c r="N91" s="464">
        <v>0</v>
      </c>
      <c r="O91" s="463">
        <v>460</v>
      </c>
      <c r="P91" s="463">
        <v>8110.75</v>
      </c>
      <c r="Q91" s="463">
        <v>0</v>
      </c>
      <c r="R91" s="463">
        <v>0</v>
      </c>
      <c r="S91" s="463">
        <v>59.16</v>
      </c>
      <c r="T91" s="463">
        <v>0</v>
      </c>
      <c r="U91" s="463">
        <v>181.07</v>
      </c>
      <c r="V91" s="464">
        <v>49.19</v>
      </c>
      <c r="W91" s="464">
        <v>1.1000000000000001</v>
      </c>
      <c r="X91" s="464">
        <v>0</v>
      </c>
      <c r="Y91" s="464">
        <v>422.71</v>
      </c>
      <c r="Z91" s="465">
        <v>-617.07000000000005</v>
      </c>
    </row>
    <row r="92" spans="1:26" x14ac:dyDescent="0.25">
      <c r="A92" s="1073" t="str">
        <f>VLOOKUP($B92,'Retail Rates'!$A$46:$B$55,2,FALSE)</f>
        <v>LGING992</v>
      </c>
      <c r="B92" s="477" t="s">
        <v>794</v>
      </c>
      <c r="C92" s="470">
        <v>40878</v>
      </c>
      <c r="D92" s="470">
        <v>40848</v>
      </c>
      <c r="E92" s="471">
        <v>14601.560000000001</v>
      </c>
      <c r="F92" s="472">
        <v>15172.82</v>
      </c>
      <c r="G92" s="473">
        <v>2078.06</v>
      </c>
      <c r="H92" s="465">
        <v>-2649.32</v>
      </c>
      <c r="J92" s="471">
        <v>608295</v>
      </c>
      <c r="K92" s="472">
        <v>603550</v>
      </c>
      <c r="L92" s="473">
        <v>4745</v>
      </c>
      <c r="N92" s="464">
        <v>275</v>
      </c>
      <c r="O92" s="463">
        <v>230</v>
      </c>
      <c r="P92" s="463">
        <v>6331.24</v>
      </c>
      <c r="Q92" s="463">
        <v>0</v>
      </c>
      <c r="R92" s="463">
        <v>6425.38</v>
      </c>
      <c r="S92" s="463">
        <v>2186.1999999999998</v>
      </c>
      <c r="T92" s="463">
        <v>0</v>
      </c>
      <c r="U92" s="463">
        <v>0</v>
      </c>
      <c r="V92" s="464">
        <v>49.78</v>
      </c>
      <c r="W92" s="464">
        <v>0</v>
      </c>
      <c r="X92" s="464">
        <v>0</v>
      </c>
      <c r="Y92" s="464">
        <v>1753.28</v>
      </c>
      <c r="Z92" s="465">
        <v>-2649.32</v>
      </c>
    </row>
    <row r="93" spans="1:26" ht="16.5" customHeight="1" x14ac:dyDescent="0.25">
      <c r="A93" s="1073" t="str">
        <f>VLOOKUP($B93,'Retail Rates'!$A$46:$B$55,2,FALSE)</f>
        <v>LGCMG991</v>
      </c>
      <c r="B93" s="477" t="s">
        <v>795</v>
      </c>
      <c r="C93" s="470">
        <v>40878</v>
      </c>
      <c r="D93" s="470">
        <v>40848</v>
      </c>
      <c r="E93" s="471">
        <v>23486.66</v>
      </c>
      <c r="F93" s="472">
        <v>21866.86</v>
      </c>
      <c r="G93" s="473">
        <v>2203.6099999999997</v>
      </c>
      <c r="H93" s="465">
        <v>-583.80999999999995</v>
      </c>
      <c r="J93" s="471">
        <v>193580</v>
      </c>
      <c r="K93" s="472">
        <v>189780</v>
      </c>
      <c r="L93" s="473">
        <v>3800</v>
      </c>
      <c r="N93" s="464">
        <v>781</v>
      </c>
      <c r="O93" s="463">
        <v>230</v>
      </c>
      <c r="P93" s="463">
        <v>924.23</v>
      </c>
      <c r="Q93" s="463">
        <v>0</v>
      </c>
      <c r="R93" s="463">
        <v>18225</v>
      </c>
      <c r="S93" s="463">
        <v>2487.63</v>
      </c>
      <c r="T93" s="463">
        <v>0</v>
      </c>
      <c r="U93" s="463">
        <v>0</v>
      </c>
      <c r="V93" s="464">
        <v>18.510000000000002</v>
      </c>
      <c r="W93" s="464">
        <v>0</v>
      </c>
      <c r="X93" s="464">
        <v>0</v>
      </c>
      <c r="Y93" s="464">
        <v>1404.1</v>
      </c>
      <c r="Z93" s="465">
        <v>-583.80999999999995</v>
      </c>
    </row>
    <row r="94" spans="1:26" x14ac:dyDescent="0.25">
      <c r="A94" s="1073" t="str">
        <f>VLOOKUP($B94,'Retail Rates'!$A$46:$B$55,2,FALSE)</f>
        <v>LGING997</v>
      </c>
      <c r="B94" s="477" t="s">
        <v>796</v>
      </c>
      <c r="C94" s="470">
        <v>40878</v>
      </c>
      <c r="D94" s="470">
        <f>+C94</f>
        <v>40878</v>
      </c>
      <c r="E94" s="471">
        <v>112785.29999999999</v>
      </c>
      <c r="F94" s="472">
        <v>105427.73</v>
      </c>
      <c r="G94" s="473">
        <v>7357.57</v>
      </c>
      <c r="H94" s="465">
        <v>0</v>
      </c>
      <c r="J94" s="471">
        <v>12714</v>
      </c>
      <c r="K94" s="472">
        <v>0</v>
      </c>
      <c r="L94" s="473">
        <v>12714</v>
      </c>
      <c r="N94" s="464">
        <v>781</v>
      </c>
      <c r="O94" s="474">
        <v>0</v>
      </c>
      <c r="P94" s="463">
        <v>0</v>
      </c>
      <c r="Q94" s="463">
        <v>0</v>
      </c>
      <c r="R94" s="463">
        <v>104976</v>
      </c>
      <c r="S94" s="463">
        <v>451.73</v>
      </c>
      <c r="T94" s="463">
        <v>0</v>
      </c>
      <c r="U94" s="463">
        <v>0</v>
      </c>
      <c r="V94" s="464">
        <v>61.92</v>
      </c>
      <c r="W94" s="475">
        <v>0</v>
      </c>
      <c r="X94" s="464">
        <v>0</v>
      </c>
      <c r="Y94" s="464">
        <v>6514.65</v>
      </c>
      <c r="Z94" s="465">
        <v>0</v>
      </c>
    </row>
    <row r="95" spans="1:26" x14ac:dyDescent="0.25">
      <c r="A95" s="1073" t="str">
        <f>VLOOKUP($B95,'Retail Rates'!$A$46:$B$55,2,FALSE)</f>
        <v>LGING882</v>
      </c>
      <c r="B95" s="469" t="s">
        <v>68</v>
      </c>
      <c r="C95" s="470">
        <v>40909</v>
      </c>
      <c r="D95" s="470">
        <f>+C95</f>
        <v>40909</v>
      </c>
      <c r="E95" s="471">
        <v>4316.53</v>
      </c>
      <c r="F95" s="472">
        <v>6578.7199999999993</v>
      </c>
      <c r="G95" s="473">
        <v>3986.32</v>
      </c>
      <c r="H95" s="465">
        <v>-6248.5099999999993</v>
      </c>
      <c r="J95" s="471">
        <v>28183</v>
      </c>
      <c r="K95" s="472">
        <v>23020</v>
      </c>
      <c r="L95" s="473">
        <v>5163</v>
      </c>
      <c r="N95" s="464">
        <v>340</v>
      </c>
      <c r="O95" s="474">
        <v>306</v>
      </c>
      <c r="P95" s="463">
        <v>4378.8599999999997</v>
      </c>
      <c r="Q95" s="463">
        <v>1893.86</v>
      </c>
      <c r="R95" s="464">
        <v>982.11</v>
      </c>
      <c r="S95" s="464">
        <v>2664.21</v>
      </c>
      <c r="T95" s="463">
        <v>0</v>
      </c>
      <c r="U95" s="463">
        <v>0</v>
      </c>
      <c r="V95" s="464">
        <v>0</v>
      </c>
      <c r="W95" s="475">
        <v>0</v>
      </c>
      <c r="X95" s="464">
        <v>0</v>
      </c>
      <c r="Y95" s="464">
        <v>0</v>
      </c>
      <c r="Z95" s="465">
        <v>-6248.5099999999993</v>
      </c>
    </row>
    <row r="96" spans="1:26" x14ac:dyDescent="0.25">
      <c r="A96" s="1073" t="str">
        <f>VLOOKUP($B96,'Retail Rates'!$A$46:$B$55,2,FALSE)</f>
        <v>LGCMG881</v>
      </c>
      <c r="B96" s="469" t="s">
        <v>65</v>
      </c>
      <c r="C96" s="470">
        <v>40909</v>
      </c>
      <c r="D96" s="470">
        <f>+C96</f>
        <v>40909</v>
      </c>
      <c r="E96" s="471">
        <v>0</v>
      </c>
      <c r="F96" s="472">
        <v>0</v>
      </c>
      <c r="G96" s="473">
        <v>0</v>
      </c>
      <c r="H96" s="465">
        <v>0</v>
      </c>
      <c r="J96" s="471">
        <v>0</v>
      </c>
      <c r="K96" s="472">
        <v>0</v>
      </c>
      <c r="L96" s="473">
        <v>0</v>
      </c>
      <c r="N96" s="464">
        <v>0</v>
      </c>
      <c r="O96" s="474">
        <v>0</v>
      </c>
      <c r="P96" s="474">
        <v>0</v>
      </c>
      <c r="Q96" s="463">
        <v>0</v>
      </c>
      <c r="R96" s="464">
        <v>0</v>
      </c>
      <c r="S96" s="464">
        <v>0</v>
      </c>
      <c r="T96" s="463">
        <v>0</v>
      </c>
      <c r="U96" s="474">
        <v>0</v>
      </c>
      <c r="V96" s="475">
        <v>0</v>
      </c>
      <c r="W96" s="464">
        <v>0</v>
      </c>
      <c r="X96" s="475">
        <v>0</v>
      </c>
      <c r="Y96" s="464">
        <v>0</v>
      </c>
      <c r="Z96" s="465">
        <v>0</v>
      </c>
    </row>
    <row r="97" spans="1:26" x14ac:dyDescent="0.25">
      <c r="A97" s="1073" t="str">
        <f>VLOOKUP($B97,'Retail Rates'!$A$46:$B$55,2,FALSE)</f>
        <v>LGCMG895</v>
      </c>
      <c r="B97" s="476" t="s">
        <v>789</v>
      </c>
      <c r="C97" s="470">
        <v>40909</v>
      </c>
      <c r="D97" s="470">
        <v>40878</v>
      </c>
      <c r="E97" s="471">
        <v>24824.85</v>
      </c>
      <c r="F97" s="472">
        <v>26182.05</v>
      </c>
      <c r="G97" s="473">
        <v>0</v>
      </c>
      <c r="H97" s="465">
        <v>-1357.2</v>
      </c>
      <c r="J97" s="471">
        <v>541374</v>
      </c>
      <c r="K97" s="472">
        <v>541374</v>
      </c>
      <c r="L97" s="473">
        <v>0</v>
      </c>
      <c r="N97" s="464">
        <v>0</v>
      </c>
      <c r="O97" s="463">
        <v>2300</v>
      </c>
      <c r="P97" s="463">
        <v>23279.079999999998</v>
      </c>
      <c r="Q97" s="463">
        <v>0</v>
      </c>
      <c r="R97" s="463">
        <v>0</v>
      </c>
      <c r="S97" s="474">
        <v>83.25</v>
      </c>
      <c r="T97" s="463">
        <v>0</v>
      </c>
      <c r="U97" s="463">
        <v>519.72</v>
      </c>
      <c r="V97" s="464">
        <v>0</v>
      </c>
      <c r="W97" s="464">
        <v>0</v>
      </c>
      <c r="X97" s="464">
        <v>0</v>
      </c>
      <c r="Y97" s="464">
        <v>0</v>
      </c>
      <c r="Z97" s="465">
        <v>-1357.2</v>
      </c>
    </row>
    <row r="98" spans="1:26" x14ac:dyDescent="0.25">
      <c r="A98" s="1073" t="str">
        <f>VLOOKUP($B98,'Retail Rates'!$A$46:$B$55,2,FALSE)</f>
        <v>LGING896</v>
      </c>
      <c r="B98" s="477" t="s">
        <v>790</v>
      </c>
      <c r="C98" s="470">
        <v>40909</v>
      </c>
      <c r="D98" s="470">
        <v>40878</v>
      </c>
      <c r="E98" s="471">
        <v>412474.58000000013</v>
      </c>
      <c r="F98" s="472">
        <v>423553.93000000011</v>
      </c>
      <c r="G98" s="473">
        <v>0</v>
      </c>
      <c r="H98" s="465">
        <v>-11079.35</v>
      </c>
      <c r="J98" s="471">
        <v>9400669</v>
      </c>
      <c r="K98" s="472">
        <v>9400669</v>
      </c>
      <c r="L98" s="473">
        <v>0</v>
      </c>
      <c r="N98" s="464">
        <v>0</v>
      </c>
      <c r="O98" s="474">
        <v>13800</v>
      </c>
      <c r="P98" s="463">
        <v>404228.8000000001</v>
      </c>
      <c r="Q98" s="463">
        <v>0</v>
      </c>
      <c r="R98" s="463">
        <v>0</v>
      </c>
      <c r="S98" s="474">
        <v>5525.13</v>
      </c>
      <c r="T98" s="463">
        <v>0</v>
      </c>
      <c r="U98" s="463">
        <v>0</v>
      </c>
      <c r="V98" s="464">
        <v>0</v>
      </c>
      <c r="W98" s="464">
        <v>0</v>
      </c>
      <c r="X98" s="475">
        <v>0</v>
      </c>
      <c r="Y98" s="464">
        <v>0</v>
      </c>
      <c r="Z98" s="465">
        <v>-11079.35</v>
      </c>
    </row>
    <row r="99" spans="1:26" x14ac:dyDescent="0.25">
      <c r="A99" s="1073" t="str">
        <f>VLOOKUP($B99,'Retail Rates'!$A$46:$B$55,2,FALSE)</f>
        <v>LGING896PM</v>
      </c>
      <c r="B99" s="477" t="s">
        <v>791</v>
      </c>
      <c r="C99" s="470">
        <v>40909</v>
      </c>
      <c r="D99" s="470">
        <v>40878</v>
      </c>
      <c r="E99" s="471">
        <v>-12563.720000000001</v>
      </c>
      <c r="F99" s="472">
        <v>37486.240000000005</v>
      </c>
      <c r="G99" s="473">
        <v>35617.29</v>
      </c>
      <c r="H99" s="465">
        <v>-85667.25</v>
      </c>
      <c r="J99" s="471">
        <v>0</v>
      </c>
      <c r="K99" s="472">
        <v>0</v>
      </c>
      <c r="L99" s="473">
        <v>0</v>
      </c>
      <c r="N99" s="464">
        <v>0</v>
      </c>
      <c r="O99" s="474">
        <v>5100</v>
      </c>
      <c r="P99" s="474">
        <v>0</v>
      </c>
      <c r="Q99" s="463">
        <v>0</v>
      </c>
      <c r="R99" s="463">
        <v>0</v>
      </c>
      <c r="S99" s="463">
        <v>32386.240000000002</v>
      </c>
      <c r="T99" s="463">
        <v>0</v>
      </c>
      <c r="U99" s="463">
        <v>0</v>
      </c>
      <c r="V99" s="464">
        <v>0</v>
      </c>
      <c r="W99" s="464">
        <v>0</v>
      </c>
      <c r="X99" s="464">
        <v>0</v>
      </c>
      <c r="Y99" s="464">
        <v>35617.29</v>
      </c>
      <c r="Z99" s="465">
        <v>-85667.25</v>
      </c>
    </row>
    <row r="100" spans="1:26" x14ac:dyDescent="0.25">
      <c r="A100" s="1073" t="str">
        <f>VLOOKUP($B100,'Retail Rates'!$A$46:$B$55,2,FALSE)</f>
        <v>LGING896</v>
      </c>
      <c r="B100" s="477" t="s">
        <v>792</v>
      </c>
      <c r="C100" s="470">
        <v>40909</v>
      </c>
      <c r="D100" s="470">
        <v>40878</v>
      </c>
      <c r="E100" s="471">
        <v>12059.9</v>
      </c>
      <c r="F100" s="472">
        <v>12059.9</v>
      </c>
      <c r="G100" s="473">
        <v>0</v>
      </c>
      <c r="H100" s="465">
        <v>0</v>
      </c>
      <c r="J100" s="471">
        <v>275114</v>
      </c>
      <c r="K100" s="472">
        <v>275114</v>
      </c>
      <c r="L100" s="473">
        <v>0</v>
      </c>
      <c r="N100" s="464">
        <v>0</v>
      </c>
      <c r="O100" s="474">
        <v>230</v>
      </c>
      <c r="P100" s="474">
        <v>11829.9</v>
      </c>
      <c r="Q100" s="463">
        <v>0</v>
      </c>
      <c r="R100" s="463">
        <v>0</v>
      </c>
      <c r="S100" s="474">
        <v>0</v>
      </c>
      <c r="T100" s="463">
        <v>0</v>
      </c>
      <c r="U100" s="474">
        <v>0</v>
      </c>
      <c r="V100" s="464">
        <v>0</v>
      </c>
      <c r="W100" s="464">
        <v>0</v>
      </c>
      <c r="X100" s="464">
        <v>0</v>
      </c>
      <c r="Y100" s="464">
        <v>0</v>
      </c>
      <c r="Z100" s="465">
        <v>0</v>
      </c>
    </row>
    <row r="101" spans="1:26" x14ac:dyDescent="0.25">
      <c r="A101" s="1073" t="str">
        <f>VLOOKUP($B101,'Retail Rates'!$A$46:$B$55,2,FALSE)</f>
        <v>LGCMG895</v>
      </c>
      <c r="B101" s="477" t="s">
        <v>793</v>
      </c>
      <c r="C101" s="470">
        <v>40909</v>
      </c>
      <c r="D101" s="470">
        <v>40878</v>
      </c>
      <c r="E101" s="471">
        <v>9095.0299999999988</v>
      </c>
      <c r="F101" s="472">
        <v>11786.81</v>
      </c>
      <c r="G101" s="473">
        <v>0</v>
      </c>
      <c r="H101" s="465">
        <v>-2691.78</v>
      </c>
      <c r="J101" s="471">
        <v>256185</v>
      </c>
      <c r="K101" s="472">
        <v>256185</v>
      </c>
      <c r="L101" s="473">
        <v>0</v>
      </c>
      <c r="N101" s="464">
        <v>0</v>
      </c>
      <c r="O101" s="463">
        <v>460</v>
      </c>
      <c r="P101" s="463">
        <v>11015.96</v>
      </c>
      <c r="Q101" s="463">
        <v>0</v>
      </c>
      <c r="R101" s="463">
        <v>0</v>
      </c>
      <c r="S101" s="463">
        <v>64.91</v>
      </c>
      <c r="T101" s="463">
        <v>0</v>
      </c>
      <c r="U101" s="463">
        <v>245.94</v>
      </c>
      <c r="V101" s="464">
        <v>0</v>
      </c>
      <c r="W101" s="464">
        <v>0</v>
      </c>
      <c r="X101" s="464">
        <v>0</v>
      </c>
      <c r="Y101" s="464">
        <v>0</v>
      </c>
      <c r="Z101" s="465">
        <v>-2691.78</v>
      </c>
    </row>
    <row r="102" spans="1:26" x14ac:dyDescent="0.25">
      <c r="A102" s="1073" t="str">
        <f>VLOOKUP($B102,'Retail Rates'!$A$46:$B$55,2,FALSE)</f>
        <v>LGING992</v>
      </c>
      <c r="B102" s="477" t="s">
        <v>794</v>
      </c>
      <c r="C102" s="470">
        <v>40909</v>
      </c>
      <c r="D102" s="470">
        <v>40878</v>
      </c>
      <c r="E102" s="471">
        <v>10481.61</v>
      </c>
      <c r="F102" s="472">
        <v>15563.99</v>
      </c>
      <c r="G102" s="473">
        <v>275</v>
      </c>
      <c r="H102" s="465">
        <v>-5357.38</v>
      </c>
      <c r="J102" s="471">
        <v>532502</v>
      </c>
      <c r="K102" s="472">
        <v>532502</v>
      </c>
      <c r="L102" s="473">
        <v>0</v>
      </c>
      <c r="N102" s="464">
        <v>275</v>
      </c>
      <c r="O102" s="463">
        <v>230</v>
      </c>
      <c r="P102" s="463">
        <v>5585.95</v>
      </c>
      <c r="Q102" s="463">
        <v>0</v>
      </c>
      <c r="R102" s="463">
        <v>6425.38</v>
      </c>
      <c r="S102" s="463">
        <v>3322.66</v>
      </c>
      <c r="T102" s="463">
        <v>0</v>
      </c>
      <c r="U102" s="463">
        <v>0</v>
      </c>
      <c r="V102" s="464">
        <v>0</v>
      </c>
      <c r="W102" s="464">
        <v>0</v>
      </c>
      <c r="X102" s="464">
        <v>0</v>
      </c>
      <c r="Y102" s="464">
        <v>0</v>
      </c>
      <c r="Z102" s="465">
        <v>-5357.38</v>
      </c>
    </row>
    <row r="103" spans="1:26" ht="16.5" customHeight="1" x14ac:dyDescent="0.25">
      <c r="A103" s="1073" t="str">
        <f>VLOOKUP($B103,'Retail Rates'!$A$46:$B$55,2,FALSE)</f>
        <v>LGCMG991</v>
      </c>
      <c r="B103" s="477" t="s">
        <v>795</v>
      </c>
      <c r="C103" s="470">
        <v>40909</v>
      </c>
      <c r="D103" s="470">
        <v>40878</v>
      </c>
      <c r="E103" s="471">
        <v>22874.45</v>
      </c>
      <c r="F103" s="472">
        <v>21856.29</v>
      </c>
      <c r="G103" s="473">
        <v>2368.6999999999998</v>
      </c>
      <c r="H103" s="465">
        <v>-1350.54</v>
      </c>
      <c r="J103" s="471">
        <v>421841</v>
      </c>
      <c r="K103" s="472">
        <v>417560</v>
      </c>
      <c r="L103" s="473">
        <v>4281</v>
      </c>
      <c r="N103" s="464">
        <v>781</v>
      </c>
      <c r="O103" s="463">
        <v>230</v>
      </c>
      <c r="P103" s="463">
        <v>2033.52</v>
      </c>
      <c r="Q103" s="463">
        <v>0</v>
      </c>
      <c r="R103" s="463">
        <v>18225</v>
      </c>
      <c r="S103" s="463">
        <v>1367.77</v>
      </c>
      <c r="T103" s="463">
        <v>0</v>
      </c>
      <c r="U103" s="463">
        <v>0</v>
      </c>
      <c r="V103" s="464">
        <v>20.85</v>
      </c>
      <c r="W103" s="464">
        <v>0</v>
      </c>
      <c r="X103" s="464">
        <v>0</v>
      </c>
      <c r="Y103" s="464">
        <v>1566.85</v>
      </c>
      <c r="Z103" s="465">
        <v>-1350.54</v>
      </c>
    </row>
    <row r="104" spans="1:26" x14ac:dyDescent="0.25">
      <c r="A104" s="1073" t="str">
        <f>VLOOKUP($B104,'Retail Rates'!$A$46:$B$55,2,FALSE)</f>
        <v>LGING997</v>
      </c>
      <c r="B104" s="477" t="s">
        <v>796</v>
      </c>
      <c r="C104" s="470">
        <v>40909</v>
      </c>
      <c r="D104" s="470">
        <f>+C104</f>
        <v>40909</v>
      </c>
      <c r="E104" s="471">
        <v>105239.59</v>
      </c>
      <c r="F104" s="472">
        <v>105229.9</v>
      </c>
      <c r="G104" s="473">
        <v>3792.1099999999997</v>
      </c>
      <c r="H104" s="465">
        <v>-3782.42</v>
      </c>
      <c r="J104" s="471">
        <v>7146</v>
      </c>
      <c r="K104" s="472">
        <v>0</v>
      </c>
      <c r="L104" s="473">
        <v>7146</v>
      </c>
      <c r="N104" s="464">
        <v>781</v>
      </c>
      <c r="O104" s="474">
        <v>0</v>
      </c>
      <c r="P104" s="463">
        <v>0</v>
      </c>
      <c r="Q104" s="463">
        <v>0</v>
      </c>
      <c r="R104" s="463">
        <v>104976</v>
      </c>
      <c r="S104" s="463">
        <v>253.9</v>
      </c>
      <c r="T104" s="463">
        <v>0</v>
      </c>
      <c r="U104" s="463">
        <v>0</v>
      </c>
      <c r="V104" s="464">
        <v>34.799999999999997</v>
      </c>
      <c r="W104" s="475">
        <v>0</v>
      </c>
      <c r="X104" s="464">
        <v>0</v>
      </c>
      <c r="Y104" s="464">
        <v>2976.31</v>
      </c>
      <c r="Z104" s="465">
        <v>-3782.42</v>
      </c>
    </row>
    <row r="105" spans="1:26" x14ac:dyDescent="0.25">
      <c r="A105" s="1073" t="str">
        <f>VLOOKUP($B105,'Retail Rates'!$A$46:$B$55,2,FALSE)</f>
        <v>LGING882</v>
      </c>
      <c r="B105" s="477" t="s">
        <v>68</v>
      </c>
      <c r="C105" s="470">
        <v>40940</v>
      </c>
      <c r="D105" s="470">
        <f>+C105</f>
        <v>40940</v>
      </c>
      <c r="E105" s="471">
        <v>9748.93</v>
      </c>
      <c r="F105" s="472">
        <v>10762.82</v>
      </c>
      <c r="G105" s="473">
        <v>1091.49</v>
      </c>
      <c r="H105" s="465">
        <v>-2105.38</v>
      </c>
      <c r="J105" s="471">
        <v>38414</v>
      </c>
      <c r="K105" s="472">
        <v>37283</v>
      </c>
      <c r="L105" s="473">
        <v>1131</v>
      </c>
      <c r="N105" s="464">
        <v>340</v>
      </c>
      <c r="O105" s="474">
        <v>306</v>
      </c>
      <c r="P105" s="463">
        <v>7091.98</v>
      </c>
      <c r="Q105" s="463">
        <v>3364.84</v>
      </c>
      <c r="R105" s="464">
        <v>215.14</v>
      </c>
      <c r="S105" s="464">
        <v>536.35</v>
      </c>
      <c r="T105" s="463">
        <v>0</v>
      </c>
      <c r="U105" s="463">
        <v>0</v>
      </c>
      <c r="V105" s="464">
        <v>0</v>
      </c>
      <c r="W105" s="475">
        <v>0</v>
      </c>
      <c r="X105" s="464">
        <v>0</v>
      </c>
      <c r="Y105" s="464">
        <v>0</v>
      </c>
      <c r="Z105" s="465">
        <v>-2105.38</v>
      </c>
    </row>
    <row r="106" spans="1:26" x14ac:dyDescent="0.25">
      <c r="A106" s="1073" t="str">
        <f>VLOOKUP($B106,'Retail Rates'!$A$46:$B$55,2,FALSE)</f>
        <v>LGCMG881</v>
      </c>
      <c r="B106" s="477" t="s">
        <v>65</v>
      </c>
      <c r="C106" s="470">
        <v>40940</v>
      </c>
      <c r="D106" s="470">
        <f>+C106</f>
        <v>40940</v>
      </c>
      <c r="E106" s="471">
        <v>0</v>
      </c>
      <c r="F106" s="472">
        <v>0</v>
      </c>
      <c r="G106" s="473">
        <v>0</v>
      </c>
      <c r="H106" s="465">
        <v>0</v>
      </c>
      <c r="J106" s="471">
        <v>0</v>
      </c>
      <c r="K106" s="472">
        <v>0</v>
      </c>
      <c r="L106" s="473">
        <v>0</v>
      </c>
      <c r="N106" s="464">
        <v>0</v>
      </c>
      <c r="O106" s="474">
        <v>0</v>
      </c>
      <c r="P106" s="463">
        <v>0</v>
      </c>
      <c r="Q106" s="463">
        <v>0</v>
      </c>
      <c r="R106" s="464">
        <v>0</v>
      </c>
      <c r="S106" s="464">
        <v>0</v>
      </c>
      <c r="T106" s="463">
        <v>0</v>
      </c>
      <c r="U106" s="463">
        <v>0</v>
      </c>
      <c r="V106" s="464">
        <v>0</v>
      </c>
      <c r="W106" s="475">
        <v>0</v>
      </c>
      <c r="X106" s="464">
        <v>0</v>
      </c>
      <c r="Y106" s="464">
        <v>0</v>
      </c>
      <c r="Z106" s="465">
        <v>0</v>
      </c>
    </row>
    <row r="107" spans="1:26" x14ac:dyDescent="0.25">
      <c r="A107" s="1073" t="str">
        <f>VLOOKUP($B107,'Retail Rates'!$A$46:$B$55,2,FALSE)</f>
        <v>LGCMG895</v>
      </c>
      <c r="B107" s="477" t="s">
        <v>789</v>
      </c>
      <c r="C107" s="470">
        <v>40940</v>
      </c>
      <c r="D107" s="470">
        <v>40909</v>
      </c>
      <c r="E107" s="471">
        <v>27638.940000000006</v>
      </c>
      <c r="F107" s="472">
        <v>27834.730000000007</v>
      </c>
      <c r="G107" s="473">
        <v>0</v>
      </c>
      <c r="H107" s="465">
        <v>-195.79</v>
      </c>
      <c r="J107" s="471">
        <v>577157</v>
      </c>
      <c r="K107" s="472">
        <v>577157</v>
      </c>
      <c r="L107" s="473">
        <v>0</v>
      </c>
      <c r="N107" s="464">
        <v>0</v>
      </c>
      <c r="O107" s="474">
        <v>2300</v>
      </c>
      <c r="P107" s="463">
        <v>24817.750000000007</v>
      </c>
      <c r="Q107" s="463">
        <v>0</v>
      </c>
      <c r="R107" s="463">
        <v>0</v>
      </c>
      <c r="S107" s="463">
        <v>47.47</v>
      </c>
      <c r="T107" s="463">
        <v>0</v>
      </c>
      <c r="U107" s="463">
        <v>669.5100000000001</v>
      </c>
      <c r="V107" s="464">
        <v>0</v>
      </c>
      <c r="W107" s="475">
        <v>0</v>
      </c>
      <c r="X107" s="464">
        <v>0</v>
      </c>
      <c r="Y107" s="464">
        <v>0</v>
      </c>
      <c r="Z107" s="465">
        <v>-195.79</v>
      </c>
    </row>
    <row r="108" spans="1:26" x14ac:dyDescent="0.25">
      <c r="A108" s="1073" t="str">
        <f>VLOOKUP($B108,'Retail Rates'!$A$46:$B$55,2,FALSE)</f>
        <v>LGING896</v>
      </c>
      <c r="B108" s="477" t="s">
        <v>790</v>
      </c>
      <c r="C108" s="470">
        <v>40940</v>
      </c>
      <c r="D108" s="470">
        <v>40909</v>
      </c>
      <c r="E108" s="471">
        <v>495827.5400000001</v>
      </c>
      <c r="F108" s="472">
        <v>499082.60000000015</v>
      </c>
      <c r="G108" s="473">
        <v>0</v>
      </c>
      <c r="H108" s="465">
        <v>-3255.0599999999995</v>
      </c>
      <c r="J108" s="471">
        <v>11225081</v>
      </c>
      <c r="K108" s="472">
        <v>11225081</v>
      </c>
      <c r="L108" s="473">
        <v>0</v>
      </c>
      <c r="N108" s="464">
        <v>0</v>
      </c>
      <c r="O108" s="474">
        <v>13807.67</v>
      </c>
      <c r="P108" s="463">
        <v>482678.50000000012</v>
      </c>
      <c r="Q108" s="463">
        <v>0</v>
      </c>
      <c r="R108" s="463">
        <v>0</v>
      </c>
      <c r="S108" s="463">
        <v>2596.4300000000003</v>
      </c>
      <c r="T108" s="463">
        <v>0</v>
      </c>
      <c r="U108" s="463">
        <v>0</v>
      </c>
      <c r="V108" s="464">
        <v>0</v>
      </c>
      <c r="W108" s="475">
        <v>0</v>
      </c>
      <c r="X108" s="464">
        <v>0</v>
      </c>
      <c r="Y108" s="464">
        <v>0</v>
      </c>
      <c r="Z108" s="465">
        <v>-3255.0599999999995</v>
      </c>
    </row>
    <row r="109" spans="1:26" x14ac:dyDescent="0.25">
      <c r="A109" s="1073" t="str">
        <f>VLOOKUP($B109,'Retail Rates'!$A$46:$B$55,2,FALSE)</f>
        <v>LGING896PM</v>
      </c>
      <c r="B109" s="477" t="s">
        <v>791</v>
      </c>
      <c r="C109" s="470">
        <v>40940</v>
      </c>
      <c r="D109" s="470">
        <v>40909</v>
      </c>
      <c r="E109" s="471">
        <v>-38387.58</v>
      </c>
      <c r="F109" s="472">
        <v>45066.879999999997</v>
      </c>
      <c r="G109" s="473">
        <v>1072.79</v>
      </c>
      <c r="H109" s="465">
        <v>-84527.25</v>
      </c>
      <c r="J109" s="471">
        <v>0</v>
      </c>
      <c r="K109" s="472">
        <v>0</v>
      </c>
      <c r="L109" s="473">
        <v>0</v>
      </c>
      <c r="N109" s="464">
        <v>0</v>
      </c>
      <c r="O109" s="474">
        <v>5175</v>
      </c>
      <c r="P109" s="463">
        <v>0</v>
      </c>
      <c r="Q109" s="463">
        <v>0</v>
      </c>
      <c r="R109" s="463">
        <v>0</v>
      </c>
      <c r="S109" s="463">
        <v>39891.879999999997</v>
      </c>
      <c r="T109" s="463">
        <v>0</v>
      </c>
      <c r="U109" s="463">
        <v>0</v>
      </c>
      <c r="V109" s="464">
        <v>0</v>
      </c>
      <c r="W109" s="475">
        <v>0</v>
      </c>
      <c r="X109" s="464">
        <v>0</v>
      </c>
      <c r="Y109" s="464">
        <v>1072.79</v>
      </c>
      <c r="Z109" s="465">
        <v>-84527.25</v>
      </c>
    </row>
    <row r="110" spans="1:26" x14ac:dyDescent="0.25">
      <c r="A110" s="1073" t="str">
        <f>VLOOKUP($B110,'Retail Rates'!$A$46:$B$55,2,FALSE)</f>
        <v>LGING896</v>
      </c>
      <c r="B110" s="477" t="s">
        <v>792</v>
      </c>
      <c r="C110" s="470">
        <v>40940</v>
      </c>
      <c r="D110" s="470">
        <v>40909</v>
      </c>
      <c r="E110" s="471">
        <v>11968.7</v>
      </c>
      <c r="F110" s="472">
        <v>11968.7</v>
      </c>
      <c r="G110" s="473">
        <v>0</v>
      </c>
      <c r="H110" s="465">
        <v>0</v>
      </c>
      <c r="J110" s="471">
        <v>272993</v>
      </c>
      <c r="K110" s="472">
        <v>272993</v>
      </c>
      <c r="L110" s="473">
        <v>0</v>
      </c>
      <c r="N110" s="464">
        <v>0</v>
      </c>
      <c r="O110" s="474">
        <v>230</v>
      </c>
      <c r="P110" s="463">
        <v>11738.7</v>
      </c>
      <c r="Q110" s="463">
        <v>0</v>
      </c>
      <c r="R110" s="463">
        <v>0</v>
      </c>
      <c r="S110" s="463">
        <v>0</v>
      </c>
      <c r="T110" s="463">
        <v>0</v>
      </c>
      <c r="U110" s="463">
        <v>0</v>
      </c>
      <c r="V110" s="464">
        <v>0</v>
      </c>
      <c r="W110" s="475">
        <v>0</v>
      </c>
      <c r="X110" s="464">
        <v>0</v>
      </c>
      <c r="Y110" s="464">
        <v>0</v>
      </c>
      <c r="Z110" s="465">
        <v>0</v>
      </c>
    </row>
    <row r="111" spans="1:26" x14ac:dyDescent="0.25">
      <c r="A111" s="1073" t="str">
        <f>VLOOKUP($B111,'Retail Rates'!$A$46:$B$55,2,FALSE)</f>
        <v>LGCMG895</v>
      </c>
      <c r="B111" s="477" t="s">
        <v>793</v>
      </c>
      <c r="C111" s="470">
        <v>40940</v>
      </c>
      <c r="D111" s="470">
        <v>40909</v>
      </c>
      <c r="E111" s="471">
        <v>12427.89</v>
      </c>
      <c r="F111" s="472">
        <v>13478.789999999999</v>
      </c>
      <c r="G111" s="473">
        <v>0</v>
      </c>
      <c r="H111" s="465">
        <v>-1050.9000000000001</v>
      </c>
      <c r="J111" s="471">
        <v>293598</v>
      </c>
      <c r="K111" s="472">
        <v>293598</v>
      </c>
      <c r="L111" s="473">
        <v>0</v>
      </c>
      <c r="N111" s="464">
        <v>0</v>
      </c>
      <c r="O111" s="474">
        <v>460</v>
      </c>
      <c r="P111" s="463">
        <v>12624.71</v>
      </c>
      <c r="Q111" s="463">
        <v>0</v>
      </c>
      <c r="R111" s="463">
        <v>0</v>
      </c>
      <c r="S111" s="463">
        <v>53.51</v>
      </c>
      <c r="T111" s="463">
        <v>0</v>
      </c>
      <c r="U111" s="463">
        <v>340.57</v>
      </c>
      <c r="V111" s="464">
        <v>0</v>
      </c>
      <c r="W111" s="475">
        <v>0</v>
      </c>
      <c r="X111" s="464">
        <v>0</v>
      </c>
      <c r="Y111" s="464">
        <v>0</v>
      </c>
      <c r="Z111" s="465">
        <v>-1050.9000000000001</v>
      </c>
    </row>
    <row r="112" spans="1:26" x14ac:dyDescent="0.25">
      <c r="A112" s="1073" t="str">
        <f>VLOOKUP($B112,'Retail Rates'!$A$46:$B$55,2,FALSE)</f>
        <v>LGING992</v>
      </c>
      <c r="B112" s="477" t="s">
        <v>794</v>
      </c>
      <c r="C112" s="470">
        <v>40940</v>
      </c>
      <c r="D112" s="470">
        <v>40909</v>
      </c>
      <c r="E112" s="471">
        <v>13121.9</v>
      </c>
      <c r="F112" s="472">
        <v>15944.83</v>
      </c>
      <c r="G112" s="473">
        <v>275</v>
      </c>
      <c r="H112" s="465">
        <v>-3097.9300000000003</v>
      </c>
      <c r="J112" s="471">
        <v>608649</v>
      </c>
      <c r="K112" s="472">
        <v>608649</v>
      </c>
      <c r="L112" s="473">
        <v>0</v>
      </c>
      <c r="N112" s="464">
        <v>275</v>
      </c>
      <c r="O112" s="474">
        <v>230</v>
      </c>
      <c r="P112" s="463">
        <v>6384.73</v>
      </c>
      <c r="Q112" s="463">
        <v>0</v>
      </c>
      <c r="R112" s="463">
        <v>6425.38</v>
      </c>
      <c r="S112" s="463">
        <v>2904.72</v>
      </c>
      <c r="T112" s="463">
        <v>0</v>
      </c>
      <c r="U112" s="463">
        <v>0</v>
      </c>
      <c r="V112" s="464">
        <v>0</v>
      </c>
      <c r="W112" s="475">
        <v>0</v>
      </c>
      <c r="X112" s="464">
        <v>0</v>
      </c>
      <c r="Y112" s="464">
        <v>0</v>
      </c>
      <c r="Z112" s="465">
        <v>-3097.9300000000003</v>
      </c>
    </row>
    <row r="113" spans="1:26" x14ac:dyDescent="0.25">
      <c r="A113" s="1073" t="str">
        <f>VLOOKUP($B113,'Retail Rates'!$A$46:$B$55,2,FALSE)</f>
        <v>LGCMG991</v>
      </c>
      <c r="B113" s="477" t="s">
        <v>795</v>
      </c>
      <c r="C113" s="470">
        <v>40940</v>
      </c>
      <c r="D113" s="470">
        <v>40909</v>
      </c>
      <c r="E113" s="471">
        <v>25612.59</v>
      </c>
      <c r="F113" s="472">
        <v>22803.14</v>
      </c>
      <c r="G113" s="473">
        <v>5109.13</v>
      </c>
      <c r="H113" s="465">
        <v>-2299.6799999999998</v>
      </c>
      <c r="J113" s="471">
        <v>564544</v>
      </c>
      <c r="K113" s="472">
        <v>550230</v>
      </c>
      <c r="L113" s="473">
        <v>14314</v>
      </c>
      <c r="N113" s="464">
        <v>781</v>
      </c>
      <c r="O113" s="474">
        <v>230</v>
      </c>
      <c r="P113" s="463">
        <v>2679.62</v>
      </c>
      <c r="Q113" s="463">
        <v>0</v>
      </c>
      <c r="R113" s="463">
        <v>18225</v>
      </c>
      <c r="S113" s="463">
        <v>1668.52</v>
      </c>
      <c r="T113" s="463">
        <v>0</v>
      </c>
      <c r="U113" s="463">
        <v>0</v>
      </c>
      <c r="V113" s="464">
        <v>69.709999999999994</v>
      </c>
      <c r="W113" s="475">
        <v>0</v>
      </c>
      <c r="X113" s="464">
        <v>0</v>
      </c>
      <c r="Y113" s="464">
        <v>4258.42</v>
      </c>
      <c r="Z113" s="465">
        <v>-2299.6799999999998</v>
      </c>
    </row>
    <row r="114" spans="1:26" x14ac:dyDescent="0.25">
      <c r="A114" s="1073" t="str">
        <f>VLOOKUP($B114,'Retail Rates'!$A$46:$B$55,2,FALSE)</f>
        <v>LGING997</v>
      </c>
      <c r="B114" s="477" t="s">
        <v>796</v>
      </c>
      <c r="C114" s="470">
        <v>40940</v>
      </c>
      <c r="D114" s="470">
        <f>+C114</f>
        <v>40940</v>
      </c>
      <c r="E114" s="471">
        <v>110000.04</v>
      </c>
      <c r="F114" s="472">
        <v>105202.09</v>
      </c>
      <c r="G114" s="473">
        <v>1015.53</v>
      </c>
      <c r="H114" s="465">
        <v>3782.42</v>
      </c>
      <c r="J114" s="471">
        <v>46498</v>
      </c>
      <c r="K114" s="472">
        <v>45660</v>
      </c>
      <c r="L114" s="473">
        <v>838</v>
      </c>
      <c r="N114" s="464">
        <v>781</v>
      </c>
      <c r="O114" s="474">
        <v>0</v>
      </c>
      <c r="P114" s="463">
        <v>222.36</v>
      </c>
      <c r="Q114" s="463">
        <v>0</v>
      </c>
      <c r="R114" s="463">
        <v>104976</v>
      </c>
      <c r="S114" s="463">
        <v>3.73</v>
      </c>
      <c r="T114" s="463">
        <v>0</v>
      </c>
      <c r="U114" s="463">
        <v>0</v>
      </c>
      <c r="V114" s="464">
        <v>4.08</v>
      </c>
      <c r="W114" s="475">
        <v>0</v>
      </c>
      <c r="X114" s="464">
        <v>0</v>
      </c>
      <c r="Y114" s="464">
        <v>230.45</v>
      </c>
      <c r="Z114" s="465">
        <v>3782.42</v>
      </c>
    </row>
    <row r="115" spans="1:26" x14ac:dyDescent="0.25">
      <c r="A115" s="1073" t="str">
        <f>VLOOKUP($B115,'Retail Rates'!$A$46:$B$55,2,FALSE)</f>
        <v>LGING882</v>
      </c>
      <c r="B115" s="469" t="s">
        <v>68</v>
      </c>
      <c r="C115" s="470">
        <v>40969</v>
      </c>
      <c r="D115" s="470">
        <v>40969</v>
      </c>
      <c r="E115" s="471">
        <v>34204.909999999996</v>
      </c>
      <c r="F115" s="472">
        <v>15849.019999999999</v>
      </c>
      <c r="G115" s="473">
        <v>18579.809999999998</v>
      </c>
      <c r="H115" s="465">
        <v>-223.92000000000002</v>
      </c>
      <c r="J115" s="471">
        <v>83801</v>
      </c>
      <c r="K115" s="472">
        <v>56350</v>
      </c>
      <c r="L115" s="473">
        <v>27451</v>
      </c>
      <c r="N115" s="464">
        <v>340</v>
      </c>
      <c r="O115" s="474">
        <v>306</v>
      </c>
      <c r="P115" s="463">
        <v>10718.89</v>
      </c>
      <c r="Q115" s="463">
        <v>4824.1299999999992</v>
      </c>
      <c r="R115" s="463">
        <v>5221.7299999999996</v>
      </c>
      <c r="S115" s="463">
        <v>13018.08</v>
      </c>
      <c r="T115" s="463">
        <v>0</v>
      </c>
      <c r="U115" s="463">
        <v>0</v>
      </c>
      <c r="V115" s="464">
        <v>0</v>
      </c>
      <c r="W115" s="475">
        <v>0</v>
      </c>
      <c r="X115" s="464">
        <v>0</v>
      </c>
      <c r="Y115" s="464">
        <v>0</v>
      </c>
      <c r="Z115" s="465">
        <v>-223.92000000000002</v>
      </c>
    </row>
    <row r="116" spans="1:26" x14ac:dyDescent="0.25">
      <c r="A116" s="1073" t="str">
        <f>VLOOKUP($B116,'Retail Rates'!$A$46:$B$55,2,FALSE)</f>
        <v>LGCMG881</v>
      </c>
      <c r="B116" s="469" t="s">
        <v>65</v>
      </c>
      <c r="C116" s="470">
        <v>40969</v>
      </c>
      <c r="D116" s="470">
        <v>40969</v>
      </c>
      <c r="E116" s="471">
        <v>0</v>
      </c>
      <c r="F116" s="472">
        <v>0</v>
      </c>
      <c r="G116" s="473">
        <v>0</v>
      </c>
      <c r="H116" s="465">
        <v>0</v>
      </c>
      <c r="J116" s="471">
        <v>0</v>
      </c>
      <c r="K116" s="472">
        <v>0</v>
      </c>
      <c r="L116" s="473">
        <v>0</v>
      </c>
      <c r="N116" s="464">
        <v>0</v>
      </c>
      <c r="O116" s="474">
        <v>0</v>
      </c>
      <c r="P116" s="474">
        <v>0</v>
      </c>
      <c r="Q116" s="463">
        <v>0</v>
      </c>
      <c r="R116" s="463">
        <v>0</v>
      </c>
      <c r="S116" s="474">
        <v>0</v>
      </c>
      <c r="T116" s="463">
        <v>0</v>
      </c>
      <c r="U116" s="474">
        <v>0</v>
      </c>
      <c r="V116" s="475">
        <v>0</v>
      </c>
      <c r="W116" s="464">
        <v>0</v>
      </c>
      <c r="X116" s="475">
        <v>0</v>
      </c>
      <c r="Y116" s="464">
        <v>0</v>
      </c>
      <c r="Z116" s="465">
        <v>0</v>
      </c>
    </row>
    <row r="117" spans="1:26" x14ac:dyDescent="0.25">
      <c r="A117" s="1073" t="str">
        <f>VLOOKUP($B117,'Retail Rates'!$A$46:$B$55,2,FALSE)</f>
        <v>LGCMG895</v>
      </c>
      <c r="B117" s="476" t="s">
        <v>789</v>
      </c>
      <c r="C117" s="470">
        <v>40969</v>
      </c>
      <c r="D117" s="470">
        <v>40940</v>
      </c>
      <c r="E117" s="471">
        <v>24798.51</v>
      </c>
      <c r="F117" s="472">
        <v>25239.39</v>
      </c>
      <c r="G117" s="473">
        <v>0</v>
      </c>
      <c r="H117" s="465">
        <v>-440.88</v>
      </c>
      <c r="J117" s="471">
        <v>518775</v>
      </c>
      <c r="K117" s="472">
        <v>518775</v>
      </c>
      <c r="L117" s="473">
        <v>0</v>
      </c>
      <c r="N117" s="464">
        <v>0</v>
      </c>
      <c r="O117" s="463">
        <v>2300</v>
      </c>
      <c r="P117" s="463">
        <v>22307.32</v>
      </c>
      <c r="Q117" s="463">
        <v>0</v>
      </c>
      <c r="R117" s="463">
        <v>0</v>
      </c>
      <c r="S117" s="474">
        <v>30.29</v>
      </c>
      <c r="T117" s="463">
        <v>0</v>
      </c>
      <c r="U117" s="463">
        <v>601.78</v>
      </c>
      <c r="V117" s="464">
        <v>0</v>
      </c>
      <c r="W117" s="464">
        <v>0</v>
      </c>
      <c r="X117" s="464">
        <v>0</v>
      </c>
      <c r="Y117" s="464">
        <v>0</v>
      </c>
      <c r="Z117" s="465">
        <v>-440.88</v>
      </c>
    </row>
    <row r="118" spans="1:26" x14ac:dyDescent="0.25">
      <c r="A118" s="1073" t="str">
        <f>VLOOKUP($B118,'Retail Rates'!$A$46:$B$55,2,FALSE)</f>
        <v>LGING896</v>
      </c>
      <c r="B118" s="477" t="s">
        <v>790</v>
      </c>
      <c r="C118" s="470">
        <v>40969</v>
      </c>
      <c r="D118" s="470">
        <v>40940</v>
      </c>
      <c r="E118" s="471">
        <v>458910.0900000002</v>
      </c>
      <c r="F118" s="472">
        <v>462252.27000000019</v>
      </c>
      <c r="G118" s="473">
        <v>0</v>
      </c>
      <c r="H118" s="465">
        <v>-3342.18</v>
      </c>
      <c r="J118" s="471">
        <v>10342623</v>
      </c>
      <c r="K118" s="472">
        <v>10342623</v>
      </c>
      <c r="L118" s="473">
        <v>0</v>
      </c>
      <c r="N118" s="464">
        <v>0</v>
      </c>
      <c r="O118" s="474">
        <v>13800</v>
      </c>
      <c r="P118" s="463">
        <v>444732.82000000018</v>
      </c>
      <c r="Q118" s="463">
        <v>0</v>
      </c>
      <c r="R118" s="463">
        <v>0</v>
      </c>
      <c r="S118" s="474">
        <v>3719.4500000000003</v>
      </c>
      <c r="T118" s="463">
        <v>0</v>
      </c>
      <c r="U118" s="463">
        <v>0</v>
      </c>
      <c r="V118" s="464">
        <v>0</v>
      </c>
      <c r="W118" s="464">
        <v>0</v>
      </c>
      <c r="X118" s="475">
        <v>0</v>
      </c>
      <c r="Y118" s="464">
        <v>0</v>
      </c>
      <c r="Z118" s="465">
        <v>-3342.18</v>
      </c>
    </row>
    <row r="119" spans="1:26" x14ac:dyDescent="0.25">
      <c r="A119" s="1073" t="str">
        <f>VLOOKUP($B119,'Retail Rates'!$A$46:$B$55,2,FALSE)</f>
        <v>LGING896PM</v>
      </c>
      <c r="B119" s="477" t="s">
        <v>791</v>
      </c>
      <c r="C119" s="470">
        <v>40969</v>
      </c>
      <c r="D119" s="470">
        <v>40940</v>
      </c>
      <c r="E119" s="471">
        <v>-35862.86</v>
      </c>
      <c r="F119" s="472">
        <v>17246.77</v>
      </c>
      <c r="G119" s="473">
        <v>2776.7</v>
      </c>
      <c r="H119" s="465">
        <v>-55886.33</v>
      </c>
      <c r="J119" s="471">
        <v>0</v>
      </c>
      <c r="K119" s="472">
        <v>0</v>
      </c>
      <c r="L119" s="473">
        <v>0</v>
      </c>
      <c r="N119" s="464">
        <v>0</v>
      </c>
      <c r="O119" s="474">
        <v>5175</v>
      </c>
      <c r="P119" s="474">
        <v>0</v>
      </c>
      <c r="Q119" s="463">
        <v>0</v>
      </c>
      <c r="R119" s="463">
        <v>0</v>
      </c>
      <c r="S119" s="463">
        <v>12071.77</v>
      </c>
      <c r="T119" s="463">
        <v>0</v>
      </c>
      <c r="U119" s="463">
        <v>0</v>
      </c>
      <c r="V119" s="464">
        <v>0</v>
      </c>
      <c r="W119" s="464">
        <v>0</v>
      </c>
      <c r="X119" s="464">
        <v>0</v>
      </c>
      <c r="Y119" s="464">
        <v>2776.7</v>
      </c>
      <c r="Z119" s="465">
        <v>-55886.33</v>
      </c>
    </row>
    <row r="120" spans="1:26" x14ac:dyDescent="0.25">
      <c r="A120" s="1073" t="str">
        <f>VLOOKUP($B120,'Retail Rates'!$A$46:$B$55,2,FALSE)</f>
        <v>LGING896</v>
      </c>
      <c r="B120" s="477" t="s">
        <v>792</v>
      </c>
      <c r="C120" s="470">
        <v>40969</v>
      </c>
      <c r="D120" s="470">
        <v>40940</v>
      </c>
      <c r="E120" s="471">
        <v>11160.04</v>
      </c>
      <c r="F120" s="472">
        <v>11160.04</v>
      </c>
      <c r="G120" s="473">
        <v>0</v>
      </c>
      <c r="H120" s="465">
        <v>0</v>
      </c>
      <c r="J120" s="471">
        <v>254187</v>
      </c>
      <c r="K120" s="472">
        <v>254187</v>
      </c>
      <c r="L120" s="473">
        <v>0</v>
      </c>
      <c r="N120" s="464">
        <v>0</v>
      </c>
      <c r="O120" s="474">
        <v>230</v>
      </c>
      <c r="P120" s="474">
        <v>10930.04</v>
      </c>
      <c r="Q120" s="463">
        <v>0</v>
      </c>
      <c r="R120" s="463">
        <v>0</v>
      </c>
      <c r="S120" s="474">
        <v>0</v>
      </c>
      <c r="T120" s="463">
        <v>0</v>
      </c>
      <c r="U120" s="474">
        <v>0</v>
      </c>
      <c r="V120" s="464">
        <v>0</v>
      </c>
      <c r="W120" s="464">
        <v>0</v>
      </c>
      <c r="X120" s="464">
        <v>0</v>
      </c>
      <c r="Y120" s="464">
        <v>0</v>
      </c>
      <c r="Z120" s="465">
        <v>0</v>
      </c>
    </row>
    <row r="121" spans="1:26" x14ac:dyDescent="0.25">
      <c r="A121" s="1073" t="str">
        <f>VLOOKUP($B121,'Retail Rates'!$A$46:$B$55,2,FALSE)</f>
        <v>LGCMG895</v>
      </c>
      <c r="B121" s="477" t="s">
        <v>793</v>
      </c>
      <c r="C121" s="470">
        <v>40969</v>
      </c>
      <c r="D121" s="470">
        <v>40940</v>
      </c>
      <c r="E121" s="471">
        <v>3562.34</v>
      </c>
      <c r="F121" s="472">
        <v>9455.83</v>
      </c>
      <c r="G121" s="473">
        <v>0</v>
      </c>
      <c r="H121" s="465">
        <v>-5893.49</v>
      </c>
      <c r="J121" s="471">
        <v>189981</v>
      </c>
      <c r="K121" s="472">
        <v>189981</v>
      </c>
      <c r="L121" s="473">
        <v>0</v>
      </c>
      <c r="N121" s="464">
        <v>0</v>
      </c>
      <c r="O121" s="463">
        <v>460</v>
      </c>
      <c r="P121" s="463">
        <v>8169.18</v>
      </c>
      <c r="Q121" s="463">
        <v>0</v>
      </c>
      <c r="R121" s="463">
        <v>0</v>
      </c>
      <c r="S121" s="463">
        <v>606.27</v>
      </c>
      <c r="T121" s="463">
        <v>0</v>
      </c>
      <c r="U121" s="463">
        <v>220.38</v>
      </c>
      <c r="V121" s="464">
        <v>0</v>
      </c>
      <c r="W121" s="464">
        <v>0</v>
      </c>
      <c r="X121" s="464">
        <v>0</v>
      </c>
      <c r="Y121" s="464">
        <v>0</v>
      </c>
      <c r="Z121" s="465">
        <v>-5893.49</v>
      </c>
    </row>
    <row r="122" spans="1:26" x14ac:dyDescent="0.25">
      <c r="A122" s="1073" t="str">
        <f>VLOOKUP($B122,'Retail Rates'!$A$46:$B$55,2,FALSE)</f>
        <v>LGING992</v>
      </c>
      <c r="B122" s="477" t="s">
        <v>794</v>
      </c>
      <c r="C122" s="470">
        <v>40969</v>
      </c>
      <c r="D122" s="470">
        <v>40940</v>
      </c>
      <c r="E122" s="471">
        <v>6286.2100000000009</v>
      </c>
      <c r="F122" s="472">
        <v>14255.93</v>
      </c>
      <c r="G122" s="473">
        <v>275</v>
      </c>
      <c r="H122" s="465">
        <v>-8244.7199999999993</v>
      </c>
      <c r="J122" s="471">
        <v>604577</v>
      </c>
      <c r="K122" s="472">
        <v>604577</v>
      </c>
      <c r="L122" s="473">
        <v>0</v>
      </c>
      <c r="N122" s="464">
        <v>275</v>
      </c>
      <c r="O122" s="463">
        <v>230</v>
      </c>
      <c r="P122" s="463">
        <v>6342.01</v>
      </c>
      <c r="Q122" s="463">
        <v>0</v>
      </c>
      <c r="R122" s="463">
        <v>6425.38</v>
      </c>
      <c r="S122" s="463">
        <v>1258.54</v>
      </c>
      <c r="T122" s="463">
        <v>0</v>
      </c>
      <c r="U122" s="463">
        <v>0</v>
      </c>
      <c r="V122" s="464">
        <v>0</v>
      </c>
      <c r="W122" s="464">
        <v>0</v>
      </c>
      <c r="X122" s="464">
        <v>0</v>
      </c>
      <c r="Y122" s="464">
        <v>0</v>
      </c>
      <c r="Z122" s="465">
        <v>-8244.7199999999993</v>
      </c>
    </row>
    <row r="123" spans="1:26" x14ac:dyDescent="0.25">
      <c r="A123" s="1073" t="str">
        <f>VLOOKUP($B123,'Retail Rates'!$A$46:$B$55,2,FALSE)</f>
        <v>LGCMG991</v>
      </c>
      <c r="B123" s="477" t="s">
        <v>795</v>
      </c>
      <c r="C123" s="470">
        <v>40969</v>
      </c>
      <c r="D123" s="470">
        <v>40940</v>
      </c>
      <c r="E123" s="471">
        <v>22722.83</v>
      </c>
      <c r="F123" s="472">
        <v>21872.300000000003</v>
      </c>
      <c r="G123" s="473">
        <v>3575.78</v>
      </c>
      <c r="H123" s="465">
        <v>-2725.25</v>
      </c>
      <c r="J123" s="471">
        <v>429496</v>
      </c>
      <c r="K123" s="472">
        <v>419510</v>
      </c>
      <c r="L123" s="473">
        <v>9986</v>
      </c>
      <c r="N123" s="464">
        <v>781</v>
      </c>
      <c r="O123" s="463">
        <v>230</v>
      </c>
      <c r="P123" s="463">
        <v>2043.01</v>
      </c>
      <c r="Q123" s="463">
        <v>0</v>
      </c>
      <c r="R123" s="463">
        <v>18225</v>
      </c>
      <c r="S123" s="463">
        <v>1374.29</v>
      </c>
      <c r="T123" s="463">
        <v>0</v>
      </c>
      <c r="U123" s="463">
        <v>0</v>
      </c>
      <c r="V123" s="464">
        <v>48.63</v>
      </c>
      <c r="W123" s="464">
        <v>0</v>
      </c>
      <c r="X123" s="464">
        <v>0</v>
      </c>
      <c r="Y123" s="464">
        <v>2746.15</v>
      </c>
      <c r="Z123" s="465">
        <v>-2725.25</v>
      </c>
    </row>
    <row r="124" spans="1:26" x14ac:dyDescent="0.25">
      <c r="A124" s="1073" t="str">
        <f>VLOOKUP($B124,'Retail Rates'!$A$46:$B$55,2,FALSE)</f>
        <v>LGING997</v>
      </c>
      <c r="B124" s="477" t="s">
        <v>796</v>
      </c>
      <c r="C124" s="470">
        <v>40969</v>
      </c>
      <c r="D124" s="470">
        <v>40969</v>
      </c>
      <c r="E124" s="471">
        <v>105600.61</v>
      </c>
      <c r="F124" s="472">
        <v>104976</v>
      </c>
      <c r="G124" s="473">
        <v>781</v>
      </c>
      <c r="H124" s="465">
        <v>-156.38999999999999</v>
      </c>
      <c r="J124" s="471">
        <v>0</v>
      </c>
      <c r="K124" s="472">
        <v>0</v>
      </c>
      <c r="L124" s="473">
        <v>0</v>
      </c>
      <c r="N124" s="464">
        <v>781</v>
      </c>
      <c r="O124" s="474">
        <v>0</v>
      </c>
      <c r="P124" s="463">
        <v>0</v>
      </c>
      <c r="Q124" s="463">
        <v>0</v>
      </c>
      <c r="R124" s="463">
        <v>104976</v>
      </c>
      <c r="S124" s="463">
        <v>0</v>
      </c>
      <c r="T124" s="463">
        <v>0</v>
      </c>
      <c r="U124" s="463">
        <v>0</v>
      </c>
      <c r="V124" s="464">
        <v>0</v>
      </c>
      <c r="W124" s="475">
        <v>0</v>
      </c>
      <c r="X124" s="464">
        <v>0</v>
      </c>
      <c r="Y124" s="464">
        <v>0</v>
      </c>
      <c r="Z124" s="465">
        <v>-156.38999999999999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8" tint="0.39997558519241921"/>
  </sheetPr>
  <dimension ref="A1:V77"/>
  <sheetViews>
    <sheetView showGridLines="0" zoomScale="90" zoomScaleNormal="90" zoomScaleSheetLayoutView="80" workbookViewId="0"/>
  </sheetViews>
  <sheetFormatPr defaultRowHeight="12.75" outlineLevelRow="2" x14ac:dyDescent="0.2"/>
  <cols>
    <col min="1" max="1" width="12.85546875" style="1087" customWidth="1"/>
    <col min="2" max="2" width="14.7109375" style="1087" customWidth="1"/>
    <col min="3" max="3" width="20.140625" style="1087" customWidth="1"/>
    <col min="4" max="4" width="11.28515625" style="1087" customWidth="1"/>
    <col min="5" max="5" width="16.28515625" style="1087" customWidth="1"/>
    <col min="6" max="6" width="30.140625" style="78" bestFit="1" customWidth="1"/>
    <col min="7" max="7" width="3.7109375" style="80" bestFit="1" customWidth="1"/>
    <col min="8" max="8" width="13.7109375" style="80" bestFit="1" customWidth="1"/>
    <col min="9" max="9" width="14.85546875" style="78" customWidth="1"/>
    <col min="10" max="10" width="14.140625" style="78" bestFit="1" customWidth="1"/>
    <col min="11" max="12" width="13.5703125" style="78" bestFit="1" customWidth="1"/>
    <col min="13" max="13" width="13.7109375" style="78" bestFit="1" customWidth="1"/>
    <col min="14" max="14" width="14.42578125" style="78" bestFit="1" customWidth="1"/>
    <col min="15" max="15" width="13.28515625" style="78" bestFit="1" customWidth="1"/>
    <col min="16" max="16" width="8.7109375" style="78" customWidth="1"/>
    <col min="17" max="17" width="10.7109375" style="78" bestFit="1" customWidth="1"/>
    <col min="18" max="18" width="13.28515625" style="78" bestFit="1" customWidth="1"/>
    <col min="19" max="19" width="10.7109375" style="78" customWidth="1"/>
    <col min="20" max="20" width="17.85546875" style="78" bestFit="1" customWidth="1"/>
    <col min="21" max="21" width="6.42578125" style="78" bestFit="1" customWidth="1"/>
    <col min="22" max="22" width="10.7109375" style="78" bestFit="1" customWidth="1"/>
    <col min="23" max="16384" width="9.140625" style="78"/>
  </cols>
  <sheetData>
    <row r="1" spans="1:20" ht="23.25" customHeight="1" x14ac:dyDescent="0.35">
      <c r="A1" s="1086" t="s">
        <v>122</v>
      </c>
      <c r="D1" s="1086"/>
      <c r="F1" s="1374" t="s">
        <v>318</v>
      </c>
      <c r="G1" s="1374"/>
      <c r="H1" s="1374"/>
      <c r="I1" s="1374"/>
      <c r="J1" s="1374"/>
      <c r="K1" s="1374"/>
      <c r="L1" s="248"/>
    </row>
    <row r="2" spans="1:20" ht="15.75" thickBot="1" x14ac:dyDescent="0.35">
      <c r="A2" s="1088"/>
      <c r="D2" s="1088"/>
    </row>
    <row r="3" spans="1:20" ht="23.25" thickBot="1" x14ac:dyDescent="0.25">
      <c r="A3" s="1089"/>
      <c r="B3" s="1090"/>
      <c r="C3" s="1090"/>
      <c r="D3" s="1089" t="s">
        <v>1</v>
      </c>
      <c r="E3" s="1091"/>
      <c r="F3" s="81" t="s">
        <v>1</v>
      </c>
      <c r="G3" s="82"/>
      <c r="H3" s="82" t="s">
        <v>2</v>
      </c>
      <c r="I3" s="83" t="s">
        <v>3</v>
      </c>
      <c r="J3" s="83" t="s">
        <v>4</v>
      </c>
      <c r="K3" s="83" t="s">
        <v>5</v>
      </c>
      <c r="L3" s="83" t="s">
        <v>6</v>
      </c>
      <c r="M3" s="83" t="s">
        <v>7</v>
      </c>
      <c r="N3" s="83" t="s">
        <v>8</v>
      </c>
      <c r="O3" s="83" t="s">
        <v>9</v>
      </c>
      <c r="P3" s="83" t="s">
        <v>10</v>
      </c>
      <c r="Q3" s="83" t="s">
        <v>11</v>
      </c>
      <c r="R3" s="83" t="s">
        <v>12</v>
      </c>
      <c r="S3" s="84" t="s">
        <v>13</v>
      </c>
    </row>
    <row r="4" spans="1:20" ht="13.5" customHeight="1" thickBot="1" x14ac:dyDescent="0.25">
      <c r="A4" s="1092" t="s">
        <v>14</v>
      </c>
      <c r="B4" s="1093" t="s">
        <v>15</v>
      </c>
      <c r="C4" s="1093" t="s">
        <v>16</v>
      </c>
      <c r="D4" s="1375" t="s">
        <v>17</v>
      </c>
      <c r="E4" s="1376"/>
      <c r="F4" s="85" t="s">
        <v>18</v>
      </c>
      <c r="G4" s="86"/>
      <c r="H4" s="86"/>
      <c r="I4" s="86" t="s">
        <v>19</v>
      </c>
      <c r="J4" s="87" t="s">
        <v>20</v>
      </c>
      <c r="K4" s="87" t="s">
        <v>20</v>
      </c>
      <c r="L4" s="87" t="s">
        <v>20</v>
      </c>
      <c r="M4" s="87" t="s">
        <v>20</v>
      </c>
      <c r="N4" s="87" t="s">
        <v>20</v>
      </c>
      <c r="O4" s="87" t="s">
        <v>20</v>
      </c>
      <c r="P4" s="87" t="s">
        <v>20</v>
      </c>
      <c r="Q4" s="87" t="s">
        <v>20</v>
      </c>
      <c r="R4" s="87" t="s">
        <v>20</v>
      </c>
      <c r="S4" s="88" t="s">
        <v>20</v>
      </c>
    </row>
    <row r="5" spans="1:20" ht="13.5" customHeight="1" outlineLevel="2" thickBot="1" x14ac:dyDescent="0.3">
      <c r="A5" s="1094" t="s">
        <v>21</v>
      </c>
      <c r="B5" s="1094" t="s">
        <v>21</v>
      </c>
      <c r="C5" s="1094" t="s">
        <v>22</v>
      </c>
      <c r="D5" s="1094" t="s">
        <v>23</v>
      </c>
      <c r="E5" s="1095" t="s">
        <v>24</v>
      </c>
      <c r="F5" s="89" t="s">
        <v>25</v>
      </c>
      <c r="G5" s="90"/>
      <c r="H5" s="90"/>
      <c r="I5" s="90">
        <v>67599</v>
      </c>
      <c r="J5" s="91">
        <v>40886.71</v>
      </c>
      <c r="K5" s="91">
        <v>1650</v>
      </c>
      <c r="L5" s="91">
        <v>3550.3</v>
      </c>
      <c r="M5" s="91">
        <v>47.99</v>
      </c>
      <c r="N5" s="91">
        <v>35638.42</v>
      </c>
      <c r="O5" s="91">
        <v>0</v>
      </c>
      <c r="P5" s="91">
        <v>0</v>
      </c>
      <c r="Q5" s="91">
        <v>0</v>
      </c>
      <c r="R5" s="91">
        <v>0</v>
      </c>
      <c r="S5" s="92">
        <v>0</v>
      </c>
      <c r="T5" s="93"/>
    </row>
    <row r="6" spans="1:20" ht="13.5" customHeight="1" outlineLevel="2" thickBot="1" x14ac:dyDescent="0.3">
      <c r="A6" s="1094" t="s">
        <v>21</v>
      </c>
      <c r="B6" s="1094" t="s">
        <v>21</v>
      </c>
      <c r="C6" s="1094" t="s">
        <v>26</v>
      </c>
      <c r="D6" s="1094" t="s">
        <v>23</v>
      </c>
      <c r="E6" s="1095" t="s">
        <v>24</v>
      </c>
      <c r="F6" s="89" t="s">
        <v>27</v>
      </c>
      <c r="G6" s="90"/>
      <c r="H6" s="90"/>
      <c r="I6" s="90">
        <v>145310</v>
      </c>
      <c r="J6" s="91">
        <v>85086.14</v>
      </c>
      <c r="K6" s="91">
        <v>550</v>
      </c>
      <c r="L6" s="91">
        <v>7631.68</v>
      </c>
      <c r="M6" s="91">
        <v>103.17</v>
      </c>
      <c r="N6" s="91">
        <v>76801.289999999994</v>
      </c>
      <c r="O6" s="91">
        <v>0</v>
      </c>
      <c r="P6" s="91">
        <v>0</v>
      </c>
      <c r="Q6" s="91">
        <v>0</v>
      </c>
      <c r="R6" s="91">
        <v>0</v>
      </c>
      <c r="S6" s="92">
        <v>0</v>
      </c>
      <c r="T6" s="93"/>
    </row>
    <row r="7" spans="1:20" ht="13.5" customHeight="1" outlineLevel="2" thickBot="1" x14ac:dyDescent="0.3">
      <c r="A7" s="1094" t="s">
        <v>21</v>
      </c>
      <c r="B7" s="1094" t="s">
        <v>21</v>
      </c>
      <c r="C7" s="1094" t="s">
        <v>28</v>
      </c>
      <c r="D7" s="1094" t="s">
        <v>29</v>
      </c>
      <c r="E7" s="1095" t="s">
        <v>30</v>
      </c>
      <c r="F7" s="89" t="s">
        <v>31</v>
      </c>
      <c r="G7" s="90"/>
      <c r="H7" s="90"/>
      <c r="I7" s="90">
        <v>164639</v>
      </c>
      <c r="J7" s="91">
        <v>98097.38</v>
      </c>
      <c r="K7" s="91">
        <v>2200</v>
      </c>
      <c r="L7" s="91">
        <v>8646.85</v>
      </c>
      <c r="M7" s="91">
        <v>0</v>
      </c>
      <c r="N7" s="91">
        <v>87250.53</v>
      </c>
      <c r="O7" s="91">
        <v>0</v>
      </c>
      <c r="P7" s="91">
        <v>0</v>
      </c>
      <c r="Q7" s="91">
        <v>0</v>
      </c>
      <c r="R7" s="91">
        <v>0</v>
      </c>
      <c r="S7" s="92">
        <v>0</v>
      </c>
      <c r="T7" s="93"/>
    </row>
    <row r="8" spans="1:20" ht="13.5" customHeight="1" outlineLevel="2" thickBot="1" x14ac:dyDescent="0.3">
      <c r="A8" s="1094" t="s">
        <v>21</v>
      </c>
      <c r="B8" s="1094" t="s">
        <v>21</v>
      </c>
      <c r="C8" s="1094" t="s">
        <v>26</v>
      </c>
      <c r="D8" s="1094" t="s">
        <v>29</v>
      </c>
      <c r="E8" s="1095" t="s">
        <v>30</v>
      </c>
      <c r="F8" s="89" t="s">
        <v>32</v>
      </c>
      <c r="G8" s="90"/>
      <c r="H8" s="90"/>
      <c r="I8" s="90">
        <v>28026</v>
      </c>
      <c r="J8" s="91">
        <v>16797.22</v>
      </c>
      <c r="K8" s="91">
        <v>550</v>
      </c>
      <c r="L8" s="91">
        <v>1471.92</v>
      </c>
      <c r="M8" s="91">
        <v>0</v>
      </c>
      <c r="N8" s="91">
        <v>14775.3</v>
      </c>
      <c r="O8" s="91">
        <v>0</v>
      </c>
      <c r="P8" s="91">
        <v>0</v>
      </c>
      <c r="Q8" s="91">
        <v>0</v>
      </c>
      <c r="R8" s="91">
        <v>0</v>
      </c>
      <c r="S8" s="92">
        <v>0</v>
      </c>
      <c r="T8" s="93"/>
    </row>
    <row r="9" spans="1:20" s="98" customFormat="1" ht="13.5" customHeight="1" outlineLevel="1" thickBot="1" x14ac:dyDescent="0.3">
      <c r="A9" s="1096"/>
      <c r="B9" s="1096"/>
      <c r="C9" s="1096"/>
      <c r="D9" s="1096"/>
      <c r="E9" s="1097"/>
      <c r="F9" s="94" t="s">
        <v>33</v>
      </c>
      <c r="G9" s="90"/>
      <c r="H9" s="95">
        <v>17</v>
      </c>
      <c r="I9" s="95">
        <f t="shared" ref="I9:S9" si="0">SUBTOTAL(9,I5:I8)</f>
        <v>405574</v>
      </c>
      <c r="J9" s="96">
        <f>SUBTOTAL(9,J5:J8)</f>
        <v>240867.45</v>
      </c>
      <c r="K9" s="96">
        <f t="shared" si="0"/>
        <v>4950</v>
      </c>
      <c r="L9" s="96">
        <f t="shared" si="0"/>
        <v>21300.75</v>
      </c>
      <c r="M9" s="96">
        <f t="shared" si="0"/>
        <v>151.16</v>
      </c>
      <c r="N9" s="96">
        <f t="shared" si="0"/>
        <v>214465.53999999998</v>
      </c>
      <c r="O9" s="96">
        <f t="shared" si="0"/>
        <v>0</v>
      </c>
      <c r="P9" s="96">
        <f t="shared" si="0"/>
        <v>0</v>
      </c>
      <c r="Q9" s="96">
        <f t="shared" si="0"/>
        <v>0</v>
      </c>
      <c r="R9" s="96">
        <f t="shared" si="0"/>
        <v>0</v>
      </c>
      <c r="S9" s="97">
        <f t="shared" si="0"/>
        <v>0</v>
      </c>
      <c r="T9" s="93">
        <f>ROUND(J9-SUM(K9:P9)-R9,2)</f>
        <v>0</v>
      </c>
    </row>
    <row r="10" spans="1:20" ht="13.5" customHeight="1" outlineLevel="2" thickBot="1" x14ac:dyDescent="0.3">
      <c r="A10" s="1094" t="s">
        <v>21</v>
      </c>
      <c r="B10" s="1094" t="s">
        <v>21</v>
      </c>
      <c r="C10" s="1094" t="s">
        <v>22</v>
      </c>
      <c r="D10" s="1094" t="s">
        <v>34</v>
      </c>
      <c r="E10" s="1095" t="s">
        <v>35</v>
      </c>
      <c r="F10" s="89" t="s">
        <v>36</v>
      </c>
      <c r="G10" s="95"/>
      <c r="H10" s="90"/>
      <c r="I10" s="90">
        <v>304</v>
      </c>
      <c r="J10" s="91">
        <v>697.4</v>
      </c>
      <c r="K10" s="91">
        <v>480</v>
      </c>
      <c r="L10" s="91">
        <v>56.91</v>
      </c>
      <c r="M10" s="91">
        <v>0.22</v>
      </c>
      <c r="N10" s="91">
        <v>160.27000000000001</v>
      </c>
      <c r="O10" s="91">
        <v>0</v>
      </c>
      <c r="P10" s="91">
        <v>0</v>
      </c>
      <c r="Q10" s="91">
        <v>0</v>
      </c>
      <c r="R10" s="91">
        <v>0</v>
      </c>
      <c r="S10" s="92">
        <v>0</v>
      </c>
      <c r="T10" s="93"/>
    </row>
    <row r="11" spans="1:20" ht="13.5" customHeight="1" outlineLevel="2" thickBot="1" x14ac:dyDescent="0.3">
      <c r="A11" s="1094" t="s">
        <v>21</v>
      </c>
      <c r="B11" s="1094" t="s">
        <v>21</v>
      </c>
      <c r="C11" s="1094" t="s">
        <v>26</v>
      </c>
      <c r="D11" s="1094" t="s">
        <v>34</v>
      </c>
      <c r="E11" s="1095" t="s">
        <v>35</v>
      </c>
      <c r="F11" s="89" t="s">
        <v>36</v>
      </c>
      <c r="G11" s="90"/>
      <c r="H11" s="90"/>
      <c r="I11" s="90">
        <v>54</v>
      </c>
      <c r="J11" s="91">
        <v>128.62</v>
      </c>
      <c r="K11" s="91">
        <v>90</v>
      </c>
      <c r="L11" s="91">
        <v>10.11</v>
      </c>
      <c r="M11" s="91">
        <v>0.04</v>
      </c>
      <c r="N11" s="91">
        <v>28.47</v>
      </c>
      <c r="O11" s="91">
        <v>0</v>
      </c>
      <c r="P11" s="91">
        <v>0</v>
      </c>
      <c r="Q11" s="91">
        <v>0</v>
      </c>
      <c r="R11" s="91">
        <v>0</v>
      </c>
      <c r="S11" s="92">
        <v>0</v>
      </c>
      <c r="T11" s="93"/>
    </row>
    <row r="12" spans="1:20" ht="13.5" customHeight="1" outlineLevel="2" thickBot="1" x14ac:dyDescent="0.3">
      <c r="A12" s="1094" t="s">
        <v>21</v>
      </c>
      <c r="B12" s="1094" t="s">
        <v>21</v>
      </c>
      <c r="C12" s="1094" t="s">
        <v>22</v>
      </c>
      <c r="D12" s="1094" t="s">
        <v>37</v>
      </c>
      <c r="E12" s="1095" t="s">
        <v>38</v>
      </c>
      <c r="F12" s="89" t="s">
        <v>39</v>
      </c>
      <c r="G12" s="90"/>
      <c r="H12" s="90"/>
      <c r="I12" s="90">
        <v>11491780</v>
      </c>
      <c r="J12" s="91">
        <v>9418075.7199999988</v>
      </c>
      <c r="K12" s="91">
        <v>851944.13</v>
      </c>
      <c r="L12" s="91">
        <v>2151365.84</v>
      </c>
      <c r="M12" s="91">
        <v>8158.87</v>
      </c>
      <c r="N12" s="91">
        <v>6061659.6299999999</v>
      </c>
      <c r="O12" s="91">
        <v>344947.25</v>
      </c>
      <c r="P12" s="91">
        <v>0</v>
      </c>
      <c r="Q12" s="91">
        <v>0</v>
      </c>
      <c r="R12" s="91">
        <v>0</v>
      </c>
      <c r="S12" s="92">
        <v>3298.41</v>
      </c>
      <c r="T12" s="93"/>
    </row>
    <row r="13" spans="1:20" ht="13.5" customHeight="1" outlineLevel="2" thickBot="1" x14ac:dyDescent="0.3">
      <c r="A13" s="1094" t="s">
        <v>21</v>
      </c>
      <c r="B13" s="1094" t="s">
        <v>21</v>
      </c>
      <c r="C13" s="1094" t="s">
        <v>26</v>
      </c>
      <c r="D13" s="1094" t="s">
        <v>37</v>
      </c>
      <c r="E13" s="1095" t="s">
        <v>38</v>
      </c>
      <c r="F13" s="89" t="s">
        <v>39</v>
      </c>
      <c r="G13" s="95"/>
      <c r="H13" s="90"/>
      <c r="I13" s="90">
        <v>2147970</v>
      </c>
      <c r="J13" s="91">
        <v>1680817.2999999998</v>
      </c>
      <c r="K13" s="91">
        <v>76755</v>
      </c>
      <c r="L13" s="91">
        <v>402142.75</v>
      </c>
      <c r="M13" s="91">
        <v>1525.31</v>
      </c>
      <c r="N13" s="91">
        <v>1133254.52</v>
      </c>
      <c r="O13" s="91">
        <v>67139.72</v>
      </c>
      <c r="P13" s="91">
        <v>0</v>
      </c>
      <c r="Q13" s="91">
        <v>0</v>
      </c>
      <c r="R13" s="91">
        <v>0</v>
      </c>
      <c r="S13" s="92">
        <v>423.8</v>
      </c>
      <c r="T13" s="93"/>
    </row>
    <row r="14" spans="1:20" ht="13.5" customHeight="1" outlineLevel="2" thickBot="1" x14ac:dyDescent="0.3">
      <c r="A14" s="1094" t="s">
        <v>21</v>
      </c>
      <c r="B14" s="1094" t="s">
        <v>21</v>
      </c>
      <c r="C14" s="1094" t="s">
        <v>40</v>
      </c>
      <c r="D14" s="1094" t="s">
        <v>37</v>
      </c>
      <c r="E14" s="1095" t="s">
        <v>38</v>
      </c>
      <c r="F14" s="89" t="s">
        <v>39</v>
      </c>
      <c r="G14" s="90"/>
      <c r="H14" s="90"/>
      <c r="I14" s="90">
        <v>2843</v>
      </c>
      <c r="J14" s="91">
        <v>2569.3499999999995</v>
      </c>
      <c r="K14" s="91">
        <v>472</v>
      </c>
      <c r="L14" s="91">
        <v>532.27</v>
      </c>
      <c r="M14" s="91">
        <v>2.0099999999999998</v>
      </c>
      <c r="N14" s="91">
        <v>1498.83</v>
      </c>
      <c r="O14" s="91">
        <v>64.239999999999995</v>
      </c>
      <c r="P14" s="91">
        <v>0</v>
      </c>
      <c r="Q14" s="91">
        <v>0</v>
      </c>
      <c r="R14" s="91">
        <v>0</v>
      </c>
      <c r="S14" s="92">
        <v>0</v>
      </c>
      <c r="T14" s="93"/>
    </row>
    <row r="15" spans="1:20" ht="13.5" customHeight="1" outlineLevel="2" thickBot="1" x14ac:dyDescent="0.3">
      <c r="A15" s="1094" t="s">
        <v>21</v>
      </c>
      <c r="B15" s="1094" t="s">
        <v>21</v>
      </c>
      <c r="C15" s="1094" t="s">
        <v>22</v>
      </c>
      <c r="D15" s="1094" t="s">
        <v>41</v>
      </c>
      <c r="E15" s="1095" t="s">
        <v>42</v>
      </c>
      <c r="F15" s="89" t="s">
        <v>43</v>
      </c>
      <c r="G15" s="99"/>
      <c r="H15" s="90"/>
      <c r="I15" s="90">
        <v>610</v>
      </c>
      <c r="J15" s="91">
        <v>18949.02</v>
      </c>
      <c r="K15" s="91">
        <v>18510</v>
      </c>
      <c r="L15" s="91">
        <v>115.81</v>
      </c>
      <c r="M15" s="91">
        <v>0</v>
      </c>
      <c r="N15" s="91">
        <v>323.20999999999998</v>
      </c>
      <c r="O15" s="91">
        <v>0</v>
      </c>
      <c r="P15" s="91">
        <v>0</v>
      </c>
      <c r="Q15" s="91">
        <v>0</v>
      </c>
      <c r="R15" s="91">
        <v>0</v>
      </c>
      <c r="S15" s="92">
        <v>1.84</v>
      </c>
      <c r="T15" s="93"/>
    </row>
    <row r="16" spans="1:20" s="98" customFormat="1" ht="13.5" customHeight="1" outlineLevel="1" thickBot="1" x14ac:dyDescent="0.3">
      <c r="A16" s="1096"/>
      <c r="B16" s="1096"/>
      <c r="C16" s="1096"/>
      <c r="D16" s="1096"/>
      <c r="E16" s="1097"/>
      <c r="F16" s="94" t="s">
        <v>44</v>
      </c>
      <c r="G16" s="99"/>
      <c r="H16" s="95">
        <v>26236</v>
      </c>
      <c r="I16" s="95">
        <f t="shared" ref="I16:S16" si="1">SUBTOTAL(9,I10:I15)</f>
        <v>13643561</v>
      </c>
      <c r="J16" s="96">
        <f>SUBTOTAL(9,J10:J15)</f>
        <v>11121237.409999998</v>
      </c>
      <c r="K16" s="96">
        <f t="shared" si="1"/>
        <v>948251.13</v>
      </c>
      <c r="L16" s="96">
        <f t="shared" si="1"/>
        <v>2554223.69</v>
      </c>
      <c r="M16" s="96">
        <f t="shared" si="1"/>
        <v>9686.4500000000007</v>
      </c>
      <c r="N16" s="96">
        <f t="shared" si="1"/>
        <v>7196924.9300000006</v>
      </c>
      <c r="O16" s="96">
        <f t="shared" si="1"/>
        <v>412151.20999999996</v>
      </c>
      <c r="P16" s="96">
        <f t="shared" si="1"/>
        <v>0</v>
      </c>
      <c r="Q16" s="96">
        <f t="shared" si="1"/>
        <v>0</v>
      </c>
      <c r="R16" s="96">
        <f t="shared" si="1"/>
        <v>0</v>
      </c>
      <c r="S16" s="97">
        <f t="shared" si="1"/>
        <v>3724.05</v>
      </c>
      <c r="T16" s="93">
        <f>ROUND(J16-SUM(K16:P16)-R16,2)</f>
        <v>0</v>
      </c>
    </row>
    <row r="17" spans="1:21" ht="13.5" customHeight="1" outlineLevel="2" thickBot="1" x14ac:dyDescent="0.3">
      <c r="A17" s="1094" t="s">
        <v>21</v>
      </c>
      <c r="B17" s="1094" t="s">
        <v>21</v>
      </c>
      <c r="C17" s="1094" t="s">
        <v>28</v>
      </c>
      <c r="D17" s="1094" t="s">
        <v>45</v>
      </c>
      <c r="E17" s="1095" t="s">
        <v>46</v>
      </c>
      <c r="F17" s="89" t="s">
        <v>47</v>
      </c>
      <c r="G17" s="99"/>
      <c r="H17" s="90"/>
      <c r="I17" s="90">
        <v>1016255</v>
      </c>
      <c r="J17" s="91">
        <v>750319.20000000007</v>
      </c>
      <c r="K17" s="91">
        <v>20917</v>
      </c>
      <c r="L17" s="91">
        <v>193312.02</v>
      </c>
      <c r="M17" s="91">
        <v>0</v>
      </c>
      <c r="N17" s="91">
        <v>536090.18000000005</v>
      </c>
      <c r="O17" s="91">
        <v>0</v>
      </c>
      <c r="P17" s="91">
        <v>0</v>
      </c>
      <c r="Q17" s="91">
        <v>0</v>
      </c>
      <c r="R17" s="91">
        <v>0</v>
      </c>
      <c r="S17" s="92">
        <v>0</v>
      </c>
      <c r="T17" s="93"/>
    </row>
    <row r="18" spans="1:21" ht="13.5" customHeight="1" outlineLevel="2" thickBot="1" x14ac:dyDescent="0.3">
      <c r="A18" s="1094"/>
      <c r="B18" s="1094"/>
      <c r="C18" s="1094"/>
      <c r="D18" s="1094" t="s">
        <v>45</v>
      </c>
      <c r="E18" s="1095" t="s">
        <v>46</v>
      </c>
      <c r="F18" s="89" t="s">
        <v>47</v>
      </c>
      <c r="G18" s="99"/>
      <c r="H18" s="90"/>
      <c r="I18" s="90">
        <v>4112</v>
      </c>
      <c r="J18" s="91">
        <v>3120.0299999999997</v>
      </c>
      <c r="K18" s="91">
        <v>170</v>
      </c>
      <c r="L18" s="91">
        <v>782.18</v>
      </c>
      <c r="M18" s="91">
        <v>0</v>
      </c>
      <c r="N18" s="91">
        <v>2167.85</v>
      </c>
      <c r="O18" s="91">
        <v>0</v>
      </c>
      <c r="P18" s="91">
        <v>0</v>
      </c>
      <c r="Q18" s="91">
        <v>0</v>
      </c>
      <c r="R18" s="91">
        <v>0</v>
      </c>
      <c r="S18" s="92">
        <v>0</v>
      </c>
      <c r="T18" s="93"/>
    </row>
    <row r="19" spans="1:21" ht="13.5" customHeight="1" outlineLevel="2" thickBot="1" x14ac:dyDescent="0.3">
      <c r="A19" s="1094" t="s">
        <v>21</v>
      </c>
      <c r="B19" s="1094" t="s">
        <v>21</v>
      </c>
      <c r="C19" s="1094" t="s">
        <v>26</v>
      </c>
      <c r="D19" s="1094" t="s">
        <v>45</v>
      </c>
      <c r="E19" s="1095" t="s">
        <v>46</v>
      </c>
      <c r="F19" s="89" t="s">
        <v>47</v>
      </c>
      <c r="G19" s="90"/>
      <c r="H19" s="90"/>
      <c r="I19" s="90">
        <v>30173</v>
      </c>
      <c r="J19" s="91">
        <v>22106.71</v>
      </c>
      <c r="K19" s="91">
        <v>460</v>
      </c>
      <c r="L19" s="91">
        <v>5739.5</v>
      </c>
      <c r="M19" s="91">
        <v>0</v>
      </c>
      <c r="N19" s="91">
        <v>15907.21</v>
      </c>
      <c r="O19" s="91">
        <v>0</v>
      </c>
      <c r="P19" s="91">
        <v>0</v>
      </c>
      <c r="Q19" s="91">
        <v>0</v>
      </c>
      <c r="R19" s="91">
        <v>0</v>
      </c>
      <c r="S19" s="92">
        <v>0</v>
      </c>
      <c r="T19" s="93"/>
    </row>
    <row r="20" spans="1:21" s="98" customFormat="1" ht="13.5" customHeight="1" outlineLevel="1" thickBot="1" x14ac:dyDescent="0.3">
      <c r="A20" s="1096"/>
      <c r="B20" s="1096"/>
      <c r="C20" s="1096"/>
      <c r="D20" s="1096"/>
      <c r="E20" s="1097"/>
      <c r="F20" s="94" t="s">
        <v>48</v>
      </c>
      <c r="G20" s="95"/>
      <c r="H20" s="95">
        <v>215</v>
      </c>
      <c r="I20" s="95">
        <f t="shared" ref="I20:S20" si="2">SUBTOTAL(9,I17:I19)</f>
        <v>1050540</v>
      </c>
      <c r="J20" s="96">
        <f>SUBTOTAL(9,J17:J19)</f>
        <v>775545.94000000006</v>
      </c>
      <c r="K20" s="96">
        <f t="shared" si="2"/>
        <v>21547</v>
      </c>
      <c r="L20" s="96">
        <f t="shared" si="2"/>
        <v>199833.69999999998</v>
      </c>
      <c r="M20" s="96">
        <f t="shared" si="2"/>
        <v>0</v>
      </c>
      <c r="N20" s="96">
        <f t="shared" si="2"/>
        <v>554165.24</v>
      </c>
      <c r="O20" s="96">
        <f t="shared" si="2"/>
        <v>0</v>
      </c>
      <c r="P20" s="96">
        <f t="shared" si="2"/>
        <v>0</v>
      </c>
      <c r="Q20" s="96">
        <f t="shared" si="2"/>
        <v>0</v>
      </c>
      <c r="R20" s="96">
        <f t="shared" si="2"/>
        <v>0</v>
      </c>
      <c r="S20" s="97">
        <f t="shared" si="2"/>
        <v>0</v>
      </c>
      <c r="T20" s="93">
        <f>ROUND(J20-SUM(K20:P20)-R20,2)</f>
        <v>0</v>
      </c>
    </row>
    <row r="21" spans="1:21" ht="13.5" customHeight="1" outlineLevel="2" thickBot="1" x14ac:dyDescent="0.3">
      <c r="A21" s="1094" t="s">
        <v>21</v>
      </c>
      <c r="B21" s="1094" t="s">
        <v>21</v>
      </c>
      <c r="C21" s="1094" t="s">
        <v>40</v>
      </c>
      <c r="D21" s="1094" t="s">
        <v>49</v>
      </c>
      <c r="E21" s="1095" t="s">
        <v>50</v>
      </c>
      <c r="F21" s="89" t="s">
        <v>51</v>
      </c>
      <c r="G21" s="90"/>
      <c r="H21" s="90"/>
      <c r="I21" s="90">
        <v>32</v>
      </c>
      <c r="J21" s="91">
        <v>49.480000000000004</v>
      </c>
      <c r="K21" s="91">
        <v>25</v>
      </c>
      <c r="L21" s="91">
        <v>7.17</v>
      </c>
      <c r="M21" s="91">
        <v>0.44</v>
      </c>
      <c r="N21" s="91">
        <v>16.87</v>
      </c>
      <c r="O21" s="91">
        <v>0</v>
      </c>
      <c r="P21" s="91">
        <v>0</v>
      </c>
      <c r="Q21" s="91">
        <v>0</v>
      </c>
      <c r="R21" s="91">
        <v>0</v>
      </c>
      <c r="S21" s="92">
        <v>0</v>
      </c>
      <c r="T21" s="93"/>
    </row>
    <row r="22" spans="1:21" ht="13.5" customHeight="1" outlineLevel="2" thickBot="1" x14ac:dyDescent="0.3">
      <c r="A22" s="1094" t="s">
        <v>21</v>
      </c>
      <c r="B22" s="1094" t="s">
        <v>21</v>
      </c>
      <c r="C22" s="1094" t="s">
        <v>40</v>
      </c>
      <c r="D22" s="1094" t="s">
        <v>52</v>
      </c>
      <c r="E22" s="1095" t="s">
        <v>53</v>
      </c>
      <c r="F22" s="89" t="s">
        <v>54</v>
      </c>
      <c r="G22" s="95"/>
      <c r="H22" s="99"/>
      <c r="I22" s="90">
        <v>27564460</v>
      </c>
      <c r="J22" s="91">
        <v>25835072.720000003</v>
      </c>
      <c r="K22" s="91">
        <v>3669503.87</v>
      </c>
      <c r="L22" s="91">
        <v>6173335.5899999999</v>
      </c>
      <c r="M22" s="91">
        <v>375100.97</v>
      </c>
      <c r="N22" s="91">
        <v>14535320.01</v>
      </c>
      <c r="O22" s="91">
        <v>1081812.28</v>
      </c>
      <c r="P22" s="91">
        <v>0</v>
      </c>
      <c r="Q22" s="91">
        <v>44496</v>
      </c>
      <c r="R22" s="91">
        <v>0</v>
      </c>
      <c r="S22" s="92">
        <v>7062.74</v>
      </c>
      <c r="T22" s="93"/>
    </row>
    <row r="23" spans="1:21" ht="13.5" customHeight="1" outlineLevel="2" thickBot="1" x14ac:dyDescent="0.3">
      <c r="A23" s="1094" t="s">
        <v>21</v>
      </c>
      <c r="B23" s="1094" t="s">
        <v>21</v>
      </c>
      <c r="C23" s="1094" t="s">
        <v>26</v>
      </c>
      <c r="D23" s="1094" t="s">
        <v>52</v>
      </c>
      <c r="E23" s="1095" t="s">
        <v>53</v>
      </c>
      <c r="F23" s="89" t="s">
        <v>54</v>
      </c>
      <c r="G23" s="90"/>
      <c r="H23" s="99"/>
      <c r="I23" s="90">
        <v>1888</v>
      </c>
      <c r="J23" s="91">
        <v>1980.0600000000002</v>
      </c>
      <c r="K23" s="91">
        <v>445</v>
      </c>
      <c r="L23" s="91">
        <v>422.84</v>
      </c>
      <c r="M23" s="91">
        <v>25.7</v>
      </c>
      <c r="N23" s="91">
        <v>995.36</v>
      </c>
      <c r="O23" s="91">
        <v>91.16</v>
      </c>
      <c r="P23" s="91">
        <v>0</v>
      </c>
      <c r="Q23" s="91">
        <v>5.4</v>
      </c>
      <c r="R23" s="91">
        <v>0</v>
      </c>
      <c r="S23" s="92">
        <v>0</v>
      </c>
      <c r="T23" s="93"/>
    </row>
    <row r="24" spans="1:21" ht="13.5" customHeight="1" outlineLevel="2" thickBot="1" x14ac:dyDescent="0.3">
      <c r="A24" s="1094"/>
      <c r="B24" s="1094"/>
      <c r="C24" s="1094"/>
      <c r="D24" s="1094" t="s">
        <v>52</v>
      </c>
      <c r="E24" s="1095"/>
      <c r="F24" s="89" t="s">
        <v>54</v>
      </c>
      <c r="G24" s="90"/>
      <c r="H24" s="99"/>
      <c r="I24" s="90">
        <v>142</v>
      </c>
      <c r="J24" s="91">
        <v>132.86000000000001</v>
      </c>
      <c r="K24" s="91">
        <v>25</v>
      </c>
      <c r="L24" s="91">
        <v>31.8</v>
      </c>
      <c r="M24" s="91">
        <v>1.93</v>
      </c>
      <c r="N24" s="91">
        <v>74.86</v>
      </c>
      <c r="O24" s="91">
        <v>-0.73</v>
      </c>
      <c r="P24" s="91">
        <v>0</v>
      </c>
      <c r="Q24" s="91">
        <v>0.3</v>
      </c>
      <c r="R24" s="91">
        <v>0</v>
      </c>
      <c r="S24" s="92">
        <v>0</v>
      </c>
      <c r="T24" s="93"/>
    </row>
    <row r="25" spans="1:21" ht="13.5" customHeight="1" outlineLevel="2" thickBot="1" x14ac:dyDescent="0.3">
      <c r="A25" s="1094" t="s">
        <v>21</v>
      </c>
      <c r="B25" s="1094" t="s">
        <v>21</v>
      </c>
      <c r="C25" s="1094" t="s">
        <v>40</v>
      </c>
      <c r="D25" s="1094" t="s">
        <v>55</v>
      </c>
      <c r="E25" s="1095" t="s">
        <v>56</v>
      </c>
      <c r="F25" s="89" t="s">
        <v>57</v>
      </c>
      <c r="G25" s="95"/>
      <c r="H25" s="90"/>
      <c r="I25" s="90">
        <v>2057</v>
      </c>
      <c r="J25" s="91">
        <v>992.1400000000001</v>
      </c>
      <c r="K25" s="91">
        <v>0.5</v>
      </c>
      <c r="L25" s="91">
        <v>-92.81</v>
      </c>
      <c r="M25" s="91">
        <v>0</v>
      </c>
      <c r="N25" s="91">
        <v>1084.45</v>
      </c>
      <c r="O25" s="91">
        <v>0</v>
      </c>
      <c r="P25" s="91">
        <v>0</v>
      </c>
      <c r="Q25" s="91">
        <v>0</v>
      </c>
      <c r="R25" s="91">
        <v>0</v>
      </c>
      <c r="S25" s="92">
        <v>0</v>
      </c>
      <c r="T25" s="93"/>
    </row>
    <row r="26" spans="1:21" s="98" customFormat="1" ht="13.5" customHeight="1" outlineLevel="1" thickBot="1" x14ac:dyDescent="0.3">
      <c r="A26" s="1096"/>
      <c r="B26" s="1096"/>
      <c r="C26" s="1096"/>
      <c r="D26" s="1094"/>
      <c r="E26" s="1095"/>
      <c r="F26" s="94" t="s">
        <v>58</v>
      </c>
      <c r="G26" s="95"/>
      <c r="H26" s="95">
        <v>293710</v>
      </c>
      <c r="I26" s="95">
        <f t="shared" ref="I26:S26" si="3">SUBTOTAL(9,I21:I25)</f>
        <v>27568579</v>
      </c>
      <c r="J26" s="96">
        <f>SUBTOTAL(9,J21:J25)</f>
        <v>25838227.260000002</v>
      </c>
      <c r="K26" s="96">
        <f t="shared" si="3"/>
        <v>3669999.37</v>
      </c>
      <c r="L26" s="96">
        <f t="shared" si="3"/>
        <v>6173704.5899999999</v>
      </c>
      <c r="M26" s="96">
        <f t="shared" si="3"/>
        <v>375129.04</v>
      </c>
      <c r="N26" s="96">
        <f t="shared" si="3"/>
        <v>14537491.549999997</v>
      </c>
      <c r="O26" s="96">
        <f t="shared" si="3"/>
        <v>1081902.71</v>
      </c>
      <c r="P26" s="96">
        <f t="shared" si="3"/>
        <v>0</v>
      </c>
      <c r="Q26" s="96">
        <f t="shared" si="3"/>
        <v>44501.700000000004</v>
      </c>
      <c r="R26" s="96">
        <f t="shared" si="3"/>
        <v>0</v>
      </c>
      <c r="S26" s="97">
        <f t="shared" si="3"/>
        <v>7062.74</v>
      </c>
      <c r="T26" s="93">
        <f>ROUND(J26-SUM(K26:P26),2)</f>
        <v>0</v>
      </c>
    </row>
    <row r="27" spans="1:21" ht="13.5" customHeight="1" outlineLevel="2" thickBot="1" x14ac:dyDescent="0.3">
      <c r="A27" s="1094" t="s">
        <v>21</v>
      </c>
      <c r="B27" s="1094" t="s">
        <v>21</v>
      </c>
      <c r="C27" s="1094" t="s">
        <v>40</v>
      </c>
      <c r="D27" s="1094" t="s">
        <v>59</v>
      </c>
      <c r="E27" s="1095" t="s">
        <v>60</v>
      </c>
      <c r="F27" s="89" t="s">
        <v>61</v>
      </c>
      <c r="G27" s="90"/>
      <c r="H27" s="90"/>
      <c r="I27" s="90">
        <v>992</v>
      </c>
      <c r="J27" s="91">
        <v>849.77</v>
      </c>
      <c r="K27" s="91">
        <v>37.5</v>
      </c>
      <c r="L27" s="91">
        <v>222.17</v>
      </c>
      <c r="M27" s="91">
        <v>13.49</v>
      </c>
      <c r="N27" s="91">
        <v>522.98</v>
      </c>
      <c r="O27" s="91">
        <v>53.63</v>
      </c>
      <c r="P27" s="91">
        <v>0</v>
      </c>
      <c r="Q27" s="91">
        <v>0</v>
      </c>
      <c r="R27" s="91">
        <v>0</v>
      </c>
      <c r="S27" s="92">
        <v>0</v>
      </c>
      <c r="T27" s="93"/>
    </row>
    <row r="28" spans="1:21" ht="13.5" customHeight="1" outlineLevel="2" thickBot="1" x14ac:dyDescent="0.3">
      <c r="A28" s="1094" t="s">
        <v>21</v>
      </c>
      <c r="B28" s="1094" t="s">
        <v>21</v>
      </c>
      <c r="C28" s="1094" t="s">
        <v>26</v>
      </c>
      <c r="D28" s="1094" t="s">
        <v>59</v>
      </c>
      <c r="E28" s="1095" t="s">
        <v>60</v>
      </c>
      <c r="F28" s="89" t="s">
        <v>61</v>
      </c>
      <c r="G28" s="90"/>
      <c r="H28" s="90"/>
      <c r="I28" s="90">
        <v>842</v>
      </c>
      <c r="J28" s="91">
        <v>694.31</v>
      </c>
      <c r="K28" s="91">
        <v>12.5</v>
      </c>
      <c r="L28" s="91">
        <v>188.57</v>
      </c>
      <c r="M28" s="91">
        <v>11.46</v>
      </c>
      <c r="N28" s="91">
        <v>443.9</v>
      </c>
      <c r="O28" s="91">
        <v>37.880000000000003</v>
      </c>
      <c r="P28" s="91">
        <v>0</v>
      </c>
      <c r="Q28" s="91">
        <v>0</v>
      </c>
      <c r="R28" s="91">
        <v>0</v>
      </c>
      <c r="S28" s="92">
        <v>0</v>
      </c>
      <c r="T28" s="93"/>
    </row>
    <row r="29" spans="1:21" s="98" customFormat="1" ht="13.5" customHeight="1" outlineLevel="1" thickBot="1" x14ac:dyDescent="0.3">
      <c r="A29" s="1098"/>
      <c r="B29" s="1098"/>
      <c r="C29" s="1098"/>
      <c r="D29" s="1098"/>
      <c r="E29" s="1098"/>
      <c r="F29" s="100" t="s">
        <v>62</v>
      </c>
      <c r="G29" s="90"/>
      <c r="H29" s="95">
        <v>4</v>
      </c>
      <c r="I29" s="95">
        <f>SUBTOTAL(9,I27:I28)</f>
        <v>1834</v>
      </c>
      <c r="J29" s="96">
        <f>SUBTOTAL(9,J27:J28)</f>
        <v>1544.08</v>
      </c>
      <c r="K29" s="96">
        <f t="shared" ref="K29:S29" si="4">SUBTOTAL(9,K27:K28)</f>
        <v>50</v>
      </c>
      <c r="L29" s="96">
        <f t="shared" si="4"/>
        <v>410.74</v>
      </c>
      <c r="M29" s="96">
        <f t="shared" si="4"/>
        <v>24.950000000000003</v>
      </c>
      <c r="N29" s="96">
        <f t="shared" si="4"/>
        <v>966.88</v>
      </c>
      <c r="O29" s="96">
        <f t="shared" si="4"/>
        <v>91.51</v>
      </c>
      <c r="P29" s="96">
        <f t="shared" si="4"/>
        <v>0</v>
      </c>
      <c r="Q29" s="96">
        <f t="shared" si="4"/>
        <v>0</v>
      </c>
      <c r="R29" s="96">
        <f t="shared" si="4"/>
        <v>0</v>
      </c>
      <c r="S29" s="97">
        <f t="shared" si="4"/>
        <v>0</v>
      </c>
      <c r="T29" s="93">
        <f>ROUND(J29-SUM(K29:P29)-R29,2)</f>
        <v>0</v>
      </c>
    </row>
    <row r="30" spans="1:21" ht="23.25" outlineLevel="2" thickBot="1" x14ac:dyDescent="0.3">
      <c r="B30" s="1098"/>
      <c r="C30" s="1098"/>
      <c r="D30" s="1094" t="s">
        <v>63</v>
      </c>
      <c r="E30" s="1095" t="s">
        <v>64</v>
      </c>
      <c r="F30" s="89" t="s">
        <v>65</v>
      </c>
      <c r="G30" s="90"/>
      <c r="H30" s="90"/>
      <c r="I30" s="90">
        <v>14226</v>
      </c>
      <c r="J30" s="47">
        <v>10343.44</v>
      </c>
      <c r="K30" s="47">
        <v>170</v>
      </c>
      <c r="L30" s="47">
        <v>2663.39</v>
      </c>
      <c r="M30" s="47">
        <v>10.1</v>
      </c>
      <c r="N30" s="47">
        <v>7499.95</v>
      </c>
      <c r="O30" s="47"/>
      <c r="P30" s="47"/>
      <c r="Q30" s="47"/>
      <c r="R30" s="47"/>
      <c r="S30" s="48"/>
      <c r="U30" s="101">
        <f>SUM(K30:S30)-J30</f>
        <v>0</v>
      </c>
    </row>
    <row r="31" spans="1:21" ht="23.25" outlineLevel="2" thickBot="1" x14ac:dyDescent="0.3">
      <c r="B31" s="1098"/>
      <c r="C31" s="1098"/>
      <c r="D31" s="1094" t="s">
        <v>66</v>
      </c>
      <c r="E31" s="1095" t="s">
        <v>67</v>
      </c>
      <c r="F31" s="89" t="s">
        <v>68</v>
      </c>
      <c r="G31" s="95"/>
      <c r="H31" s="90"/>
      <c r="I31" s="90">
        <v>193</v>
      </c>
      <c r="J31" s="47">
        <v>478.46000000000004</v>
      </c>
      <c r="K31" s="47">
        <v>340</v>
      </c>
      <c r="L31" s="47">
        <v>36.71</v>
      </c>
      <c r="M31" s="47">
        <v>0</v>
      </c>
      <c r="N31" s="47">
        <v>101.75</v>
      </c>
      <c r="O31" s="47"/>
      <c r="P31" s="47"/>
      <c r="Q31" s="47"/>
      <c r="R31" s="47"/>
      <c r="S31" s="48"/>
      <c r="U31" s="101">
        <f>SUM(K31:S31)-J31</f>
        <v>0</v>
      </c>
    </row>
    <row r="32" spans="1:21" ht="14.25" thickBot="1" x14ac:dyDescent="0.3">
      <c r="B32" s="1098"/>
      <c r="C32" s="1098"/>
      <c r="D32" s="1096"/>
      <c r="E32" s="1097"/>
      <c r="F32" s="94" t="s">
        <v>69</v>
      </c>
      <c r="G32" s="90"/>
      <c r="H32" s="95">
        <v>3</v>
      </c>
      <c r="I32" s="95">
        <f t="shared" ref="I32:S32" si="5">SUBTOTAL(9,I30:I31)</f>
        <v>14419</v>
      </c>
      <c r="J32" s="96">
        <f>SUBTOTAL(9,J30:J31)</f>
        <v>10821.900000000001</v>
      </c>
      <c r="K32" s="96">
        <f t="shared" si="5"/>
        <v>510</v>
      </c>
      <c r="L32" s="96">
        <f t="shared" si="5"/>
        <v>2700.1</v>
      </c>
      <c r="M32" s="96">
        <f t="shared" si="5"/>
        <v>10.1</v>
      </c>
      <c r="N32" s="96">
        <f t="shared" si="5"/>
        <v>7601.7</v>
      </c>
      <c r="O32" s="96">
        <f t="shared" si="5"/>
        <v>0</v>
      </c>
      <c r="P32" s="96">
        <f t="shared" si="5"/>
        <v>0</v>
      </c>
      <c r="Q32" s="96">
        <f t="shared" si="5"/>
        <v>0</v>
      </c>
      <c r="R32" s="96">
        <f t="shared" si="5"/>
        <v>0</v>
      </c>
      <c r="S32" s="97">
        <f t="shared" si="5"/>
        <v>0</v>
      </c>
      <c r="U32" s="101">
        <f>SUM(K32:S32)-J32</f>
        <v>0</v>
      </c>
    </row>
    <row r="33" spans="1:20" s="98" customFormat="1" ht="13.5" customHeight="1" thickBot="1" x14ac:dyDescent="0.3">
      <c r="A33" s="1098"/>
      <c r="B33" s="1098"/>
      <c r="C33" s="1098"/>
      <c r="D33" s="1098"/>
      <c r="E33" s="1098"/>
      <c r="F33" s="100"/>
      <c r="G33" s="90"/>
      <c r="H33" s="95"/>
      <c r="I33" s="95"/>
      <c r="J33" s="96"/>
      <c r="K33" s="96"/>
      <c r="L33" s="96"/>
      <c r="M33" s="96"/>
      <c r="N33" s="96"/>
      <c r="O33" s="96"/>
      <c r="P33" s="96"/>
      <c r="Q33" s="96"/>
      <c r="R33" s="96"/>
      <c r="S33" s="97"/>
      <c r="T33" s="93"/>
    </row>
    <row r="34" spans="1:20" s="98" customFormat="1" ht="13.5" customHeight="1" thickBot="1" x14ac:dyDescent="0.3">
      <c r="A34" s="1098"/>
      <c r="B34" s="1098"/>
      <c r="C34" s="1098"/>
      <c r="D34" s="1098"/>
      <c r="E34" s="1098"/>
      <c r="F34" s="94" t="s">
        <v>70</v>
      </c>
      <c r="G34" s="102"/>
      <c r="H34" s="90"/>
      <c r="I34" s="95"/>
      <c r="J34" s="96"/>
      <c r="K34" s="95"/>
      <c r="L34" s="96"/>
      <c r="M34" s="96"/>
      <c r="N34" s="96"/>
      <c r="O34" s="96"/>
      <c r="P34" s="96"/>
      <c r="Q34" s="96"/>
      <c r="R34" s="96"/>
      <c r="S34" s="97"/>
      <c r="T34" s="93"/>
    </row>
    <row r="35" spans="1:20" s="98" customFormat="1" ht="13.5" customHeight="1" thickBot="1" x14ac:dyDescent="0.3">
      <c r="A35" s="1098"/>
      <c r="B35" s="1098"/>
      <c r="C35" s="1098"/>
      <c r="D35" s="1098"/>
      <c r="E35" s="1098"/>
      <c r="F35" s="100"/>
      <c r="G35" s="103" t="s">
        <v>71</v>
      </c>
      <c r="H35" s="90"/>
      <c r="I35" s="95">
        <v>0</v>
      </c>
      <c r="J35" s="96">
        <f t="shared" ref="J35:J40" si="6">SUM(K35:O35)</f>
        <v>8680.0300000000007</v>
      </c>
      <c r="K35" s="95"/>
      <c r="L35" s="96"/>
      <c r="M35" s="96"/>
      <c r="N35" s="96">
        <v>8680.0300000000007</v>
      </c>
      <c r="O35" s="96"/>
      <c r="P35" s="96"/>
      <c r="Q35" s="96"/>
      <c r="R35" s="96"/>
      <c r="S35" s="97"/>
      <c r="T35" s="93"/>
    </row>
    <row r="36" spans="1:20" s="98" customFormat="1" ht="13.5" customHeight="1" thickBot="1" x14ac:dyDescent="0.3">
      <c r="A36" s="1098"/>
      <c r="B36" s="1098"/>
      <c r="C36" s="1098"/>
      <c r="D36" s="1098"/>
      <c r="E36" s="1099"/>
      <c r="F36" s="100"/>
      <c r="G36" s="104" t="s">
        <v>71</v>
      </c>
      <c r="H36" s="95"/>
      <c r="I36" s="95">
        <v>3736</v>
      </c>
      <c r="J36" s="96">
        <f t="shared" si="6"/>
        <v>2221.42</v>
      </c>
      <c r="K36" s="96">
        <v>275</v>
      </c>
      <c r="L36" s="96">
        <v>39.19</v>
      </c>
      <c r="M36" s="96"/>
      <c r="N36" s="96">
        <v>1907.23</v>
      </c>
      <c r="O36" s="96"/>
      <c r="P36" s="96"/>
      <c r="Q36" s="96"/>
      <c r="R36" s="96"/>
      <c r="S36" s="97"/>
      <c r="T36" s="93"/>
    </row>
    <row r="37" spans="1:20" s="98" customFormat="1" ht="13.5" customHeight="1" thickBot="1" x14ac:dyDescent="0.3">
      <c r="A37" s="1098"/>
      <c r="B37" s="1098"/>
      <c r="C37" s="1098"/>
      <c r="D37" s="1098"/>
      <c r="E37" s="1099"/>
      <c r="F37" s="100"/>
      <c r="G37" s="104" t="s">
        <v>71</v>
      </c>
      <c r="H37" s="95"/>
      <c r="I37" s="95">
        <v>0</v>
      </c>
      <c r="J37" s="96">
        <f t="shared" si="6"/>
        <v>781</v>
      </c>
      <c r="K37" s="96">
        <v>781</v>
      </c>
      <c r="L37" s="96">
        <v>0</v>
      </c>
      <c r="M37" s="96"/>
      <c r="N37" s="96">
        <v>0</v>
      </c>
      <c r="O37" s="96"/>
      <c r="P37" s="96"/>
      <c r="Q37" s="96"/>
      <c r="R37" s="96"/>
      <c r="S37" s="97"/>
      <c r="T37" s="93"/>
    </row>
    <row r="38" spans="1:20" s="98" customFormat="1" ht="13.5" customHeight="1" thickBot="1" x14ac:dyDescent="0.3">
      <c r="A38" s="1098"/>
      <c r="B38" s="1098"/>
      <c r="C38" s="1098"/>
      <c r="D38" s="1098"/>
      <c r="E38" s="1099"/>
      <c r="F38" s="100"/>
      <c r="G38" s="103" t="s">
        <v>125</v>
      </c>
      <c r="H38" s="95"/>
      <c r="I38" s="95">
        <v>0</v>
      </c>
      <c r="J38" s="96">
        <f t="shared" si="6"/>
        <v>3236.31</v>
      </c>
      <c r="K38" s="96">
        <v>984.09</v>
      </c>
      <c r="L38" s="96">
        <v>655.6</v>
      </c>
      <c r="M38" s="96">
        <v>37.74</v>
      </c>
      <c r="N38" s="96">
        <v>1590.07</v>
      </c>
      <c r="O38" s="96">
        <v>-31.19</v>
      </c>
      <c r="P38" s="96"/>
      <c r="Q38" s="96"/>
      <c r="R38" s="96"/>
      <c r="S38" s="97"/>
      <c r="T38" s="93"/>
    </row>
    <row r="39" spans="1:20" s="98" customFormat="1" ht="13.5" customHeight="1" thickBot="1" x14ac:dyDescent="0.3">
      <c r="A39" s="1098"/>
      <c r="B39" s="1098"/>
      <c r="C39" s="1098"/>
      <c r="D39" s="1098"/>
      <c r="E39" s="1099"/>
      <c r="F39" s="100" t="s">
        <v>73</v>
      </c>
      <c r="G39" s="104" t="s">
        <v>74</v>
      </c>
      <c r="H39" s="95"/>
      <c r="I39" s="95">
        <v>0</v>
      </c>
      <c r="J39" s="49">
        <f t="shared" si="6"/>
        <v>0</v>
      </c>
      <c r="K39" s="96">
        <v>0</v>
      </c>
      <c r="L39" s="49">
        <v>0</v>
      </c>
      <c r="M39" s="96"/>
      <c r="N39" s="96">
        <v>0</v>
      </c>
      <c r="O39" s="96"/>
      <c r="P39" s="96"/>
      <c r="Q39" s="96"/>
      <c r="R39" s="96"/>
      <c r="S39" s="97"/>
      <c r="T39" s="93"/>
    </row>
    <row r="40" spans="1:20" s="98" customFormat="1" ht="13.5" customHeight="1" thickBot="1" x14ac:dyDescent="0.3">
      <c r="A40" s="1098"/>
      <c r="B40" s="1098"/>
      <c r="C40" s="1098"/>
      <c r="D40" s="1098"/>
      <c r="E40" s="1099"/>
      <c r="F40" s="100" t="s">
        <v>75</v>
      </c>
      <c r="G40" s="104" t="s">
        <v>76</v>
      </c>
      <c r="H40" s="95"/>
      <c r="I40" s="95">
        <v>0</v>
      </c>
      <c r="J40" s="96">
        <f t="shared" si="6"/>
        <v>-6350.82</v>
      </c>
      <c r="K40" s="96"/>
      <c r="L40" s="96">
        <v>-6350.82</v>
      </c>
      <c r="M40" s="96">
        <v>0</v>
      </c>
      <c r="N40" s="96">
        <v>0</v>
      </c>
      <c r="O40" s="96"/>
      <c r="P40" s="96"/>
      <c r="Q40" s="96"/>
      <c r="R40" s="96"/>
      <c r="S40" s="97"/>
      <c r="T40" s="93"/>
    </row>
    <row r="41" spans="1:20" ht="13.5" customHeight="1" thickBot="1" x14ac:dyDescent="0.25">
      <c r="A41" s="1100"/>
      <c r="B41" s="1100"/>
      <c r="C41" s="1100"/>
      <c r="D41" s="1101" t="s">
        <v>77</v>
      </c>
      <c r="E41" s="1102"/>
      <c r="F41" s="105" t="s">
        <v>77</v>
      </c>
      <c r="G41" s="106"/>
      <c r="H41" s="106">
        <f t="shared" ref="H41:O41" si="7">SUBTOTAL(9,H5:H40)</f>
        <v>320185</v>
      </c>
      <c r="I41" s="106">
        <f t="shared" si="7"/>
        <v>42688243</v>
      </c>
      <c r="J41" s="29">
        <f t="shared" si="7"/>
        <v>37996811.980000012</v>
      </c>
      <c r="K41" s="29">
        <f t="shared" si="7"/>
        <v>4647347.59</v>
      </c>
      <c r="L41" s="29">
        <f t="shared" si="7"/>
        <v>8946517.540000001</v>
      </c>
      <c r="M41" s="29">
        <f t="shared" si="7"/>
        <v>385039.43999999994</v>
      </c>
      <c r="N41" s="29">
        <f t="shared" si="7"/>
        <v>22523793.169999998</v>
      </c>
      <c r="O41" s="29">
        <f t="shared" si="7"/>
        <v>1494114.2399999998</v>
      </c>
      <c r="P41" s="29">
        <f>SUBTOTAL(9,P5:P29)</f>
        <v>0</v>
      </c>
      <c r="Q41" s="29">
        <f>SUBTOTAL(9,Q5:Q29)</f>
        <v>44501.700000000004</v>
      </c>
      <c r="R41" s="29">
        <f>SUBTOTAL(9,R5:R29)</f>
        <v>0</v>
      </c>
      <c r="S41" s="50">
        <f>SUBTOTAL(9,S5:S29)</f>
        <v>10786.79</v>
      </c>
    </row>
    <row r="42" spans="1:20" ht="13.5" customHeight="1" thickBot="1" x14ac:dyDescent="0.25">
      <c r="A42" s="1100"/>
      <c r="B42" s="1100"/>
      <c r="C42" s="1100"/>
      <c r="D42" s="1101" t="s">
        <v>77</v>
      </c>
      <c r="E42" s="1102"/>
      <c r="F42" s="105" t="s">
        <v>78</v>
      </c>
      <c r="G42" s="106"/>
      <c r="H42" s="106"/>
      <c r="I42" s="106">
        <v>42688240</v>
      </c>
      <c r="J42" s="29">
        <f>SUM(K42:S42)</f>
        <v>37996811.980000004</v>
      </c>
      <c r="K42" s="29">
        <v>4647347.59</v>
      </c>
      <c r="L42" s="29">
        <v>8946517.5399999991</v>
      </c>
      <c r="M42" s="29">
        <v>385039.44</v>
      </c>
      <c r="N42" s="29">
        <v>22523793.170000002</v>
      </c>
      <c r="O42" s="29">
        <v>1494114.24</v>
      </c>
      <c r="P42" s="29"/>
      <c r="Q42" s="29"/>
      <c r="R42" s="29"/>
      <c r="S42" s="50"/>
    </row>
    <row r="43" spans="1:20" ht="13.5" customHeight="1" thickBot="1" x14ac:dyDescent="0.25">
      <c r="A43" s="1100"/>
      <c r="B43" s="1100"/>
      <c r="C43" s="1100"/>
      <c r="D43" s="1101"/>
      <c r="E43" s="1102"/>
      <c r="F43" s="107" t="s">
        <v>79</v>
      </c>
      <c r="G43" s="108"/>
      <c r="H43" s="108"/>
      <c r="I43" s="41">
        <f t="shared" ref="I43:N43" si="8">I41-I42</f>
        <v>3</v>
      </c>
      <c r="J43" s="51">
        <f t="shared" si="8"/>
        <v>0</v>
      </c>
      <c r="K43" s="51">
        <f t="shared" si="8"/>
        <v>0</v>
      </c>
      <c r="L43" s="51">
        <f t="shared" si="8"/>
        <v>0</v>
      </c>
      <c r="M43" s="51">
        <f t="shared" si="8"/>
        <v>0</v>
      </c>
      <c r="N43" s="51">
        <f t="shared" si="8"/>
        <v>0</v>
      </c>
      <c r="O43" s="51">
        <f>O41-O42</f>
        <v>0</v>
      </c>
      <c r="P43" s="51"/>
      <c r="Q43" s="51"/>
      <c r="R43" s="51"/>
      <c r="S43" s="52"/>
    </row>
    <row r="44" spans="1:20" ht="13.5" thickBot="1" x14ac:dyDescent="0.25">
      <c r="G44" s="78"/>
      <c r="H44" s="78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</row>
    <row r="45" spans="1:20" ht="24.6" customHeight="1" thickBot="1" x14ac:dyDescent="0.25">
      <c r="A45" s="1089"/>
      <c r="B45" s="1090"/>
      <c r="C45" s="1090"/>
      <c r="D45" s="1377" t="s">
        <v>80</v>
      </c>
      <c r="E45" s="1378"/>
      <c r="F45" s="109" t="s">
        <v>81</v>
      </c>
      <c r="G45" s="110"/>
      <c r="H45" s="82" t="s">
        <v>2</v>
      </c>
      <c r="I45" s="83" t="s">
        <v>3</v>
      </c>
      <c r="J45" s="83" t="s">
        <v>4</v>
      </c>
      <c r="K45" s="83" t="s">
        <v>5</v>
      </c>
      <c r="L45" s="83" t="s">
        <v>6</v>
      </c>
      <c r="M45" s="83" t="s">
        <v>7</v>
      </c>
      <c r="N45" s="83" t="s">
        <v>8</v>
      </c>
      <c r="O45" s="83" t="s">
        <v>9</v>
      </c>
      <c r="P45" s="83" t="s">
        <v>10</v>
      </c>
      <c r="Q45" s="83" t="s">
        <v>11</v>
      </c>
      <c r="R45" s="83" t="s">
        <v>12</v>
      </c>
      <c r="S45" s="84" t="s">
        <v>13</v>
      </c>
    </row>
    <row r="46" spans="1:20" ht="13.5" customHeight="1" thickBot="1" x14ac:dyDescent="0.25">
      <c r="A46" s="1092" t="s">
        <v>14</v>
      </c>
      <c r="B46" s="1093" t="s">
        <v>15</v>
      </c>
      <c r="C46" s="1093" t="s">
        <v>16</v>
      </c>
      <c r="D46" s="1093" t="s">
        <v>17</v>
      </c>
      <c r="E46" s="1103"/>
      <c r="F46" s="85"/>
      <c r="G46" s="86"/>
      <c r="H46" s="86"/>
      <c r="I46" s="86" t="s">
        <v>19</v>
      </c>
      <c r="J46" s="87" t="s">
        <v>20</v>
      </c>
      <c r="K46" s="87" t="s">
        <v>20</v>
      </c>
      <c r="L46" s="87" t="s">
        <v>20</v>
      </c>
      <c r="M46" s="87" t="s">
        <v>20</v>
      </c>
      <c r="N46" s="87" t="s">
        <v>20</v>
      </c>
      <c r="O46" s="87" t="s">
        <v>20</v>
      </c>
      <c r="P46" s="87" t="s">
        <v>20</v>
      </c>
      <c r="Q46" s="87" t="s">
        <v>20</v>
      </c>
      <c r="R46" s="87" t="s">
        <v>20</v>
      </c>
      <c r="S46" s="88" t="s">
        <v>20</v>
      </c>
    </row>
    <row r="47" spans="1:20" ht="13.5" customHeight="1" outlineLevel="2" thickBot="1" x14ac:dyDescent="0.3">
      <c r="A47" s="1094" t="s">
        <v>21</v>
      </c>
      <c r="B47" s="1094" t="s">
        <v>21</v>
      </c>
      <c r="C47" s="1094" t="s">
        <v>28</v>
      </c>
      <c r="D47" s="1094" t="s">
        <v>82</v>
      </c>
      <c r="E47" s="1095" t="s">
        <v>83</v>
      </c>
      <c r="F47" s="89" t="s">
        <v>84</v>
      </c>
      <c r="G47" s="90"/>
      <c r="H47" s="90"/>
      <c r="I47" s="90">
        <v>310260</v>
      </c>
      <c r="J47" s="91">
        <f>SUM(K47:S47)</f>
        <v>459717.54</v>
      </c>
      <c r="K47" s="91">
        <v>340</v>
      </c>
      <c r="L47" s="91">
        <v>8836.09</v>
      </c>
      <c r="M47" s="91">
        <v>0</v>
      </c>
      <c r="N47" s="91">
        <v>163566.97</v>
      </c>
      <c r="O47" s="91">
        <v>0</v>
      </c>
      <c r="P47" s="91">
        <v>0</v>
      </c>
      <c r="Q47" s="91">
        <v>0</v>
      </c>
      <c r="R47" s="91">
        <v>286974.48</v>
      </c>
      <c r="S47" s="92">
        <v>0</v>
      </c>
      <c r="T47" s="93"/>
    </row>
    <row r="48" spans="1:20" ht="13.5" customHeight="1" thickBot="1" x14ac:dyDescent="0.3">
      <c r="A48" s="1095"/>
      <c r="B48" s="1104"/>
      <c r="C48" s="1104"/>
      <c r="D48" s="1102"/>
      <c r="E48" s="1105"/>
      <c r="F48" s="111" t="s">
        <v>85</v>
      </c>
      <c r="G48" s="90"/>
      <c r="H48" s="90">
        <v>2</v>
      </c>
      <c r="I48" s="90">
        <f t="shared" ref="I48:S48" si="9">SUBTOTAL(9,I47:I47)</f>
        <v>310260</v>
      </c>
      <c r="J48" s="47">
        <f>SUBTOTAL(9,J47:J47)</f>
        <v>459717.54</v>
      </c>
      <c r="K48" s="47">
        <f t="shared" si="9"/>
        <v>340</v>
      </c>
      <c r="L48" s="47">
        <f t="shared" si="9"/>
        <v>8836.09</v>
      </c>
      <c r="M48" s="47">
        <f t="shared" si="9"/>
        <v>0</v>
      </c>
      <c r="N48" s="47">
        <f t="shared" si="9"/>
        <v>163566.97</v>
      </c>
      <c r="O48" s="47">
        <f t="shared" si="9"/>
        <v>0</v>
      </c>
      <c r="P48" s="47">
        <f t="shared" si="9"/>
        <v>0</v>
      </c>
      <c r="Q48" s="47">
        <f t="shared" si="9"/>
        <v>0</v>
      </c>
      <c r="R48" s="47">
        <f t="shared" si="9"/>
        <v>286974.48</v>
      </c>
      <c r="S48" s="48">
        <f t="shared" si="9"/>
        <v>0</v>
      </c>
      <c r="T48" s="93">
        <f>ROUND(J48-SUM(K48:P48)-R48,2)</f>
        <v>0</v>
      </c>
    </row>
    <row r="49" spans="1:21" ht="13.5" customHeight="1" thickBot="1" x14ac:dyDescent="0.3">
      <c r="A49" s="1100"/>
      <c r="B49" s="1100"/>
      <c r="C49" s="1104"/>
      <c r="D49" s="1102"/>
      <c r="E49" s="1106"/>
      <c r="F49" s="94" t="s">
        <v>86</v>
      </c>
      <c r="G49" s="90"/>
      <c r="H49" s="90"/>
      <c r="I49" s="90"/>
      <c r="J49" s="47"/>
      <c r="K49" s="47"/>
      <c r="L49" s="47">
        <f>-R49</f>
        <v>286974.48</v>
      </c>
      <c r="M49" s="47"/>
      <c r="N49" s="47"/>
      <c r="O49" s="47"/>
      <c r="P49" s="47"/>
      <c r="Q49" s="47"/>
      <c r="R49" s="47">
        <f>-R48</f>
        <v>-286974.48</v>
      </c>
      <c r="S49" s="48"/>
      <c r="T49" s="93"/>
    </row>
    <row r="50" spans="1:21" ht="13.5" customHeight="1" thickBot="1" x14ac:dyDescent="0.3">
      <c r="A50" s="1100"/>
      <c r="B50" s="1100"/>
      <c r="C50" s="1104"/>
      <c r="D50" s="1102"/>
      <c r="E50" s="1106"/>
      <c r="F50" s="94" t="s">
        <v>87</v>
      </c>
      <c r="G50" s="90"/>
      <c r="H50" s="90"/>
      <c r="I50" s="90">
        <v>0</v>
      </c>
      <c r="J50" s="47">
        <f>SUM(K50:O50)</f>
        <v>105757</v>
      </c>
      <c r="K50" s="47">
        <v>781</v>
      </c>
      <c r="L50" s="47">
        <f>104976</f>
        <v>104976</v>
      </c>
      <c r="M50" s="47"/>
      <c r="N50" s="47">
        <v>0</v>
      </c>
      <c r="O50" s="47"/>
      <c r="P50" s="47"/>
      <c r="Q50" s="47"/>
      <c r="R50" s="47"/>
      <c r="S50" s="48"/>
      <c r="T50" s="93"/>
    </row>
    <row r="51" spans="1:21" ht="13.5" customHeight="1" thickBot="1" x14ac:dyDescent="0.25">
      <c r="A51" s="1100"/>
      <c r="B51" s="1100"/>
      <c r="C51" s="1101"/>
      <c r="D51" s="1107" t="s">
        <v>88</v>
      </c>
      <c r="E51" s="1102"/>
      <c r="F51" s="112" t="s">
        <v>89</v>
      </c>
      <c r="G51" s="106"/>
      <c r="H51" s="106">
        <f>+H48</f>
        <v>2</v>
      </c>
      <c r="I51" s="53">
        <f t="shared" ref="I51:S51" si="10">SUBTOTAL(9,I47:I50)</f>
        <v>310260</v>
      </c>
      <c r="J51" s="29">
        <f t="shared" si="10"/>
        <v>565474.54</v>
      </c>
      <c r="K51" s="29">
        <f t="shared" si="10"/>
        <v>1121</v>
      </c>
      <c r="L51" s="29">
        <f t="shared" si="10"/>
        <v>400786.57</v>
      </c>
      <c r="M51" s="29">
        <f t="shared" si="10"/>
        <v>0</v>
      </c>
      <c r="N51" s="29">
        <f t="shared" si="10"/>
        <v>163566.97</v>
      </c>
      <c r="O51" s="29">
        <f t="shared" si="10"/>
        <v>0</v>
      </c>
      <c r="P51" s="29">
        <f t="shared" si="10"/>
        <v>0</v>
      </c>
      <c r="Q51" s="29">
        <f t="shared" si="10"/>
        <v>0</v>
      </c>
      <c r="R51" s="29">
        <f t="shared" si="10"/>
        <v>0</v>
      </c>
      <c r="S51" s="50">
        <f t="shared" si="10"/>
        <v>0</v>
      </c>
    </row>
    <row r="52" spans="1:21" ht="13.5" customHeight="1" thickBot="1" x14ac:dyDescent="0.25">
      <c r="A52" s="1100"/>
      <c r="B52" s="1100"/>
      <c r="C52" s="1100"/>
      <c r="D52" s="1101" t="s">
        <v>77</v>
      </c>
      <c r="E52" s="1102"/>
      <c r="F52" s="112" t="s">
        <v>90</v>
      </c>
      <c r="G52" s="106"/>
      <c r="H52" s="106"/>
      <c r="I52" s="106">
        <v>310260</v>
      </c>
      <c r="J52" s="29">
        <f>SUM(K52:S52)</f>
        <v>565474.54</v>
      </c>
      <c r="K52" s="29">
        <v>1121</v>
      </c>
      <c r="L52" s="29">
        <v>400786.57</v>
      </c>
      <c r="M52" s="29">
        <v>0</v>
      </c>
      <c r="N52" s="29">
        <v>163566.97</v>
      </c>
      <c r="O52" s="29"/>
      <c r="P52" s="29"/>
      <c r="Q52" s="29"/>
      <c r="R52" s="29"/>
      <c r="S52" s="50"/>
    </row>
    <row r="53" spans="1:21" ht="13.5" customHeight="1" thickBot="1" x14ac:dyDescent="0.25">
      <c r="A53" s="1100"/>
      <c r="B53" s="1100"/>
      <c r="C53" s="1100"/>
      <c r="D53" s="1101"/>
      <c r="E53" s="1102"/>
      <c r="F53" s="107" t="s">
        <v>79</v>
      </c>
      <c r="G53" s="108"/>
      <c r="H53" s="108"/>
      <c r="I53" s="41">
        <f t="shared" ref="I53:N53" si="11">I51-I52</f>
        <v>0</v>
      </c>
      <c r="J53" s="51">
        <f t="shared" si="11"/>
        <v>0</v>
      </c>
      <c r="K53" s="51">
        <f t="shared" si="11"/>
        <v>0</v>
      </c>
      <c r="L53" s="51">
        <f t="shared" si="11"/>
        <v>0</v>
      </c>
      <c r="M53" s="51">
        <f t="shared" si="11"/>
        <v>0</v>
      </c>
      <c r="N53" s="51">
        <f t="shared" si="11"/>
        <v>0</v>
      </c>
      <c r="O53" s="51">
        <f>O51-O52</f>
        <v>0</v>
      </c>
      <c r="P53" s="51"/>
      <c r="Q53" s="51"/>
      <c r="R53" s="51"/>
      <c r="S53" s="52"/>
    </row>
    <row r="54" spans="1:21" ht="13.5" thickBot="1" x14ac:dyDescent="0.25">
      <c r="G54" s="78"/>
      <c r="H54" s="78"/>
      <c r="I54" s="113"/>
      <c r="K54" s="113"/>
      <c r="L54" s="113"/>
      <c r="M54" s="113"/>
      <c r="N54" s="54"/>
      <c r="O54" s="113"/>
      <c r="P54" s="113"/>
    </row>
    <row r="55" spans="1:21" ht="23.25" thickBot="1" x14ac:dyDescent="0.25">
      <c r="D55" s="1379" t="s">
        <v>91</v>
      </c>
      <c r="E55" s="1380"/>
      <c r="F55" s="114" t="s">
        <v>92</v>
      </c>
      <c r="G55" s="82"/>
      <c r="H55" s="82" t="s">
        <v>2</v>
      </c>
      <c r="I55" s="83" t="s">
        <v>3</v>
      </c>
      <c r="J55" s="83" t="s">
        <v>4</v>
      </c>
      <c r="K55" s="83" t="s">
        <v>5</v>
      </c>
      <c r="L55" s="83" t="s">
        <v>6</v>
      </c>
      <c r="M55" s="83" t="s">
        <v>7</v>
      </c>
      <c r="N55" s="83" t="s">
        <v>93</v>
      </c>
      <c r="O55" s="83" t="s">
        <v>9</v>
      </c>
      <c r="P55" s="83" t="s">
        <v>10</v>
      </c>
      <c r="Q55" s="83" t="s">
        <v>11</v>
      </c>
      <c r="R55" s="83" t="s">
        <v>12</v>
      </c>
      <c r="S55" s="84" t="s">
        <v>13</v>
      </c>
    </row>
    <row r="56" spans="1:21" ht="13.5" thickBot="1" x14ac:dyDescent="0.25">
      <c r="D56" s="1096"/>
      <c r="E56" s="1097"/>
      <c r="F56" s="115"/>
      <c r="G56" s="86"/>
      <c r="H56" s="86"/>
      <c r="I56" s="86" t="s">
        <v>19</v>
      </c>
      <c r="J56" s="87" t="s">
        <v>20</v>
      </c>
      <c r="K56" s="87" t="s">
        <v>20</v>
      </c>
      <c r="L56" s="87" t="s">
        <v>20</v>
      </c>
      <c r="M56" s="87" t="s">
        <v>20</v>
      </c>
      <c r="N56" s="87" t="s">
        <v>20</v>
      </c>
      <c r="O56" s="87" t="s">
        <v>20</v>
      </c>
      <c r="P56" s="87" t="s">
        <v>20</v>
      </c>
      <c r="Q56" s="87" t="s">
        <v>20</v>
      </c>
      <c r="R56" s="87" t="s">
        <v>20</v>
      </c>
      <c r="S56" s="88" t="s">
        <v>20</v>
      </c>
    </row>
    <row r="57" spans="1:21" ht="14.25" outlineLevel="2" thickBot="1" x14ac:dyDescent="0.3">
      <c r="D57" s="1094" t="s">
        <v>94</v>
      </c>
      <c r="E57" s="1095" t="s">
        <v>95</v>
      </c>
      <c r="F57" s="89" t="s">
        <v>96</v>
      </c>
      <c r="G57" s="90"/>
      <c r="H57" s="90"/>
      <c r="I57" s="90">
        <v>0</v>
      </c>
      <c r="J57" s="91">
        <v>0</v>
      </c>
      <c r="K57" s="91">
        <v>0</v>
      </c>
      <c r="L57" s="91"/>
      <c r="M57" s="91"/>
      <c r="N57" s="91"/>
      <c r="O57" s="91"/>
      <c r="P57" s="91"/>
      <c r="Q57" s="91"/>
      <c r="R57" s="91"/>
      <c r="S57" s="92"/>
      <c r="U57" s="101">
        <f t="shared" ref="U57:U72" si="12">SUM(K57:S57)-J57</f>
        <v>0</v>
      </c>
    </row>
    <row r="58" spans="1:21" ht="34.5" outlineLevel="2" thickBot="1" x14ac:dyDescent="0.3">
      <c r="D58" s="1094" t="s">
        <v>97</v>
      </c>
      <c r="E58" s="1095" t="s">
        <v>98</v>
      </c>
      <c r="F58" s="89" t="s">
        <v>96</v>
      </c>
      <c r="G58" s="90"/>
      <c r="H58" s="90"/>
      <c r="I58" s="90">
        <v>0</v>
      </c>
      <c r="J58" s="91">
        <v>0</v>
      </c>
      <c r="K58" s="91"/>
      <c r="L58" s="91">
        <v>0</v>
      </c>
      <c r="M58" s="91"/>
      <c r="N58" s="91">
        <v>0</v>
      </c>
      <c r="O58" s="91"/>
      <c r="P58" s="91"/>
      <c r="Q58" s="91"/>
      <c r="R58" s="91"/>
      <c r="S58" s="92"/>
      <c r="U58" s="101">
        <f t="shared" si="12"/>
        <v>0</v>
      </c>
    </row>
    <row r="59" spans="1:21" ht="34.5" outlineLevel="2" thickBot="1" x14ac:dyDescent="0.3">
      <c r="D59" s="1094" t="s">
        <v>97</v>
      </c>
      <c r="E59" s="1095" t="s">
        <v>98</v>
      </c>
      <c r="F59" s="89" t="s">
        <v>96</v>
      </c>
      <c r="G59" s="90"/>
      <c r="H59" s="90"/>
      <c r="I59" s="90">
        <v>0</v>
      </c>
      <c r="J59" s="91">
        <v>0</v>
      </c>
      <c r="K59" s="47">
        <v>0</v>
      </c>
      <c r="L59" s="47">
        <v>0</v>
      </c>
      <c r="M59" s="47">
        <v>0</v>
      </c>
      <c r="N59" s="91">
        <v>0</v>
      </c>
      <c r="O59" s="91"/>
      <c r="P59" s="91"/>
      <c r="Q59" s="91"/>
      <c r="R59" s="91"/>
      <c r="S59" s="92"/>
      <c r="U59" s="101">
        <f t="shared" si="12"/>
        <v>0</v>
      </c>
    </row>
    <row r="60" spans="1:21" ht="23.25" outlineLevel="2" thickBot="1" x14ac:dyDescent="0.3">
      <c r="D60" s="1094" t="s">
        <v>99</v>
      </c>
      <c r="E60" s="1095" t="s">
        <v>100</v>
      </c>
      <c r="F60" s="89" t="s">
        <v>96</v>
      </c>
      <c r="G60" s="90"/>
      <c r="H60" s="90"/>
      <c r="I60" s="90">
        <v>0</v>
      </c>
      <c r="J60" s="91">
        <v>0</v>
      </c>
      <c r="K60" s="91">
        <v>0</v>
      </c>
      <c r="L60" s="91"/>
      <c r="M60" s="91"/>
      <c r="N60" s="91">
        <v>0</v>
      </c>
      <c r="O60" s="91"/>
      <c r="P60" s="91"/>
      <c r="Q60" s="91"/>
      <c r="R60" s="91"/>
      <c r="S60" s="92"/>
      <c r="U60" s="101">
        <f t="shared" si="12"/>
        <v>0</v>
      </c>
    </row>
    <row r="61" spans="1:21" ht="23.25" outlineLevel="2" thickBot="1" x14ac:dyDescent="0.3">
      <c r="D61" s="1094" t="s">
        <v>99</v>
      </c>
      <c r="E61" s="1095" t="s">
        <v>100</v>
      </c>
      <c r="F61" s="89" t="s">
        <v>96</v>
      </c>
      <c r="G61" s="90"/>
      <c r="H61" s="90"/>
      <c r="I61" s="90"/>
      <c r="J61" s="91"/>
      <c r="K61" s="91"/>
      <c r="L61" s="91"/>
      <c r="M61" s="91"/>
      <c r="N61" s="91"/>
      <c r="O61" s="91"/>
      <c r="P61" s="91"/>
      <c r="Q61" s="91"/>
      <c r="R61" s="91"/>
      <c r="S61" s="92"/>
      <c r="U61" s="101">
        <f t="shared" si="12"/>
        <v>0</v>
      </c>
    </row>
    <row r="62" spans="1:21" ht="23.25" outlineLevel="2" thickBot="1" x14ac:dyDescent="0.3">
      <c r="D62" s="1094" t="s">
        <v>99</v>
      </c>
      <c r="E62" s="1095" t="s">
        <v>100</v>
      </c>
      <c r="F62" s="89" t="s">
        <v>96</v>
      </c>
      <c r="G62" s="90"/>
      <c r="H62" s="90"/>
      <c r="I62" s="90">
        <v>0</v>
      </c>
      <c r="J62" s="91">
        <v>0</v>
      </c>
      <c r="K62" s="91"/>
      <c r="L62" s="91"/>
      <c r="M62" s="91"/>
      <c r="N62" s="91"/>
      <c r="O62" s="91"/>
      <c r="P62" s="91"/>
      <c r="Q62" s="91"/>
      <c r="R62" s="91"/>
      <c r="S62" s="92"/>
      <c r="U62" s="101">
        <f t="shared" si="12"/>
        <v>0</v>
      </c>
    </row>
    <row r="63" spans="1:21" ht="14.25" thickBot="1" x14ac:dyDescent="0.3">
      <c r="D63" s="1096"/>
      <c r="E63" s="1097"/>
      <c r="F63" s="94" t="s">
        <v>101</v>
      </c>
      <c r="G63" s="95"/>
      <c r="H63" s="95"/>
      <c r="I63" s="95">
        <f t="shared" ref="I63:S63" si="13">SUBTOTAL(9,I57:I62)</f>
        <v>0</v>
      </c>
      <c r="J63" s="96">
        <f>SUBTOTAL(9,J57:J62)</f>
        <v>0</v>
      </c>
      <c r="K63" s="96">
        <f t="shared" si="13"/>
        <v>0</v>
      </c>
      <c r="L63" s="96">
        <f t="shared" si="13"/>
        <v>0</v>
      </c>
      <c r="M63" s="96">
        <f t="shared" si="13"/>
        <v>0</v>
      </c>
      <c r="N63" s="96">
        <f t="shared" si="13"/>
        <v>0</v>
      </c>
      <c r="O63" s="96">
        <f t="shared" si="13"/>
        <v>0</v>
      </c>
      <c r="P63" s="96">
        <f t="shared" si="13"/>
        <v>0</v>
      </c>
      <c r="Q63" s="96">
        <f t="shared" si="13"/>
        <v>0</v>
      </c>
      <c r="R63" s="96">
        <f t="shared" si="13"/>
        <v>0</v>
      </c>
      <c r="S63" s="97">
        <f t="shared" si="13"/>
        <v>0</v>
      </c>
      <c r="U63" s="101">
        <f t="shared" si="12"/>
        <v>0</v>
      </c>
    </row>
    <row r="64" spans="1:21" ht="34.5" outlineLevel="2" thickBot="1" x14ac:dyDescent="0.3">
      <c r="D64" s="1094" t="s">
        <v>102</v>
      </c>
      <c r="E64" s="1095" t="s">
        <v>103</v>
      </c>
      <c r="F64" s="89" t="s">
        <v>104</v>
      </c>
      <c r="G64" s="90"/>
      <c r="H64" s="90"/>
      <c r="I64" s="90">
        <v>0</v>
      </c>
      <c r="J64" s="91">
        <v>8680.0300000000007</v>
      </c>
      <c r="K64" s="91"/>
      <c r="L64" s="91"/>
      <c r="M64" s="91"/>
      <c r="N64" s="91">
        <v>8680.0300000000007</v>
      </c>
      <c r="O64" s="91"/>
      <c r="P64" s="91"/>
      <c r="Q64" s="91"/>
      <c r="R64" s="91"/>
      <c r="S64" s="92"/>
      <c r="U64" s="101">
        <f t="shared" si="12"/>
        <v>0</v>
      </c>
    </row>
    <row r="65" spans="1:22" ht="14.25" thickBot="1" x14ac:dyDescent="0.3">
      <c r="D65" s="1096"/>
      <c r="E65" s="1097"/>
      <c r="F65" s="94" t="s">
        <v>105</v>
      </c>
      <c r="G65" s="95"/>
      <c r="H65" s="95">
        <v>1</v>
      </c>
      <c r="I65" s="95">
        <f t="shared" ref="I65:S65" si="14">SUBTOTAL(9,I64:I64)</f>
        <v>0</v>
      </c>
      <c r="J65" s="96">
        <f t="shared" si="14"/>
        <v>8680.0300000000007</v>
      </c>
      <c r="K65" s="96">
        <f t="shared" si="14"/>
        <v>0</v>
      </c>
      <c r="L65" s="96">
        <f t="shared" si="14"/>
        <v>0</v>
      </c>
      <c r="M65" s="96">
        <f t="shared" si="14"/>
        <v>0</v>
      </c>
      <c r="N65" s="96">
        <f t="shared" si="14"/>
        <v>8680.0300000000007</v>
      </c>
      <c r="O65" s="96">
        <f t="shared" si="14"/>
        <v>0</v>
      </c>
      <c r="P65" s="96">
        <f t="shared" si="14"/>
        <v>0</v>
      </c>
      <c r="Q65" s="96">
        <f t="shared" si="14"/>
        <v>0</v>
      </c>
      <c r="R65" s="96">
        <f t="shared" si="14"/>
        <v>0</v>
      </c>
      <c r="S65" s="97">
        <f t="shared" si="14"/>
        <v>0</v>
      </c>
      <c r="U65" s="101">
        <f t="shared" si="12"/>
        <v>0</v>
      </c>
    </row>
    <row r="66" spans="1:22" ht="23.25" outlineLevel="2" thickBot="1" x14ac:dyDescent="0.3">
      <c r="D66" s="1094" t="s">
        <v>106</v>
      </c>
      <c r="E66" s="1095" t="s">
        <v>107</v>
      </c>
      <c r="F66" s="89" t="s">
        <v>72</v>
      </c>
      <c r="G66" s="95"/>
      <c r="H66" s="90"/>
      <c r="I66" s="90">
        <v>0</v>
      </c>
      <c r="J66" s="91">
        <v>781</v>
      </c>
      <c r="K66" s="91">
        <v>781</v>
      </c>
      <c r="L66" s="91">
        <v>0</v>
      </c>
      <c r="M66" s="91">
        <v>0</v>
      </c>
      <c r="N66" s="91">
        <v>0</v>
      </c>
      <c r="O66" s="91"/>
      <c r="P66" s="91"/>
      <c r="Q66" s="91"/>
      <c r="R66" s="91"/>
      <c r="S66" s="92"/>
      <c r="U66" s="101">
        <f t="shared" si="12"/>
        <v>0</v>
      </c>
    </row>
    <row r="67" spans="1:22" ht="14.25" thickBot="1" x14ac:dyDescent="0.3">
      <c r="D67" s="1096"/>
      <c r="E67" s="1105"/>
      <c r="F67" s="111" t="s">
        <v>108</v>
      </c>
      <c r="G67" s="95"/>
      <c r="H67" s="95">
        <v>1</v>
      </c>
      <c r="I67" s="95">
        <f t="shared" ref="I67:S67" si="15">SUBTOTAL(9,I66:I66)</f>
        <v>0</v>
      </c>
      <c r="J67" s="96">
        <f>SUBTOTAL(9,J66:J66)</f>
        <v>781</v>
      </c>
      <c r="K67" s="96">
        <f t="shared" si="15"/>
        <v>781</v>
      </c>
      <c r="L67" s="96">
        <f t="shared" si="15"/>
        <v>0</v>
      </c>
      <c r="M67" s="96">
        <f t="shared" si="15"/>
        <v>0</v>
      </c>
      <c r="N67" s="96">
        <f t="shared" si="15"/>
        <v>0</v>
      </c>
      <c r="O67" s="96">
        <f t="shared" si="15"/>
        <v>0</v>
      </c>
      <c r="P67" s="96">
        <f t="shared" si="15"/>
        <v>0</v>
      </c>
      <c r="Q67" s="96">
        <f t="shared" si="15"/>
        <v>0</v>
      </c>
      <c r="R67" s="96">
        <f t="shared" si="15"/>
        <v>0</v>
      </c>
      <c r="S67" s="97">
        <f t="shared" si="15"/>
        <v>0</v>
      </c>
      <c r="U67" s="101">
        <f t="shared" si="12"/>
        <v>0</v>
      </c>
    </row>
    <row r="68" spans="1:22" ht="23.25" outlineLevel="2" thickBot="1" x14ac:dyDescent="0.3">
      <c r="D68" s="1094" t="s">
        <v>109</v>
      </c>
      <c r="E68" s="1095" t="s">
        <v>110</v>
      </c>
      <c r="F68" s="116" t="s">
        <v>111</v>
      </c>
      <c r="G68" s="90"/>
      <c r="H68" s="90"/>
      <c r="I68" s="90">
        <v>3736</v>
      </c>
      <c r="J68" s="91">
        <v>2221.42</v>
      </c>
      <c r="K68" s="91">
        <v>275</v>
      </c>
      <c r="L68" s="91">
        <v>39.19</v>
      </c>
      <c r="M68" s="91">
        <v>0</v>
      </c>
      <c r="N68" s="91">
        <v>1907.23</v>
      </c>
      <c r="O68" s="91"/>
      <c r="P68" s="91"/>
      <c r="Q68" s="91"/>
      <c r="R68" s="91"/>
      <c r="S68" s="92"/>
      <c r="U68" s="101">
        <f t="shared" si="12"/>
        <v>0</v>
      </c>
      <c r="V68" s="509"/>
    </row>
    <row r="69" spans="1:22" ht="14.25" thickBot="1" x14ac:dyDescent="0.3">
      <c r="D69" s="1096"/>
      <c r="E69" s="1105"/>
      <c r="F69" s="111" t="s">
        <v>112</v>
      </c>
      <c r="G69" s="95"/>
      <c r="H69" s="95">
        <v>1</v>
      </c>
      <c r="I69" s="95">
        <f t="shared" ref="I69:S69" si="16">SUBTOTAL(9,I68:I68)</f>
        <v>3736</v>
      </c>
      <c r="J69" s="96">
        <f>SUBTOTAL(9,J68:J68)</f>
        <v>2221.42</v>
      </c>
      <c r="K69" s="96">
        <f t="shared" si="16"/>
        <v>275</v>
      </c>
      <c r="L69" s="96">
        <f t="shared" si="16"/>
        <v>39.19</v>
      </c>
      <c r="M69" s="96">
        <f t="shared" si="16"/>
        <v>0</v>
      </c>
      <c r="N69" s="96">
        <f t="shared" si="16"/>
        <v>1907.23</v>
      </c>
      <c r="O69" s="96">
        <f t="shared" si="16"/>
        <v>0</v>
      </c>
      <c r="P69" s="96">
        <f t="shared" si="16"/>
        <v>0</v>
      </c>
      <c r="Q69" s="96">
        <f t="shared" si="16"/>
        <v>0</v>
      </c>
      <c r="R69" s="96">
        <f t="shared" si="16"/>
        <v>0</v>
      </c>
      <c r="S69" s="97">
        <f t="shared" si="16"/>
        <v>0</v>
      </c>
      <c r="U69" s="101">
        <f t="shared" si="12"/>
        <v>0</v>
      </c>
    </row>
    <row r="70" spans="1:22" ht="23.25" outlineLevel="2" thickBot="1" x14ac:dyDescent="0.3">
      <c r="D70" s="1094" t="s">
        <v>113</v>
      </c>
      <c r="E70" s="1095" t="s">
        <v>114</v>
      </c>
      <c r="F70" s="116" t="s">
        <v>115</v>
      </c>
      <c r="G70" s="90"/>
      <c r="H70" s="90"/>
      <c r="I70" s="90">
        <v>0</v>
      </c>
      <c r="J70" s="91">
        <v>781</v>
      </c>
      <c r="K70" s="91">
        <v>781</v>
      </c>
      <c r="L70" s="91">
        <v>0</v>
      </c>
      <c r="M70" s="91">
        <v>0</v>
      </c>
      <c r="N70" s="91">
        <v>0</v>
      </c>
      <c r="O70" s="91"/>
      <c r="P70" s="91"/>
      <c r="Q70" s="91"/>
      <c r="R70" s="91"/>
      <c r="S70" s="92"/>
      <c r="U70" s="101">
        <f t="shared" si="12"/>
        <v>0</v>
      </c>
    </row>
    <row r="71" spans="1:22" ht="14.25" thickBot="1" x14ac:dyDescent="0.3">
      <c r="D71" s="1102"/>
      <c r="E71" s="1105"/>
      <c r="F71" s="111" t="s">
        <v>116</v>
      </c>
      <c r="G71" s="95"/>
      <c r="H71" s="95">
        <v>1</v>
      </c>
      <c r="I71" s="95">
        <f t="shared" ref="I71:S71" si="17">SUBTOTAL(9,I70:I70)</f>
        <v>0</v>
      </c>
      <c r="J71" s="96">
        <f>SUBTOTAL(9,J70:J70)</f>
        <v>781</v>
      </c>
      <c r="K71" s="96">
        <f t="shared" si="17"/>
        <v>781</v>
      </c>
      <c r="L71" s="96">
        <f t="shared" si="17"/>
        <v>0</v>
      </c>
      <c r="M71" s="96">
        <f t="shared" si="17"/>
        <v>0</v>
      </c>
      <c r="N71" s="96">
        <f t="shared" si="17"/>
        <v>0</v>
      </c>
      <c r="O71" s="96">
        <f t="shared" si="17"/>
        <v>0</v>
      </c>
      <c r="P71" s="96">
        <f t="shared" si="17"/>
        <v>0</v>
      </c>
      <c r="Q71" s="96">
        <f t="shared" si="17"/>
        <v>0</v>
      </c>
      <c r="R71" s="96">
        <f t="shared" si="17"/>
        <v>0</v>
      </c>
      <c r="S71" s="97">
        <f t="shared" si="17"/>
        <v>0</v>
      </c>
      <c r="U71" s="101">
        <f t="shared" si="12"/>
        <v>0</v>
      </c>
    </row>
    <row r="72" spans="1:22" ht="15.75" thickBot="1" x14ac:dyDescent="0.3">
      <c r="A72" s="1108"/>
      <c r="B72" s="1108"/>
      <c r="C72" s="1108"/>
      <c r="D72" s="1381" t="s">
        <v>117</v>
      </c>
      <c r="E72" s="1381"/>
      <c r="F72" s="40" t="s">
        <v>118</v>
      </c>
      <c r="G72" s="41"/>
      <c r="H72" s="41">
        <f>SUBTOTAL(9,H57:H71)</f>
        <v>4</v>
      </c>
      <c r="I72" s="41">
        <f t="shared" ref="I72:S72" si="18">SUBTOTAL(9,I57:I71)</f>
        <v>3736</v>
      </c>
      <c r="J72" s="51">
        <f>SUBTOTAL(9,J57:J71)</f>
        <v>12463.45</v>
      </c>
      <c r="K72" s="51">
        <f t="shared" si="18"/>
        <v>1837</v>
      </c>
      <c r="L72" s="51">
        <f>SUBTOTAL(9,L57:L71)</f>
        <v>39.19</v>
      </c>
      <c r="M72" s="51">
        <f t="shared" si="18"/>
        <v>0</v>
      </c>
      <c r="N72" s="51">
        <f t="shared" si="18"/>
        <v>10587.26</v>
      </c>
      <c r="O72" s="51">
        <f t="shared" si="18"/>
        <v>0</v>
      </c>
      <c r="P72" s="51">
        <f t="shared" si="18"/>
        <v>0</v>
      </c>
      <c r="Q72" s="51">
        <f t="shared" si="18"/>
        <v>0</v>
      </c>
      <c r="R72" s="51">
        <f t="shared" si="18"/>
        <v>0</v>
      </c>
      <c r="S72" s="52">
        <f t="shared" si="18"/>
        <v>0</v>
      </c>
      <c r="U72" s="101">
        <f t="shared" si="12"/>
        <v>0</v>
      </c>
    </row>
    <row r="73" spans="1:22" ht="13.5" x14ac:dyDescent="0.25">
      <c r="G73" s="78"/>
      <c r="H73" s="78"/>
      <c r="I73" s="117"/>
      <c r="K73" s="118"/>
      <c r="L73" s="118"/>
      <c r="M73" s="118"/>
      <c r="N73" s="118"/>
      <c r="O73" s="118"/>
      <c r="P73" s="118"/>
    </row>
    <row r="74" spans="1:22" x14ac:dyDescent="0.2">
      <c r="G74" s="119" t="s">
        <v>76</v>
      </c>
      <c r="H74" s="113" t="s">
        <v>119</v>
      </c>
    </row>
    <row r="75" spans="1:22" s="120" customFormat="1" ht="11.25" x14ac:dyDescent="0.2">
      <c r="A75" s="1109"/>
      <c r="B75" s="1109"/>
      <c r="C75" s="1109"/>
      <c r="D75" s="1109"/>
      <c r="E75" s="1109"/>
      <c r="G75" s="119" t="s">
        <v>74</v>
      </c>
      <c r="H75" s="113" t="s">
        <v>120</v>
      </c>
    </row>
    <row r="76" spans="1:22" x14ac:dyDescent="0.2">
      <c r="G76" s="119" t="s">
        <v>71</v>
      </c>
      <c r="H76" s="113" t="s">
        <v>121</v>
      </c>
    </row>
    <row r="77" spans="1:22" x14ac:dyDescent="0.2">
      <c r="G77" s="121" t="s">
        <v>125</v>
      </c>
      <c r="H77" s="113" t="s">
        <v>319</v>
      </c>
    </row>
  </sheetData>
  <mergeCells count="5">
    <mergeCell ref="F1:K1"/>
    <mergeCell ref="D4:E4"/>
    <mergeCell ref="D45:E45"/>
    <mergeCell ref="D55:E55"/>
    <mergeCell ref="D72:E72"/>
  </mergeCells>
  <conditionalFormatting sqref="T47:T50 T33:T40 T5:T29">
    <cfRule type="cellIs" dxfId="55" priority="1" stopIfTrue="1" operator="notEqual">
      <formula>0</formula>
    </cfRule>
  </conditionalFormatting>
  <printOptions horizontalCentered="1"/>
  <pageMargins left="0.25" right="0" top="0.25" bottom="0.5" header="0.25" footer="0.25"/>
  <pageSetup scale="56" fitToHeight="2" orientation="landscape" r:id="rId1"/>
  <headerFooter alignWithMargins="0">
    <oddFooter>&amp;C&amp;P of &amp;N</oddFooter>
  </headerFooter>
  <rowBreaks count="1" manualBreakCount="1">
    <brk id="54" min="3" max="18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8" tint="0.39997558519241921"/>
  </sheetPr>
  <dimension ref="A1:U80"/>
  <sheetViews>
    <sheetView zoomScale="80" zoomScaleNormal="80" zoomScaleSheetLayoutView="80" workbookViewId="0"/>
  </sheetViews>
  <sheetFormatPr defaultRowHeight="15" outlineLevelRow="2" x14ac:dyDescent="0.25"/>
  <cols>
    <col min="1" max="1" width="10.7109375" style="398" customWidth="1"/>
    <col min="2" max="2" width="17.5703125" style="398" customWidth="1"/>
    <col min="3" max="3" width="8.5703125" style="398" customWidth="1"/>
    <col min="4" max="4" width="19.28515625" style="398" customWidth="1"/>
    <col min="5" max="5" width="38.85546875" style="398" customWidth="1"/>
    <col min="6" max="6" width="30.140625" bestFit="1" customWidth="1"/>
    <col min="7" max="7" width="3.7109375" style="2" bestFit="1" customWidth="1"/>
    <col min="8" max="8" width="13.5703125" style="2" bestFit="1" customWidth="1"/>
    <col min="9" max="9" width="15.5703125" customWidth="1"/>
    <col min="10" max="10" width="18" customWidth="1"/>
    <col min="11" max="12" width="13.42578125" bestFit="1" customWidth="1"/>
    <col min="13" max="13" width="13.5703125" bestFit="1" customWidth="1"/>
    <col min="14" max="14" width="14.28515625" bestFit="1" customWidth="1"/>
    <col min="15" max="15" width="11.85546875" bestFit="1" customWidth="1"/>
    <col min="16" max="16" width="8.7109375" customWidth="1"/>
    <col min="17" max="17" width="10.5703125" bestFit="1" customWidth="1"/>
    <col min="18" max="18" width="13.140625" bestFit="1" customWidth="1"/>
    <col min="19" max="19" width="10.7109375" customWidth="1"/>
    <col min="20" max="20" width="17.7109375" bestFit="1" customWidth="1"/>
    <col min="21" max="21" width="6.28515625" bestFit="1" customWidth="1"/>
  </cols>
  <sheetData>
    <row r="1" spans="1:20" ht="30.75" customHeight="1" x14ac:dyDescent="0.35">
      <c r="A1" s="1110" t="s">
        <v>122</v>
      </c>
      <c r="D1" s="1110"/>
      <c r="F1" s="1382" t="s">
        <v>123</v>
      </c>
      <c r="G1" s="1382"/>
      <c r="H1" s="1382"/>
      <c r="I1" s="1382"/>
      <c r="J1" s="1382"/>
      <c r="K1" s="1382"/>
      <c r="L1" s="1"/>
    </row>
    <row r="2" spans="1:20" ht="16.5" thickBot="1" x14ac:dyDescent="0.35">
      <c r="A2" s="1111"/>
      <c r="D2" s="1111"/>
    </row>
    <row r="3" spans="1:20" ht="23.25" thickBot="1" x14ac:dyDescent="0.3">
      <c r="A3" s="1112"/>
      <c r="B3" s="1113"/>
      <c r="C3" s="1113"/>
      <c r="D3" s="1112" t="s">
        <v>1</v>
      </c>
      <c r="E3" s="1114"/>
      <c r="F3" s="3" t="s">
        <v>1</v>
      </c>
      <c r="G3" s="4"/>
      <c r="H3" s="4" t="s">
        <v>2</v>
      </c>
      <c r="I3" s="5" t="s">
        <v>3</v>
      </c>
      <c r="J3" s="5" t="s">
        <v>4</v>
      </c>
      <c r="K3" s="5" t="s">
        <v>5</v>
      </c>
      <c r="L3" s="5" t="s">
        <v>6</v>
      </c>
      <c r="M3" s="5" t="s">
        <v>7</v>
      </c>
      <c r="N3" s="5" t="s">
        <v>8</v>
      </c>
      <c r="O3" s="5" t="s">
        <v>9</v>
      </c>
      <c r="P3" s="5" t="s">
        <v>10</v>
      </c>
      <c r="Q3" s="5" t="s">
        <v>11</v>
      </c>
      <c r="R3" s="5" t="s">
        <v>12</v>
      </c>
      <c r="S3" s="6" t="s">
        <v>13</v>
      </c>
    </row>
    <row r="4" spans="1:20" ht="39" thickBot="1" x14ac:dyDescent="0.3">
      <c r="A4" s="1115" t="s">
        <v>14</v>
      </c>
      <c r="B4" s="1116" t="s">
        <v>15</v>
      </c>
      <c r="C4" s="1116" t="s">
        <v>16</v>
      </c>
      <c r="D4" s="1383" t="s">
        <v>17</v>
      </c>
      <c r="E4" s="1384"/>
      <c r="F4" s="7" t="s">
        <v>18</v>
      </c>
      <c r="G4" s="8"/>
      <c r="H4" s="8"/>
      <c r="I4" s="8" t="s">
        <v>19</v>
      </c>
      <c r="J4" s="9" t="s">
        <v>20</v>
      </c>
      <c r="K4" s="9" t="s">
        <v>20</v>
      </c>
      <c r="L4" s="9" t="s">
        <v>20</v>
      </c>
      <c r="M4" s="9" t="s">
        <v>20</v>
      </c>
      <c r="N4" s="9" t="s">
        <v>20</v>
      </c>
      <c r="O4" s="9" t="s">
        <v>20</v>
      </c>
      <c r="P4" s="9" t="s">
        <v>20</v>
      </c>
      <c r="Q4" s="9" t="s">
        <v>20</v>
      </c>
      <c r="R4" s="9" t="s">
        <v>20</v>
      </c>
      <c r="S4" s="10" t="s">
        <v>20</v>
      </c>
    </row>
    <row r="5" spans="1:20" ht="45.75" thickBot="1" x14ac:dyDescent="0.3">
      <c r="A5" s="1117" t="s">
        <v>21</v>
      </c>
      <c r="B5" s="1117" t="s">
        <v>21</v>
      </c>
      <c r="C5" s="1117" t="s">
        <v>22</v>
      </c>
      <c r="D5" s="1117" t="s">
        <v>23</v>
      </c>
      <c r="E5" s="1118" t="s">
        <v>24</v>
      </c>
      <c r="F5" s="11" t="s">
        <v>25</v>
      </c>
      <c r="G5" s="12"/>
      <c r="H5" s="12"/>
      <c r="I5" s="12">
        <v>37686</v>
      </c>
      <c r="J5" s="13">
        <v>20885.52</v>
      </c>
      <c r="K5" s="13">
        <v>-962.5</v>
      </c>
      <c r="L5" s="13">
        <v>1979.27</v>
      </c>
      <c r="M5" s="13">
        <v>34.71</v>
      </c>
      <c r="N5" s="13">
        <v>19834.04</v>
      </c>
      <c r="O5" s="13">
        <v>0</v>
      </c>
      <c r="P5" s="13">
        <v>0</v>
      </c>
      <c r="Q5" s="13">
        <v>0</v>
      </c>
      <c r="R5" s="13">
        <v>0</v>
      </c>
      <c r="S5" s="14">
        <v>0</v>
      </c>
      <c r="T5" s="15"/>
    </row>
    <row r="6" spans="1:20" ht="34.5" thickBot="1" x14ac:dyDescent="0.3">
      <c r="A6" s="1117" t="s">
        <v>21</v>
      </c>
      <c r="B6" s="1117" t="s">
        <v>21</v>
      </c>
      <c r="C6" s="1117" t="s">
        <v>26</v>
      </c>
      <c r="D6" s="1117" t="s">
        <v>23</v>
      </c>
      <c r="E6" s="1118" t="s">
        <v>24</v>
      </c>
      <c r="F6" s="11" t="s">
        <v>27</v>
      </c>
      <c r="G6" s="12"/>
      <c r="H6" s="12"/>
      <c r="I6" s="12">
        <v>62522</v>
      </c>
      <c r="J6" s="13">
        <v>36575.9</v>
      </c>
      <c r="K6" s="13">
        <v>275</v>
      </c>
      <c r="L6" s="13">
        <v>3283.66</v>
      </c>
      <c r="M6" s="13">
        <v>55.64</v>
      </c>
      <c r="N6" s="13">
        <v>32961.599999999999</v>
      </c>
      <c r="O6" s="13">
        <v>0</v>
      </c>
      <c r="P6" s="13">
        <v>0</v>
      </c>
      <c r="Q6" s="13">
        <v>0</v>
      </c>
      <c r="R6" s="13">
        <v>0</v>
      </c>
      <c r="S6" s="14">
        <v>0</v>
      </c>
      <c r="T6" s="15"/>
    </row>
    <row r="7" spans="1:20" ht="23.25" thickBot="1" x14ac:dyDescent="0.3">
      <c r="A7" s="1117" t="s">
        <v>21</v>
      </c>
      <c r="B7" s="1117" t="s">
        <v>21</v>
      </c>
      <c r="C7" s="1117" t="s">
        <v>28</v>
      </c>
      <c r="D7" s="1117" t="s">
        <v>29</v>
      </c>
      <c r="E7" s="1118" t="s">
        <v>30</v>
      </c>
      <c r="F7" s="11" t="s">
        <v>31</v>
      </c>
      <c r="G7" s="12"/>
      <c r="H7" s="12"/>
      <c r="I7" s="12">
        <v>85547</v>
      </c>
      <c r="J7" s="13">
        <v>51243.32</v>
      </c>
      <c r="K7" s="13">
        <v>1650</v>
      </c>
      <c r="L7" s="13">
        <v>4492.9399999999996</v>
      </c>
      <c r="M7" s="13">
        <v>0</v>
      </c>
      <c r="N7" s="13">
        <v>45100.38</v>
      </c>
      <c r="O7" s="13">
        <v>0</v>
      </c>
      <c r="P7" s="13">
        <v>0</v>
      </c>
      <c r="Q7" s="13">
        <v>0</v>
      </c>
      <c r="R7" s="13">
        <v>0</v>
      </c>
      <c r="S7" s="14">
        <v>0</v>
      </c>
      <c r="T7" s="15"/>
    </row>
    <row r="8" spans="1:20" ht="34.5" thickBot="1" x14ac:dyDescent="0.3">
      <c r="A8" s="1117" t="s">
        <v>21</v>
      </c>
      <c r="B8" s="1117" t="s">
        <v>21</v>
      </c>
      <c r="C8" s="1117" t="s">
        <v>26</v>
      </c>
      <c r="D8" s="1117" t="s">
        <v>29</v>
      </c>
      <c r="E8" s="1118" t="s">
        <v>30</v>
      </c>
      <c r="F8" s="11" t="s">
        <v>32</v>
      </c>
      <c r="G8" s="12"/>
      <c r="H8" s="12"/>
      <c r="I8" s="12">
        <v>87023</v>
      </c>
      <c r="J8" s="13">
        <v>50998.969999999994</v>
      </c>
      <c r="K8" s="13">
        <v>550</v>
      </c>
      <c r="L8" s="13">
        <v>4570.45</v>
      </c>
      <c r="M8" s="13">
        <v>0</v>
      </c>
      <c r="N8" s="13">
        <v>45878.52</v>
      </c>
      <c r="O8" s="13">
        <v>0</v>
      </c>
      <c r="P8" s="13">
        <v>0</v>
      </c>
      <c r="Q8" s="13">
        <v>0</v>
      </c>
      <c r="R8" s="13">
        <v>0</v>
      </c>
      <c r="S8" s="14">
        <v>0</v>
      </c>
      <c r="T8" s="15"/>
    </row>
    <row r="9" spans="1:20" s="20" customFormat="1" ht="14.25" thickBot="1" x14ac:dyDescent="0.3">
      <c r="A9" s="1119"/>
      <c r="B9" s="1119"/>
      <c r="C9" s="1119"/>
      <c r="D9" s="1119"/>
      <c r="E9" s="1120"/>
      <c r="F9" s="16" t="s">
        <v>33</v>
      </c>
      <c r="G9" s="12"/>
      <c r="H9" s="17">
        <v>15</v>
      </c>
      <c r="I9" s="17">
        <v>272778</v>
      </c>
      <c r="J9" s="18">
        <v>159703.71</v>
      </c>
      <c r="K9" s="18">
        <v>1512.5</v>
      </c>
      <c r="L9" s="18">
        <v>14326.32</v>
      </c>
      <c r="M9" s="18">
        <v>90.35</v>
      </c>
      <c r="N9" s="18">
        <v>143774.53999999998</v>
      </c>
      <c r="O9" s="18">
        <v>0</v>
      </c>
      <c r="P9" s="18">
        <v>0</v>
      </c>
      <c r="Q9" s="18">
        <v>0</v>
      </c>
      <c r="R9" s="18">
        <v>0</v>
      </c>
      <c r="S9" s="19">
        <v>0</v>
      </c>
      <c r="T9" s="15">
        <v>0</v>
      </c>
    </row>
    <row r="10" spans="1:20" ht="45.75" thickBot="1" x14ac:dyDescent="0.3">
      <c r="A10" s="1117" t="s">
        <v>21</v>
      </c>
      <c r="B10" s="1117" t="s">
        <v>21</v>
      </c>
      <c r="C10" s="1117" t="s">
        <v>22</v>
      </c>
      <c r="D10" s="1117" t="s">
        <v>34</v>
      </c>
      <c r="E10" s="1118" t="s">
        <v>35</v>
      </c>
      <c r="F10" s="11" t="s">
        <v>36</v>
      </c>
      <c r="G10" s="17"/>
      <c r="H10" s="12"/>
      <c r="I10" s="12">
        <v>304</v>
      </c>
      <c r="J10" s="13">
        <v>697.44999999999993</v>
      </c>
      <c r="K10" s="13">
        <v>480</v>
      </c>
      <c r="L10" s="13">
        <v>56.91</v>
      </c>
      <c r="M10" s="13">
        <v>0.27</v>
      </c>
      <c r="N10" s="13">
        <v>160.27000000000001</v>
      </c>
      <c r="O10" s="13">
        <v>0</v>
      </c>
      <c r="P10" s="13">
        <v>0</v>
      </c>
      <c r="Q10" s="13">
        <v>0</v>
      </c>
      <c r="R10" s="13">
        <v>0</v>
      </c>
      <c r="S10" s="14">
        <v>0</v>
      </c>
      <c r="T10" s="15"/>
    </row>
    <row r="11" spans="1:20" ht="34.5" thickBot="1" x14ac:dyDescent="0.3">
      <c r="A11" s="1117" t="s">
        <v>21</v>
      </c>
      <c r="B11" s="1117" t="s">
        <v>21</v>
      </c>
      <c r="C11" s="1117" t="s">
        <v>26</v>
      </c>
      <c r="D11" s="1117" t="s">
        <v>34</v>
      </c>
      <c r="E11" s="1118" t="s">
        <v>35</v>
      </c>
      <c r="F11" s="11" t="s">
        <v>36</v>
      </c>
      <c r="G11" s="12"/>
      <c r="H11" s="12"/>
      <c r="I11" s="12">
        <v>54</v>
      </c>
      <c r="J11" s="13">
        <v>128.63</v>
      </c>
      <c r="K11" s="13">
        <v>90</v>
      </c>
      <c r="L11" s="13">
        <v>10.11</v>
      </c>
      <c r="M11" s="13">
        <v>0.05</v>
      </c>
      <c r="N11" s="13">
        <v>28.47</v>
      </c>
      <c r="O11" s="13">
        <v>0</v>
      </c>
      <c r="P11" s="13">
        <v>0</v>
      </c>
      <c r="Q11" s="13">
        <v>0</v>
      </c>
      <c r="R11" s="13">
        <v>0</v>
      </c>
      <c r="S11" s="14">
        <v>0</v>
      </c>
      <c r="T11" s="15"/>
    </row>
    <row r="12" spans="1:20" ht="45.75" thickBot="1" x14ac:dyDescent="0.3">
      <c r="A12" s="1117" t="s">
        <v>21</v>
      </c>
      <c r="B12" s="1117" t="s">
        <v>21</v>
      </c>
      <c r="C12" s="1117" t="s">
        <v>22</v>
      </c>
      <c r="D12" s="1117" t="s">
        <v>37</v>
      </c>
      <c r="E12" s="1118" t="s">
        <v>38</v>
      </c>
      <c r="F12" s="11" t="s">
        <v>39</v>
      </c>
      <c r="G12" s="12"/>
      <c r="H12" s="12"/>
      <c r="I12" s="12">
        <v>7320575</v>
      </c>
      <c r="J12" s="13">
        <v>6135295.6299999999</v>
      </c>
      <c r="K12" s="13">
        <v>826956.32</v>
      </c>
      <c r="L12" s="13">
        <v>1265110.52</v>
      </c>
      <c r="M12" s="13">
        <v>6501.34</v>
      </c>
      <c r="N12" s="13">
        <v>3859280.13</v>
      </c>
      <c r="O12" s="13">
        <v>177447.32</v>
      </c>
      <c r="P12" s="13">
        <v>0</v>
      </c>
      <c r="Q12" s="13">
        <v>0</v>
      </c>
      <c r="R12" s="13">
        <v>0</v>
      </c>
      <c r="S12" s="14">
        <v>2536.91</v>
      </c>
      <c r="T12" s="15"/>
    </row>
    <row r="13" spans="1:20" ht="34.5" thickBot="1" x14ac:dyDescent="0.3">
      <c r="A13" s="1117" t="s">
        <v>21</v>
      </c>
      <c r="B13" s="1117" t="s">
        <v>21</v>
      </c>
      <c r="C13" s="1117" t="s">
        <v>26</v>
      </c>
      <c r="D13" s="1117" t="s">
        <v>37</v>
      </c>
      <c r="E13" s="1118" t="s">
        <v>38</v>
      </c>
      <c r="F13" s="11" t="s">
        <v>39</v>
      </c>
      <c r="G13" s="17"/>
      <c r="H13" s="12"/>
      <c r="I13" s="12">
        <v>1418579</v>
      </c>
      <c r="J13" s="13">
        <v>1096875.5</v>
      </c>
      <c r="K13" s="13">
        <v>74899.02</v>
      </c>
      <c r="L13" s="13">
        <v>227234.87</v>
      </c>
      <c r="M13" s="13">
        <v>1251.57</v>
      </c>
      <c r="N13" s="13">
        <v>747878.19</v>
      </c>
      <c r="O13" s="13">
        <v>45611.85</v>
      </c>
      <c r="P13" s="13">
        <v>0</v>
      </c>
      <c r="Q13" s="13">
        <v>0</v>
      </c>
      <c r="R13" s="13">
        <v>0</v>
      </c>
      <c r="S13" s="14">
        <v>264.95999999999998</v>
      </c>
      <c r="T13" s="15"/>
    </row>
    <row r="14" spans="1:20" ht="23.25" thickBot="1" x14ac:dyDescent="0.3">
      <c r="A14" s="1117" t="s">
        <v>21</v>
      </c>
      <c r="B14" s="1117" t="s">
        <v>21</v>
      </c>
      <c r="C14" s="1117" t="s">
        <v>40</v>
      </c>
      <c r="D14" s="1117" t="s">
        <v>37</v>
      </c>
      <c r="E14" s="1118" t="s">
        <v>38</v>
      </c>
      <c r="F14" s="11" t="s">
        <v>39</v>
      </c>
      <c r="G14" s="12"/>
      <c r="H14" s="12"/>
      <c r="I14" s="12">
        <v>2320</v>
      </c>
      <c r="J14" s="13">
        <v>2197.65</v>
      </c>
      <c r="K14" s="13">
        <v>500</v>
      </c>
      <c r="L14" s="13">
        <v>428.64</v>
      </c>
      <c r="M14" s="13">
        <v>2.0499999999999998</v>
      </c>
      <c r="N14" s="13">
        <v>1223.0999999999999</v>
      </c>
      <c r="O14" s="13">
        <v>43.86</v>
      </c>
      <c r="P14" s="13">
        <v>0</v>
      </c>
      <c r="Q14" s="13">
        <v>0</v>
      </c>
      <c r="R14" s="13">
        <v>0</v>
      </c>
      <c r="S14" s="14">
        <v>0</v>
      </c>
      <c r="T14" s="15"/>
    </row>
    <row r="15" spans="1:20" ht="45.75" thickBot="1" x14ac:dyDescent="0.3">
      <c r="A15" s="1117" t="s">
        <v>21</v>
      </c>
      <c r="B15" s="1117" t="s">
        <v>21</v>
      </c>
      <c r="C15" s="1117" t="s">
        <v>22</v>
      </c>
      <c r="D15" s="1117" t="s">
        <v>41</v>
      </c>
      <c r="E15" s="1118" t="s">
        <v>42</v>
      </c>
      <c r="F15" s="11" t="s">
        <v>43</v>
      </c>
      <c r="G15" s="21"/>
      <c r="H15" s="12"/>
      <c r="I15" s="12">
        <v>610</v>
      </c>
      <c r="J15" s="13">
        <v>18949.02</v>
      </c>
      <c r="K15" s="13">
        <v>18510</v>
      </c>
      <c r="L15" s="13">
        <v>115.81</v>
      </c>
      <c r="M15" s="13">
        <v>0</v>
      </c>
      <c r="N15" s="13">
        <v>323.20999999999998</v>
      </c>
      <c r="O15" s="13">
        <v>0</v>
      </c>
      <c r="P15" s="13">
        <v>0</v>
      </c>
      <c r="Q15" s="13">
        <v>0</v>
      </c>
      <c r="R15" s="13">
        <v>0</v>
      </c>
      <c r="S15" s="14">
        <v>1.84</v>
      </c>
      <c r="T15" s="15"/>
    </row>
    <row r="16" spans="1:20" s="20" customFormat="1" ht="14.25" thickBot="1" x14ac:dyDescent="0.3">
      <c r="A16" s="1119"/>
      <c r="B16" s="1119"/>
      <c r="C16" s="1119"/>
      <c r="D16" s="1119"/>
      <c r="E16" s="1120"/>
      <c r="F16" s="16" t="s">
        <v>44</v>
      </c>
      <c r="G16" s="21"/>
      <c r="H16" s="17">
        <v>25858</v>
      </c>
      <c r="I16" s="17">
        <v>8742442</v>
      </c>
      <c r="J16" s="18">
        <v>7254143.8799999999</v>
      </c>
      <c r="K16" s="18">
        <v>921435.34</v>
      </c>
      <c r="L16" s="18">
        <v>1492956.86</v>
      </c>
      <c r="M16" s="18">
        <v>7755.28</v>
      </c>
      <c r="N16" s="18">
        <v>4608893.37</v>
      </c>
      <c r="O16" s="18">
        <v>223103.03</v>
      </c>
      <c r="P16" s="18">
        <v>0</v>
      </c>
      <c r="Q16" s="18">
        <v>0</v>
      </c>
      <c r="R16" s="18">
        <v>0</v>
      </c>
      <c r="S16" s="19">
        <v>2803.71</v>
      </c>
      <c r="T16" s="15">
        <v>0</v>
      </c>
    </row>
    <row r="17" spans="1:21" ht="23.25" outlineLevel="2" thickBot="1" x14ac:dyDescent="0.3">
      <c r="A17" s="1117" t="s">
        <v>21</v>
      </c>
      <c r="B17" s="1117" t="s">
        <v>21</v>
      </c>
      <c r="C17" s="1117" t="s">
        <v>28</v>
      </c>
      <c r="D17" s="1117" t="s">
        <v>45</v>
      </c>
      <c r="E17" s="1118" t="s">
        <v>46</v>
      </c>
      <c r="F17" s="11" t="s">
        <v>47</v>
      </c>
      <c r="G17" s="21"/>
      <c r="H17" s="12"/>
      <c r="I17" s="12">
        <v>624664</v>
      </c>
      <c r="J17" s="13">
        <v>443732.06999999995</v>
      </c>
      <c r="K17" s="13">
        <v>19010</v>
      </c>
      <c r="L17" s="13">
        <v>95523.6</v>
      </c>
      <c r="M17" s="13">
        <v>0</v>
      </c>
      <c r="N17" s="13">
        <v>329198.46999999997</v>
      </c>
      <c r="O17" s="13">
        <v>0</v>
      </c>
      <c r="P17" s="13">
        <v>0</v>
      </c>
      <c r="Q17" s="13">
        <v>0</v>
      </c>
      <c r="R17" s="13">
        <v>0</v>
      </c>
      <c r="S17" s="14">
        <v>0</v>
      </c>
      <c r="T17" s="15"/>
    </row>
    <row r="18" spans="1:21" ht="15.75" outlineLevel="2" thickBot="1" x14ac:dyDescent="0.3">
      <c r="A18" s="1117"/>
      <c r="B18" s="1117"/>
      <c r="C18" s="1117"/>
      <c r="D18" s="1117" t="s">
        <v>45</v>
      </c>
      <c r="E18" s="1118"/>
      <c r="F18" s="11" t="s">
        <v>47</v>
      </c>
      <c r="G18" s="21"/>
      <c r="H18" s="12"/>
      <c r="I18" s="12">
        <v>3705</v>
      </c>
      <c r="J18" s="13">
        <v>2742.8</v>
      </c>
      <c r="K18" s="13">
        <v>170</v>
      </c>
      <c r="L18" s="13">
        <v>619.52</v>
      </c>
      <c r="M18" s="13">
        <v>0</v>
      </c>
      <c r="N18" s="13">
        <v>1953.28</v>
      </c>
      <c r="O18" s="13">
        <v>0</v>
      </c>
      <c r="P18" s="13">
        <v>0</v>
      </c>
      <c r="Q18" s="13">
        <v>0</v>
      </c>
      <c r="R18" s="13">
        <v>0</v>
      </c>
      <c r="S18" s="14">
        <v>0</v>
      </c>
      <c r="T18" s="15"/>
    </row>
    <row r="19" spans="1:21" ht="15.75" outlineLevel="2" thickBot="1" x14ac:dyDescent="0.3">
      <c r="A19" s="1117" t="s">
        <v>21</v>
      </c>
      <c r="B19" s="1117" t="s">
        <v>21</v>
      </c>
      <c r="C19" s="1121" t="s">
        <v>26</v>
      </c>
      <c r="D19" s="1121" t="s">
        <v>45</v>
      </c>
      <c r="E19" s="1118" t="s">
        <v>46</v>
      </c>
      <c r="F19" s="11" t="s">
        <v>47</v>
      </c>
      <c r="G19" s="12"/>
      <c r="H19" s="12"/>
      <c r="I19" s="12">
        <v>71894</v>
      </c>
      <c r="J19" s="13">
        <v>48662.159999999996</v>
      </c>
      <c r="K19" s="13">
        <v>460</v>
      </c>
      <c r="L19" s="13">
        <v>10299.629999999999</v>
      </c>
      <c r="M19" s="13">
        <v>0</v>
      </c>
      <c r="N19" s="13">
        <v>37902.53</v>
      </c>
      <c r="O19" s="13">
        <v>0</v>
      </c>
      <c r="P19" s="13">
        <v>0</v>
      </c>
      <c r="Q19" s="13">
        <v>0</v>
      </c>
      <c r="R19" s="13">
        <v>0</v>
      </c>
      <c r="S19" s="14">
        <v>0</v>
      </c>
      <c r="T19" s="15"/>
    </row>
    <row r="20" spans="1:21" s="20" customFormat="1" ht="14.25" outlineLevel="1" thickBot="1" x14ac:dyDescent="0.3">
      <c r="A20" s="1119"/>
      <c r="B20" s="1119"/>
      <c r="C20" s="1121"/>
      <c r="D20" s="1122"/>
      <c r="E20" s="1120"/>
      <c r="F20" s="16" t="s">
        <v>48</v>
      </c>
      <c r="G20" s="17"/>
      <c r="H20" s="17">
        <v>199</v>
      </c>
      <c r="I20" s="17">
        <v>700263</v>
      </c>
      <c r="J20" s="18">
        <v>495137.02999999991</v>
      </c>
      <c r="K20" s="18">
        <v>19640</v>
      </c>
      <c r="L20" s="18">
        <v>106442.75000000001</v>
      </c>
      <c r="M20" s="18">
        <v>0</v>
      </c>
      <c r="N20" s="18">
        <v>369054.28</v>
      </c>
      <c r="O20" s="18">
        <v>0</v>
      </c>
      <c r="P20" s="18">
        <v>0</v>
      </c>
      <c r="Q20" s="18">
        <v>0</v>
      </c>
      <c r="R20" s="18">
        <v>0</v>
      </c>
      <c r="S20" s="19">
        <v>0</v>
      </c>
      <c r="T20" s="15">
        <v>0</v>
      </c>
    </row>
    <row r="21" spans="1:21" ht="15.75" outlineLevel="2" thickBot="1" x14ac:dyDescent="0.3">
      <c r="A21" s="1117" t="s">
        <v>21</v>
      </c>
      <c r="B21" s="1117" t="s">
        <v>21</v>
      </c>
      <c r="C21" s="1121" t="s">
        <v>40</v>
      </c>
      <c r="D21" s="1121" t="s">
        <v>49</v>
      </c>
      <c r="E21" s="1118" t="s">
        <v>50</v>
      </c>
      <c r="F21" s="11" t="s">
        <v>51</v>
      </c>
      <c r="G21" s="12"/>
      <c r="H21" s="12"/>
      <c r="I21" s="12">
        <v>32</v>
      </c>
      <c r="J21" s="13">
        <v>49.600000000000009</v>
      </c>
      <c r="K21" s="13">
        <v>25</v>
      </c>
      <c r="L21" s="13">
        <v>7.17</v>
      </c>
      <c r="M21" s="13">
        <v>0.56000000000000005</v>
      </c>
      <c r="N21" s="13">
        <v>16.87</v>
      </c>
      <c r="O21" s="13">
        <v>0</v>
      </c>
      <c r="P21" s="13">
        <v>0</v>
      </c>
      <c r="Q21" s="13">
        <v>0</v>
      </c>
      <c r="R21" s="13">
        <v>0</v>
      </c>
      <c r="S21" s="14">
        <v>0</v>
      </c>
      <c r="T21" s="15"/>
    </row>
    <row r="22" spans="1:21" ht="15.75" outlineLevel="2" thickBot="1" x14ac:dyDescent="0.3">
      <c r="A22" s="1117" t="s">
        <v>21</v>
      </c>
      <c r="B22" s="1117" t="s">
        <v>21</v>
      </c>
      <c r="C22" s="1121" t="s">
        <v>40</v>
      </c>
      <c r="D22" s="1121" t="s">
        <v>52</v>
      </c>
      <c r="E22" s="1118" t="s">
        <v>53</v>
      </c>
      <c r="F22" s="11" t="s">
        <v>54</v>
      </c>
      <c r="G22" s="17"/>
      <c r="H22" s="21"/>
      <c r="I22" s="12">
        <v>17616992</v>
      </c>
      <c r="J22" s="13">
        <v>17809996.320000004</v>
      </c>
      <c r="K22" s="13">
        <v>3646537.52</v>
      </c>
      <c r="L22" s="13">
        <v>3945474.7</v>
      </c>
      <c r="M22" s="13">
        <v>309625.28000000003</v>
      </c>
      <c r="N22" s="13">
        <v>9288359.9700000007</v>
      </c>
      <c r="O22" s="13">
        <v>619998.85</v>
      </c>
      <c r="P22" s="13">
        <v>0</v>
      </c>
      <c r="Q22" s="13">
        <v>44164.5</v>
      </c>
      <c r="R22" s="13">
        <v>0</v>
      </c>
      <c r="S22" s="14">
        <v>5057.55</v>
      </c>
      <c r="T22" s="15"/>
    </row>
    <row r="23" spans="1:21" ht="15.75" outlineLevel="2" thickBot="1" x14ac:dyDescent="0.3">
      <c r="A23" s="1117" t="s">
        <v>21</v>
      </c>
      <c r="B23" s="1117" t="s">
        <v>21</v>
      </c>
      <c r="C23" s="1121" t="s">
        <v>26</v>
      </c>
      <c r="D23" s="1121" t="s">
        <v>52</v>
      </c>
      <c r="E23" s="1118" t="s">
        <v>53</v>
      </c>
      <c r="F23" s="11" t="s">
        <v>54</v>
      </c>
      <c r="G23" s="12"/>
      <c r="H23" s="21"/>
      <c r="I23" s="12">
        <v>1189</v>
      </c>
      <c r="J23" s="13">
        <v>1421.1399999999999</v>
      </c>
      <c r="K23" s="13">
        <v>462.5</v>
      </c>
      <c r="L23" s="13">
        <v>266.27999999999997</v>
      </c>
      <c r="M23" s="13">
        <v>20.9</v>
      </c>
      <c r="N23" s="13">
        <v>626.86</v>
      </c>
      <c r="O23" s="13">
        <v>44.6</v>
      </c>
      <c r="P23" s="13">
        <v>0</v>
      </c>
      <c r="Q23" s="13">
        <v>5.55</v>
      </c>
      <c r="R23" s="13">
        <v>0</v>
      </c>
      <c r="S23" s="14">
        <v>0</v>
      </c>
      <c r="T23" s="15"/>
    </row>
    <row r="24" spans="1:21" ht="15.75" outlineLevel="2" thickBot="1" x14ac:dyDescent="0.3">
      <c r="A24" s="1117"/>
      <c r="B24" s="1117"/>
      <c r="C24" s="1121"/>
      <c r="D24" s="1121" t="s">
        <v>52</v>
      </c>
      <c r="E24" s="1118"/>
      <c r="F24" s="11" t="s">
        <v>54</v>
      </c>
      <c r="G24" s="12"/>
      <c r="H24" s="21"/>
      <c r="I24" s="12">
        <v>106</v>
      </c>
      <c r="J24" s="13">
        <v>105.44999999999999</v>
      </c>
      <c r="K24" s="13">
        <v>25</v>
      </c>
      <c r="L24" s="13">
        <v>23.74</v>
      </c>
      <c r="M24" s="13">
        <v>1.87</v>
      </c>
      <c r="N24" s="13">
        <v>55.88</v>
      </c>
      <c r="O24" s="13">
        <v>-1.04</v>
      </c>
      <c r="P24" s="13">
        <v>0</v>
      </c>
      <c r="Q24" s="13">
        <v>0.3</v>
      </c>
      <c r="R24" s="13">
        <v>0</v>
      </c>
      <c r="S24" s="14">
        <v>0</v>
      </c>
      <c r="T24" s="15"/>
    </row>
    <row r="25" spans="1:21" ht="15.75" outlineLevel="2" thickBot="1" x14ac:dyDescent="0.3">
      <c r="A25" s="1117" t="s">
        <v>21</v>
      </c>
      <c r="B25" s="1117" t="s">
        <v>21</v>
      </c>
      <c r="C25" s="1121" t="s">
        <v>40</v>
      </c>
      <c r="D25" s="1121" t="s">
        <v>55</v>
      </c>
      <c r="E25" s="1118" t="s">
        <v>56</v>
      </c>
      <c r="F25" s="11" t="s">
        <v>57</v>
      </c>
      <c r="G25" s="17"/>
      <c r="H25" s="12"/>
      <c r="I25" s="12">
        <v>1479</v>
      </c>
      <c r="J25" s="13">
        <v>713.5</v>
      </c>
      <c r="K25" s="13">
        <v>0.5</v>
      </c>
      <c r="L25" s="13">
        <v>-66.73</v>
      </c>
      <c r="M25" s="13">
        <v>0</v>
      </c>
      <c r="N25" s="13">
        <v>779.73</v>
      </c>
      <c r="O25" s="13">
        <v>0</v>
      </c>
      <c r="P25" s="13">
        <v>0</v>
      </c>
      <c r="Q25" s="13">
        <v>0</v>
      </c>
      <c r="R25" s="13">
        <v>0</v>
      </c>
      <c r="S25" s="14">
        <v>0</v>
      </c>
      <c r="T25" s="15"/>
    </row>
    <row r="26" spans="1:21" s="20" customFormat="1" ht="14.25" outlineLevel="1" thickBot="1" x14ac:dyDescent="0.3">
      <c r="A26" s="1119"/>
      <c r="B26" s="1119"/>
      <c r="C26" s="1121"/>
      <c r="D26" s="1122"/>
      <c r="E26" s="1120"/>
      <c r="F26" s="16" t="s">
        <v>58</v>
      </c>
      <c r="G26" s="17"/>
      <c r="H26" s="17">
        <v>292288</v>
      </c>
      <c r="I26" s="17">
        <v>17619798</v>
      </c>
      <c r="J26" s="18">
        <v>17812286.010000005</v>
      </c>
      <c r="K26" s="18">
        <v>3647050.52</v>
      </c>
      <c r="L26" s="18">
        <v>3945705.16</v>
      </c>
      <c r="M26" s="18">
        <v>309648.61000000004</v>
      </c>
      <c r="N26" s="18">
        <v>9289839.3100000005</v>
      </c>
      <c r="O26" s="18">
        <v>620042.40999999992</v>
      </c>
      <c r="P26" s="18">
        <v>0</v>
      </c>
      <c r="Q26" s="18">
        <v>44170.350000000006</v>
      </c>
      <c r="R26" s="18">
        <v>0</v>
      </c>
      <c r="S26" s="19">
        <v>5057.55</v>
      </c>
      <c r="T26" s="15">
        <v>0</v>
      </c>
    </row>
    <row r="27" spans="1:21" ht="15.75" outlineLevel="2" thickBot="1" x14ac:dyDescent="0.3">
      <c r="A27" s="1117" t="s">
        <v>21</v>
      </c>
      <c r="B27" s="1117" t="s">
        <v>21</v>
      </c>
      <c r="C27" s="1121" t="s">
        <v>40</v>
      </c>
      <c r="D27" s="1121" t="s">
        <v>59</v>
      </c>
      <c r="E27" s="1118" t="s">
        <v>60</v>
      </c>
      <c r="F27" s="11" t="s">
        <v>61</v>
      </c>
      <c r="G27" s="12"/>
      <c r="H27" s="12"/>
      <c r="I27" s="12">
        <v>516</v>
      </c>
      <c r="J27" s="13">
        <v>443.59999999999997</v>
      </c>
      <c r="K27" s="13">
        <v>37.5</v>
      </c>
      <c r="L27" s="13">
        <v>115.56</v>
      </c>
      <c r="M27" s="13">
        <v>9.08</v>
      </c>
      <c r="N27" s="13">
        <v>272.02999999999997</v>
      </c>
      <c r="O27" s="13">
        <v>9.43</v>
      </c>
      <c r="P27" s="13">
        <v>0</v>
      </c>
      <c r="Q27" s="13">
        <v>0</v>
      </c>
      <c r="R27" s="13">
        <v>0</v>
      </c>
      <c r="S27" s="14">
        <v>0</v>
      </c>
      <c r="T27" s="15"/>
    </row>
    <row r="28" spans="1:21" ht="15.75" outlineLevel="2" thickBot="1" x14ac:dyDescent="0.3">
      <c r="A28" s="1117" t="s">
        <v>21</v>
      </c>
      <c r="B28" s="1117" t="s">
        <v>21</v>
      </c>
      <c r="C28" s="1121" t="s">
        <v>26</v>
      </c>
      <c r="D28" s="1121" t="s">
        <v>59</v>
      </c>
      <c r="E28" s="1118" t="s">
        <v>60</v>
      </c>
      <c r="F28" s="11" t="s">
        <v>61</v>
      </c>
      <c r="G28" s="12"/>
      <c r="H28" s="12"/>
      <c r="I28" s="12">
        <v>488</v>
      </c>
      <c r="J28" s="13">
        <v>408.48999999999995</v>
      </c>
      <c r="K28" s="13">
        <v>12.5</v>
      </c>
      <c r="L28" s="13">
        <v>109.29</v>
      </c>
      <c r="M28" s="13">
        <v>8.59</v>
      </c>
      <c r="N28" s="13">
        <v>257.27</v>
      </c>
      <c r="O28" s="13">
        <v>20.84</v>
      </c>
      <c r="P28" s="13">
        <v>0</v>
      </c>
      <c r="Q28" s="13">
        <v>0</v>
      </c>
      <c r="R28" s="13">
        <v>0</v>
      </c>
      <c r="S28" s="14">
        <v>0</v>
      </c>
      <c r="T28" s="15"/>
    </row>
    <row r="29" spans="1:21" s="20" customFormat="1" ht="14.25" outlineLevel="1" thickBot="1" x14ac:dyDescent="0.3">
      <c r="A29" s="1123"/>
      <c r="B29" s="1123"/>
      <c r="C29" s="1123"/>
      <c r="D29" s="1123"/>
      <c r="E29" s="1123"/>
      <c r="F29" s="22" t="s">
        <v>62</v>
      </c>
      <c r="G29" s="12"/>
      <c r="H29" s="17">
        <v>4</v>
      </c>
      <c r="I29" s="17">
        <v>1004</v>
      </c>
      <c r="J29" s="18">
        <v>852.08999999999992</v>
      </c>
      <c r="K29" s="18">
        <v>50</v>
      </c>
      <c r="L29" s="18">
        <v>224.85000000000002</v>
      </c>
      <c r="M29" s="18">
        <v>17.670000000000002</v>
      </c>
      <c r="N29" s="18">
        <v>529.29999999999995</v>
      </c>
      <c r="O29" s="18">
        <v>30.27</v>
      </c>
      <c r="P29" s="18">
        <v>0</v>
      </c>
      <c r="Q29" s="18">
        <v>0</v>
      </c>
      <c r="R29" s="18">
        <v>0</v>
      </c>
      <c r="S29" s="19">
        <v>0</v>
      </c>
      <c r="T29" s="15">
        <v>0</v>
      </c>
    </row>
    <row r="30" spans="1:21" ht="15.75" outlineLevel="2" thickBot="1" x14ac:dyDescent="0.3">
      <c r="B30" s="1123"/>
      <c r="C30" s="1123"/>
      <c r="D30" s="1117" t="s">
        <v>63</v>
      </c>
      <c r="E30" s="1118" t="s">
        <v>64</v>
      </c>
      <c r="F30" s="11" t="s">
        <v>65</v>
      </c>
      <c r="G30" s="12"/>
      <c r="H30" s="12"/>
      <c r="I30" s="12">
        <v>6618</v>
      </c>
      <c r="J30" s="47">
        <v>4623.0200000000004</v>
      </c>
      <c r="K30" s="47">
        <v>170</v>
      </c>
      <c r="L30" s="47">
        <v>958.12</v>
      </c>
      <c r="M30" s="47">
        <v>5.89</v>
      </c>
      <c r="N30" s="47">
        <v>3489.01</v>
      </c>
      <c r="O30" s="47"/>
      <c r="P30" s="47"/>
      <c r="Q30" s="47"/>
      <c r="R30" s="47"/>
      <c r="S30" s="48"/>
      <c r="U30" s="23">
        <v>0</v>
      </c>
    </row>
    <row r="31" spans="1:21" ht="15.75" outlineLevel="2" thickBot="1" x14ac:dyDescent="0.3">
      <c r="B31" s="1123"/>
      <c r="C31" s="1123"/>
      <c r="D31" s="1117" t="s">
        <v>66</v>
      </c>
      <c r="E31" s="1118" t="s">
        <v>67</v>
      </c>
      <c r="F31" s="11" t="s">
        <v>68</v>
      </c>
      <c r="G31" s="17"/>
      <c r="H31" s="12"/>
      <c r="I31" s="12">
        <v>1394</v>
      </c>
      <c r="J31" s="47">
        <v>1490.3899999999999</v>
      </c>
      <c r="K31" s="47">
        <v>510</v>
      </c>
      <c r="L31" s="47">
        <v>245.47</v>
      </c>
      <c r="M31" s="47">
        <v>0</v>
      </c>
      <c r="N31" s="47">
        <v>734.92</v>
      </c>
      <c r="O31" s="47"/>
      <c r="P31" s="47"/>
      <c r="Q31" s="47"/>
      <c r="R31" s="47"/>
      <c r="S31" s="48"/>
      <c r="U31" s="23">
        <v>0</v>
      </c>
    </row>
    <row r="32" spans="1:21" ht="15.75" thickBot="1" x14ac:dyDescent="0.3">
      <c r="B32" s="1123"/>
      <c r="C32" s="1123"/>
      <c r="D32" s="1119"/>
      <c r="E32" s="1120"/>
      <c r="F32" s="16" t="s">
        <v>69</v>
      </c>
      <c r="G32" s="12"/>
      <c r="H32" s="17">
        <v>3</v>
      </c>
      <c r="I32" s="17">
        <v>8012</v>
      </c>
      <c r="J32" s="18">
        <v>6113.41</v>
      </c>
      <c r="K32" s="18">
        <v>680</v>
      </c>
      <c r="L32" s="18">
        <v>1203.5899999999999</v>
      </c>
      <c r="M32" s="18">
        <v>5.89</v>
      </c>
      <c r="N32" s="18">
        <v>4223.93</v>
      </c>
      <c r="O32" s="18">
        <v>0</v>
      </c>
      <c r="P32" s="18">
        <v>0</v>
      </c>
      <c r="Q32" s="18">
        <v>0</v>
      </c>
      <c r="R32" s="18">
        <v>0</v>
      </c>
      <c r="S32" s="19">
        <v>0</v>
      </c>
      <c r="U32" s="23">
        <v>0</v>
      </c>
    </row>
    <row r="33" spans="1:20" s="20" customFormat="1" ht="14.25" thickBot="1" x14ac:dyDescent="0.3">
      <c r="A33" s="1123"/>
      <c r="B33" s="1123"/>
      <c r="C33" s="1123"/>
      <c r="D33" s="1123"/>
      <c r="E33" s="1123"/>
      <c r="F33" s="22"/>
      <c r="G33" s="12"/>
      <c r="H33" s="17"/>
      <c r="I33" s="17"/>
      <c r="J33" s="18"/>
      <c r="K33" s="18"/>
      <c r="L33" s="18"/>
      <c r="M33" s="18"/>
      <c r="N33" s="18"/>
      <c r="O33" s="18"/>
      <c r="P33" s="18"/>
      <c r="Q33" s="18"/>
      <c r="R33" s="18"/>
      <c r="S33" s="19"/>
      <c r="T33" s="15"/>
    </row>
    <row r="34" spans="1:20" s="20" customFormat="1" ht="14.25" thickBot="1" x14ac:dyDescent="0.3">
      <c r="A34" s="1123"/>
      <c r="B34" s="1123"/>
      <c r="C34" s="1123"/>
      <c r="D34" s="1123"/>
      <c r="E34" s="1123"/>
      <c r="F34" s="16" t="s">
        <v>70</v>
      </c>
      <c r="G34" s="24"/>
      <c r="H34" s="12"/>
      <c r="I34" s="17"/>
      <c r="J34" s="18"/>
      <c r="K34" s="17"/>
      <c r="L34" s="18"/>
      <c r="M34" s="18"/>
      <c r="N34" s="18"/>
      <c r="O34" s="18"/>
      <c r="P34" s="18"/>
      <c r="Q34" s="18"/>
      <c r="R34" s="18"/>
      <c r="S34" s="19"/>
      <c r="T34" s="15"/>
    </row>
    <row r="35" spans="1:20" s="20" customFormat="1" ht="14.25" thickBot="1" x14ac:dyDescent="0.3">
      <c r="A35" s="1123"/>
      <c r="B35" s="1123"/>
      <c r="C35" s="1123"/>
      <c r="D35" s="1123"/>
      <c r="E35" s="1123"/>
      <c r="F35" s="22"/>
      <c r="G35" s="25" t="s">
        <v>71</v>
      </c>
      <c r="H35" s="12"/>
      <c r="I35" s="17">
        <v>0</v>
      </c>
      <c r="J35" s="18">
        <v>28856.77</v>
      </c>
      <c r="K35" s="17"/>
      <c r="L35" s="18"/>
      <c r="M35" s="18"/>
      <c r="N35" s="18">
        <v>28856.77</v>
      </c>
      <c r="O35" s="18"/>
      <c r="P35" s="18"/>
      <c r="Q35" s="18"/>
      <c r="R35" s="18"/>
      <c r="S35" s="19"/>
      <c r="T35" s="15"/>
    </row>
    <row r="36" spans="1:20" s="20" customFormat="1" ht="14.25" thickBot="1" x14ac:dyDescent="0.3">
      <c r="A36" s="1123"/>
      <c r="B36" s="1123"/>
      <c r="C36" s="1123"/>
      <c r="D36" s="1123"/>
      <c r="E36" s="1123"/>
      <c r="F36" s="22"/>
      <c r="G36" s="25" t="s">
        <v>71</v>
      </c>
      <c r="H36" s="12"/>
      <c r="I36" s="17">
        <v>0</v>
      </c>
      <c r="J36" s="18">
        <v>24659.31</v>
      </c>
      <c r="K36" s="17"/>
      <c r="L36" s="18"/>
      <c r="M36" s="18"/>
      <c r="N36" s="18">
        <v>24659.31</v>
      </c>
      <c r="O36" s="18"/>
      <c r="P36" s="18"/>
      <c r="Q36" s="18"/>
      <c r="R36" s="18"/>
      <c r="S36" s="19"/>
      <c r="T36" s="15"/>
    </row>
    <row r="37" spans="1:20" s="20" customFormat="1" ht="14.25" thickBot="1" x14ac:dyDescent="0.3">
      <c r="A37" s="1123"/>
      <c r="B37" s="1123"/>
      <c r="C37" s="1123"/>
      <c r="D37" s="1123"/>
      <c r="E37" s="1124"/>
      <c r="F37" s="22"/>
      <c r="G37" s="26" t="s">
        <v>71</v>
      </c>
      <c r="H37" s="17"/>
      <c r="I37" s="17">
        <v>9284</v>
      </c>
      <c r="J37" s="18">
        <v>4647.67</v>
      </c>
      <c r="K37" s="18">
        <v>275</v>
      </c>
      <c r="L37" s="18">
        <v>97.39</v>
      </c>
      <c r="M37" s="18"/>
      <c r="N37" s="18">
        <v>4275.28</v>
      </c>
      <c r="O37" s="18"/>
      <c r="P37" s="18"/>
      <c r="Q37" s="18"/>
      <c r="R37" s="18"/>
      <c r="S37" s="19"/>
      <c r="T37" s="15"/>
    </row>
    <row r="38" spans="1:20" s="20" customFormat="1" ht="14.25" thickBot="1" x14ac:dyDescent="0.3">
      <c r="A38" s="1123"/>
      <c r="B38" s="1123"/>
      <c r="C38" s="1123"/>
      <c r="D38" s="1123"/>
      <c r="E38" s="1124"/>
      <c r="F38" s="22"/>
      <c r="G38" s="26" t="s">
        <v>71</v>
      </c>
      <c r="H38" s="17"/>
      <c r="I38" s="17">
        <v>807</v>
      </c>
      <c r="J38" s="18">
        <v>406.89</v>
      </c>
      <c r="K38" s="18"/>
      <c r="L38" s="18">
        <v>34.700000000000003</v>
      </c>
      <c r="M38" s="18">
        <v>0.56999999999999995</v>
      </c>
      <c r="N38" s="18">
        <v>371.62</v>
      </c>
      <c r="O38" s="18"/>
      <c r="P38" s="18"/>
      <c r="Q38" s="18"/>
      <c r="R38" s="18"/>
      <c r="S38" s="19"/>
      <c r="T38" s="15"/>
    </row>
    <row r="39" spans="1:20" s="20" customFormat="1" ht="14.25" thickBot="1" x14ac:dyDescent="0.3">
      <c r="A39" s="1123"/>
      <c r="B39" s="1123"/>
      <c r="C39" s="1123"/>
      <c r="D39" s="1123"/>
      <c r="E39" s="1124"/>
      <c r="F39" s="22"/>
      <c r="G39" s="26" t="s">
        <v>71</v>
      </c>
      <c r="H39" s="17"/>
      <c r="I39" s="17">
        <v>0</v>
      </c>
      <c r="J39" s="18">
        <v>-170</v>
      </c>
      <c r="K39" s="18">
        <v>-170</v>
      </c>
      <c r="L39" s="18"/>
      <c r="M39" s="18"/>
      <c r="N39" s="18"/>
      <c r="O39" s="18"/>
      <c r="P39" s="18"/>
      <c r="Q39" s="18"/>
      <c r="R39" s="18"/>
      <c r="S39" s="19"/>
      <c r="T39" s="15"/>
    </row>
    <row r="40" spans="1:20" s="20" customFormat="1" ht="14.25" thickBot="1" x14ac:dyDescent="0.3">
      <c r="A40" s="1123"/>
      <c r="B40" s="1123"/>
      <c r="C40" s="1123"/>
      <c r="D40" s="1123"/>
      <c r="E40" s="1124"/>
      <c r="F40" s="22"/>
      <c r="G40" s="26" t="s">
        <v>71</v>
      </c>
      <c r="H40" s="17"/>
      <c r="I40" s="17">
        <v>0</v>
      </c>
      <c r="J40" s="18">
        <v>781</v>
      </c>
      <c r="K40" s="18">
        <v>781</v>
      </c>
      <c r="L40" s="18">
        <v>0</v>
      </c>
      <c r="M40" s="18"/>
      <c r="N40" s="18">
        <v>0</v>
      </c>
      <c r="O40" s="18"/>
      <c r="P40" s="18"/>
      <c r="Q40" s="18"/>
      <c r="R40" s="18"/>
      <c r="S40" s="19"/>
      <c r="T40" s="15"/>
    </row>
    <row r="41" spans="1:20" s="20" customFormat="1" ht="14.25" thickBot="1" x14ac:dyDescent="0.3">
      <c r="A41" s="1123"/>
      <c r="B41" s="1123"/>
      <c r="C41" s="1123"/>
      <c r="D41" s="1123"/>
      <c r="E41" s="1124"/>
      <c r="F41" s="22" t="s">
        <v>124</v>
      </c>
      <c r="G41" s="25" t="s">
        <v>125</v>
      </c>
      <c r="H41" s="17"/>
      <c r="I41" s="17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/>
      <c r="P41" s="18"/>
      <c r="Q41" s="18"/>
      <c r="R41" s="18"/>
      <c r="S41" s="19"/>
      <c r="T41" s="15"/>
    </row>
    <row r="42" spans="1:20" s="20" customFormat="1" ht="14.25" thickBot="1" x14ac:dyDescent="0.3">
      <c r="A42" s="1123"/>
      <c r="B42" s="1123"/>
      <c r="C42" s="1123"/>
      <c r="D42" s="1123"/>
      <c r="E42" s="1124"/>
      <c r="F42" s="22" t="s">
        <v>73</v>
      </c>
      <c r="G42" s="26" t="s">
        <v>74</v>
      </c>
      <c r="H42" s="17"/>
      <c r="I42" s="17">
        <v>0</v>
      </c>
      <c r="J42" s="49">
        <v>-2584.2900000002846</v>
      </c>
      <c r="K42" s="18">
        <v>0</v>
      </c>
      <c r="L42" s="49">
        <v>-2584.2900000002846</v>
      </c>
      <c r="M42" s="18"/>
      <c r="N42" s="18">
        <v>0</v>
      </c>
      <c r="O42" s="18"/>
      <c r="P42" s="18"/>
      <c r="Q42" s="18"/>
      <c r="R42" s="18"/>
      <c r="S42" s="19"/>
      <c r="T42" s="15"/>
    </row>
    <row r="43" spans="1:20" s="20" customFormat="1" ht="14.25" thickBot="1" x14ac:dyDescent="0.3">
      <c r="A43" s="1123"/>
      <c r="B43" s="1123"/>
      <c r="C43" s="1123"/>
      <c r="D43" s="1123"/>
      <c r="E43" s="1124"/>
      <c r="F43" s="22" t="s">
        <v>75</v>
      </c>
      <c r="G43" s="26" t="s">
        <v>76</v>
      </c>
      <c r="H43" s="17"/>
      <c r="I43" s="17">
        <v>0</v>
      </c>
      <c r="J43" s="18">
        <v>0</v>
      </c>
      <c r="K43" s="18"/>
      <c r="L43" s="18">
        <v>0</v>
      </c>
      <c r="M43" s="18">
        <v>0</v>
      </c>
      <c r="N43" s="18">
        <v>0</v>
      </c>
      <c r="O43" s="18"/>
      <c r="P43" s="18"/>
      <c r="Q43" s="18"/>
      <c r="R43" s="18"/>
      <c r="S43" s="19"/>
      <c r="T43" s="15"/>
    </row>
    <row r="44" spans="1:20" ht="15.75" thickBot="1" x14ac:dyDescent="0.3">
      <c r="A44" s="1125"/>
      <c r="B44" s="1125"/>
      <c r="C44" s="1125"/>
      <c r="D44" s="1126" t="s">
        <v>77</v>
      </c>
      <c r="E44" s="1127"/>
      <c r="F44" s="27" t="s">
        <v>77</v>
      </c>
      <c r="G44" s="28"/>
      <c r="H44" s="28">
        <v>318367</v>
      </c>
      <c r="I44" s="28">
        <v>27354388</v>
      </c>
      <c r="J44" s="29">
        <v>25784833.480000004</v>
      </c>
      <c r="K44" s="29">
        <v>4591254.3600000003</v>
      </c>
      <c r="L44" s="29">
        <v>5558407.3299999991</v>
      </c>
      <c r="M44" s="29">
        <v>317518.37000000011</v>
      </c>
      <c r="N44" s="29">
        <v>14474477.709999999</v>
      </c>
      <c r="O44" s="29">
        <v>843175.71</v>
      </c>
      <c r="P44" s="29">
        <v>0</v>
      </c>
      <c r="Q44" s="29">
        <v>44170.350000000006</v>
      </c>
      <c r="R44" s="29">
        <v>0</v>
      </c>
      <c r="S44" s="50">
        <v>7861.26</v>
      </c>
    </row>
    <row r="45" spans="1:20" ht="15.75" thickBot="1" x14ac:dyDescent="0.3">
      <c r="A45" s="1125"/>
      <c r="B45" s="1125"/>
      <c r="C45" s="1125"/>
      <c r="D45" s="1126" t="s">
        <v>77</v>
      </c>
      <c r="E45" s="1127"/>
      <c r="F45" s="27" t="s">
        <v>78</v>
      </c>
      <c r="G45" s="28"/>
      <c r="H45" s="28"/>
      <c r="I45" s="28">
        <v>27354400</v>
      </c>
      <c r="J45" s="29">
        <v>25784833.480000004</v>
      </c>
      <c r="K45" s="29">
        <v>4591254.3600000003</v>
      </c>
      <c r="L45" s="29">
        <v>5558407.3300000001</v>
      </c>
      <c r="M45" s="29">
        <v>317518.37</v>
      </c>
      <c r="N45" s="29">
        <v>14474477.710000001</v>
      </c>
      <c r="O45" s="29">
        <v>843175.71</v>
      </c>
      <c r="P45" s="29"/>
      <c r="Q45" s="29"/>
      <c r="R45" s="29"/>
      <c r="S45" s="50"/>
    </row>
    <row r="46" spans="1:20" ht="15.75" thickBot="1" x14ac:dyDescent="0.3">
      <c r="A46" s="1125"/>
      <c r="B46" s="1125"/>
      <c r="C46" s="1125"/>
      <c r="D46" s="1126"/>
      <c r="E46" s="1127"/>
      <c r="F46" s="30" t="s">
        <v>79</v>
      </c>
      <c r="G46" s="31"/>
      <c r="H46" s="31"/>
      <c r="I46" s="41">
        <v>-12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/>
      <c r="Q46" s="51"/>
      <c r="R46" s="51"/>
      <c r="S46" s="52"/>
    </row>
    <row r="47" spans="1:20" ht="15.75" thickBot="1" x14ac:dyDescent="0.3">
      <c r="G47"/>
      <c r="H4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</row>
    <row r="48" spans="1:20" ht="23.25" thickBot="1" x14ac:dyDescent="0.3">
      <c r="A48" s="1112"/>
      <c r="B48" s="1113"/>
      <c r="C48" s="1113"/>
      <c r="D48" s="1385" t="s">
        <v>80</v>
      </c>
      <c r="E48" s="1386"/>
      <c r="F48" s="32" t="s">
        <v>81</v>
      </c>
      <c r="G48" s="33"/>
      <c r="H48" s="4" t="s">
        <v>2</v>
      </c>
      <c r="I48" s="5" t="s">
        <v>3</v>
      </c>
      <c r="J48" s="5" t="s">
        <v>4</v>
      </c>
      <c r="K48" s="5" t="s">
        <v>5</v>
      </c>
      <c r="L48" s="5" t="s">
        <v>6</v>
      </c>
      <c r="M48" s="5" t="s">
        <v>7</v>
      </c>
      <c r="N48" s="5" t="s">
        <v>8</v>
      </c>
      <c r="O48" s="5" t="s">
        <v>9</v>
      </c>
      <c r="P48" s="5" t="s">
        <v>10</v>
      </c>
      <c r="Q48" s="5" t="s">
        <v>11</v>
      </c>
      <c r="R48" s="5" t="s">
        <v>12</v>
      </c>
      <c r="S48" s="6" t="s">
        <v>13</v>
      </c>
    </row>
    <row r="49" spans="1:21" ht="39" thickBot="1" x14ac:dyDescent="0.3">
      <c r="A49" s="1115" t="s">
        <v>14</v>
      </c>
      <c r="B49" s="1116" t="s">
        <v>15</v>
      </c>
      <c r="C49" s="1116" t="s">
        <v>16</v>
      </c>
      <c r="D49" s="1116" t="s">
        <v>17</v>
      </c>
      <c r="E49" s="1128"/>
      <c r="F49" s="7"/>
      <c r="G49" s="8"/>
      <c r="H49" s="8"/>
      <c r="I49" s="8" t="s">
        <v>19</v>
      </c>
      <c r="J49" s="9" t="s">
        <v>20</v>
      </c>
      <c r="K49" s="9" t="s">
        <v>20</v>
      </c>
      <c r="L49" s="9" t="s">
        <v>20</v>
      </c>
      <c r="M49" s="9" t="s">
        <v>20</v>
      </c>
      <c r="N49" s="9" t="s">
        <v>20</v>
      </c>
      <c r="O49" s="9" t="s">
        <v>20</v>
      </c>
      <c r="P49" s="9" t="s">
        <v>20</v>
      </c>
      <c r="Q49" s="9" t="s">
        <v>20</v>
      </c>
      <c r="R49" s="9" t="s">
        <v>20</v>
      </c>
      <c r="S49" s="10" t="s">
        <v>20</v>
      </c>
    </row>
    <row r="50" spans="1:21" ht="23.25" outlineLevel="2" thickBot="1" x14ac:dyDescent="0.3">
      <c r="A50" s="1117" t="s">
        <v>21</v>
      </c>
      <c r="B50" s="1117" t="s">
        <v>21</v>
      </c>
      <c r="C50" s="1117" t="s">
        <v>28</v>
      </c>
      <c r="D50" s="1117" t="s">
        <v>82</v>
      </c>
      <c r="E50" s="1118" t="s">
        <v>83</v>
      </c>
      <c r="F50" s="11" t="s">
        <v>84</v>
      </c>
      <c r="G50" s="12"/>
      <c r="H50" s="12"/>
      <c r="I50" s="12">
        <v>940695</v>
      </c>
      <c r="J50" s="13">
        <v>810039.87000000011</v>
      </c>
      <c r="K50" s="13">
        <v>340</v>
      </c>
      <c r="L50" s="13">
        <v>313765.47000000003</v>
      </c>
      <c r="M50" s="13">
        <v>0</v>
      </c>
      <c r="N50" s="13">
        <v>495934.4</v>
      </c>
      <c r="O50" s="13">
        <v>0</v>
      </c>
      <c r="P50" s="13">
        <v>0</v>
      </c>
      <c r="Q50" s="13">
        <v>0</v>
      </c>
      <c r="R50" s="13">
        <v>0</v>
      </c>
      <c r="S50" s="14">
        <v>0</v>
      </c>
      <c r="T50" s="15"/>
    </row>
    <row r="51" spans="1:21" ht="15.75" thickBot="1" x14ac:dyDescent="0.3">
      <c r="A51" s="1118"/>
      <c r="B51" s="1129"/>
      <c r="C51" s="1129"/>
      <c r="D51" s="1127"/>
      <c r="E51" s="1130"/>
      <c r="F51" s="34" t="s">
        <v>85</v>
      </c>
      <c r="G51" s="12"/>
      <c r="H51" s="12">
        <v>2</v>
      </c>
      <c r="I51" s="12">
        <v>940695</v>
      </c>
      <c r="J51" s="47">
        <v>810039.87000000011</v>
      </c>
      <c r="K51" s="47">
        <v>340</v>
      </c>
      <c r="L51" s="47">
        <v>313765.47000000003</v>
      </c>
      <c r="M51" s="47">
        <v>0</v>
      </c>
      <c r="N51" s="47">
        <v>495934.4</v>
      </c>
      <c r="O51" s="47">
        <v>0</v>
      </c>
      <c r="P51" s="47">
        <v>0</v>
      </c>
      <c r="Q51" s="47">
        <v>0</v>
      </c>
      <c r="R51" s="47">
        <v>0</v>
      </c>
      <c r="S51" s="48">
        <v>0</v>
      </c>
      <c r="T51" s="15">
        <v>0</v>
      </c>
    </row>
    <row r="52" spans="1:21" ht="15.75" thickBot="1" x14ac:dyDescent="0.3">
      <c r="A52" s="1125"/>
      <c r="B52" s="1125"/>
      <c r="C52" s="1129"/>
      <c r="D52" s="1127"/>
      <c r="E52" s="1131"/>
      <c r="F52" s="16" t="s">
        <v>86</v>
      </c>
      <c r="G52" s="12"/>
      <c r="H52" s="12"/>
      <c r="I52" s="12"/>
      <c r="J52" s="47"/>
      <c r="K52" s="47"/>
      <c r="L52" s="47">
        <v>0</v>
      </c>
      <c r="M52" s="47"/>
      <c r="N52" s="47"/>
      <c r="O52" s="47"/>
      <c r="P52" s="47"/>
      <c r="Q52" s="47"/>
      <c r="R52" s="47">
        <v>0</v>
      </c>
      <c r="S52" s="48"/>
      <c r="T52" s="15"/>
    </row>
    <row r="53" spans="1:21" ht="15.75" thickBot="1" x14ac:dyDescent="0.3">
      <c r="A53" s="1125"/>
      <c r="B53" s="1125"/>
      <c r="C53" s="1129"/>
      <c r="D53" s="1127"/>
      <c r="E53" s="1131"/>
      <c r="F53" s="16" t="s">
        <v>87</v>
      </c>
      <c r="G53" s="12"/>
      <c r="H53" s="12"/>
      <c r="I53" s="12">
        <v>90805</v>
      </c>
      <c r="J53" s="47">
        <v>111533.18000000001</v>
      </c>
      <c r="K53" s="47">
        <v>781</v>
      </c>
      <c r="L53" s="47">
        <v>105418.22</v>
      </c>
      <c r="M53" s="47"/>
      <c r="N53" s="47">
        <v>5333.96</v>
      </c>
      <c r="O53" s="47"/>
      <c r="P53" s="47"/>
      <c r="Q53" s="47"/>
      <c r="R53" s="47"/>
      <c r="S53" s="48"/>
      <c r="T53" s="15"/>
    </row>
    <row r="54" spans="1:21" ht="15.75" thickBot="1" x14ac:dyDescent="0.3">
      <c r="A54" s="1125"/>
      <c r="B54" s="1125"/>
      <c r="C54" s="1126"/>
      <c r="D54" s="1132" t="s">
        <v>88</v>
      </c>
      <c r="E54" s="1127"/>
      <c r="F54" s="35" t="s">
        <v>89</v>
      </c>
      <c r="G54" s="28"/>
      <c r="H54" s="28">
        <v>2</v>
      </c>
      <c r="I54" s="53">
        <v>1031500</v>
      </c>
      <c r="J54" s="29">
        <v>921573.05000000016</v>
      </c>
      <c r="K54" s="29">
        <v>1121</v>
      </c>
      <c r="L54" s="29">
        <v>419183.69000000006</v>
      </c>
      <c r="M54" s="29">
        <v>0</v>
      </c>
      <c r="N54" s="29">
        <v>501268.36000000004</v>
      </c>
      <c r="O54" s="29">
        <v>0</v>
      </c>
      <c r="P54" s="29">
        <v>0</v>
      </c>
      <c r="Q54" s="29">
        <v>0</v>
      </c>
      <c r="R54" s="29">
        <v>0</v>
      </c>
      <c r="S54" s="50">
        <v>0</v>
      </c>
    </row>
    <row r="55" spans="1:21" ht="15.75" thickBot="1" x14ac:dyDescent="0.3">
      <c r="A55" s="1125"/>
      <c r="B55" s="1125"/>
      <c r="C55" s="1125"/>
      <c r="D55" s="1126" t="s">
        <v>77</v>
      </c>
      <c r="E55" s="1127"/>
      <c r="F55" s="35" t="s">
        <v>90</v>
      </c>
      <c r="G55" s="28"/>
      <c r="H55" s="28"/>
      <c r="I55" s="28">
        <v>1031510</v>
      </c>
      <c r="J55" s="29">
        <v>921573.05</v>
      </c>
      <c r="K55" s="29">
        <v>1121</v>
      </c>
      <c r="L55" s="29">
        <v>419183.69</v>
      </c>
      <c r="M55" s="29">
        <v>0</v>
      </c>
      <c r="N55" s="29">
        <v>501268.36</v>
      </c>
      <c r="O55" s="29"/>
      <c r="P55" s="29"/>
      <c r="Q55" s="29"/>
      <c r="R55" s="29"/>
      <c r="S55" s="50"/>
    </row>
    <row r="56" spans="1:21" ht="15.75" thickBot="1" x14ac:dyDescent="0.3">
      <c r="A56" s="1125"/>
      <c r="B56" s="1125"/>
      <c r="C56" s="1125"/>
      <c r="D56" s="1126"/>
      <c r="E56" s="1127"/>
      <c r="F56" s="30" t="s">
        <v>79</v>
      </c>
      <c r="G56" s="31"/>
      <c r="H56" s="31"/>
      <c r="I56" s="41">
        <v>-10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/>
      <c r="Q56" s="51"/>
      <c r="R56" s="51"/>
      <c r="S56" s="52"/>
    </row>
    <row r="57" spans="1:21" ht="15.75" thickBot="1" x14ac:dyDescent="0.3">
      <c r="G57"/>
      <c r="H57"/>
      <c r="I57" s="36"/>
      <c r="K57" s="36"/>
      <c r="L57" s="36"/>
      <c r="M57" s="36"/>
      <c r="N57" s="54"/>
      <c r="O57" s="36"/>
      <c r="P57" s="36"/>
    </row>
    <row r="58" spans="1:21" ht="23.25" thickBot="1" x14ac:dyDescent="0.3">
      <c r="D58" s="1387" t="s">
        <v>91</v>
      </c>
      <c r="E58" s="1388"/>
      <c r="F58" s="37" t="s">
        <v>92</v>
      </c>
      <c r="G58" s="4"/>
      <c r="H58" s="4" t="s">
        <v>2</v>
      </c>
      <c r="I58" s="5" t="s">
        <v>3</v>
      </c>
      <c r="J58" s="5" t="s">
        <v>4</v>
      </c>
      <c r="K58" s="5" t="s">
        <v>5</v>
      </c>
      <c r="L58" s="5" t="s">
        <v>6</v>
      </c>
      <c r="M58" s="5" t="s">
        <v>7</v>
      </c>
      <c r="N58" s="5" t="s">
        <v>93</v>
      </c>
      <c r="O58" s="5" t="s">
        <v>9</v>
      </c>
      <c r="P58" s="5" t="s">
        <v>10</v>
      </c>
      <c r="Q58" s="5" t="s">
        <v>11</v>
      </c>
      <c r="R58" s="5" t="s">
        <v>12</v>
      </c>
      <c r="S58" s="6" t="s">
        <v>13</v>
      </c>
    </row>
    <row r="59" spans="1:21" ht="15.75" thickBot="1" x14ac:dyDescent="0.3">
      <c r="D59" s="1119"/>
      <c r="E59" s="1120"/>
      <c r="F59" s="38"/>
      <c r="G59" s="8"/>
      <c r="H59" s="8"/>
      <c r="I59" s="8" t="s">
        <v>19</v>
      </c>
      <c r="J59" s="9" t="s">
        <v>20</v>
      </c>
      <c r="K59" s="9" t="s">
        <v>20</v>
      </c>
      <c r="L59" s="9" t="s">
        <v>20</v>
      </c>
      <c r="M59" s="9" t="s">
        <v>20</v>
      </c>
      <c r="N59" s="9" t="s">
        <v>20</v>
      </c>
      <c r="O59" s="9" t="s">
        <v>20</v>
      </c>
      <c r="P59" s="9" t="s">
        <v>20</v>
      </c>
      <c r="Q59" s="9" t="s">
        <v>20</v>
      </c>
      <c r="R59" s="9" t="s">
        <v>20</v>
      </c>
      <c r="S59" s="10" t="s">
        <v>20</v>
      </c>
    </row>
    <row r="60" spans="1:21" ht="15.75" outlineLevel="2" thickBot="1" x14ac:dyDescent="0.3">
      <c r="D60" s="1117" t="s">
        <v>94</v>
      </c>
      <c r="E60" s="1118" t="s">
        <v>95</v>
      </c>
      <c r="F60" s="11" t="s">
        <v>96</v>
      </c>
      <c r="G60" s="12"/>
      <c r="H60" s="12"/>
      <c r="I60" s="12">
        <v>0</v>
      </c>
      <c r="J60" s="13">
        <v>0</v>
      </c>
      <c r="K60" s="13">
        <v>0</v>
      </c>
      <c r="L60" s="13"/>
      <c r="M60" s="13"/>
      <c r="N60" s="13"/>
      <c r="O60" s="13"/>
      <c r="P60" s="13"/>
      <c r="Q60" s="13"/>
      <c r="R60" s="13"/>
      <c r="S60" s="14"/>
      <c r="U60" s="23">
        <v>0</v>
      </c>
    </row>
    <row r="61" spans="1:21" ht="15.75" outlineLevel="2" thickBot="1" x14ac:dyDescent="0.3">
      <c r="D61" s="1117" t="s">
        <v>97</v>
      </c>
      <c r="E61" s="1118" t="s">
        <v>98</v>
      </c>
      <c r="F61" s="11" t="s">
        <v>96</v>
      </c>
      <c r="G61" s="12"/>
      <c r="H61" s="12"/>
      <c r="I61" s="12">
        <v>0</v>
      </c>
      <c r="J61" s="13">
        <v>0</v>
      </c>
      <c r="K61" s="13"/>
      <c r="L61" s="13">
        <v>0</v>
      </c>
      <c r="M61" s="13"/>
      <c r="N61" s="13">
        <v>0</v>
      </c>
      <c r="O61" s="13"/>
      <c r="P61" s="13"/>
      <c r="Q61" s="13"/>
      <c r="R61" s="13"/>
      <c r="S61" s="14"/>
      <c r="U61" s="23">
        <v>0</v>
      </c>
    </row>
    <row r="62" spans="1:21" ht="15.75" outlineLevel="2" thickBot="1" x14ac:dyDescent="0.3">
      <c r="D62" s="1117" t="s">
        <v>97</v>
      </c>
      <c r="E62" s="1118" t="s">
        <v>98</v>
      </c>
      <c r="F62" s="11" t="s">
        <v>96</v>
      </c>
      <c r="G62" s="12"/>
      <c r="H62" s="12"/>
      <c r="I62" s="12">
        <v>807</v>
      </c>
      <c r="J62" s="13">
        <v>406.89</v>
      </c>
      <c r="K62" s="47">
        <v>0</v>
      </c>
      <c r="L62" s="47">
        <v>34.700000000000003</v>
      </c>
      <c r="M62" s="47">
        <v>0.56999999999999995</v>
      </c>
      <c r="N62" s="13">
        <v>371.62</v>
      </c>
      <c r="O62" s="13"/>
      <c r="P62" s="13"/>
      <c r="Q62" s="13"/>
      <c r="R62" s="13"/>
      <c r="S62" s="14"/>
      <c r="U62" s="23">
        <v>0</v>
      </c>
    </row>
    <row r="63" spans="1:21" ht="15.75" outlineLevel="2" thickBot="1" x14ac:dyDescent="0.3">
      <c r="D63" s="1117" t="s">
        <v>99</v>
      </c>
      <c r="E63" s="1118" t="s">
        <v>100</v>
      </c>
      <c r="F63" s="11" t="s">
        <v>96</v>
      </c>
      <c r="G63" s="12"/>
      <c r="H63" s="12"/>
      <c r="I63" s="12">
        <v>0</v>
      </c>
      <c r="J63" s="13">
        <v>0</v>
      </c>
      <c r="K63" s="13">
        <v>0</v>
      </c>
      <c r="L63" s="13"/>
      <c r="M63" s="13"/>
      <c r="N63" s="13">
        <v>0</v>
      </c>
      <c r="O63" s="13"/>
      <c r="P63" s="13"/>
      <c r="Q63" s="13"/>
      <c r="R63" s="13"/>
      <c r="S63" s="14"/>
      <c r="U63" s="23">
        <v>0</v>
      </c>
    </row>
    <row r="64" spans="1:21" ht="15.75" outlineLevel="2" thickBot="1" x14ac:dyDescent="0.3">
      <c r="D64" s="1117" t="s">
        <v>99</v>
      </c>
      <c r="E64" s="1118" t="s">
        <v>100</v>
      </c>
      <c r="F64" s="11" t="s">
        <v>96</v>
      </c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4"/>
      <c r="U64" s="23">
        <v>0</v>
      </c>
    </row>
    <row r="65" spans="1:21" ht="15.75" outlineLevel="2" thickBot="1" x14ac:dyDescent="0.3">
      <c r="D65" s="1117" t="s">
        <v>99</v>
      </c>
      <c r="E65" s="1118" t="s">
        <v>100</v>
      </c>
      <c r="F65" s="11" t="s">
        <v>96</v>
      </c>
      <c r="G65" s="12"/>
      <c r="H65" s="12"/>
      <c r="I65" s="12">
        <v>0</v>
      </c>
      <c r="J65" s="13">
        <v>0</v>
      </c>
      <c r="K65" s="13"/>
      <c r="L65" s="13"/>
      <c r="M65" s="13"/>
      <c r="N65" s="13"/>
      <c r="O65" s="13"/>
      <c r="P65" s="13"/>
      <c r="Q65" s="13"/>
      <c r="R65" s="13"/>
      <c r="S65" s="14"/>
      <c r="U65" s="23">
        <v>0</v>
      </c>
    </row>
    <row r="66" spans="1:21" ht="15.75" thickBot="1" x14ac:dyDescent="0.3">
      <c r="D66" s="1119"/>
      <c r="E66" s="1120"/>
      <c r="F66" s="16" t="s">
        <v>101</v>
      </c>
      <c r="G66" s="17"/>
      <c r="H66" s="17">
        <v>1</v>
      </c>
      <c r="I66" s="17">
        <v>807</v>
      </c>
      <c r="J66" s="18">
        <v>406.89</v>
      </c>
      <c r="K66" s="18">
        <v>0</v>
      </c>
      <c r="L66" s="18">
        <v>34.700000000000003</v>
      </c>
      <c r="M66" s="18">
        <v>0.56999999999999995</v>
      </c>
      <c r="N66" s="18">
        <v>371.62</v>
      </c>
      <c r="O66" s="18">
        <v>0</v>
      </c>
      <c r="P66" s="18">
        <v>0</v>
      </c>
      <c r="Q66" s="18">
        <v>0</v>
      </c>
      <c r="R66" s="18">
        <v>0</v>
      </c>
      <c r="S66" s="19">
        <v>0</v>
      </c>
      <c r="U66" s="23">
        <v>0</v>
      </c>
    </row>
    <row r="67" spans="1:21" ht="15.75" outlineLevel="2" thickBot="1" x14ac:dyDescent="0.3">
      <c r="D67" s="1117" t="s">
        <v>102</v>
      </c>
      <c r="E67" s="1118" t="s">
        <v>103</v>
      </c>
      <c r="F67" s="11" t="s">
        <v>104</v>
      </c>
      <c r="G67" s="12"/>
      <c r="H67" s="12"/>
      <c r="I67" s="12">
        <v>0</v>
      </c>
      <c r="J67" s="13">
        <v>53516.08</v>
      </c>
      <c r="K67" s="13"/>
      <c r="L67" s="13"/>
      <c r="M67" s="13"/>
      <c r="N67" s="13">
        <v>53516.08</v>
      </c>
      <c r="O67" s="13"/>
      <c r="P67" s="13"/>
      <c r="Q67" s="13"/>
      <c r="R67" s="13"/>
      <c r="S67" s="14"/>
      <c r="U67" s="23">
        <v>0</v>
      </c>
    </row>
    <row r="68" spans="1:21" ht="15.75" thickBot="1" x14ac:dyDescent="0.3">
      <c r="D68" s="1119"/>
      <c r="E68" s="1120"/>
      <c r="F68" s="16" t="s">
        <v>105</v>
      </c>
      <c r="G68" s="17"/>
      <c r="H68" s="17">
        <v>2</v>
      </c>
      <c r="I68" s="17">
        <v>0</v>
      </c>
      <c r="J68" s="18">
        <v>53516.08</v>
      </c>
      <c r="K68" s="18">
        <v>0</v>
      </c>
      <c r="L68" s="18">
        <v>0</v>
      </c>
      <c r="M68" s="18">
        <v>0</v>
      </c>
      <c r="N68" s="18">
        <v>53516.08</v>
      </c>
      <c r="O68" s="18">
        <v>0</v>
      </c>
      <c r="P68" s="18">
        <v>0</v>
      </c>
      <c r="Q68" s="18">
        <v>0</v>
      </c>
      <c r="R68" s="18">
        <v>0</v>
      </c>
      <c r="S68" s="19">
        <v>0</v>
      </c>
      <c r="U68" s="23">
        <v>0</v>
      </c>
    </row>
    <row r="69" spans="1:21" ht="15.75" outlineLevel="2" thickBot="1" x14ac:dyDescent="0.3">
      <c r="D69" s="1117" t="s">
        <v>106</v>
      </c>
      <c r="E69" s="1118" t="s">
        <v>107</v>
      </c>
      <c r="F69" s="11" t="s">
        <v>72</v>
      </c>
      <c r="G69" s="17"/>
      <c r="H69" s="12"/>
      <c r="I69" s="12">
        <v>0</v>
      </c>
      <c r="J69" s="13">
        <v>781</v>
      </c>
      <c r="K69" s="13">
        <v>781</v>
      </c>
      <c r="L69" s="13">
        <v>0</v>
      </c>
      <c r="M69" s="13">
        <v>0</v>
      </c>
      <c r="N69" s="13">
        <v>0</v>
      </c>
      <c r="O69" s="13"/>
      <c r="P69" s="13"/>
      <c r="Q69" s="13"/>
      <c r="R69" s="13"/>
      <c r="S69" s="14"/>
      <c r="U69" s="23">
        <v>0</v>
      </c>
    </row>
    <row r="70" spans="1:21" ht="15.75" thickBot="1" x14ac:dyDescent="0.3">
      <c r="D70" s="1119"/>
      <c r="E70" s="1130"/>
      <c r="F70" s="34" t="s">
        <v>108</v>
      </c>
      <c r="G70" s="17"/>
      <c r="H70" s="17">
        <v>1</v>
      </c>
      <c r="I70" s="17">
        <v>0</v>
      </c>
      <c r="J70" s="18">
        <v>781</v>
      </c>
      <c r="K70" s="18">
        <v>781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9">
        <v>0</v>
      </c>
      <c r="U70" s="23">
        <v>0</v>
      </c>
    </row>
    <row r="71" spans="1:21" ht="15.75" outlineLevel="2" thickBot="1" x14ac:dyDescent="0.3">
      <c r="D71" s="1117" t="s">
        <v>109</v>
      </c>
      <c r="E71" s="1118" t="s">
        <v>110</v>
      </c>
      <c r="F71" s="39" t="s">
        <v>111</v>
      </c>
      <c r="G71" s="12"/>
      <c r="H71" s="12"/>
      <c r="I71" s="12">
        <v>9284</v>
      </c>
      <c r="J71" s="13">
        <v>4647.67</v>
      </c>
      <c r="K71" s="13">
        <v>275</v>
      </c>
      <c r="L71" s="13">
        <v>97.39</v>
      </c>
      <c r="M71" s="13">
        <v>0</v>
      </c>
      <c r="N71" s="13">
        <v>4275.28</v>
      </c>
      <c r="O71" s="13"/>
      <c r="P71" s="13"/>
      <c r="Q71" s="13"/>
      <c r="R71" s="13"/>
      <c r="S71" s="14"/>
      <c r="U71" s="23">
        <v>0</v>
      </c>
    </row>
    <row r="72" spans="1:21" ht="15.75" thickBot="1" x14ac:dyDescent="0.3">
      <c r="D72" s="1119"/>
      <c r="E72" s="1130"/>
      <c r="F72" s="34" t="s">
        <v>112</v>
      </c>
      <c r="G72" s="17"/>
      <c r="H72" s="17">
        <v>1</v>
      </c>
      <c r="I72" s="17">
        <v>9284</v>
      </c>
      <c r="J72" s="18">
        <v>4647.67</v>
      </c>
      <c r="K72" s="18">
        <v>275</v>
      </c>
      <c r="L72" s="18">
        <v>97.39</v>
      </c>
      <c r="M72" s="18">
        <v>0</v>
      </c>
      <c r="N72" s="18">
        <v>4275.28</v>
      </c>
      <c r="O72" s="18">
        <v>0</v>
      </c>
      <c r="P72" s="18">
        <v>0</v>
      </c>
      <c r="Q72" s="18">
        <v>0</v>
      </c>
      <c r="R72" s="18">
        <v>0</v>
      </c>
      <c r="S72" s="19">
        <v>0</v>
      </c>
      <c r="U72" s="23">
        <v>0</v>
      </c>
    </row>
    <row r="73" spans="1:21" ht="15.75" outlineLevel="2" thickBot="1" x14ac:dyDescent="0.3">
      <c r="D73" s="1117" t="s">
        <v>113</v>
      </c>
      <c r="E73" s="1118" t="s">
        <v>114</v>
      </c>
      <c r="F73" s="39" t="s">
        <v>115</v>
      </c>
      <c r="G73" s="12"/>
      <c r="H73" s="12"/>
      <c r="I73" s="12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/>
      <c r="P73" s="13"/>
      <c r="Q73" s="13"/>
      <c r="R73" s="13"/>
      <c r="S73" s="14"/>
      <c r="U73" s="23">
        <v>0</v>
      </c>
    </row>
    <row r="74" spans="1:21" ht="15.75" thickBot="1" x14ac:dyDescent="0.3">
      <c r="D74" s="1127"/>
      <c r="E74" s="1130"/>
      <c r="F74" s="34" t="s">
        <v>116</v>
      </c>
      <c r="G74" s="17"/>
      <c r="H74" s="17">
        <v>0</v>
      </c>
      <c r="I74" s="17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9">
        <v>0</v>
      </c>
      <c r="U74" s="23">
        <v>0</v>
      </c>
    </row>
    <row r="75" spans="1:21" ht="15.75" thickBot="1" x14ac:dyDescent="0.3">
      <c r="A75" s="1108"/>
      <c r="B75" s="1108"/>
      <c r="C75" s="1108"/>
      <c r="D75" s="1381" t="s">
        <v>117</v>
      </c>
      <c r="E75" s="1381"/>
      <c r="F75" s="40" t="s">
        <v>118</v>
      </c>
      <c r="G75" s="41"/>
      <c r="H75" s="41">
        <v>5</v>
      </c>
      <c r="I75" s="41">
        <v>10091</v>
      </c>
      <c r="J75" s="51">
        <v>59351.64</v>
      </c>
      <c r="K75" s="51">
        <v>1056</v>
      </c>
      <c r="L75" s="51">
        <v>132.09</v>
      </c>
      <c r="M75" s="51">
        <v>0.56999999999999995</v>
      </c>
      <c r="N75" s="51">
        <v>58162.98</v>
      </c>
      <c r="O75" s="51">
        <v>0</v>
      </c>
      <c r="P75" s="51">
        <v>0</v>
      </c>
      <c r="Q75" s="51">
        <v>0</v>
      </c>
      <c r="R75" s="51">
        <v>0</v>
      </c>
      <c r="S75" s="52">
        <v>0</v>
      </c>
      <c r="U75" s="23">
        <v>0</v>
      </c>
    </row>
    <row r="76" spans="1:21" x14ac:dyDescent="0.25">
      <c r="G76"/>
      <c r="H76"/>
      <c r="I76" s="42"/>
      <c r="K76" s="43"/>
      <c r="L76" s="43"/>
      <c r="M76" s="43"/>
      <c r="N76" s="43"/>
      <c r="O76" s="43"/>
      <c r="P76" s="43"/>
    </row>
    <row r="77" spans="1:21" x14ac:dyDescent="0.25">
      <c r="G77" s="44" t="s">
        <v>76</v>
      </c>
      <c r="H77" s="36" t="s">
        <v>119</v>
      </c>
    </row>
    <row r="78" spans="1:21" s="45" customFormat="1" ht="11.25" x14ac:dyDescent="0.2">
      <c r="A78" s="1133"/>
      <c r="B78" s="1133"/>
      <c r="C78" s="1133"/>
      <c r="D78" s="1133"/>
      <c r="E78" s="1133"/>
      <c r="G78" s="44" t="s">
        <v>74</v>
      </c>
      <c r="H78" s="36" t="s">
        <v>120</v>
      </c>
    </row>
    <row r="79" spans="1:21" x14ac:dyDescent="0.25">
      <c r="G79" s="44" t="s">
        <v>71</v>
      </c>
      <c r="H79" s="36" t="s">
        <v>121</v>
      </c>
    </row>
    <row r="80" spans="1:21" x14ac:dyDescent="0.25">
      <c r="G80" s="46"/>
      <c r="H80" s="36"/>
    </row>
  </sheetData>
  <mergeCells count="5">
    <mergeCell ref="F1:K1"/>
    <mergeCell ref="D4:E4"/>
    <mergeCell ref="D48:E48"/>
    <mergeCell ref="D58:E58"/>
    <mergeCell ref="D75:E75"/>
  </mergeCells>
  <conditionalFormatting sqref="T50:T53 T33:T43 T5:T29">
    <cfRule type="cellIs" dxfId="54" priority="1" stopIfTrue="1" operator="notEqual">
      <formula>0</formula>
    </cfRule>
  </conditionalFormatting>
  <pageMargins left="0.7" right="0.7" top="0.75" bottom="0.75" header="0.3" footer="0.3"/>
  <pageSetup scale="45" fitToHeight="2" orientation="landscape" r:id="rId1"/>
  <rowBreaks count="1" manualBreakCount="1">
    <brk id="5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8" tint="0.39997558519241921"/>
  </sheetPr>
  <dimension ref="A1:U80"/>
  <sheetViews>
    <sheetView view="pageBreakPreview" zoomScale="80" zoomScaleNormal="90" zoomScaleSheetLayoutView="80" workbookViewId="0"/>
  </sheetViews>
  <sheetFormatPr defaultRowHeight="15" outlineLevelRow="2" x14ac:dyDescent="0.25"/>
  <cols>
    <col min="1" max="1" width="7.85546875" style="398" customWidth="1"/>
    <col min="2" max="2" width="10.28515625" style="398" customWidth="1"/>
    <col min="3" max="3" width="3.42578125" style="398" customWidth="1"/>
    <col min="4" max="5" width="22.42578125" style="398" customWidth="1"/>
    <col min="6" max="6" width="30.140625" bestFit="1" customWidth="1"/>
    <col min="7" max="7" width="3.7109375" style="2" bestFit="1" customWidth="1"/>
    <col min="8" max="8" width="13.5703125" style="2" bestFit="1" customWidth="1"/>
    <col min="9" max="9" width="13.42578125" customWidth="1"/>
    <col min="10" max="10" width="13.28515625" bestFit="1" customWidth="1"/>
    <col min="11" max="12" width="13.42578125" bestFit="1" customWidth="1"/>
    <col min="13" max="13" width="13.5703125" bestFit="1" customWidth="1"/>
    <col min="14" max="14" width="14.28515625" bestFit="1" customWidth="1"/>
    <col min="15" max="15" width="11.85546875" bestFit="1" customWidth="1"/>
    <col min="16" max="16" width="8.7109375" customWidth="1"/>
    <col min="17" max="17" width="10.5703125" bestFit="1" customWidth="1"/>
    <col min="18" max="18" width="13.140625" bestFit="1" customWidth="1"/>
    <col min="19" max="19" width="10.7109375" customWidth="1"/>
    <col min="20" max="20" width="17.7109375" bestFit="1" customWidth="1"/>
    <col min="21" max="21" width="6.28515625" bestFit="1" customWidth="1"/>
  </cols>
  <sheetData>
    <row r="1" spans="1:20" ht="23.25" customHeight="1" x14ac:dyDescent="0.35">
      <c r="A1" s="1110"/>
      <c r="D1" s="1110"/>
      <c r="F1" s="1382" t="s">
        <v>0</v>
      </c>
      <c r="G1" s="1382"/>
      <c r="H1" s="1382"/>
      <c r="I1" s="1382"/>
      <c r="J1" s="1382"/>
      <c r="K1" s="1382"/>
      <c r="L1" s="1"/>
    </row>
    <row r="2" spans="1:20" ht="16.5" thickBot="1" x14ac:dyDescent="0.35">
      <c r="A2" s="1111"/>
      <c r="D2" s="1111"/>
    </row>
    <row r="3" spans="1:20" ht="23.25" thickBot="1" x14ac:dyDescent="0.3">
      <c r="A3" s="1112"/>
      <c r="B3" s="1113"/>
      <c r="C3" s="1113"/>
      <c r="D3" s="1112" t="s">
        <v>1</v>
      </c>
      <c r="E3" s="1114"/>
      <c r="F3" s="3" t="s">
        <v>1</v>
      </c>
      <c r="G3" s="4"/>
      <c r="H3" s="4" t="s">
        <v>2</v>
      </c>
      <c r="I3" s="5" t="s">
        <v>3</v>
      </c>
      <c r="J3" s="5" t="s">
        <v>4</v>
      </c>
      <c r="K3" s="5" t="s">
        <v>5</v>
      </c>
      <c r="L3" s="5" t="s">
        <v>6</v>
      </c>
      <c r="M3" s="5" t="s">
        <v>7</v>
      </c>
      <c r="N3" s="5" t="s">
        <v>8</v>
      </c>
      <c r="O3" s="5" t="s">
        <v>9</v>
      </c>
      <c r="P3" s="5" t="s">
        <v>10</v>
      </c>
      <c r="Q3" s="5" t="s">
        <v>11</v>
      </c>
      <c r="R3" s="5" t="s">
        <v>12</v>
      </c>
      <c r="S3" s="6" t="s">
        <v>13</v>
      </c>
    </row>
    <row r="4" spans="1:20" ht="13.5" customHeight="1" thickBot="1" x14ac:dyDescent="0.3">
      <c r="A4" s="1115" t="s">
        <v>14</v>
      </c>
      <c r="B4" s="1116" t="s">
        <v>15</v>
      </c>
      <c r="C4" s="1116" t="s">
        <v>16</v>
      </c>
      <c r="D4" s="1383" t="s">
        <v>17</v>
      </c>
      <c r="E4" s="1384"/>
      <c r="F4" s="7" t="s">
        <v>18</v>
      </c>
      <c r="G4" s="8"/>
      <c r="H4" s="8"/>
      <c r="I4" s="8" t="s">
        <v>19</v>
      </c>
      <c r="J4" s="9" t="s">
        <v>20</v>
      </c>
      <c r="K4" s="9" t="s">
        <v>20</v>
      </c>
      <c r="L4" s="9" t="s">
        <v>20</v>
      </c>
      <c r="M4" s="9" t="s">
        <v>20</v>
      </c>
      <c r="N4" s="9" t="s">
        <v>20</v>
      </c>
      <c r="O4" s="9" t="s">
        <v>20</v>
      </c>
      <c r="P4" s="9" t="s">
        <v>20</v>
      </c>
      <c r="Q4" s="9" t="s">
        <v>20</v>
      </c>
      <c r="R4" s="9" t="s">
        <v>20</v>
      </c>
      <c r="S4" s="10" t="s">
        <v>20</v>
      </c>
    </row>
    <row r="5" spans="1:20" ht="13.5" customHeight="1" outlineLevel="2" thickBot="1" x14ac:dyDescent="0.3">
      <c r="A5" s="1117" t="s">
        <v>21</v>
      </c>
      <c r="B5" s="1117" t="s">
        <v>21</v>
      </c>
      <c r="C5" s="1117" t="s">
        <v>22</v>
      </c>
      <c r="D5" s="1117" t="s">
        <v>23</v>
      </c>
      <c r="E5" s="1118" t="s">
        <v>24</v>
      </c>
      <c r="F5" s="11" t="s">
        <v>25</v>
      </c>
      <c r="G5" s="12"/>
      <c r="H5" s="12"/>
      <c r="I5" s="12">
        <v>29527</v>
      </c>
      <c r="J5" s="13">
        <v>18570.27</v>
      </c>
      <c r="K5" s="13">
        <v>1100</v>
      </c>
      <c r="L5" s="13">
        <v>1550.76</v>
      </c>
      <c r="M5" s="13">
        <v>26.29</v>
      </c>
      <c r="N5" s="13">
        <v>15893.22</v>
      </c>
      <c r="O5" s="13">
        <v>0</v>
      </c>
      <c r="P5" s="13">
        <v>0</v>
      </c>
      <c r="Q5" s="13">
        <v>0</v>
      </c>
      <c r="R5" s="13">
        <v>0</v>
      </c>
      <c r="S5" s="14">
        <v>0</v>
      </c>
      <c r="T5" s="15"/>
    </row>
    <row r="6" spans="1:20" ht="13.5" customHeight="1" outlineLevel="2" thickBot="1" x14ac:dyDescent="0.3">
      <c r="A6" s="1117" t="s">
        <v>21</v>
      </c>
      <c r="B6" s="1117" t="s">
        <v>21</v>
      </c>
      <c r="C6" s="1117" t="s">
        <v>26</v>
      </c>
      <c r="D6" s="1117" t="s">
        <v>23</v>
      </c>
      <c r="E6" s="1118" t="s">
        <v>24</v>
      </c>
      <c r="F6" s="11" t="s">
        <v>27</v>
      </c>
      <c r="G6" s="12"/>
      <c r="H6" s="12"/>
      <c r="I6" s="12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4">
        <v>0</v>
      </c>
      <c r="T6" s="15"/>
    </row>
    <row r="7" spans="1:20" ht="13.5" customHeight="1" outlineLevel="2" thickBot="1" x14ac:dyDescent="0.3">
      <c r="A7" s="1117" t="s">
        <v>21</v>
      </c>
      <c r="B7" s="1117" t="s">
        <v>21</v>
      </c>
      <c r="C7" s="1117" t="s">
        <v>28</v>
      </c>
      <c r="D7" s="1117" t="s">
        <v>29</v>
      </c>
      <c r="E7" s="1118" t="s">
        <v>30</v>
      </c>
      <c r="F7" s="11" t="s">
        <v>31</v>
      </c>
      <c r="G7" s="12"/>
      <c r="H7" s="12"/>
      <c r="I7" s="12">
        <v>206371</v>
      </c>
      <c r="J7" s="13">
        <v>126142.01</v>
      </c>
      <c r="K7" s="13">
        <v>1650</v>
      </c>
      <c r="L7" s="13">
        <v>10838.61</v>
      </c>
      <c r="M7" s="13">
        <v>0</v>
      </c>
      <c r="N7" s="13">
        <v>113653.4</v>
      </c>
      <c r="O7" s="13">
        <v>0</v>
      </c>
      <c r="P7" s="13">
        <v>0</v>
      </c>
      <c r="Q7" s="13">
        <v>0</v>
      </c>
      <c r="R7" s="13">
        <v>0</v>
      </c>
      <c r="S7" s="14">
        <v>0</v>
      </c>
      <c r="T7" s="15"/>
    </row>
    <row r="8" spans="1:20" ht="13.5" customHeight="1" outlineLevel="2" thickBot="1" x14ac:dyDescent="0.3">
      <c r="A8" s="1117" t="s">
        <v>21</v>
      </c>
      <c r="B8" s="1117" t="s">
        <v>21</v>
      </c>
      <c r="C8" s="1117" t="s">
        <v>26</v>
      </c>
      <c r="D8" s="1117" t="s">
        <v>29</v>
      </c>
      <c r="E8" s="1118" t="s">
        <v>30</v>
      </c>
      <c r="F8" s="11" t="s">
        <v>32</v>
      </c>
      <c r="G8" s="12"/>
      <c r="H8" s="12"/>
      <c r="I8" s="12">
        <v>11191</v>
      </c>
      <c r="J8" s="13">
        <v>7084.71</v>
      </c>
      <c r="K8" s="13">
        <v>275</v>
      </c>
      <c r="L8" s="13">
        <v>587.75</v>
      </c>
      <c r="M8" s="13">
        <v>0</v>
      </c>
      <c r="N8" s="13">
        <v>6221.96</v>
      </c>
      <c r="O8" s="13">
        <v>0</v>
      </c>
      <c r="P8" s="13">
        <v>0</v>
      </c>
      <c r="Q8" s="13">
        <v>0</v>
      </c>
      <c r="R8" s="13">
        <v>0</v>
      </c>
      <c r="S8" s="14">
        <v>0</v>
      </c>
      <c r="T8" s="15"/>
    </row>
    <row r="9" spans="1:20" s="20" customFormat="1" ht="13.5" customHeight="1" outlineLevel="1" thickBot="1" x14ac:dyDescent="0.3">
      <c r="A9" s="1119"/>
      <c r="B9" s="1119"/>
      <c r="C9" s="1119"/>
      <c r="D9" s="1119"/>
      <c r="E9" s="1120"/>
      <c r="F9" s="16" t="s">
        <v>33</v>
      </c>
      <c r="G9" s="12"/>
      <c r="H9" s="17">
        <v>11</v>
      </c>
      <c r="I9" s="17">
        <v>247089</v>
      </c>
      <c r="J9" s="18">
        <v>151796.99</v>
      </c>
      <c r="K9" s="18">
        <v>3025</v>
      </c>
      <c r="L9" s="18">
        <v>12977.12</v>
      </c>
      <c r="M9" s="18">
        <v>26.29</v>
      </c>
      <c r="N9" s="18">
        <v>135768.57999999999</v>
      </c>
      <c r="O9" s="18">
        <v>0</v>
      </c>
      <c r="P9" s="18">
        <v>0</v>
      </c>
      <c r="Q9" s="18">
        <v>0</v>
      </c>
      <c r="R9" s="18">
        <v>0</v>
      </c>
      <c r="S9" s="19">
        <v>0</v>
      </c>
      <c r="T9" s="15">
        <v>0</v>
      </c>
    </row>
    <row r="10" spans="1:20" ht="13.5" customHeight="1" outlineLevel="2" thickBot="1" x14ac:dyDescent="0.3">
      <c r="A10" s="1117" t="s">
        <v>21</v>
      </c>
      <c r="B10" s="1117" t="s">
        <v>21</v>
      </c>
      <c r="C10" s="1117" t="s">
        <v>22</v>
      </c>
      <c r="D10" s="1117" t="s">
        <v>34</v>
      </c>
      <c r="E10" s="1118" t="s">
        <v>35</v>
      </c>
      <c r="F10" s="11" t="s">
        <v>36</v>
      </c>
      <c r="G10" s="17"/>
      <c r="H10" s="12"/>
      <c r="I10" s="12">
        <v>304</v>
      </c>
      <c r="J10" s="13">
        <v>705.15</v>
      </c>
      <c r="K10" s="13">
        <v>480</v>
      </c>
      <c r="L10" s="13">
        <v>56.91</v>
      </c>
      <c r="M10" s="13">
        <v>0.27</v>
      </c>
      <c r="N10" s="13">
        <v>167.97</v>
      </c>
      <c r="O10" s="13">
        <v>0</v>
      </c>
      <c r="P10" s="13">
        <v>0</v>
      </c>
      <c r="Q10" s="13">
        <v>0</v>
      </c>
      <c r="R10" s="13">
        <v>0</v>
      </c>
      <c r="S10" s="14">
        <v>0</v>
      </c>
      <c r="T10" s="15"/>
    </row>
    <row r="11" spans="1:20" ht="13.5" customHeight="1" outlineLevel="2" thickBot="1" x14ac:dyDescent="0.3">
      <c r="A11" s="1117" t="s">
        <v>21</v>
      </c>
      <c r="B11" s="1117" t="s">
        <v>21</v>
      </c>
      <c r="C11" s="1117" t="s">
        <v>26</v>
      </c>
      <c r="D11" s="1117" t="s">
        <v>34</v>
      </c>
      <c r="E11" s="1118" t="s">
        <v>35</v>
      </c>
      <c r="F11" s="11" t="s">
        <v>36</v>
      </c>
      <c r="G11" s="12"/>
      <c r="H11" s="12"/>
      <c r="I11" s="12">
        <v>54</v>
      </c>
      <c r="J11" s="13">
        <v>129.82</v>
      </c>
      <c r="K11" s="13">
        <v>90</v>
      </c>
      <c r="L11" s="13">
        <v>10.11</v>
      </c>
      <c r="M11" s="13">
        <v>0.05</v>
      </c>
      <c r="N11" s="13">
        <v>29.66</v>
      </c>
      <c r="O11" s="13">
        <v>0</v>
      </c>
      <c r="P11" s="13">
        <v>0</v>
      </c>
      <c r="Q11" s="13">
        <v>0</v>
      </c>
      <c r="R11" s="13">
        <v>0</v>
      </c>
      <c r="S11" s="14">
        <v>0</v>
      </c>
      <c r="T11" s="15"/>
    </row>
    <row r="12" spans="1:20" ht="13.5" customHeight="1" outlineLevel="2" thickBot="1" x14ac:dyDescent="0.3">
      <c r="A12" s="1117" t="s">
        <v>21</v>
      </c>
      <c r="B12" s="1117" t="s">
        <v>21</v>
      </c>
      <c r="C12" s="1117" t="s">
        <v>22</v>
      </c>
      <c r="D12" s="1117" t="s">
        <v>37</v>
      </c>
      <c r="E12" s="1118" t="s">
        <v>38</v>
      </c>
      <c r="F12" s="11" t="s">
        <v>39</v>
      </c>
      <c r="G12" s="12"/>
      <c r="H12" s="12"/>
      <c r="I12" s="12">
        <v>4221506</v>
      </c>
      <c r="J12" s="13">
        <v>3838791.3899999997</v>
      </c>
      <c r="K12" s="13">
        <v>822769.96</v>
      </c>
      <c r="L12" s="13">
        <v>718339.53</v>
      </c>
      <c r="M12" s="13">
        <v>3757.37</v>
      </c>
      <c r="N12" s="13">
        <v>2290228.34</v>
      </c>
      <c r="O12" s="13">
        <v>3696.19</v>
      </c>
      <c r="P12" s="13">
        <v>0</v>
      </c>
      <c r="Q12" s="13">
        <v>0</v>
      </c>
      <c r="R12" s="13">
        <v>0</v>
      </c>
      <c r="S12" s="14">
        <v>1496.43</v>
      </c>
      <c r="T12" s="15"/>
    </row>
    <row r="13" spans="1:20" ht="13.5" customHeight="1" outlineLevel="2" thickBot="1" x14ac:dyDescent="0.3">
      <c r="A13" s="1117" t="s">
        <v>21</v>
      </c>
      <c r="B13" s="1117" t="s">
        <v>21</v>
      </c>
      <c r="C13" s="1117" t="s">
        <v>26</v>
      </c>
      <c r="D13" s="1117" t="s">
        <v>37</v>
      </c>
      <c r="E13" s="1118" t="s">
        <v>38</v>
      </c>
      <c r="F13" s="11" t="s">
        <v>39</v>
      </c>
      <c r="G13" s="17"/>
      <c r="H13" s="12"/>
      <c r="I13" s="12">
        <v>564283</v>
      </c>
      <c r="J13" s="13">
        <v>472478.1</v>
      </c>
      <c r="K13" s="13">
        <v>73165.75</v>
      </c>
      <c r="L13" s="13">
        <v>92966.9</v>
      </c>
      <c r="M13" s="13">
        <v>502.12</v>
      </c>
      <c r="N13" s="13">
        <v>305467.31</v>
      </c>
      <c r="O13" s="13">
        <v>376.02</v>
      </c>
      <c r="P13" s="13">
        <v>0</v>
      </c>
      <c r="Q13" s="13">
        <v>0</v>
      </c>
      <c r="R13" s="13">
        <v>0</v>
      </c>
      <c r="S13" s="14">
        <v>179.01</v>
      </c>
      <c r="T13" s="15"/>
    </row>
    <row r="14" spans="1:20" ht="13.5" customHeight="1" outlineLevel="2" thickBot="1" x14ac:dyDescent="0.3">
      <c r="A14" s="1117" t="s">
        <v>21</v>
      </c>
      <c r="B14" s="1117" t="s">
        <v>21</v>
      </c>
      <c r="C14" s="1117" t="s">
        <v>40</v>
      </c>
      <c r="D14" s="1117" t="s">
        <v>37</v>
      </c>
      <c r="E14" s="1118" t="s">
        <v>38</v>
      </c>
      <c r="F14" s="11" t="s">
        <v>39</v>
      </c>
      <c r="G14" s="12"/>
      <c r="H14" s="12"/>
      <c r="I14" s="12">
        <v>1657</v>
      </c>
      <c r="J14" s="13">
        <v>1763.44</v>
      </c>
      <c r="K14" s="13">
        <v>573</v>
      </c>
      <c r="L14" s="13">
        <v>290.77</v>
      </c>
      <c r="M14" s="13">
        <v>1.46</v>
      </c>
      <c r="N14" s="13">
        <v>897.01</v>
      </c>
      <c r="O14" s="13">
        <v>1.2</v>
      </c>
      <c r="P14" s="13">
        <v>0</v>
      </c>
      <c r="Q14" s="13">
        <v>0</v>
      </c>
      <c r="R14" s="13">
        <v>0</v>
      </c>
      <c r="S14" s="14">
        <v>0</v>
      </c>
      <c r="T14" s="15"/>
    </row>
    <row r="15" spans="1:20" ht="13.5" customHeight="1" outlineLevel="2" thickBot="1" x14ac:dyDescent="0.3">
      <c r="A15" s="1117" t="s">
        <v>21</v>
      </c>
      <c r="B15" s="1117" t="s">
        <v>21</v>
      </c>
      <c r="C15" s="1117" t="s">
        <v>22</v>
      </c>
      <c r="D15" s="1117" t="s">
        <v>41</v>
      </c>
      <c r="E15" s="1118" t="s">
        <v>42</v>
      </c>
      <c r="F15" s="11" t="s">
        <v>43</v>
      </c>
      <c r="G15" s="21"/>
      <c r="H15" s="12"/>
      <c r="I15" s="12">
        <v>610</v>
      </c>
      <c r="J15" s="13">
        <v>18957.280000000002</v>
      </c>
      <c r="K15" s="13">
        <v>18510</v>
      </c>
      <c r="L15" s="13">
        <v>115.81</v>
      </c>
      <c r="M15" s="13">
        <v>0</v>
      </c>
      <c r="N15" s="13">
        <v>331.47</v>
      </c>
      <c r="O15" s="13">
        <v>0</v>
      </c>
      <c r="P15" s="13">
        <v>0</v>
      </c>
      <c r="Q15" s="13">
        <v>0</v>
      </c>
      <c r="R15" s="13">
        <v>0</v>
      </c>
      <c r="S15" s="14">
        <v>1.84</v>
      </c>
      <c r="T15" s="15"/>
    </row>
    <row r="16" spans="1:20" s="20" customFormat="1" ht="13.5" customHeight="1" outlineLevel="1" thickBot="1" x14ac:dyDescent="0.3">
      <c r="A16" s="1119"/>
      <c r="B16" s="1119"/>
      <c r="C16" s="1119"/>
      <c r="D16" s="1119"/>
      <c r="E16" s="1120"/>
      <c r="F16" s="16" t="s">
        <v>44</v>
      </c>
      <c r="G16" s="21"/>
      <c r="H16" s="17">
        <v>25563</v>
      </c>
      <c r="I16" s="17">
        <v>4788414</v>
      </c>
      <c r="J16" s="18">
        <v>4332825.1800000006</v>
      </c>
      <c r="K16" s="18">
        <v>915588.71</v>
      </c>
      <c r="L16" s="18">
        <v>811780.03000000014</v>
      </c>
      <c r="M16" s="18">
        <v>4261.2700000000004</v>
      </c>
      <c r="N16" s="18">
        <v>2597121.7599999998</v>
      </c>
      <c r="O16" s="18">
        <v>4073.41</v>
      </c>
      <c r="P16" s="18">
        <v>0</v>
      </c>
      <c r="Q16" s="18">
        <v>0</v>
      </c>
      <c r="R16" s="18">
        <v>0</v>
      </c>
      <c r="S16" s="19">
        <v>1677.28</v>
      </c>
      <c r="T16" s="15">
        <v>0</v>
      </c>
    </row>
    <row r="17" spans="1:21" ht="13.5" customHeight="1" outlineLevel="2" thickBot="1" x14ac:dyDescent="0.3">
      <c r="A17" s="1117" t="s">
        <v>21</v>
      </c>
      <c r="B17" s="1117" t="s">
        <v>21</v>
      </c>
      <c r="C17" s="1117" t="s">
        <v>28</v>
      </c>
      <c r="D17" s="1117" t="s">
        <v>45</v>
      </c>
      <c r="E17" s="1118" t="s">
        <v>46</v>
      </c>
      <c r="F17" s="11" t="s">
        <v>47</v>
      </c>
      <c r="G17" s="21"/>
      <c r="H17" s="12"/>
      <c r="I17" s="12">
        <v>476389</v>
      </c>
      <c r="J17" s="13">
        <v>351761.72</v>
      </c>
      <c r="K17" s="13">
        <v>20166.669999999998</v>
      </c>
      <c r="L17" s="13">
        <v>71201.72</v>
      </c>
      <c r="M17" s="13">
        <v>0</v>
      </c>
      <c r="N17" s="13">
        <v>260393.33</v>
      </c>
      <c r="O17" s="13">
        <v>0</v>
      </c>
      <c r="P17" s="13">
        <v>0</v>
      </c>
      <c r="Q17" s="13">
        <v>0</v>
      </c>
      <c r="R17" s="13">
        <v>0</v>
      </c>
      <c r="S17" s="14">
        <v>0</v>
      </c>
      <c r="T17" s="15"/>
    </row>
    <row r="18" spans="1:21" ht="13.5" customHeight="1" outlineLevel="2" thickBot="1" x14ac:dyDescent="0.3">
      <c r="A18" s="1117"/>
      <c r="B18" s="1117"/>
      <c r="C18" s="1117"/>
      <c r="D18" s="1117" t="s">
        <v>45</v>
      </c>
      <c r="E18" s="1118"/>
      <c r="F18" s="11" t="s">
        <v>47</v>
      </c>
      <c r="G18" s="21"/>
      <c r="H18" s="12"/>
      <c r="I18" s="12">
        <v>3310</v>
      </c>
      <c r="J18" s="13">
        <v>2491.46</v>
      </c>
      <c r="K18" s="13">
        <v>170</v>
      </c>
      <c r="L18" s="13">
        <v>514.13</v>
      </c>
      <c r="M18" s="13">
        <v>0</v>
      </c>
      <c r="N18" s="13">
        <v>1807.33</v>
      </c>
      <c r="O18" s="13">
        <v>0</v>
      </c>
      <c r="P18" s="13">
        <v>0</v>
      </c>
      <c r="Q18" s="13">
        <v>0</v>
      </c>
      <c r="R18" s="13">
        <v>0</v>
      </c>
      <c r="S18" s="14">
        <v>0</v>
      </c>
      <c r="T18" s="15"/>
    </row>
    <row r="19" spans="1:21" ht="13.5" customHeight="1" outlineLevel="2" thickBot="1" x14ac:dyDescent="0.3">
      <c r="A19" s="1117" t="s">
        <v>21</v>
      </c>
      <c r="B19" s="1117" t="s">
        <v>21</v>
      </c>
      <c r="C19" s="1117" t="s">
        <v>26</v>
      </c>
      <c r="D19" s="1117" t="s">
        <v>45</v>
      </c>
      <c r="E19" s="1118" t="s">
        <v>46</v>
      </c>
      <c r="F19" s="11" t="s">
        <v>47</v>
      </c>
      <c r="G19" s="12"/>
      <c r="H19" s="12"/>
      <c r="I19" s="12">
        <v>757</v>
      </c>
      <c r="J19" s="13">
        <v>845.84</v>
      </c>
      <c r="K19" s="13">
        <v>290</v>
      </c>
      <c r="L19" s="13">
        <v>143.99</v>
      </c>
      <c r="M19" s="13">
        <v>0</v>
      </c>
      <c r="N19" s="13">
        <v>411.85</v>
      </c>
      <c r="O19" s="13">
        <v>0</v>
      </c>
      <c r="P19" s="13">
        <v>0</v>
      </c>
      <c r="Q19" s="13">
        <v>0</v>
      </c>
      <c r="R19" s="13">
        <v>0</v>
      </c>
      <c r="S19" s="14">
        <v>0</v>
      </c>
      <c r="T19" s="15"/>
    </row>
    <row r="20" spans="1:21" s="20" customFormat="1" ht="13.5" customHeight="1" outlineLevel="1" thickBot="1" x14ac:dyDescent="0.3">
      <c r="A20" s="1119"/>
      <c r="B20" s="1119"/>
      <c r="C20" s="1119"/>
      <c r="D20" s="1119"/>
      <c r="E20" s="1120"/>
      <c r="F20" s="16" t="s">
        <v>48</v>
      </c>
      <c r="G20" s="17"/>
      <c r="H20" s="17">
        <v>208</v>
      </c>
      <c r="I20" s="17">
        <v>480456</v>
      </c>
      <c r="J20" s="18">
        <v>355099.02</v>
      </c>
      <c r="K20" s="18">
        <v>20626.669999999998</v>
      </c>
      <c r="L20" s="18">
        <v>71859.840000000011</v>
      </c>
      <c r="M20" s="18">
        <v>0</v>
      </c>
      <c r="N20" s="18">
        <v>262612.50999999995</v>
      </c>
      <c r="O20" s="18">
        <v>0</v>
      </c>
      <c r="P20" s="18">
        <v>0</v>
      </c>
      <c r="Q20" s="18">
        <v>0</v>
      </c>
      <c r="R20" s="18">
        <v>0</v>
      </c>
      <c r="S20" s="19">
        <v>0</v>
      </c>
      <c r="T20" s="15">
        <v>0</v>
      </c>
    </row>
    <row r="21" spans="1:21" ht="13.5" customHeight="1" outlineLevel="2" thickBot="1" x14ac:dyDescent="0.3">
      <c r="A21" s="1117" t="s">
        <v>21</v>
      </c>
      <c r="B21" s="1117" t="s">
        <v>21</v>
      </c>
      <c r="C21" s="1117" t="s">
        <v>40</v>
      </c>
      <c r="D21" s="1117" t="s">
        <v>49</v>
      </c>
      <c r="E21" s="1118" t="s">
        <v>50</v>
      </c>
      <c r="F21" s="11" t="s">
        <v>51</v>
      </c>
      <c r="G21" s="12"/>
      <c r="H21" s="12"/>
      <c r="I21" s="12">
        <v>32</v>
      </c>
      <c r="J21" s="13">
        <v>50.350000000000009</v>
      </c>
      <c r="K21" s="13">
        <v>25</v>
      </c>
      <c r="L21" s="13">
        <v>7.17</v>
      </c>
      <c r="M21" s="13">
        <v>0.56000000000000005</v>
      </c>
      <c r="N21" s="13">
        <v>17.62</v>
      </c>
      <c r="O21" s="13">
        <v>0</v>
      </c>
      <c r="P21" s="13">
        <v>0</v>
      </c>
      <c r="Q21" s="13">
        <v>0</v>
      </c>
      <c r="R21" s="13">
        <v>0</v>
      </c>
      <c r="S21" s="14">
        <v>0</v>
      </c>
      <c r="T21" s="15"/>
    </row>
    <row r="22" spans="1:21" ht="13.5" customHeight="1" outlineLevel="2" thickBot="1" x14ac:dyDescent="0.3">
      <c r="A22" s="1117" t="s">
        <v>21</v>
      </c>
      <c r="B22" s="1117" t="s">
        <v>21</v>
      </c>
      <c r="C22" s="1117" t="s">
        <v>40</v>
      </c>
      <c r="D22" s="1117" t="s">
        <v>52</v>
      </c>
      <c r="E22" s="1118" t="s">
        <v>53</v>
      </c>
      <c r="F22" s="11" t="s">
        <v>54</v>
      </c>
      <c r="G22" s="17"/>
      <c r="H22" s="21"/>
      <c r="I22" s="12">
        <v>8621477</v>
      </c>
      <c r="J22" s="13">
        <v>10403855</v>
      </c>
      <c r="K22" s="13">
        <v>3638779.28</v>
      </c>
      <c r="L22" s="13">
        <v>1930835.97</v>
      </c>
      <c r="M22" s="13">
        <v>151489.95000000001</v>
      </c>
      <c r="N22" s="13">
        <v>4683065.22</v>
      </c>
      <c r="O22" s="13">
        <v>-315.42</v>
      </c>
      <c r="P22" s="13">
        <v>0</v>
      </c>
      <c r="Q22" s="13">
        <v>44106.3</v>
      </c>
      <c r="R22" s="13">
        <v>0</v>
      </c>
      <c r="S22" s="14">
        <v>2764.38</v>
      </c>
      <c r="T22" s="15"/>
    </row>
    <row r="23" spans="1:21" ht="13.5" customHeight="1" outlineLevel="2" thickBot="1" x14ac:dyDescent="0.3">
      <c r="A23" s="1117" t="s">
        <v>21</v>
      </c>
      <c r="B23" s="1117" t="s">
        <v>21</v>
      </c>
      <c r="C23" s="1117" t="s">
        <v>26</v>
      </c>
      <c r="D23" s="1118" t="s">
        <v>52</v>
      </c>
      <c r="E23" s="1129" t="s">
        <v>53</v>
      </c>
      <c r="F23" s="11" t="s">
        <v>54</v>
      </c>
      <c r="G23" s="12"/>
      <c r="H23" s="21"/>
      <c r="I23" s="12">
        <v>471</v>
      </c>
      <c r="J23" s="13">
        <v>835.18</v>
      </c>
      <c r="K23" s="13">
        <v>465.41</v>
      </c>
      <c r="L23" s="13">
        <v>105.47</v>
      </c>
      <c r="M23" s="13">
        <v>8.2899999999999991</v>
      </c>
      <c r="N23" s="13">
        <v>256.01</v>
      </c>
      <c r="O23" s="13">
        <v>0</v>
      </c>
      <c r="P23" s="13">
        <v>0</v>
      </c>
      <c r="Q23" s="13">
        <v>5.85</v>
      </c>
      <c r="R23" s="13">
        <v>0</v>
      </c>
      <c r="S23" s="14">
        <v>0</v>
      </c>
      <c r="T23" s="15"/>
    </row>
    <row r="24" spans="1:21" ht="13.5" customHeight="1" outlineLevel="2" thickBot="1" x14ac:dyDescent="0.3">
      <c r="A24" s="1117"/>
      <c r="B24" s="1117"/>
      <c r="C24" s="1117"/>
      <c r="D24" s="1118" t="s">
        <v>52</v>
      </c>
      <c r="E24" s="1129"/>
      <c r="F24" s="11" t="s">
        <v>54</v>
      </c>
      <c r="G24" s="12"/>
      <c r="H24" s="21"/>
      <c r="I24" s="12">
        <v>54</v>
      </c>
      <c r="J24" s="13">
        <v>80.31</v>
      </c>
      <c r="K24" s="13">
        <v>37.5</v>
      </c>
      <c r="L24" s="13">
        <v>12.09</v>
      </c>
      <c r="M24" s="13">
        <v>0.95</v>
      </c>
      <c r="N24" s="13">
        <v>29.77</v>
      </c>
      <c r="O24" s="13">
        <v>0</v>
      </c>
      <c r="P24" s="13">
        <v>0</v>
      </c>
      <c r="Q24" s="13">
        <v>0.45</v>
      </c>
      <c r="R24" s="13">
        <v>0</v>
      </c>
      <c r="S24" s="14">
        <v>0</v>
      </c>
      <c r="T24" s="15"/>
    </row>
    <row r="25" spans="1:21" ht="13.5" customHeight="1" outlineLevel="2" thickBot="1" x14ac:dyDescent="0.3">
      <c r="A25" s="1117" t="s">
        <v>21</v>
      </c>
      <c r="B25" s="1117" t="s">
        <v>21</v>
      </c>
      <c r="C25" s="1117" t="s">
        <v>40</v>
      </c>
      <c r="D25" s="1117" t="s">
        <v>55</v>
      </c>
      <c r="E25" s="1118" t="s">
        <v>56</v>
      </c>
      <c r="F25" s="11" t="s">
        <v>57</v>
      </c>
      <c r="G25" s="17"/>
      <c r="H25" s="12"/>
      <c r="I25" s="12">
        <v>528</v>
      </c>
      <c r="J25" s="13">
        <v>270.34000000000003</v>
      </c>
      <c r="K25" s="13">
        <v>0.5</v>
      </c>
      <c r="L25" s="13">
        <v>-23.82</v>
      </c>
      <c r="M25" s="13">
        <v>0</v>
      </c>
      <c r="N25" s="13">
        <v>293.66000000000003</v>
      </c>
      <c r="O25" s="13">
        <v>0</v>
      </c>
      <c r="P25" s="13">
        <v>0</v>
      </c>
      <c r="Q25" s="13">
        <v>0</v>
      </c>
      <c r="R25" s="13">
        <v>0</v>
      </c>
      <c r="S25" s="14">
        <v>0</v>
      </c>
      <c r="T25" s="15"/>
    </row>
    <row r="26" spans="1:21" s="20" customFormat="1" ht="13.5" customHeight="1" outlineLevel="1" thickBot="1" x14ac:dyDescent="0.3">
      <c r="A26" s="1119"/>
      <c r="B26" s="1119"/>
      <c r="C26" s="1119"/>
      <c r="D26" s="1119"/>
      <c r="E26" s="1120"/>
      <c r="F26" s="16" t="s">
        <v>58</v>
      </c>
      <c r="G26" s="17"/>
      <c r="H26" s="17">
        <v>292417</v>
      </c>
      <c r="I26" s="17">
        <v>8622562</v>
      </c>
      <c r="J26" s="18">
        <v>10405091.18</v>
      </c>
      <c r="K26" s="18">
        <v>3639307.69</v>
      </c>
      <c r="L26" s="18">
        <v>1930936.88</v>
      </c>
      <c r="M26" s="18">
        <v>151499.75000000003</v>
      </c>
      <c r="N26" s="18">
        <v>4683662.2799999993</v>
      </c>
      <c r="O26" s="18">
        <v>-315.42</v>
      </c>
      <c r="P26" s="18">
        <v>0</v>
      </c>
      <c r="Q26" s="18">
        <v>44112.6</v>
      </c>
      <c r="R26" s="18">
        <v>0</v>
      </c>
      <c r="S26" s="19">
        <v>2764.38</v>
      </c>
      <c r="T26" s="15">
        <v>0</v>
      </c>
    </row>
    <row r="27" spans="1:21" ht="13.5" customHeight="1" outlineLevel="2" thickBot="1" x14ac:dyDescent="0.3">
      <c r="A27" s="1117" t="s">
        <v>21</v>
      </c>
      <c r="B27" s="1117" t="s">
        <v>21</v>
      </c>
      <c r="C27" s="1117" t="s">
        <v>40</v>
      </c>
      <c r="D27" s="1117" t="s">
        <v>59</v>
      </c>
      <c r="E27" s="1118" t="s">
        <v>60</v>
      </c>
      <c r="F27" s="11" t="s">
        <v>61</v>
      </c>
      <c r="G27" s="12"/>
      <c r="H27" s="12"/>
      <c r="I27" s="12">
        <v>261</v>
      </c>
      <c r="J27" s="13">
        <v>244.06</v>
      </c>
      <c r="K27" s="13">
        <v>37.5</v>
      </c>
      <c r="L27" s="13">
        <v>58.45</v>
      </c>
      <c r="M27" s="13">
        <v>4.59</v>
      </c>
      <c r="N27" s="13">
        <v>143.52000000000001</v>
      </c>
      <c r="O27" s="13">
        <v>0</v>
      </c>
      <c r="P27" s="13">
        <v>0</v>
      </c>
      <c r="Q27" s="13">
        <v>0</v>
      </c>
      <c r="R27" s="13">
        <v>0</v>
      </c>
      <c r="S27" s="14">
        <v>0</v>
      </c>
      <c r="T27" s="15"/>
    </row>
    <row r="28" spans="1:21" ht="13.5" customHeight="1" outlineLevel="2" thickBot="1" x14ac:dyDescent="0.3">
      <c r="A28" s="1117" t="s">
        <v>21</v>
      </c>
      <c r="B28" s="1117" t="s">
        <v>21</v>
      </c>
      <c r="C28" s="1117" t="s">
        <v>26</v>
      </c>
      <c r="D28" s="1117" t="s">
        <v>59</v>
      </c>
      <c r="E28" s="1118" t="s">
        <v>60</v>
      </c>
      <c r="F28" s="11" t="s">
        <v>61</v>
      </c>
      <c r="G28" s="12"/>
      <c r="H28" s="12"/>
      <c r="I28" s="12">
        <v>166</v>
      </c>
      <c r="J28" s="13">
        <v>142.34</v>
      </c>
      <c r="K28" s="13">
        <v>12.5</v>
      </c>
      <c r="L28" s="13">
        <v>37.18</v>
      </c>
      <c r="M28" s="13">
        <v>2.92</v>
      </c>
      <c r="N28" s="13">
        <v>89.74</v>
      </c>
      <c r="O28" s="13">
        <v>0</v>
      </c>
      <c r="P28" s="13">
        <v>0</v>
      </c>
      <c r="Q28" s="13">
        <v>0</v>
      </c>
      <c r="R28" s="13">
        <v>0</v>
      </c>
      <c r="S28" s="14">
        <v>0</v>
      </c>
      <c r="T28" s="15"/>
    </row>
    <row r="29" spans="1:21" s="20" customFormat="1" ht="13.5" customHeight="1" outlineLevel="1" thickBot="1" x14ac:dyDescent="0.3">
      <c r="A29" s="1123"/>
      <c r="B29" s="1123"/>
      <c r="C29" s="1123"/>
      <c r="D29" s="1123"/>
      <c r="E29" s="1123"/>
      <c r="F29" s="22" t="s">
        <v>62</v>
      </c>
      <c r="G29" s="12"/>
      <c r="H29" s="17">
        <v>4</v>
      </c>
      <c r="I29" s="17">
        <v>427</v>
      </c>
      <c r="J29" s="18">
        <v>386.4</v>
      </c>
      <c r="K29" s="18">
        <v>50</v>
      </c>
      <c r="L29" s="18">
        <v>95.63</v>
      </c>
      <c r="M29" s="18">
        <v>7.51</v>
      </c>
      <c r="N29" s="18">
        <v>233.26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  <c r="T29" s="15">
        <v>0</v>
      </c>
    </row>
    <row r="30" spans="1:21" ht="23.25" outlineLevel="2" thickBot="1" x14ac:dyDescent="0.3">
      <c r="B30" s="1123"/>
      <c r="C30" s="1123"/>
      <c r="D30" s="1117" t="s">
        <v>63</v>
      </c>
      <c r="E30" s="1118" t="s">
        <v>64</v>
      </c>
      <c r="F30" s="11" t="s">
        <v>65</v>
      </c>
      <c r="G30" s="12"/>
      <c r="H30" s="12"/>
      <c r="I30" s="12">
        <v>2339</v>
      </c>
      <c r="J30" s="47">
        <v>1809.29</v>
      </c>
      <c r="K30" s="47">
        <v>170</v>
      </c>
      <c r="L30" s="47">
        <v>370.96000000000004</v>
      </c>
      <c r="M30" s="47">
        <v>2.08</v>
      </c>
      <c r="N30" s="47">
        <v>1266.25</v>
      </c>
      <c r="O30" s="47"/>
      <c r="P30" s="47"/>
      <c r="Q30" s="47"/>
      <c r="R30" s="47"/>
      <c r="S30" s="48"/>
      <c r="U30" s="23">
        <v>0</v>
      </c>
    </row>
    <row r="31" spans="1:21" ht="23.25" outlineLevel="2" thickBot="1" x14ac:dyDescent="0.3">
      <c r="B31" s="1123"/>
      <c r="C31" s="1123"/>
      <c r="D31" s="1117" t="s">
        <v>66</v>
      </c>
      <c r="E31" s="1118" t="s">
        <v>67</v>
      </c>
      <c r="F31" s="11" t="s">
        <v>68</v>
      </c>
      <c r="G31" s="17"/>
      <c r="H31" s="12"/>
      <c r="I31" s="12">
        <v>2633</v>
      </c>
      <c r="J31" s="47">
        <v>2058.65</v>
      </c>
      <c r="K31" s="47">
        <v>170</v>
      </c>
      <c r="L31" s="47">
        <v>419.2</v>
      </c>
      <c r="M31" s="47">
        <v>0</v>
      </c>
      <c r="N31" s="47">
        <v>1469.45</v>
      </c>
      <c r="O31" s="47"/>
      <c r="P31" s="47"/>
      <c r="Q31" s="47"/>
      <c r="R31" s="47"/>
      <c r="S31" s="48"/>
      <c r="U31" s="23">
        <v>0</v>
      </c>
    </row>
    <row r="32" spans="1:21" ht="15.75" thickBot="1" x14ac:dyDescent="0.3">
      <c r="B32" s="1123"/>
      <c r="C32" s="1123"/>
      <c r="D32" s="1119"/>
      <c r="E32" s="1120"/>
      <c r="F32" s="16" t="s">
        <v>69</v>
      </c>
      <c r="G32" s="12"/>
      <c r="H32" s="17">
        <v>2</v>
      </c>
      <c r="I32" s="17">
        <v>4972</v>
      </c>
      <c r="J32" s="18">
        <v>3867.94</v>
      </c>
      <c r="K32" s="18">
        <v>340</v>
      </c>
      <c r="L32" s="18">
        <v>790.16000000000008</v>
      </c>
      <c r="M32" s="18">
        <v>2.08</v>
      </c>
      <c r="N32" s="18">
        <v>2735.7</v>
      </c>
      <c r="O32" s="18">
        <v>0</v>
      </c>
      <c r="P32" s="18">
        <v>0</v>
      </c>
      <c r="Q32" s="18">
        <v>0</v>
      </c>
      <c r="R32" s="18">
        <v>0</v>
      </c>
      <c r="S32" s="19">
        <v>0</v>
      </c>
      <c r="U32" s="23">
        <v>0</v>
      </c>
    </row>
    <row r="33" spans="1:20" s="20" customFormat="1" ht="13.5" customHeight="1" thickBot="1" x14ac:dyDescent="0.3">
      <c r="A33" s="1123"/>
      <c r="B33" s="1123"/>
      <c r="C33" s="1123"/>
      <c r="D33" s="1123"/>
      <c r="E33" s="1123"/>
      <c r="F33" s="22"/>
      <c r="G33" s="12"/>
      <c r="H33" s="17"/>
      <c r="I33" s="17"/>
      <c r="J33" s="18"/>
      <c r="K33" s="18"/>
      <c r="L33" s="18"/>
      <c r="M33" s="18"/>
      <c r="N33" s="18"/>
      <c r="O33" s="18"/>
      <c r="P33" s="18"/>
      <c r="Q33" s="18"/>
      <c r="R33" s="18"/>
      <c r="S33" s="19"/>
      <c r="T33" s="15"/>
    </row>
    <row r="34" spans="1:20" s="20" customFormat="1" ht="13.5" customHeight="1" thickBot="1" x14ac:dyDescent="0.3">
      <c r="A34" s="1123"/>
      <c r="B34" s="1123"/>
      <c r="C34" s="1123"/>
      <c r="D34" s="1123"/>
      <c r="E34" s="1123"/>
      <c r="F34" s="16" t="s">
        <v>70</v>
      </c>
      <c r="G34" s="24"/>
      <c r="H34" s="12"/>
      <c r="I34" s="17"/>
      <c r="J34" s="18"/>
      <c r="K34" s="17"/>
      <c r="L34" s="18"/>
      <c r="M34" s="18"/>
      <c r="N34" s="18"/>
      <c r="O34" s="18"/>
      <c r="P34" s="18"/>
      <c r="Q34" s="18"/>
      <c r="R34" s="18"/>
      <c r="S34" s="19"/>
      <c r="T34" s="15"/>
    </row>
    <row r="35" spans="1:20" s="20" customFormat="1" ht="13.5" customHeight="1" thickBot="1" x14ac:dyDescent="0.3">
      <c r="A35" s="1123"/>
      <c r="B35" s="1123"/>
      <c r="C35" s="1123"/>
      <c r="D35" s="1123"/>
      <c r="E35" s="1123"/>
      <c r="F35" s="22"/>
      <c r="G35" s="25" t="s">
        <v>71</v>
      </c>
      <c r="H35" s="12"/>
      <c r="I35" s="17">
        <v>5596</v>
      </c>
      <c r="J35" s="18">
        <v>2809.19</v>
      </c>
      <c r="K35" s="17"/>
      <c r="L35" s="18">
        <v>240.63</v>
      </c>
      <c r="M35" s="18"/>
      <c r="N35" s="18">
        <v>2568.56</v>
      </c>
      <c r="O35" s="18"/>
      <c r="P35" s="18"/>
      <c r="Q35" s="18"/>
      <c r="R35" s="18"/>
      <c r="S35" s="19"/>
      <c r="T35" s="15"/>
    </row>
    <row r="36" spans="1:20" s="20" customFormat="1" ht="13.5" customHeight="1" thickBot="1" x14ac:dyDescent="0.3">
      <c r="A36" s="1123"/>
      <c r="B36" s="1123"/>
      <c r="C36" s="1123"/>
      <c r="D36" s="1123"/>
      <c r="E36" s="1123"/>
      <c r="F36" s="22"/>
      <c r="G36" s="25" t="s">
        <v>71</v>
      </c>
      <c r="H36" s="12"/>
      <c r="I36" s="17">
        <v>0</v>
      </c>
      <c r="J36" s="18">
        <v>17890.509999999998</v>
      </c>
      <c r="K36" s="17"/>
      <c r="L36" s="18"/>
      <c r="M36" s="18"/>
      <c r="N36" s="18">
        <v>17890.509999999998</v>
      </c>
      <c r="O36" s="18"/>
      <c r="P36" s="18"/>
      <c r="Q36" s="18"/>
      <c r="R36" s="18"/>
      <c r="S36" s="19"/>
      <c r="T36" s="15"/>
    </row>
    <row r="37" spans="1:20" s="20" customFormat="1" ht="13.5" customHeight="1" thickBot="1" x14ac:dyDescent="0.3">
      <c r="A37" s="1123"/>
      <c r="B37" s="1123"/>
      <c r="C37" s="1123"/>
      <c r="D37" s="1123"/>
      <c r="E37" s="1123"/>
      <c r="F37" s="22"/>
      <c r="G37" s="25" t="s">
        <v>71</v>
      </c>
      <c r="H37" s="12"/>
      <c r="I37" s="17">
        <v>0</v>
      </c>
      <c r="J37" s="18">
        <v>6339.71</v>
      </c>
      <c r="K37" s="17"/>
      <c r="L37" s="18"/>
      <c r="M37" s="18"/>
      <c r="N37" s="18">
        <v>6339.71</v>
      </c>
      <c r="O37" s="18"/>
      <c r="P37" s="18"/>
      <c r="Q37" s="18"/>
      <c r="R37" s="18"/>
      <c r="S37" s="19"/>
      <c r="T37" s="15"/>
    </row>
    <row r="38" spans="1:20" s="20" customFormat="1" ht="13.5" customHeight="1" thickBot="1" x14ac:dyDescent="0.3">
      <c r="A38" s="1123"/>
      <c r="B38" s="1123"/>
      <c r="C38" s="1123"/>
      <c r="D38" s="1123"/>
      <c r="E38" s="1124"/>
      <c r="F38" s="22"/>
      <c r="G38" s="26" t="s">
        <v>71</v>
      </c>
      <c r="H38" s="17"/>
      <c r="I38" s="17">
        <v>943</v>
      </c>
      <c r="J38" s="18">
        <v>474.22999999999996</v>
      </c>
      <c r="K38" s="18">
        <v>0</v>
      </c>
      <c r="L38" s="18">
        <v>40.549999999999997</v>
      </c>
      <c r="M38" s="18">
        <v>0.84</v>
      </c>
      <c r="N38" s="18">
        <v>432.84</v>
      </c>
      <c r="O38" s="18"/>
      <c r="P38" s="18"/>
      <c r="Q38" s="18"/>
      <c r="R38" s="18"/>
      <c r="S38" s="19"/>
      <c r="T38" s="15"/>
    </row>
    <row r="39" spans="1:20" s="20" customFormat="1" ht="13.5" customHeight="1" thickBot="1" x14ac:dyDescent="0.3">
      <c r="A39" s="1123"/>
      <c r="B39" s="1123"/>
      <c r="C39" s="1123"/>
      <c r="D39" s="1123"/>
      <c r="E39" s="1124"/>
      <c r="F39" s="22"/>
      <c r="G39" s="26" t="s">
        <v>71</v>
      </c>
      <c r="H39" s="17"/>
      <c r="I39" s="17">
        <v>0</v>
      </c>
      <c r="J39" s="18">
        <v>170</v>
      </c>
      <c r="K39" s="18">
        <v>170</v>
      </c>
      <c r="L39" s="18"/>
      <c r="M39" s="18"/>
      <c r="N39" s="18"/>
      <c r="O39" s="18"/>
      <c r="P39" s="18"/>
      <c r="Q39" s="18"/>
      <c r="R39" s="18"/>
      <c r="S39" s="19"/>
      <c r="T39" s="15"/>
    </row>
    <row r="40" spans="1:20" s="20" customFormat="1" ht="13.5" customHeight="1" thickBot="1" x14ac:dyDescent="0.3">
      <c r="A40" s="1123"/>
      <c r="B40" s="1123"/>
      <c r="C40" s="1123"/>
      <c r="D40" s="1123"/>
      <c r="E40" s="1124"/>
      <c r="F40" s="22"/>
      <c r="G40" s="26" t="s">
        <v>71</v>
      </c>
      <c r="H40" s="17"/>
      <c r="I40" s="17"/>
      <c r="J40" s="18">
        <v>275</v>
      </c>
      <c r="K40" s="18">
        <v>275</v>
      </c>
      <c r="L40" s="18"/>
      <c r="M40" s="18"/>
      <c r="N40" s="18"/>
      <c r="O40" s="18"/>
      <c r="P40" s="18"/>
      <c r="Q40" s="18"/>
      <c r="R40" s="18"/>
      <c r="S40" s="19"/>
      <c r="T40" s="15"/>
    </row>
    <row r="41" spans="1:20" s="20" customFormat="1" ht="13.5" customHeight="1" thickBot="1" x14ac:dyDescent="0.3">
      <c r="A41" s="1123"/>
      <c r="B41" s="1123"/>
      <c r="C41" s="1123"/>
      <c r="D41" s="1123"/>
      <c r="E41" s="1124"/>
      <c r="F41" s="22"/>
      <c r="G41" s="26" t="s">
        <v>71</v>
      </c>
      <c r="H41" s="17"/>
      <c r="I41" s="17">
        <v>0</v>
      </c>
      <c r="J41" s="18">
        <v>781</v>
      </c>
      <c r="K41" s="18">
        <v>781</v>
      </c>
      <c r="L41" s="18">
        <v>0</v>
      </c>
      <c r="M41" s="18"/>
      <c r="N41" s="18">
        <v>0</v>
      </c>
      <c r="O41" s="18"/>
      <c r="P41" s="18"/>
      <c r="Q41" s="18"/>
      <c r="R41" s="18"/>
      <c r="S41" s="19"/>
      <c r="T41" s="15"/>
    </row>
    <row r="42" spans="1:20" s="20" customFormat="1" ht="13.5" customHeight="1" thickBot="1" x14ac:dyDescent="0.3">
      <c r="A42" s="1123"/>
      <c r="B42" s="1123"/>
      <c r="C42" s="1123"/>
      <c r="D42" s="1123"/>
      <c r="E42" s="1124"/>
      <c r="F42" s="22" t="s">
        <v>73</v>
      </c>
      <c r="G42" s="26" t="s">
        <v>74</v>
      </c>
      <c r="H42" s="17"/>
      <c r="I42" s="17">
        <v>0</v>
      </c>
      <c r="J42" s="49">
        <v>-2395.8499999994528</v>
      </c>
      <c r="K42" s="18">
        <v>0</v>
      </c>
      <c r="L42" s="49">
        <v>-2395.8499999994528</v>
      </c>
      <c r="M42" s="18"/>
      <c r="N42" s="18">
        <v>0</v>
      </c>
      <c r="O42" s="18"/>
      <c r="P42" s="18"/>
      <c r="Q42" s="18"/>
      <c r="R42" s="18"/>
      <c r="S42" s="19"/>
      <c r="T42" s="15"/>
    </row>
    <row r="43" spans="1:20" s="20" customFormat="1" ht="13.5" customHeight="1" thickBot="1" x14ac:dyDescent="0.3">
      <c r="A43" s="1123"/>
      <c r="B43" s="1123"/>
      <c r="C43" s="1123"/>
      <c r="D43" s="1123"/>
      <c r="E43" s="1124"/>
      <c r="F43" s="22" t="s">
        <v>75</v>
      </c>
      <c r="G43" s="26" t="s">
        <v>76</v>
      </c>
      <c r="H43" s="17"/>
      <c r="I43" s="17">
        <v>0</v>
      </c>
      <c r="J43" s="18">
        <v>0</v>
      </c>
      <c r="K43" s="18">
        <v>-45.56</v>
      </c>
      <c r="L43" s="18">
        <v>45.56</v>
      </c>
      <c r="M43" s="18">
        <v>0</v>
      </c>
      <c r="N43" s="18">
        <v>0</v>
      </c>
      <c r="O43" s="18"/>
      <c r="P43" s="18"/>
      <c r="Q43" s="18"/>
      <c r="R43" s="18"/>
      <c r="S43" s="19"/>
      <c r="T43" s="15"/>
    </row>
    <row r="44" spans="1:20" ht="13.5" customHeight="1" thickBot="1" x14ac:dyDescent="0.3">
      <c r="A44" s="1125"/>
      <c r="B44" s="1125"/>
      <c r="C44" s="1125"/>
      <c r="D44" s="1126" t="s">
        <v>77</v>
      </c>
      <c r="E44" s="1127"/>
      <c r="F44" s="27" t="s">
        <v>77</v>
      </c>
      <c r="G44" s="28"/>
      <c r="H44" s="28">
        <v>318205</v>
      </c>
      <c r="I44" s="28">
        <v>14150459</v>
      </c>
      <c r="J44" s="29">
        <v>15275410.5</v>
      </c>
      <c r="K44" s="29">
        <v>4580118.5100000007</v>
      </c>
      <c r="L44" s="29">
        <v>2826370.5500000007</v>
      </c>
      <c r="M44" s="29">
        <v>155797.74000000002</v>
      </c>
      <c r="N44" s="29">
        <v>7709365.7099999981</v>
      </c>
      <c r="O44" s="29">
        <v>3757.99</v>
      </c>
      <c r="P44" s="29">
        <v>0</v>
      </c>
      <c r="Q44" s="29">
        <v>44112.6</v>
      </c>
      <c r="R44" s="29">
        <v>0</v>
      </c>
      <c r="S44" s="50">
        <v>4441.66</v>
      </c>
    </row>
    <row r="45" spans="1:20" ht="13.5" customHeight="1" thickBot="1" x14ac:dyDescent="0.3">
      <c r="A45" s="1125"/>
      <c r="B45" s="1125"/>
      <c r="C45" s="1125"/>
      <c r="D45" s="1126" t="s">
        <v>77</v>
      </c>
      <c r="E45" s="1127"/>
      <c r="F45" s="27" t="s">
        <v>78</v>
      </c>
      <c r="G45" s="28"/>
      <c r="H45" s="28"/>
      <c r="I45" s="28">
        <v>14150460</v>
      </c>
      <c r="J45" s="29">
        <v>15275410.5</v>
      </c>
      <c r="K45" s="29">
        <v>4580118.51</v>
      </c>
      <c r="L45" s="29">
        <v>2826370.55</v>
      </c>
      <c r="M45" s="29">
        <v>155797.74</v>
      </c>
      <c r="N45" s="29">
        <v>7709365.71</v>
      </c>
      <c r="O45" s="29">
        <v>3757.99</v>
      </c>
      <c r="P45" s="29"/>
      <c r="Q45" s="29"/>
      <c r="R45" s="29"/>
      <c r="S45" s="50"/>
    </row>
    <row r="46" spans="1:20" ht="13.5" customHeight="1" thickBot="1" x14ac:dyDescent="0.3">
      <c r="A46" s="1125"/>
      <c r="B46" s="1125"/>
      <c r="C46" s="1125"/>
      <c r="D46" s="1126"/>
      <c r="E46" s="1127"/>
      <c r="F46" s="30" t="s">
        <v>79</v>
      </c>
      <c r="G46" s="31"/>
      <c r="H46" s="31"/>
      <c r="I46" s="41">
        <v>-1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/>
      <c r="Q46" s="51"/>
      <c r="R46" s="51"/>
      <c r="S46" s="52"/>
    </row>
    <row r="47" spans="1:20" ht="15.75" thickBot="1" x14ac:dyDescent="0.3">
      <c r="G47"/>
      <c r="H4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</row>
    <row r="48" spans="1:20" ht="24.6" customHeight="1" thickBot="1" x14ac:dyDescent="0.3">
      <c r="A48" s="1112"/>
      <c r="B48" s="1113"/>
      <c r="C48" s="1113"/>
      <c r="D48" s="1385" t="s">
        <v>80</v>
      </c>
      <c r="E48" s="1386"/>
      <c r="F48" s="32" t="s">
        <v>81</v>
      </c>
      <c r="G48" s="33"/>
      <c r="H48" s="4" t="s">
        <v>2</v>
      </c>
      <c r="I48" s="5" t="s">
        <v>3</v>
      </c>
      <c r="J48" s="5" t="s">
        <v>4</v>
      </c>
      <c r="K48" s="5" t="s">
        <v>5</v>
      </c>
      <c r="L48" s="5" t="s">
        <v>6</v>
      </c>
      <c r="M48" s="5" t="s">
        <v>7</v>
      </c>
      <c r="N48" s="5" t="s">
        <v>8</v>
      </c>
      <c r="O48" s="5" t="s">
        <v>9</v>
      </c>
      <c r="P48" s="5" t="s">
        <v>10</v>
      </c>
      <c r="Q48" s="5" t="s">
        <v>11</v>
      </c>
      <c r="R48" s="5" t="s">
        <v>12</v>
      </c>
      <c r="S48" s="6" t="s">
        <v>13</v>
      </c>
    </row>
    <row r="49" spans="1:21" ht="13.5" customHeight="1" thickBot="1" x14ac:dyDescent="0.3">
      <c r="A49" s="1115" t="s">
        <v>14</v>
      </c>
      <c r="B49" s="1116" t="s">
        <v>15</v>
      </c>
      <c r="C49" s="1116" t="s">
        <v>16</v>
      </c>
      <c r="D49" s="1116" t="s">
        <v>17</v>
      </c>
      <c r="E49" s="1128"/>
      <c r="F49" s="7"/>
      <c r="G49" s="8"/>
      <c r="H49" s="8"/>
      <c r="I49" s="8" t="s">
        <v>19</v>
      </c>
      <c r="J49" s="9" t="s">
        <v>20</v>
      </c>
      <c r="K49" s="9" t="s">
        <v>20</v>
      </c>
      <c r="L49" s="9" t="s">
        <v>20</v>
      </c>
      <c r="M49" s="9" t="s">
        <v>20</v>
      </c>
      <c r="N49" s="9" t="s">
        <v>20</v>
      </c>
      <c r="O49" s="9" t="s">
        <v>20</v>
      </c>
      <c r="P49" s="9" t="s">
        <v>20</v>
      </c>
      <c r="Q49" s="9" t="s">
        <v>20</v>
      </c>
      <c r="R49" s="9" t="s">
        <v>20</v>
      </c>
      <c r="S49" s="10" t="s">
        <v>20</v>
      </c>
    </row>
    <row r="50" spans="1:21" ht="13.5" customHeight="1" outlineLevel="2" thickBot="1" x14ac:dyDescent="0.3">
      <c r="A50" s="1117" t="s">
        <v>21</v>
      </c>
      <c r="B50" s="1117" t="s">
        <v>21</v>
      </c>
      <c r="C50" s="1117" t="s">
        <v>28</v>
      </c>
      <c r="D50" s="1117" t="s">
        <v>82</v>
      </c>
      <c r="E50" s="1118" t="s">
        <v>83</v>
      </c>
      <c r="F50" s="11" t="s">
        <v>84</v>
      </c>
      <c r="G50" s="12"/>
      <c r="H50" s="12"/>
      <c r="I50" s="12">
        <v>446540</v>
      </c>
      <c r="J50" s="13">
        <v>550732.9</v>
      </c>
      <c r="K50" s="13">
        <v>340</v>
      </c>
      <c r="L50" s="13">
        <v>12717.46</v>
      </c>
      <c r="M50" s="13">
        <v>0</v>
      </c>
      <c r="N50" s="13">
        <v>250700.96000000002</v>
      </c>
      <c r="O50" s="13">
        <v>0</v>
      </c>
      <c r="P50" s="13">
        <v>0</v>
      </c>
      <c r="Q50" s="13">
        <v>0</v>
      </c>
      <c r="R50" s="13">
        <v>286974.48</v>
      </c>
      <c r="S50" s="14">
        <v>0</v>
      </c>
      <c r="T50" s="15"/>
    </row>
    <row r="51" spans="1:21" ht="13.5" customHeight="1" thickBot="1" x14ac:dyDescent="0.3">
      <c r="A51" s="1118"/>
      <c r="B51" s="1129"/>
      <c r="C51" s="1129"/>
      <c r="D51" s="1127"/>
      <c r="E51" s="1130"/>
      <c r="F51" s="34" t="s">
        <v>85</v>
      </c>
      <c r="G51" s="12"/>
      <c r="H51" s="12">
        <v>2</v>
      </c>
      <c r="I51" s="12">
        <v>446540</v>
      </c>
      <c r="J51" s="47">
        <v>550732.9</v>
      </c>
      <c r="K51" s="47">
        <v>340</v>
      </c>
      <c r="L51" s="47">
        <v>12717.46</v>
      </c>
      <c r="M51" s="47">
        <v>0</v>
      </c>
      <c r="N51" s="47">
        <v>250700.96000000002</v>
      </c>
      <c r="O51" s="47">
        <v>0</v>
      </c>
      <c r="P51" s="47">
        <v>0</v>
      </c>
      <c r="Q51" s="47">
        <v>0</v>
      </c>
      <c r="R51" s="47">
        <v>286974.48</v>
      </c>
      <c r="S51" s="48">
        <v>0</v>
      </c>
      <c r="T51" s="15">
        <v>0</v>
      </c>
    </row>
    <row r="52" spans="1:21" ht="13.5" customHeight="1" thickBot="1" x14ac:dyDescent="0.3">
      <c r="A52" s="1125"/>
      <c r="B52" s="1125"/>
      <c r="C52" s="1129"/>
      <c r="D52" s="1127"/>
      <c r="E52" s="1131"/>
      <c r="F52" s="16" t="s">
        <v>86</v>
      </c>
      <c r="G52" s="12"/>
      <c r="H52" s="12"/>
      <c r="I52" s="12"/>
      <c r="J52" s="47"/>
      <c r="K52" s="47"/>
      <c r="L52" s="47">
        <v>286974.48</v>
      </c>
      <c r="M52" s="47"/>
      <c r="N52" s="47"/>
      <c r="O52" s="47"/>
      <c r="P52" s="47"/>
      <c r="Q52" s="47"/>
      <c r="R52" s="47">
        <v>-286974.48</v>
      </c>
      <c r="S52" s="48"/>
      <c r="T52" s="15"/>
    </row>
    <row r="53" spans="1:21" ht="13.5" customHeight="1" thickBot="1" x14ac:dyDescent="0.3">
      <c r="A53" s="1125"/>
      <c r="B53" s="1125"/>
      <c r="C53" s="1129"/>
      <c r="D53" s="1127"/>
      <c r="E53" s="1131"/>
      <c r="F53" s="16" t="s">
        <v>87</v>
      </c>
      <c r="G53" s="12"/>
      <c r="H53" s="12"/>
      <c r="I53" s="12">
        <v>335520</v>
      </c>
      <c r="J53" s="47">
        <v>108596.43</v>
      </c>
      <c r="K53" s="47">
        <v>781</v>
      </c>
      <c r="L53" s="47">
        <v>106609.98</v>
      </c>
      <c r="M53" s="47"/>
      <c r="N53" s="47">
        <v>1205.45</v>
      </c>
      <c r="O53" s="47"/>
      <c r="P53" s="47"/>
      <c r="Q53" s="47"/>
      <c r="R53" s="47"/>
      <c r="S53" s="48"/>
      <c r="T53" s="15"/>
    </row>
    <row r="54" spans="1:21" ht="13.5" customHeight="1" thickBot="1" x14ac:dyDescent="0.3">
      <c r="A54" s="1125"/>
      <c r="B54" s="1125"/>
      <c r="C54" s="1126"/>
      <c r="D54" s="1132" t="s">
        <v>88</v>
      </c>
      <c r="E54" s="1127"/>
      <c r="F54" s="35" t="s">
        <v>89</v>
      </c>
      <c r="G54" s="28"/>
      <c r="H54" s="28">
        <v>2</v>
      </c>
      <c r="I54" s="53">
        <v>782060</v>
      </c>
      <c r="J54" s="29">
        <v>659329.33000000007</v>
      </c>
      <c r="K54" s="29">
        <v>1121</v>
      </c>
      <c r="L54" s="29">
        <v>406301.92</v>
      </c>
      <c r="M54" s="29">
        <v>0</v>
      </c>
      <c r="N54" s="29">
        <v>251906.41000000003</v>
      </c>
      <c r="O54" s="29">
        <v>0</v>
      </c>
      <c r="P54" s="29">
        <v>0</v>
      </c>
      <c r="Q54" s="29">
        <v>0</v>
      </c>
      <c r="R54" s="29">
        <v>0</v>
      </c>
      <c r="S54" s="50">
        <v>0</v>
      </c>
    </row>
    <row r="55" spans="1:21" ht="13.5" customHeight="1" thickBot="1" x14ac:dyDescent="0.3">
      <c r="A55" s="1125"/>
      <c r="B55" s="1125"/>
      <c r="C55" s="1125"/>
      <c r="D55" s="1126" t="s">
        <v>77</v>
      </c>
      <c r="E55" s="1127"/>
      <c r="F55" s="35" t="s">
        <v>90</v>
      </c>
      <c r="G55" s="28"/>
      <c r="H55" s="28"/>
      <c r="I55" s="28">
        <v>782060</v>
      </c>
      <c r="J55" s="29">
        <v>659329.32999999996</v>
      </c>
      <c r="K55" s="29">
        <v>1121</v>
      </c>
      <c r="L55" s="29">
        <v>406301.92</v>
      </c>
      <c r="M55" s="29">
        <v>0</v>
      </c>
      <c r="N55" s="29">
        <v>251906.41</v>
      </c>
      <c r="O55" s="29"/>
      <c r="P55" s="29"/>
      <c r="Q55" s="29"/>
      <c r="R55" s="29"/>
      <c r="S55" s="50"/>
    </row>
    <row r="56" spans="1:21" ht="13.5" customHeight="1" thickBot="1" x14ac:dyDescent="0.3">
      <c r="A56" s="1125"/>
      <c r="B56" s="1125"/>
      <c r="C56" s="1125"/>
      <c r="D56" s="1126"/>
      <c r="E56" s="1127"/>
      <c r="F56" s="30" t="s">
        <v>79</v>
      </c>
      <c r="G56" s="31"/>
      <c r="H56" s="31"/>
      <c r="I56" s="4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/>
      <c r="Q56" s="51"/>
      <c r="R56" s="51"/>
      <c r="S56" s="52"/>
    </row>
    <row r="57" spans="1:21" ht="15.75" thickBot="1" x14ac:dyDescent="0.3">
      <c r="G57"/>
      <c r="H57"/>
      <c r="I57" s="36"/>
      <c r="K57" s="36"/>
      <c r="L57" s="36"/>
      <c r="M57" s="36"/>
      <c r="N57" s="54"/>
      <c r="O57" s="36"/>
      <c r="P57" s="36"/>
    </row>
    <row r="58" spans="1:21" ht="23.25" thickBot="1" x14ac:dyDescent="0.3">
      <c r="D58" s="1387" t="s">
        <v>91</v>
      </c>
      <c r="E58" s="1388"/>
      <c r="F58" s="37" t="s">
        <v>92</v>
      </c>
      <c r="G58" s="4"/>
      <c r="H58" s="4" t="s">
        <v>2</v>
      </c>
      <c r="I58" s="5" t="s">
        <v>3</v>
      </c>
      <c r="J58" s="5" t="s">
        <v>4</v>
      </c>
      <c r="K58" s="5" t="s">
        <v>5</v>
      </c>
      <c r="L58" s="5" t="s">
        <v>6</v>
      </c>
      <c r="M58" s="5" t="s">
        <v>7</v>
      </c>
      <c r="N58" s="5" t="s">
        <v>93</v>
      </c>
      <c r="O58" s="5" t="s">
        <v>9</v>
      </c>
      <c r="P58" s="5" t="s">
        <v>10</v>
      </c>
      <c r="Q58" s="5" t="s">
        <v>11</v>
      </c>
      <c r="R58" s="5" t="s">
        <v>12</v>
      </c>
      <c r="S58" s="6" t="s">
        <v>13</v>
      </c>
    </row>
    <row r="59" spans="1:21" ht="15.75" thickBot="1" x14ac:dyDescent="0.3">
      <c r="D59" s="1119"/>
      <c r="E59" s="1120"/>
      <c r="F59" s="38"/>
      <c r="G59" s="8"/>
      <c r="H59" s="8"/>
      <c r="I59" s="8" t="s">
        <v>19</v>
      </c>
      <c r="J59" s="9" t="s">
        <v>20</v>
      </c>
      <c r="K59" s="9" t="s">
        <v>20</v>
      </c>
      <c r="L59" s="9" t="s">
        <v>20</v>
      </c>
      <c r="M59" s="9" t="s">
        <v>20</v>
      </c>
      <c r="N59" s="9" t="s">
        <v>20</v>
      </c>
      <c r="O59" s="9" t="s">
        <v>20</v>
      </c>
      <c r="P59" s="9" t="s">
        <v>20</v>
      </c>
      <c r="Q59" s="9" t="s">
        <v>20</v>
      </c>
      <c r="R59" s="9" t="s">
        <v>20</v>
      </c>
      <c r="S59" s="10" t="s">
        <v>20</v>
      </c>
    </row>
    <row r="60" spans="1:21" ht="15.75" outlineLevel="2" thickBot="1" x14ac:dyDescent="0.3">
      <c r="D60" s="1117" t="s">
        <v>94</v>
      </c>
      <c r="E60" s="1118" t="s">
        <v>95</v>
      </c>
      <c r="F60" s="11" t="s">
        <v>96</v>
      </c>
      <c r="G60" s="12"/>
      <c r="H60" s="12"/>
      <c r="I60" s="12">
        <v>0</v>
      </c>
      <c r="J60" s="13">
        <v>0</v>
      </c>
      <c r="K60" s="13">
        <v>0</v>
      </c>
      <c r="L60" s="13"/>
      <c r="M60" s="13"/>
      <c r="N60" s="13"/>
      <c r="O60" s="13"/>
      <c r="P60" s="13"/>
      <c r="Q60" s="13"/>
      <c r="R60" s="13"/>
      <c r="S60" s="14"/>
      <c r="U60" s="23">
        <v>0</v>
      </c>
    </row>
    <row r="61" spans="1:21" ht="23.25" outlineLevel="2" thickBot="1" x14ac:dyDescent="0.3">
      <c r="D61" s="1117" t="s">
        <v>97</v>
      </c>
      <c r="E61" s="1118" t="s">
        <v>98</v>
      </c>
      <c r="F61" s="11" t="s">
        <v>96</v>
      </c>
      <c r="G61" s="12"/>
      <c r="H61" s="12"/>
      <c r="I61" s="12">
        <v>943</v>
      </c>
      <c r="J61" s="13">
        <v>474.22999999999996</v>
      </c>
      <c r="K61" s="13"/>
      <c r="L61" s="13">
        <v>40.549999999999997</v>
      </c>
      <c r="M61" s="13">
        <v>0.84</v>
      </c>
      <c r="N61" s="13">
        <v>432.84</v>
      </c>
      <c r="O61" s="13"/>
      <c r="P61" s="13"/>
      <c r="Q61" s="13"/>
      <c r="R61" s="13"/>
      <c r="S61" s="14"/>
      <c r="U61" s="23">
        <v>0</v>
      </c>
    </row>
    <row r="62" spans="1:21" ht="23.25" outlineLevel="2" thickBot="1" x14ac:dyDescent="0.3">
      <c r="D62" s="1117" t="s">
        <v>97</v>
      </c>
      <c r="E62" s="1118" t="s">
        <v>98</v>
      </c>
      <c r="F62" s="11" t="s">
        <v>96</v>
      </c>
      <c r="G62" s="12"/>
      <c r="H62" s="12"/>
      <c r="I62" s="12">
        <v>0</v>
      </c>
      <c r="J62" s="13">
        <v>0</v>
      </c>
      <c r="K62" s="47">
        <v>0</v>
      </c>
      <c r="L62" s="47">
        <v>0</v>
      </c>
      <c r="M62" s="47">
        <v>0</v>
      </c>
      <c r="N62" s="13">
        <v>0</v>
      </c>
      <c r="O62" s="13"/>
      <c r="P62" s="13"/>
      <c r="Q62" s="13"/>
      <c r="R62" s="13"/>
      <c r="S62" s="14"/>
      <c r="U62" s="23">
        <v>0</v>
      </c>
    </row>
    <row r="63" spans="1:21" ht="23.25" outlineLevel="2" thickBot="1" x14ac:dyDescent="0.3">
      <c r="D63" s="1117" t="s">
        <v>99</v>
      </c>
      <c r="E63" s="1118" t="s">
        <v>100</v>
      </c>
      <c r="F63" s="11" t="s">
        <v>96</v>
      </c>
      <c r="G63" s="12"/>
      <c r="H63" s="12"/>
      <c r="I63" s="12">
        <v>5596</v>
      </c>
      <c r="J63" s="13">
        <v>2809.19</v>
      </c>
      <c r="K63" s="13">
        <v>0</v>
      </c>
      <c r="L63" s="13">
        <v>240.63</v>
      </c>
      <c r="M63" s="13">
        <v>0</v>
      </c>
      <c r="N63" s="13">
        <v>2568.56</v>
      </c>
      <c r="O63" s="13"/>
      <c r="P63" s="13"/>
      <c r="Q63" s="13"/>
      <c r="R63" s="13"/>
      <c r="S63" s="14"/>
      <c r="U63" s="23">
        <v>0</v>
      </c>
    </row>
    <row r="64" spans="1:21" ht="23.25" outlineLevel="2" thickBot="1" x14ac:dyDescent="0.3">
      <c r="D64" s="1117" t="s">
        <v>99</v>
      </c>
      <c r="E64" s="1118" t="s">
        <v>100</v>
      </c>
      <c r="F64" s="11" t="s">
        <v>96</v>
      </c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4"/>
      <c r="U64" s="23">
        <v>0</v>
      </c>
    </row>
    <row r="65" spans="1:21" ht="23.25" outlineLevel="2" thickBot="1" x14ac:dyDescent="0.3">
      <c r="D65" s="1117" t="s">
        <v>99</v>
      </c>
      <c r="E65" s="1118" t="s">
        <v>100</v>
      </c>
      <c r="F65" s="11" t="s">
        <v>96</v>
      </c>
      <c r="G65" s="12"/>
      <c r="H65" s="12"/>
      <c r="I65" s="12">
        <v>0</v>
      </c>
      <c r="J65" s="13">
        <v>0</v>
      </c>
      <c r="K65" s="13"/>
      <c r="L65" s="13"/>
      <c r="M65" s="13"/>
      <c r="N65" s="13"/>
      <c r="O65" s="13"/>
      <c r="P65" s="13"/>
      <c r="Q65" s="13"/>
      <c r="R65" s="13"/>
      <c r="S65" s="14"/>
      <c r="U65" s="23">
        <v>0</v>
      </c>
    </row>
    <row r="66" spans="1:21" ht="15.75" thickBot="1" x14ac:dyDescent="0.3">
      <c r="D66" s="1119"/>
      <c r="E66" s="1120"/>
      <c r="F66" s="16" t="s">
        <v>101</v>
      </c>
      <c r="G66" s="17"/>
      <c r="H66" s="17">
        <v>2</v>
      </c>
      <c r="I66" s="17">
        <v>6539</v>
      </c>
      <c r="J66" s="18">
        <v>3283.42</v>
      </c>
      <c r="K66" s="18">
        <v>0</v>
      </c>
      <c r="L66" s="18">
        <v>281.18</v>
      </c>
      <c r="M66" s="18">
        <v>0.84</v>
      </c>
      <c r="N66" s="18">
        <v>3001.4</v>
      </c>
      <c r="O66" s="18">
        <v>0</v>
      </c>
      <c r="P66" s="18">
        <v>0</v>
      </c>
      <c r="Q66" s="18">
        <v>0</v>
      </c>
      <c r="R66" s="18">
        <v>0</v>
      </c>
      <c r="S66" s="19">
        <v>0</v>
      </c>
      <c r="U66" s="23">
        <v>0</v>
      </c>
    </row>
    <row r="67" spans="1:21" ht="23.25" outlineLevel="2" thickBot="1" x14ac:dyDescent="0.3">
      <c r="D67" s="1117" t="s">
        <v>102</v>
      </c>
      <c r="E67" s="1118" t="s">
        <v>103</v>
      </c>
      <c r="F67" s="11" t="s">
        <v>104</v>
      </c>
      <c r="G67" s="12"/>
      <c r="H67" s="12"/>
      <c r="I67" s="12">
        <v>0</v>
      </c>
      <c r="J67" s="13">
        <v>24230.219999999998</v>
      </c>
      <c r="K67" s="13"/>
      <c r="L67" s="13"/>
      <c r="M67" s="13"/>
      <c r="N67" s="13">
        <v>24230.219999999998</v>
      </c>
      <c r="O67" s="13"/>
      <c r="P67" s="13"/>
      <c r="Q67" s="13"/>
      <c r="R67" s="13"/>
      <c r="S67" s="14"/>
      <c r="U67" s="23">
        <v>0</v>
      </c>
    </row>
    <row r="68" spans="1:21" ht="15.75" thickBot="1" x14ac:dyDescent="0.3">
      <c r="D68" s="1119"/>
      <c r="E68" s="1120"/>
      <c r="F68" s="16" t="s">
        <v>105</v>
      </c>
      <c r="G68" s="17"/>
      <c r="H68" s="17">
        <v>2</v>
      </c>
      <c r="I68" s="17">
        <v>0</v>
      </c>
      <c r="J68" s="18">
        <v>24230.219999999998</v>
      </c>
      <c r="K68" s="18">
        <v>0</v>
      </c>
      <c r="L68" s="18">
        <v>0</v>
      </c>
      <c r="M68" s="18">
        <v>0</v>
      </c>
      <c r="N68" s="18">
        <v>24230.219999999998</v>
      </c>
      <c r="O68" s="18">
        <v>0</v>
      </c>
      <c r="P68" s="18">
        <v>0</v>
      </c>
      <c r="Q68" s="18">
        <v>0</v>
      </c>
      <c r="R68" s="18">
        <v>0</v>
      </c>
      <c r="S68" s="19">
        <v>0</v>
      </c>
      <c r="U68" s="23">
        <v>0</v>
      </c>
    </row>
    <row r="69" spans="1:21" ht="15.75" outlineLevel="2" thickBot="1" x14ac:dyDescent="0.3">
      <c r="D69" s="1117" t="s">
        <v>106</v>
      </c>
      <c r="E69" s="1118" t="s">
        <v>107</v>
      </c>
      <c r="F69" s="11" t="s">
        <v>72</v>
      </c>
      <c r="G69" s="17"/>
      <c r="H69" s="12"/>
      <c r="I69" s="12">
        <v>0</v>
      </c>
      <c r="J69" s="13">
        <v>781</v>
      </c>
      <c r="K69" s="13">
        <v>781</v>
      </c>
      <c r="L69" s="13">
        <v>0</v>
      </c>
      <c r="M69" s="13">
        <v>0</v>
      </c>
      <c r="N69" s="13">
        <v>0</v>
      </c>
      <c r="O69" s="13"/>
      <c r="P69" s="13"/>
      <c r="Q69" s="13"/>
      <c r="R69" s="13"/>
      <c r="S69" s="14"/>
      <c r="U69" s="23">
        <v>0</v>
      </c>
    </row>
    <row r="70" spans="1:21" ht="15.75" thickBot="1" x14ac:dyDescent="0.3">
      <c r="D70" s="1119"/>
      <c r="E70" s="1130"/>
      <c r="F70" s="34" t="s">
        <v>108</v>
      </c>
      <c r="G70" s="17"/>
      <c r="H70" s="17">
        <v>1</v>
      </c>
      <c r="I70" s="17">
        <v>0</v>
      </c>
      <c r="J70" s="18">
        <v>781</v>
      </c>
      <c r="K70" s="18">
        <v>781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9">
        <v>0</v>
      </c>
      <c r="U70" s="23">
        <v>0</v>
      </c>
    </row>
    <row r="71" spans="1:21" ht="15.75" outlineLevel="2" thickBot="1" x14ac:dyDescent="0.3">
      <c r="D71" s="1117" t="s">
        <v>109</v>
      </c>
      <c r="E71" s="1118" t="s">
        <v>110</v>
      </c>
      <c r="F71" s="39" t="s">
        <v>111</v>
      </c>
      <c r="G71" s="12"/>
      <c r="H71" s="12"/>
      <c r="I71" s="12">
        <v>0</v>
      </c>
      <c r="J71" s="13">
        <v>275</v>
      </c>
      <c r="K71" s="13">
        <v>275</v>
      </c>
      <c r="L71" s="13">
        <v>0</v>
      </c>
      <c r="M71" s="13">
        <v>0</v>
      </c>
      <c r="N71" s="13">
        <v>0</v>
      </c>
      <c r="O71" s="13"/>
      <c r="P71" s="13"/>
      <c r="Q71" s="13"/>
      <c r="R71" s="13"/>
      <c r="S71" s="14"/>
      <c r="U71" s="23">
        <v>0</v>
      </c>
    </row>
    <row r="72" spans="1:21" ht="15.75" thickBot="1" x14ac:dyDescent="0.3">
      <c r="D72" s="1119"/>
      <c r="E72" s="1130"/>
      <c r="F72" s="34" t="s">
        <v>112</v>
      </c>
      <c r="G72" s="17"/>
      <c r="H72" s="17">
        <v>1</v>
      </c>
      <c r="I72" s="17">
        <v>0</v>
      </c>
      <c r="J72" s="18">
        <v>275</v>
      </c>
      <c r="K72" s="18">
        <v>275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9">
        <v>0</v>
      </c>
      <c r="U72" s="23">
        <v>0</v>
      </c>
    </row>
    <row r="73" spans="1:21" ht="23.25" outlineLevel="2" thickBot="1" x14ac:dyDescent="0.3">
      <c r="D73" s="1117" t="s">
        <v>113</v>
      </c>
      <c r="E73" s="1118" t="s">
        <v>114</v>
      </c>
      <c r="F73" s="39" t="s">
        <v>115</v>
      </c>
      <c r="G73" s="12"/>
      <c r="H73" s="12"/>
      <c r="I73" s="12">
        <v>0</v>
      </c>
      <c r="J73" s="13">
        <v>1562</v>
      </c>
      <c r="K73" s="13">
        <v>1562</v>
      </c>
      <c r="L73" s="13">
        <v>0</v>
      </c>
      <c r="M73" s="13">
        <v>0</v>
      </c>
      <c r="N73" s="13">
        <v>0</v>
      </c>
      <c r="O73" s="13"/>
      <c r="P73" s="13"/>
      <c r="Q73" s="13"/>
      <c r="R73" s="13"/>
      <c r="S73" s="14"/>
      <c r="U73" s="23">
        <v>0</v>
      </c>
    </row>
    <row r="74" spans="1:21" ht="15.75" thickBot="1" x14ac:dyDescent="0.3">
      <c r="D74" s="1127"/>
      <c r="E74" s="1130"/>
      <c r="F74" s="34" t="s">
        <v>116</v>
      </c>
      <c r="G74" s="17"/>
      <c r="H74" s="17">
        <v>1</v>
      </c>
      <c r="I74" s="17">
        <v>0</v>
      </c>
      <c r="J74" s="18">
        <v>1562</v>
      </c>
      <c r="K74" s="18">
        <v>1562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9">
        <v>0</v>
      </c>
      <c r="U74" s="23">
        <v>0</v>
      </c>
    </row>
    <row r="75" spans="1:21" ht="15.75" thickBot="1" x14ac:dyDescent="0.3">
      <c r="A75" s="1108"/>
      <c r="B75" s="1108"/>
      <c r="C75" s="1108"/>
      <c r="D75" s="1381" t="s">
        <v>117</v>
      </c>
      <c r="E75" s="1381"/>
      <c r="F75" s="40" t="s">
        <v>118</v>
      </c>
      <c r="G75" s="41"/>
      <c r="H75" s="41">
        <v>7</v>
      </c>
      <c r="I75" s="41">
        <v>6539</v>
      </c>
      <c r="J75" s="51">
        <v>30131.64</v>
      </c>
      <c r="K75" s="51">
        <v>2618</v>
      </c>
      <c r="L75" s="51">
        <v>281.18</v>
      </c>
      <c r="M75" s="51">
        <v>0.84</v>
      </c>
      <c r="N75" s="51">
        <v>27231.62</v>
      </c>
      <c r="O75" s="51">
        <v>0</v>
      </c>
      <c r="P75" s="51">
        <v>0</v>
      </c>
      <c r="Q75" s="51">
        <v>0</v>
      </c>
      <c r="R75" s="51">
        <v>0</v>
      </c>
      <c r="S75" s="52">
        <v>0</v>
      </c>
      <c r="U75" s="23">
        <v>0</v>
      </c>
    </row>
    <row r="76" spans="1:21" x14ac:dyDescent="0.25">
      <c r="G76"/>
      <c r="H76"/>
      <c r="I76" s="42"/>
      <c r="K76" s="43"/>
      <c r="L76" s="43"/>
      <c r="M76" s="43"/>
      <c r="N76" s="43"/>
      <c r="O76" s="43"/>
      <c r="P76" s="43"/>
    </row>
    <row r="77" spans="1:21" x14ac:dyDescent="0.25">
      <c r="G77" s="44" t="s">
        <v>76</v>
      </c>
      <c r="H77" s="36" t="s">
        <v>119</v>
      </c>
    </row>
    <row r="78" spans="1:21" s="45" customFormat="1" ht="11.25" x14ac:dyDescent="0.2">
      <c r="A78" s="1133"/>
      <c r="B78" s="1133"/>
      <c r="C78" s="1133"/>
      <c r="D78" s="1133"/>
      <c r="E78" s="1133"/>
      <c r="G78" s="44" t="s">
        <v>74</v>
      </c>
      <c r="H78" s="36" t="s">
        <v>120</v>
      </c>
    </row>
    <row r="79" spans="1:21" x14ac:dyDescent="0.25">
      <c r="G79" s="44" t="s">
        <v>71</v>
      </c>
      <c r="H79" s="36" t="s">
        <v>121</v>
      </c>
    </row>
    <row r="80" spans="1:21" x14ac:dyDescent="0.25">
      <c r="G80" s="46"/>
      <c r="H80" s="36"/>
    </row>
  </sheetData>
  <mergeCells count="5">
    <mergeCell ref="F1:K1"/>
    <mergeCell ref="D4:E4"/>
    <mergeCell ref="D48:E48"/>
    <mergeCell ref="D58:E58"/>
    <mergeCell ref="D75:E75"/>
  </mergeCells>
  <conditionalFormatting sqref="T50:T53 T5:T29 T33:T43">
    <cfRule type="cellIs" dxfId="53" priority="2" stopIfTrue="1" operator="notEqual">
      <formula>0</formula>
    </cfRule>
  </conditionalFormatting>
  <conditionalFormatting sqref="T50:T53 T5:T29 T33:T43">
    <cfRule type="cellIs" dxfId="52" priority="1" stopIfTrue="1" operator="notEqual">
      <formula>0</formula>
    </cfRule>
  </conditionalFormatting>
  <pageMargins left="0.7" right="0.7" top="0.75" bottom="0.75" header="0.3" footer="0.3"/>
  <pageSetup scale="45" fitToHeight="2" orientation="landscape" r:id="rId1"/>
  <rowBreaks count="1" manualBreakCount="1">
    <brk id="57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8" tint="0.39997558519241921"/>
    <pageSetUpPr fitToPage="1"/>
  </sheetPr>
  <dimension ref="A1:U77"/>
  <sheetViews>
    <sheetView showGridLines="0" zoomScaleNormal="100" zoomScaleSheetLayoutView="80" workbookViewId="0"/>
  </sheetViews>
  <sheetFormatPr defaultRowHeight="12.75" outlineLevelRow="2" x14ac:dyDescent="0.2"/>
  <cols>
    <col min="1" max="1" width="15" style="1087" customWidth="1"/>
    <col min="2" max="2" width="14.85546875" style="1087" customWidth="1"/>
    <col min="3" max="3" width="9.7109375" style="1087" customWidth="1"/>
    <col min="4" max="4" width="13.140625" style="1087" customWidth="1"/>
    <col min="5" max="5" width="32.7109375" style="1087" customWidth="1"/>
    <col min="6" max="6" width="30.140625" style="78" bestFit="1" customWidth="1"/>
    <col min="7" max="7" width="3.7109375" style="80" bestFit="1" customWidth="1"/>
    <col min="8" max="8" width="13.7109375" style="80" bestFit="1" customWidth="1"/>
    <col min="9" max="9" width="10.7109375" style="78" customWidth="1"/>
    <col min="10" max="10" width="14.140625" style="78" bestFit="1" customWidth="1"/>
    <col min="11" max="12" width="13.5703125" style="78" bestFit="1" customWidth="1"/>
    <col min="13" max="13" width="13.7109375" style="78" bestFit="1" customWidth="1"/>
    <col min="14" max="14" width="14.42578125" style="78" bestFit="1" customWidth="1"/>
    <col min="15" max="15" width="12" style="78" bestFit="1" customWidth="1"/>
    <col min="16" max="16" width="8.7109375" style="78" customWidth="1"/>
    <col min="17" max="17" width="10.7109375" style="78" bestFit="1" customWidth="1"/>
    <col min="18" max="18" width="13.28515625" style="78" bestFit="1" customWidth="1"/>
    <col min="19" max="19" width="10.7109375" style="78" customWidth="1"/>
    <col min="20" max="20" width="17.85546875" style="78" bestFit="1" customWidth="1"/>
    <col min="21" max="21" width="6.42578125" style="78" bestFit="1" customWidth="1"/>
    <col min="22" max="16384" width="9.140625" style="78"/>
  </cols>
  <sheetData>
    <row r="1" spans="1:20" ht="23.25" customHeight="1" x14ac:dyDescent="0.35">
      <c r="A1" s="1086"/>
      <c r="D1" s="1086"/>
      <c r="F1" s="1374" t="s">
        <v>251</v>
      </c>
      <c r="G1" s="1374"/>
      <c r="H1" s="1374"/>
      <c r="I1" s="1374"/>
      <c r="J1" s="1374"/>
      <c r="K1" s="1374"/>
      <c r="L1" s="79"/>
    </row>
    <row r="2" spans="1:20" ht="15.75" thickBot="1" x14ac:dyDescent="0.35">
      <c r="A2" s="1088"/>
      <c r="D2" s="1088"/>
    </row>
    <row r="3" spans="1:20" ht="23.25" thickBot="1" x14ac:dyDescent="0.25">
      <c r="A3" s="1089"/>
      <c r="B3" s="1090"/>
      <c r="C3" s="1090"/>
      <c r="D3" s="1089" t="s">
        <v>1</v>
      </c>
      <c r="E3" s="1091"/>
      <c r="F3" s="81" t="s">
        <v>1</v>
      </c>
      <c r="G3" s="82"/>
      <c r="H3" s="82" t="s">
        <v>2</v>
      </c>
      <c r="I3" s="83" t="s">
        <v>3</v>
      </c>
      <c r="J3" s="83" t="s">
        <v>4</v>
      </c>
      <c r="K3" s="83" t="s">
        <v>5</v>
      </c>
      <c r="L3" s="83" t="s">
        <v>6</v>
      </c>
      <c r="M3" s="83" t="s">
        <v>7</v>
      </c>
      <c r="N3" s="83" t="s">
        <v>8</v>
      </c>
      <c r="O3" s="83" t="s">
        <v>9</v>
      </c>
      <c r="P3" s="83" t="s">
        <v>10</v>
      </c>
      <c r="Q3" s="83" t="s">
        <v>11</v>
      </c>
      <c r="R3" s="83" t="s">
        <v>12</v>
      </c>
      <c r="S3" s="84" t="s">
        <v>13</v>
      </c>
    </row>
    <row r="4" spans="1:20" ht="13.5" customHeight="1" thickBot="1" x14ac:dyDescent="0.25">
      <c r="A4" s="1092" t="s">
        <v>14</v>
      </c>
      <c r="B4" s="1093" t="s">
        <v>15</v>
      </c>
      <c r="C4" s="1093" t="s">
        <v>16</v>
      </c>
      <c r="D4" s="1375" t="s">
        <v>17</v>
      </c>
      <c r="E4" s="1376"/>
      <c r="F4" s="85" t="s">
        <v>18</v>
      </c>
      <c r="G4" s="86"/>
      <c r="H4" s="86"/>
      <c r="I4" s="86" t="s">
        <v>19</v>
      </c>
      <c r="J4" s="87" t="s">
        <v>20</v>
      </c>
      <c r="K4" s="87" t="s">
        <v>20</v>
      </c>
      <c r="L4" s="87" t="s">
        <v>20</v>
      </c>
      <c r="M4" s="87" t="s">
        <v>20</v>
      </c>
      <c r="N4" s="87" t="s">
        <v>20</v>
      </c>
      <c r="O4" s="87" t="s">
        <v>20</v>
      </c>
      <c r="P4" s="87" t="s">
        <v>20</v>
      </c>
      <c r="Q4" s="87" t="s">
        <v>20</v>
      </c>
      <c r="R4" s="87" t="s">
        <v>20</v>
      </c>
      <c r="S4" s="88" t="s">
        <v>20</v>
      </c>
    </row>
    <row r="5" spans="1:20" ht="13.5" customHeight="1" outlineLevel="2" thickBot="1" x14ac:dyDescent="0.3">
      <c r="A5" s="1094" t="s">
        <v>21</v>
      </c>
      <c r="B5" s="1094" t="s">
        <v>21</v>
      </c>
      <c r="C5" s="1094" t="s">
        <v>22</v>
      </c>
      <c r="D5" s="1094" t="s">
        <v>23</v>
      </c>
      <c r="E5" s="1095" t="s">
        <v>24</v>
      </c>
      <c r="F5" s="89" t="s">
        <v>25</v>
      </c>
      <c r="G5" s="90"/>
      <c r="H5" s="90"/>
      <c r="I5" s="90">
        <v>29422</v>
      </c>
      <c r="J5" s="91">
        <v>19191.879999999997</v>
      </c>
      <c r="K5" s="91">
        <v>1100</v>
      </c>
      <c r="L5" s="91">
        <v>1545.25</v>
      </c>
      <c r="M5" s="91">
        <v>28.24</v>
      </c>
      <c r="N5" s="91">
        <v>16518.39</v>
      </c>
      <c r="O5" s="91">
        <v>0</v>
      </c>
      <c r="P5" s="91">
        <v>0</v>
      </c>
      <c r="Q5" s="91">
        <v>0</v>
      </c>
      <c r="R5" s="91">
        <v>0</v>
      </c>
      <c r="S5" s="92">
        <v>0</v>
      </c>
      <c r="T5" s="93"/>
    </row>
    <row r="6" spans="1:20" ht="13.5" customHeight="1" outlineLevel="2" thickBot="1" x14ac:dyDescent="0.3">
      <c r="A6" s="1094" t="s">
        <v>21</v>
      </c>
      <c r="B6" s="1094" t="s">
        <v>21</v>
      </c>
      <c r="C6" s="1094" t="s">
        <v>26</v>
      </c>
      <c r="D6" s="1094" t="s">
        <v>23</v>
      </c>
      <c r="E6" s="1095" t="s">
        <v>24</v>
      </c>
      <c r="F6" s="89" t="s">
        <v>27</v>
      </c>
      <c r="G6" s="90"/>
      <c r="H6" s="90"/>
      <c r="I6" s="90">
        <v>115085</v>
      </c>
      <c r="J6" s="91">
        <v>70987.13</v>
      </c>
      <c r="K6" s="91">
        <v>550</v>
      </c>
      <c r="L6" s="91">
        <v>6044.26</v>
      </c>
      <c r="M6" s="91">
        <v>106.39</v>
      </c>
      <c r="N6" s="91">
        <v>64286.48</v>
      </c>
      <c r="O6" s="91">
        <v>0</v>
      </c>
      <c r="P6" s="91">
        <v>0</v>
      </c>
      <c r="Q6" s="91">
        <v>0</v>
      </c>
      <c r="R6" s="91">
        <v>0</v>
      </c>
      <c r="S6" s="92">
        <v>0</v>
      </c>
      <c r="T6" s="93"/>
    </row>
    <row r="7" spans="1:20" ht="13.5" customHeight="1" outlineLevel="2" thickBot="1" x14ac:dyDescent="0.3">
      <c r="A7" s="1094" t="s">
        <v>21</v>
      </c>
      <c r="B7" s="1094" t="s">
        <v>21</v>
      </c>
      <c r="C7" s="1094" t="s">
        <v>28</v>
      </c>
      <c r="D7" s="1094" t="s">
        <v>29</v>
      </c>
      <c r="E7" s="1095" t="s">
        <v>30</v>
      </c>
      <c r="F7" s="89" t="s">
        <v>31</v>
      </c>
      <c r="G7" s="90"/>
      <c r="H7" s="90"/>
      <c r="I7" s="90">
        <v>112215</v>
      </c>
      <c r="J7" s="91">
        <v>71304.09</v>
      </c>
      <c r="K7" s="91">
        <v>2475</v>
      </c>
      <c r="L7" s="91">
        <v>5893.54</v>
      </c>
      <c r="M7" s="91">
        <v>0</v>
      </c>
      <c r="N7" s="91">
        <v>62935.55</v>
      </c>
      <c r="O7" s="91">
        <v>0</v>
      </c>
      <c r="P7" s="91">
        <v>0</v>
      </c>
      <c r="Q7" s="91">
        <v>0</v>
      </c>
      <c r="R7" s="91">
        <v>0</v>
      </c>
      <c r="S7" s="92">
        <v>0</v>
      </c>
      <c r="T7" s="93"/>
    </row>
    <row r="8" spans="1:20" ht="13.5" customHeight="1" outlineLevel="2" thickBot="1" x14ac:dyDescent="0.3">
      <c r="A8" s="1094" t="s">
        <v>21</v>
      </c>
      <c r="B8" s="1094" t="s">
        <v>21</v>
      </c>
      <c r="C8" s="1094" t="s">
        <v>26</v>
      </c>
      <c r="D8" s="1094" t="s">
        <v>29</v>
      </c>
      <c r="E8" s="1095" t="s">
        <v>30</v>
      </c>
      <c r="F8" s="89" t="s">
        <v>32</v>
      </c>
      <c r="G8" s="90"/>
      <c r="H8" s="90"/>
      <c r="I8" s="90">
        <v>58746</v>
      </c>
      <c r="J8" s="91">
        <v>36358.259999999995</v>
      </c>
      <c r="K8" s="91">
        <v>550</v>
      </c>
      <c r="L8" s="91">
        <v>3085.34</v>
      </c>
      <c r="M8" s="91">
        <v>0</v>
      </c>
      <c r="N8" s="91">
        <v>32722.92</v>
      </c>
      <c r="O8" s="91">
        <v>0</v>
      </c>
      <c r="P8" s="91">
        <v>0</v>
      </c>
      <c r="Q8" s="91">
        <v>0</v>
      </c>
      <c r="R8" s="91">
        <v>0</v>
      </c>
      <c r="S8" s="92">
        <v>0</v>
      </c>
      <c r="T8" s="93"/>
    </row>
    <row r="9" spans="1:20" s="98" customFormat="1" ht="13.5" customHeight="1" outlineLevel="1" thickBot="1" x14ac:dyDescent="0.3">
      <c r="A9" s="1096"/>
      <c r="B9" s="1096"/>
      <c r="C9" s="1096"/>
      <c r="D9" s="1096"/>
      <c r="E9" s="1097"/>
      <c r="F9" s="94" t="s">
        <v>33</v>
      </c>
      <c r="G9" s="90"/>
      <c r="H9" s="95">
        <v>14</v>
      </c>
      <c r="I9" s="95">
        <f t="shared" ref="I9:S9" si="0">SUBTOTAL(9,I5:I8)</f>
        <v>315468</v>
      </c>
      <c r="J9" s="96">
        <f>SUBTOTAL(9,J5:J8)</f>
        <v>197841.36</v>
      </c>
      <c r="K9" s="96">
        <f t="shared" si="0"/>
        <v>4675</v>
      </c>
      <c r="L9" s="96">
        <f t="shared" si="0"/>
        <v>16568.39</v>
      </c>
      <c r="M9" s="96">
        <f t="shared" si="0"/>
        <v>134.63</v>
      </c>
      <c r="N9" s="96">
        <f t="shared" si="0"/>
        <v>176463.33999999997</v>
      </c>
      <c r="O9" s="96">
        <f t="shared" si="0"/>
        <v>0</v>
      </c>
      <c r="P9" s="96">
        <f t="shared" si="0"/>
        <v>0</v>
      </c>
      <c r="Q9" s="96">
        <f t="shared" si="0"/>
        <v>0</v>
      </c>
      <c r="R9" s="96">
        <f t="shared" si="0"/>
        <v>0</v>
      </c>
      <c r="S9" s="97">
        <f t="shared" si="0"/>
        <v>0</v>
      </c>
      <c r="T9" s="93">
        <f>ROUND(J9-SUM(K9:P9)-R9,2)</f>
        <v>0</v>
      </c>
    </row>
    <row r="10" spans="1:20" ht="13.5" customHeight="1" outlineLevel="2" thickBot="1" x14ac:dyDescent="0.3">
      <c r="A10" s="1094" t="s">
        <v>21</v>
      </c>
      <c r="B10" s="1094" t="s">
        <v>21</v>
      </c>
      <c r="C10" s="1094" t="s">
        <v>22</v>
      </c>
      <c r="D10" s="1094" t="s">
        <v>34</v>
      </c>
      <c r="E10" s="1095" t="s">
        <v>35</v>
      </c>
      <c r="F10" s="89" t="s">
        <v>36</v>
      </c>
      <c r="G10" s="95"/>
      <c r="H10" s="90"/>
      <c r="I10" s="90">
        <v>304</v>
      </c>
      <c r="J10" s="91">
        <v>707.86999999999989</v>
      </c>
      <c r="K10" s="91">
        <v>480</v>
      </c>
      <c r="L10" s="91">
        <v>56.91</v>
      </c>
      <c r="M10" s="91">
        <v>0.28999999999999998</v>
      </c>
      <c r="N10" s="91">
        <v>170.67</v>
      </c>
      <c r="O10" s="91">
        <v>0</v>
      </c>
      <c r="P10" s="91">
        <v>0</v>
      </c>
      <c r="Q10" s="91">
        <v>0</v>
      </c>
      <c r="R10" s="91">
        <v>0</v>
      </c>
      <c r="S10" s="92">
        <v>0</v>
      </c>
      <c r="T10" s="93"/>
    </row>
    <row r="11" spans="1:20" ht="13.5" customHeight="1" outlineLevel="2" thickBot="1" x14ac:dyDescent="0.3">
      <c r="A11" s="1094" t="s">
        <v>21</v>
      </c>
      <c r="B11" s="1094" t="s">
        <v>21</v>
      </c>
      <c r="C11" s="1094" t="s">
        <v>26</v>
      </c>
      <c r="D11" s="1094" t="s">
        <v>34</v>
      </c>
      <c r="E11" s="1095" t="s">
        <v>35</v>
      </c>
      <c r="F11" s="89" t="s">
        <v>36</v>
      </c>
      <c r="G11" s="90"/>
      <c r="H11" s="90"/>
      <c r="I11" s="90">
        <v>54</v>
      </c>
      <c r="J11" s="91">
        <v>130.47999999999999</v>
      </c>
      <c r="K11" s="91">
        <v>90</v>
      </c>
      <c r="L11" s="91">
        <v>10.11</v>
      </c>
      <c r="M11" s="91">
        <v>0.05</v>
      </c>
      <c r="N11" s="91">
        <v>30.32</v>
      </c>
      <c r="O11" s="91">
        <v>0</v>
      </c>
      <c r="P11" s="91">
        <v>0</v>
      </c>
      <c r="Q11" s="91">
        <v>0</v>
      </c>
      <c r="R11" s="91">
        <v>0</v>
      </c>
      <c r="S11" s="92">
        <v>0</v>
      </c>
      <c r="T11" s="93"/>
    </row>
    <row r="12" spans="1:20" ht="13.5" customHeight="1" outlineLevel="2" thickBot="1" x14ac:dyDescent="0.3">
      <c r="A12" s="1094" t="s">
        <v>21</v>
      </c>
      <c r="B12" s="1094" t="s">
        <v>21</v>
      </c>
      <c r="C12" s="1094" t="s">
        <v>22</v>
      </c>
      <c r="D12" s="1094" t="s">
        <v>37</v>
      </c>
      <c r="E12" s="1095" t="s">
        <v>38</v>
      </c>
      <c r="F12" s="89" t="s">
        <v>39</v>
      </c>
      <c r="G12" s="90"/>
      <c r="H12" s="90"/>
      <c r="I12" s="90">
        <v>3035377</v>
      </c>
      <c r="J12" s="91">
        <v>3051690.4499999997</v>
      </c>
      <c r="K12" s="91">
        <v>825356.84</v>
      </c>
      <c r="L12" s="91">
        <v>519339.95</v>
      </c>
      <c r="M12" s="91">
        <v>2907.03</v>
      </c>
      <c r="N12" s="91">
        <v>1704071.4</v>
      </c>
      <c r="O12" s="91">
        <v>15.23</v>
      </c>
      <c r="P12" s="91">
        <v>0</v>
      </c>
      <c r="Q12" s="91">
        <v>0</v>
      </c>
      <c r="R12" s="91">
        <v>0</v>
      </c>
      <c r="S12" s="92">
        <v>959.43</v>
      </c>
      <c r="T12" s="93"/>
    </row>
    <row r="13" spans="1:20" ht="13.5" customHeight="1" outlineLevel="2" thickBot="1" x14ac:dyDescent="0.3">
      <c r="A13" s="1094" t="s">
        <v>21</v>
      </c>
      <c r="B13" s="1094" t="s">
        <v>21</v>
      </c>
      <c r="C13" s="1094" t="s">
        <v>26</v>
      </c>
      <c r="D13" s="1094" t="s">
        <v>37</v>
      </c>
      <c r="E13" s="1095" t="s">
        <v>38</v>
      </c>
      <c r="F13" s="89" t="s">
        <v>39</v>
      </c>
      <c r="G13" s="95"/>
      <c r="H13" s="90"/>
      <c r="I13" s="90">
        <v>361648</v>
      </c>
      <c r="J13" s="91">
        <v>336722.37</v>
      </c>
      <c r="K13" s="91">
        <v>73672.34</v>
      </c>
      <c r="L13" s="91">
        <v>59967.41</v>
      </c>
      <c r="M13" s="91">
        <v>345.46</v>
      </c>
      <c r="N13" s="91">
        <v>202737.16</v>
      </c>
      <c r="O13" s="91">
        <v>0</v>
      </c>
      <c r="P13" s="91">
        <v>0</v>
      </c>
      <c r="Q13" s="91">
        <v>0</v>
      </c>
      <c r="R13" s="91">
        <v>0</v>
      </c>
      <c r="S13" s="92">
        <v>121.1</v>
      </c>
      <c r="T13" s="93"/>
    </row>
    <row r="14" spans="1:20" ht="13.5" customHeight="1" outlineLevel="2" thickBot="1" x14ac:dyDescent="0.3">
      <c r="A14" s="1094" t="s">
        <v>21</v>
      </c>
      <c r="B14" s="1094" t="s">
        <v>21</v>
      </c>
      <c r="C14" s="1094" t="s">
        <v>40</v>
      </c>
      <c r="D14" s="1094" t="s">
        <v>37</v>
      </c>
      <c r="E14" s="1095" t="s">
        <v>38</v>
      </c>
      <c r="F14" s="89" t="s">
        <v>39</v>
      </c>
      <c r="G14" s="90"/>
      <c r="H14" s="90"/>
      <c r="I14" s="90">
        <v>1432</v>
      </c>
      <c r="J14" s="91">
        <v>1527.85</v>
      </c>
      <c r="K14" s="91">
        <v>470</v>
      </c>
      <c r="L14" s="91">
        <v>252.5</v>
      </c>
      <c r="M14" s="91">
        <v>1.37</v>
      </c>
      <c r="N14" s="91">
        <v>803.98</v>
      </c>
      <c r="O14" s="91">
        <v>0</v>
      </c>
      <c r="P14" s="91">
        <v>0</v>
      </c>
      <c r="Q14" s="91">
        <v>0</v>
      </c>
      <c r="R14" s="91">
        <v>0</v>
      </c>
      <c r="S14" s="92">
        <v>0</v>
      </c>
      <c r="T14" s="93"/>
    </row>
    <row r="15" spans="1:20" ht="13.5" customHeight="1" outlineLevel="2" thickBot="1" x14ac:dyDescent="0.3">
      <c r="A15" s="1094" t="s">
        <v>21</v>
      </c>
      <c r="B15" s="1094" t="s">
        <v>21</v>
      </c>
      <c r="C15" s="1094" t="s">
        <v>22</v>
      </c>
      <c r="D15" s="1094" t="s">
        <v>41</v>
      </c>
      <c r="E15" s="1095" t="s">
        <v>42</v>
      </c>
      <c r="F15" s="89" t="s">
        <v>43</v>
      </c>
      <c r="G15" s="99"/>
      <c r="H15" s="90"/>
      <c r="I15" s="90">
        <v>612</v>
      </c>
      <c r="J15" s="91">
        <v>19231.849999999999</v>
      </c>
      <c r="K15" s="91">
        <v>18773</v>
      </c>
      <c r="L15" s="91">
        <v>116.19</v>
      </c>
      <c r="M15" s="91">
        <v>0</v>
      </c>
      <c r="N15" s="91">
        <v>342.66</v>
      </c>
      <c r="O15" s="91">
        <v>0</v>
      </c>
      <c r="P15" s="91">
        <v>0</v>
      </c>
      <c r="Q15" s="91">
        <v>0</v>
      </c>
      <c r="R15" s="91">
        <v>0</v>
      </c>
      <c r="S15" s="92">
        <v>1.84</v>
      </c>
      <c r="T15" s="93"/>
    </row>
    <row r="16" spans="1:20" s="98" customFormat="1" ht="13.5" customHeight="1" outlineLevel="1" thickBot="1" x14ac:dyDescent="0.3">
      <c r="A16" s="1096"/>
      <c r="B16" s="1096"/>
      <c r="C16" s="1096"/>
      <c r="D16" s="1096"/>
      <c r="E16" s="1097"/>
      <c r="F16" s="94" t="s">
        <v>44</v>
      </c>
      <c r="G16" s="99"/>
      <c r="H16" s="95">
        <v>25434</v>
      </c>
      <c r="I16" s="95">
        <f t="shared" ref="I16:S16" si="1">SUBTOTAL(9,I10:I15)</f>
        <v>3399427</v>
      </c>
      <c r="J16" s="96">
        <f>SUBTOTAL(9,J10:J15)</f>
        <v>3410010.87</v>
      </c>
      <c r="K16" s="96">
        <f t="shared" si="1"/>
        <v>918842.17999999993</v>
      </c>
      <c r="L16" s="96">
        <f t="shared" si="1"/>
        <v>579743.06999999995</v>
      </c>
      <c r="M16" s="96">
        <f t="shared" si="1"/>
        <v>3254.2000000000003</v>
      </c>
      <c r="N16" s="96">
        <f t="shared" si="1"/>
        <v>1908156.1899999997</v>
      </c>
      <c r="O16" s="96">
        <f t="shared" si="1"/>
        <v>15.23</v>
      </c>
      <c r="P16" s="96">
        <f t="shared" si="1"/>
        <v>0</v>
      </c>
      <c r="Q16" s="96">
        <f t="shared" si="1"/>
        <v>0</v>
      </c>
      <c r="R16" s="96">
        <f t="shared" si="1"/>
        <v>0</v>
      </c>
      <c r="S16" s="97">
        <f t="shared" si="1"/>
        <v>1082.3699999999999</v>
      </c>
      <c r="T16" s="93">
        <f>ROUND(J16-SUM(K16:P16)-R16,2)</f>
        <v>0</v>
      </c>
    </row>
    <row r="17" spans="1:21" ht="13.5" customHeight="1" outlineLevel="2" thickBot="1" x14ac:dyDescent="0.3">
      <c r="A17" s="1094" t="s">
        <v>21</v>
      </c>
      <c r="B17" s="1094" t="s">
        <v>21</v>
      </c>
      <c r="C17" s="1094" t="s">
        <v>28</v>
      </c>
      <c r="D17" s="1094" t="s">
        <v>45</v>
      </c>
      <c r="E17" s="1095" t="s">
        <v>46</v>
      </c>
      <c r="F17" s="89" t="s">
        <v>47</v>
      </c>
      <c r="G17" s="99"/>
      <c r="H17" s="90"/>
      <c r="I17" s="90">
        <v>484196</v>
      </c>
      <c r="J17" s="91">
        <v>363127.35</v>
      </c>
      <c r="K17" s="91">
        <v>19980</v>
      </c>
      <c r="L17" s="91">
        <v>71468.34</v>
      </c>
      <c r="M17" s="91">
        <v>0</v>
      </c>
      <c r="N17" s="91">
        <v>271679.01</v>
      </c>
      <c r="O17" s="91">
        <v>0</v>
      </c>
      <c r="P17" s="91">
        <v>0</v>
      </c>
      <c r="Q17" s="91">
        <v>0</v>
      </c>
      <c r="R17" s="91">
        <v>0</v>
      </c>
      <c r="S17" s="92">
        <v>0</v>
      </c>
      <c r="T17" s="93"/>
    </row>
    <row r="18" spans="1:21" ht="13.5" customHeight="1" outlineLevel="2" thickBot="1" x14ac:dyDescent="0.3">
      <c r="A18" s="1094"/>
      <c r="B18" s="1094"/>
      <c r="C18" s="1094"/>
      <c r="D18" s="1094" t="s">
        <v>45</v>
      </c>
      <c r="E18" s="1095"/>
      <c r="F18" s="89" t="s">
        <v>47</v>
      </c>
      <c r="G18" s="99"/>
      <c r="H18" s="90"/>
      <c r="I18" s="90">
        <v>3246</v>
      </c>
      <c r="J18" s="91">
        <v>2497.5500000000002</v>
      </c>
      <c r="K18" s="91">
        <v>170</v>
      </c>
      <c r="L18" s="91">
        <v>505.15</v>
      </c>
      <c r="M18" s="91">
        <v>0</v>
      </c>
      <c r="N18" s="91">
        <v>1822.4</v>
      </c>
      <c r="O18" s="91">
        <v>0</v>
      </c>
      <c r="P18" s="91">
        <v>0</v>
      </c>
      <c r="Q18" s="91">
        <v>0</v>
      </c>
      <c r="R18" s="91">
        <v>0</v>
      </c>
      <c r="S18" s="92">
        <v>0</v>
      </c>
      <c r="T18" s="93"/>
    </row>
    <row r="19" spans="1:21" ht="13.5" customHeight="1" outlineLevel="2" thickBot="1" x14ac:dyDescent="0.3">
      <c r="A19" s="1094" t="s">
        <v>21</v>
      </c>
      <c r="B19" s="1094" t="s">
        <v>21</v>
      </c>
      <c r="C19" s="1094" t="s">
        <v>26</v>
      </c>
      <c r="D19" s="1094" t="s">
        <v>45</v>
      </c>
      <c r="E19" s="1095" t="s">
        <v>46</v>
      </c>
      <c r="F19" s="89" t="s">
        <v>47</v>
      </c>
      <c r="G19" s="90"/>
      <c r="H19" s="90"/>
      <c r="I19" s="90">
        <v>40106</v>
      </c>
      <c r="J19" s="91">
        <v>28512.339999999997</v>
      </c>
      <c r="K19" s="91">
        <v>460</v>
      </c>
      <c r="L19" s="91">
        <v>5679.67</v>
      </c>
      <c r="M19" s="91">
        <v>0</v>
      </c>
      <c r="N19" s="91">
        <v>22372.67</v>
      </c>
      <c r="O19" s="91">
        <v>0</v>
      </c>
      <c r="P19" s="91">
        <v>0</v>
      </c>
      <c r="Q19" s="91">
        <v>0</v>
      </c>
      <c r="R19" s="91">
        <v>0</v>
      </c>
      <c r="S19" s="92">
        <v>0</v>
      </c>
      <c r="T19" s="93"/>
    </row>
    <row r="20" spans="1:21" s="98" customFormat="1" ht="13.5" customHeight="1" outlineLevel="1" thickBot="1" x14ac:dyDescent="0.3">
      <c r="A20" s="1096"/>
      <c r="B20" s="1096"/>
      <c r="C20" s="1096"/>
      <c r="D20" s="1096"/>
      <c r="E20" s="1097"/>
      <c r="F20" s="94" t="s">
        <v>48</v>
      </c>
      <c r="G20" s="95"/>
      <c r="H20" s="95">
        <v>202</v>
      </c>
      <c r="I20" s="95">
        <f t="shared" ref="I20:S20" si="2">SUBTOTAL(9,I17:I19)</f>
        <v>527548</v>
      </c>
      <c r="J20" s="96">
        <f>SUBTOTAL(9,J17:J19)</f>
        <v>394137.24</v>
      </c>
      <c r="K20" s="96">
        <f t="shared" si="2"/>
        <v>20610</v>
      </c>
      <c r="L20" s="96">
        <f t="shared" si="2"/>
        <v>77653.159999999989</v>
      </c>
      <c r="M20" s="96">
        <f t="shared" si="2"/>
        <v>0</v>
      </c>
      <c r="N20" s="96">
        <f t="shared" si="2"/>
        <v>295874.08</v>
      </c>
      <c r="O20" s="96">
        <f t="shared" si="2"/>
        <v>0</v>
      </c>
      <c r="P20" s="96">
        <f t="shared" si="2"/>
        <v>0</v>
      </c>
      <c r="Q20" s="96">
        <f t="shared" si="2"/>
        <v>0</v>
      </c>
      <c r="R20" s="96">
        <f t="shared" si="2"/>
        <v>0</v>
      </c>
      <c r="S20" s="97">
        <f t="shared" si="2"/>
        <v>0</v>
      </c>
      <c r="T20" s="93">
        <f>ROUND(J20-SUM(K20:P20)-R20,2)</f>
        <v>0</v>
      </c>
    </row>
    <row r="21" spans="1:21" ht="13.5" customHeight="1" outlineLevel="2" thickBot="1" x14ac:dyDescent="0.3">
      <c r="A21" s="1094" t="s">
        <v>21</v>
      </c>
      <c r="B21" s="1094" t="s">
        <v>21</v>
      </c>
      <c r="C21" s="1094" t="s">
        <v>40</v>
      </c>
      <c r="D21" s="1094" t="s">
        <v>49</v>
      </c>
      <c r="E21" s="1095" t="s">
        <v>50</v>
      </c>
      <c r="F21" s="89" t="s">
        <v>51</v>
      </c>
      <c r="G21" s="90"/>
      <c r="H21" s="90"/>
      <c r="I21" s="90">
        <v>32</v>
      </c>
      <c r="J21" s="91">
        <v>50.74</v>
      </c>
      <c r="K21" s="91">
        <v>25</v>
      </c>
      <c r="L21" s="91">
        <v>7.17</v>
      </c>
      <c r="M21" s="91">
        <v>0.6</v>
      </c>
      <c r="N21" s="91">
        <v>17.97</v>
      </c>
      <c r="O21" s="91">
        <v>0</v>
      </c>
      <c r="P21" s="91">
        <v>0</v>
      </c>
      <c r="Q21" s="91">
        <v>0</v>
      </c>
      <c r="R21" s="91">
        <v>0</v>
      </c>
      <c r="S21" s="92">
        <v>0</v>
      </c>
      <c r="T21" s="93"/>
    </row>
    <row r="22" spans="1:21" ht="13.5" customHeight="1" outlineLevel="2" thickBot="1" x14ac:dyDescent="0.3">
      <c r="A22" s="1094" t="s">
        <v>21</v>
      </c>
      <c r="B22" s="1094" t="s">
        <v>21</v>
      </c>
      <c r="C22" s="1094" t="s">
        <v>40</v>
      </c>
      <c r="D22" s="1094" t="s">
        <v>52</v>
      </c>
      <c r="E22" s="1095" t="s">
        <v>53</v>
      </c>
      <c r="F22" s="89" t="s">
        <v>54</v>
      </c>
      <c r="G22" s="95"/>
      <c r="H22" s="99"/>
      <c r="I22" s="90">
        <v>5432321</v>
      </c>
      <c r="J22" s="91">
        <v>8007942.6000000006</v>
      </c>
      <c r="K22" s="91">
        <v>3639194.23</v>
      </c>
      <c r="L22" s="91">
        <v>1216693.1000000001</v>
      </c>
      <c r="M22" s="91">
        <v>102606.99</v>
      </c>
      <c r="N22" s="91">
        <v>3050483.59</v>
      </c>
      <c r="O22" s="91">
        <v>-1035.31</v>
      </c>
      <c r="P22" s="91">
        <v>0</v>
      </c>
      <c r="Q22" s="91">
        <v>44180.25</v>
      </c>
      <c r="R22" s="91">
        <v>0</v>
      </c>
      <c r="S22" s="92">
        <v>2163.19</v>
      </c>
      <c r="T22" s="93"/>
    </row>
    <row r="23" spans="1:21" ht="13.5" customHeight="1" outlineLevel="2" thickBot="1" x14ac:dyDescent="0.3">
      <c r="A23" s="1094" t="s">
        <v>21</v>
      </c>
      <c r="B23" s="1094" t="s">
        <v>21</v>
      </c>
      <c r="C23" s="1094" t="s">
        <v>26</v>
      </c>
      <c r="D23" s="1095" t="s">
        <v>52</v>
      </c>
      <c r="E23" s="1104" t="s">
        <v>53</v>
      </c>
      <c r="F23" s="89" t="s">
        <v>54</v>
      </c>
      <c r="G23" s="90"/>
      <c r="H23" s="99"/>
      <c r="I23" s="90">
        <v>261</v>
      </c>
      <c r="J23" s="91">
        <v>675.29999999999984</v>
      </c>
      <c r="K23" s="91">
        <v>458.33</v>
      </c>
      <c r="L23" s="91">
        <v>58.46</v>
      </c>
      <c r="M23" s="91">
        <v>4.93</v>
      </c>
      <c r="N23" s="91">
        <v>146.52000000000001</v>
      </c>
      <c r="O23" s="91">
        <v>7.06</v>
      </c>
      <c r="P23" s="91">
        <v>0</v>
      </c>
      <c r="Q23" s="91">
        <v>5.85</v>
      </c>
      <c r="R23" s="91">
        <v>0</v>
      </c>
      <c r="S23" s="92">
        <v>0</v>
      </c>
      <c r="T23" s="93"/>
    </row>
    <row r="24" spans="1:21" ht="13.5" customHeight="1" outlineLevel="2" thickBot="1" x14ac:dyDescent="0.3">
      <c r="A24" s="1094"/>
      <c r="B24" s="1094"/>
      <c r="C24" s="1094"/>
      <c r="D24" s="1095" t="s">
        <v>52</v>
      </c>
      <c r="E24" s="1104"/>
      <c r="F24" s="89" t="s">
        <v>54</v>
      </c>
      <c r="G24" s="90"/>
      <c r="H24" s="99"/>
      <c r="I24" s="90">
        <v>39</v>
      </c>
      <c r="J24" s="91">
        <v>68.849999999999994</v>
      </c>
      <c r="K24" s="91">
        <v>37.5</v>
      </c>
      <c r="L24" s="91">
        <v>8.73</v>
      </c>
      <c r="M24" s="91">
        <v>0.73</v>
      </c>
      <c r="N24" s="91">
        <v>21.89</v>
      </c>
      <c r="O24" s="91">
        <v>0</v>
      </c>
      <c r="P24" s="91">
        <v>0</v>
      </c>
      <c r="Q24" s="91">
        <v>0.45</v>
      </c>
      <c r="R24" s="91">
        <v>0</v>
      </c>
      <c r="S24" s="92">
        <v>0</v>
      </c>
      <c r="T24" s="93"/>
    </row>
    <row r="25" spans="1:21" ht="13.5" customHeight="1" outlineLevel="2" thickBot="1" x14ac:dyDescent="0.3">
      <c r="A25" s="1094" t="s">
        <v>21</v>
      </c>
      <c r="B25" s="1094" t="s">
        <v>21</v>
      </c>
      <c r="C25" s="1094" t="s">
        <v>40</v>
      </c>
      <c r="D25" s="1094" t="s">
        <v>55</v>
      </c>
      <c r="E25" s="1095" t="s">
        <v>56</v>
      </c>
      <c r="F25" s="89" t="s">
        <v>57</v>
      </c>
      <c r="G25" s="95"/>
      <c r="H25" s="90"/>
      <c r="I25" s="90">
        <v>178</v>
      </c>
      <c r="J25" s="91">
        <v>92.4</v>
      </c>
      <c r="K25" s="91">
        <v>0.5</v>
      </c>
      <c r="L25" s="91">
        <v>-8.0299999999999994</v>
      </c>
      <c r="M25" s="91">
        <v>0</v>
      </c>
      <c r="N25" s="91">
        <v>99.93</v>
      </c>
      <c r="O25" s="91">
        <v>0</v>
      </c>
      <c r="P25" s="91">
        <v>0</v>
      </c>
      <c r="Q25" s="91">
        <v>0</v>
      </c>
      <c r="R25" s="91">
        <v>0</v>
      </c>
      <c r="S25" s="92">
        <v>0</v>
      </c>
      <c r="T25" s="93"/>
    </row>
    <row r="26" spans="1:21" s="98" customFormat="1" ht="13.5" customHeight="1" outlineLevel="1" thickBot="1" x14ac:dyDescent="0.3">
      <c r="A26" s="1096"/>
      <c r="B26" s="1096"/>
      <c r="C26" s="1096"/>
      <c r="D26" s="1096"/>
      <c r="E26" s="1097"/>
      <c r="F26" s="94" t="s">
        <v>58</v>
      </c>
      <c r="G26" s="95"/>
      <c r="H26" s="95">
        <v>292051</v>
      </c>
      <c r="I26" s="95">
        <f t="shared" ref="I26:S26" si="3">SUBTOTAL(9,I21:I25)</f>
        <v>5432831</v>
      </c>
      <c r="J26" s="96">
        <f>SUBTOTAL(9,J21:J25)</f>
        <v>8008829.8900000006</v>
      </c>
      <c r="K26" s="96">
        <f t="shared" si="3"/>
        <v>3639715.56</v>
      </c>
      <c r="L26" s="96">
        <f t="shared" si="3"/>
        <v>1216759.43</v>
      </c>
      <c r="M26" s="96">
        <f t="shared" si="3"/>
        <v>102613.25</v>
      </c>
      <c r="N26" s="96">
        <f t="shared" si="3"/>
        <v>3050769.9000000004</v>
      </c>
      <c r="O26" s="96">
        <f t="shared" si="3"/>
        <v>-1028.25</v>
      </c>
      <c r="P26" s="96">
        <f t="shared" si="3"/>
        <v>0</v>
      </c>
      <c r="Q26" s="96">
        <f t="shared" si="3"/>
        <v>44186.549999999996</v>
      </c>
      <c r="R26" s="96">
        <f t="shared" si="3"/>
        <v>0</v>
      </c>
      <c r="S26" s="97">
        <f t="shared" si="3"/>
        <v>2163.19</v>
      </c>
      <c r="T26" s="93">
        <f>ROUND(J26-SUM(K26:P26),2)</f>
        <v>0</v>
      </c>
    </row>
    <row r="27" spans="1:21" ht="13.5" customHeight="1" outlineLevel="2" thickBot="1" x14ac:dyDescent="0.3">
      <c r="A27" s="1094" t="s">
        <v>21</v>
      </c>
      <c r="B27" s="1094" t="s">
        <v>21</v>
      </c>
      <c r="C27" s="1094" t="s">
        <v>40</v>
      </c>
      <c r="D27" s="1094" t="s">
        <v>59</v>
      </c>
      <c r="E27" s="1095" t="s">
        <v>60</v>
      </c>
      <c r="F27" s="89" t="s">
        <v>61</v>
      </c>
      <c r="G27" s="90"/>
      <c r="H27" s="90"/>
      <c r="I27" s="90">
        <v>201</v>
      </c>
      <c r="J27" s="91">
        <v>199.14999999999998</v>
      </c>
      <c r="K27" s="91">
        <v>37.5</v>
      </c>
      <c r="L27" s="91">
        <v>45.01</v>
      </c>
      <c r="M27" s="91">
        <v>3.79</v>
      </c>
      <c r="N27" s="91">
        <v>112.85</v>
      </c>
      <c r="O27" s="91">
        <v>0</v>
      </c>
      <c r="P27" s="91">
        <v>0</v>
      </c>
      <c r="Q27" s="91">
        <v>0</v>
      </c>
      <c r="R27" s="91">
        <v>0</v>
      </c>
      <c r="S27" s="92">
        <v>0</v>
      </c>
      <c r="T27" s="93"/>
    </row>
    <row r="28" spans="1:21" ht="13.5" customHeight="1" outlineLevel="2" thickBot="1" x14ac:dyDescent="0.3">
      <c r="A28" s="1094" t="s">
        <v>21</v>
      </c>
      <c r="B28" s="1094" t="s">
        <v>21</v>
      </c>
      <c r="C28" s="1094" t="s">
        <v>26</v>
      </c>
      <c r="D28" s="1094" t="s">
        <v>59</v>
      </c>
      <c r="E28" s="1095" t="s">
        <v>60</v>
      </c>
      <c r="F28" s="89" t="s">
        <v>61</v>
      </c>
      <c r="G28" s="90"/>
      <c r="H28" s="90"/>
      <c r="I28" s="90">
        <v>134</v>
      </c>
      <c r="J28" s="91">
        <v>120.27000000000001</v>
      </c>
      <c r="K28" s="91">
        <v>12.5</v>
      </c>
      <c r="L28" s="91">
        <v>30.01</v>
      </c>
      <c r="M28" s="91">
        <v>2.5299999999999998</v>
      </c>
      <c r="N28" s="91">
        <v>75.23</v>
      </c>
      <c r="O28" s="91">
        <v>0</v>
      </c>
      <c r="P28" s="91">
        <v>0</v>
      </c>
      <c r="Q28" s="91">
        <v>0</v>
      </c>
      <c r="R28" s="91">
        <v>0</v>
      </c>
      <c r="S28" s="92">
        <v>0</v>
      </c>
      <c r="T28" s="93"/>
    </row>
    <row r="29" spans="1:21" s="98" customFormat="1" ht="13.5" customHeight="1" outlineLevel="1" thickBot="1" x14ac:dyDescent="0.3">
      <c r="A29" s="1098"/>
      <c r="B29" s="1098"/>
      <c r="C29" s="1098"/>
      <c r="D29" s="1098"/>
      <c r="E29" s="1098"/>
      <c r="F29" s="100" t="s">
        <v>62</v>
      </c>
      <c r="G29" s="90"/>
      <c r="H29" s="95">
        <v>4</v>
      </c>
      <c r="I29" s="95">
        <f>SUBTOTAL(9,I27:I28)</f>
        <v>335</v>
      </c>
      <c r="J29" s="96">
        <f>SUBTOTAL(9,J27:J28)</f>
        <v>319.41999999999996</v>
      </c>
      <c r="K29" s="96">
        <f t="shared" ref="K29:S29" si="4">SUBTOTAL(9,K27:K28)</f>
        <v>50</v>
      </c>
      <c r="L29" s="96">
        <f t="shared" si="4"/>
        <v>75.02</v>
      </c>
      <c r="M29" s="96">
        <f t="shared" si="4"/>
        <v>6.32</v>
      </c>
      <c r="N29" s="96">
        <f t="shared" si="4"/>
        <v>188.07999999999998</v>
      </c>
      <c r="O29" s="96">
        <f t="shared" si="4"/>
        <v>0</v>
      </c>
      <c r="P29" s="96">
        <f t="shared" si="4"/>
        <v>0</v>
      </c>
      <c r="Q29" s="96">
        <f t="shared" si="4"/>
        <v>0</v>
      </c>
      <c r="R29" s="96">
        <f t="shared" si="4"/>
        <v>0</v>
      </c>
      <c r="S29" s="97">
        <f t="shared" si="4"/>
        <v>0</v>
      </c>
      <c r="T29" s="93">
        <f>ROUND(J29-SUM(K29:P29)-R29,2)</f>
        <v>0</v>
      </c>
    </row>
    <row r="30" spans="1:21" ht="14.25" outlineLevel="2" thickBot="1" x14ac:dyDescent="0.3">
      <c r="B30" s="1098"/>
      <c r="C30" s="1098"/>
      <c r="D30" s="1094" t="s">
        <v>63</v>
      </c>
      <c r="E30" s="1095" t="s">
        <v>64</v>
      </c>
      <c r="F30" s="89" t="s">
        <v>65</v>
      </c>
      <c r="G30" s="90"/>
      <c r="H30" s="90"/>
      <c r="I30" s="90">
        <v>1168</v>
      </c>
      <c r="J30" s="47">
        <v>1037.1399999999999</v>
      </c>
      <c r="K30" s="47">
        <v>170</v>
      </c>
      <c r="L30" s="47">
        <v>210.27</v>
      </c>
      <c r="M30" s="47">
        <v>1.1200000000000001</v>
      </c>
      <c r="N30" s="47">
        <v>655.75</v>
      </c>
      <c r="O30" s="47"/>
      <c r="P30" s="47"/>
      <c r="Q30" s="47"/>
      <c r="R30" s="47"/>
      <c r="S30" s="48"/>
      <c r="U30" s="101">
        <f>SUM(K30:S30)-J30</f>
        <v>0</v>
      </c>
    </row>
    <row r="31" spans="1:21" ht="14.25" outlineLevel="2" thickBot="1" x14ac:dyDescent="0.3">
      <c r="B31" s="1098"/>
      <c r="C31" s="1098"/>
      <c r="D31" s="1094" t="s">
        <v>66</v>
      </c>
      <c r="E31" s="1095" t="s">
        <v>67</v>
      </c>
      <c r="F31" s="89" t="s">
        <v>68</v>
      </c>
      <c r="G31" s="95"/>
      <c r="H31" s="90"/>
      <c r="I31" s="90">
        <v>10307</v>
      </c>
      <c r="J31" s="47">
        <v>7585.24</v>
      </c>
      <c r="K31" s="47">
        <v>340</v>
      </c>
      <c r="L31" s="47">
        <v>1303.0999999999999</v>
      </c>
      <c r="M31" s="47">
        <v>0</v>
      </c>
      <c r="N31" s="47">
        <v>5942.1399999999994</v>
      </c>
      <c r="O31" s="47"/>
      <c r="P31" s="47"/>
      <c r="Q31" s="47"/>
      <c r="R31" s="47"/>
      <c r="S31" s="48"/>
      <c r="U31" s="101">
        <f>SUM(K31:S31)-J31</f>
        <v>0</v>
      </c>
    </row>
    <row r="32" spans="1:21" ht="14.25" thickBot="1" x14ac:dyDescent="0.3">
      <c r="B32" s="1098"/>
      <c r="C32" s="1098"/>
      <c r="D32" s="1096"/>
      <c r="E32" s="1097"/>
      <c r="F32" s="94" t="s">
        <v>69</v>
      </c>
      <c r="G32" s="90"/>
      <c r="H32" s="95">
        <v>3</v>
      </c>
      <c r="I32" s="95">
        <f t="shared" ref="I32:S32" si="5">SUBTOTAL(9,I30:I31)</f>
        <v>11475</v>
      </c>
      <c r="J32" s="96">
        <f>SUBTOTAL(9,J30:J31)</f>
        <v>8622.3799999999992</v>
      </c>
      <c r="K32" s="96">
        <f t="shared" si="5"/>
        <v>510</v>
      </c>
      <c r="L32" s="96">
        <f t="shared" si="5"/>
        <v>1513.37</v>
      </c>
      <c r="M32" s="96">
        <f t="shared" si="5"/>
        <v>1.1200000000000001</v>
      </c>
      <c r="N32" s="96">
        <f t="shared" si="5"/>
        <v>6597.8899999999994</v>
      </c>
      <c r="O32" s="96">
        <f t="shared" si="5"/>
        <v>0</v>
      </c>
      <c r="P32" s="96">
        <f t="shared" si="5"/>
        <v>0</v>
      </c>
      <c r="Q32" s="96">
        <f t="shared" si="5"/>
        <v>0</v>
      </c>
      <c r="R32" s="96">
        <f t="shared" si="5"/>
        <v>0</v>
      </c>
      <c r="S32" s="97">
        <f t="shared" si="5"/>
        <v>0</v>
      </c>
      <c r="U32" s="101">
        <f>SUM(K32:S32)-J32</f>
        <v>0</v>
      </c>
    </row>
    <row r="33" spans="1:20" s="98" customFormat="1" ht="13.5" customHeight="1" thickBot="1" x14ac:dyDescent="0.3">
      <c r="A33" s="1098"/>
      <c r="B33" s="1098"/>
      <c r="C33" s="1098"/>
      <c r="D33" s="1098"/>
      <c r="E33" s="1098"/>
      <c r="F33" s="100"/>
      <c r="G33" s="90"/>
      <c r="H33" s="95"/>
      <c r="I33" s="95"/>
      <c r="J33" s="96"/>
      <c r="K33" s="96"/>
      <c r="L33" s="96"/>
      <c r="M33" s="96"/>
      <c r="N33" s="96"/>
      <c r="O33" s="96"/>
      <c r="P33" s="96"/>
      <c r="Q33" s="96"/>
      <c r="R33" s="96"/>
      <c r="S33" s="97"/>
      <c r="T33" s="93"/>
    </row>
    <row r="34" spans="1:20" s="98" customFormat="1" ht="13.5" customHeight="1" thickBot="1" x14ac:dyDescent="0.3">
      <c r="A34" s="1098"/>
      <c r="B34" s="1098"/>
      <c r="C34" s="1098"/>
      <c r="D34" s="1098"/>
      <c r="E34" s="1098"/>
      <c r="F34" s="94" t="s">
        <v>70</v>
      </c>
      <c r="G34" s="102"/>
      <c r="H34" s="90"/>
      <c r="I34" s="95"/>
      <c r="J34" s="96"/>
      <c r="K34" s="95"/>
      <c r="L34" s="96"/>
      <c r="M34" s="96"/>
      <c r="N34" s="96"/>
      <c r="O34" s="96"/>
      <c r="P34" s="96"/>
      <c r="Q34" s="96"/>
      <c r="R34" s="96"/>
      <c r="S34" s="97"/>
      <c r="T34" s="93"/>
    </row>
    <row r="35" spans="1:20" s="98" customFormat="1" ht="13.5" customHeight="1" thickBot="1" x14ac:dyDescent="0.3">
      <c r="A35" s="1098"/>
      <c r="B35" s="1098"/>
      <c r="C35" s="1098"/>
      <c r="D35" s="1098"/>
      <c r="E35" s="1098"/>
      <c r="F35" s="100"/>
      <c r="G35" s="103" t="s">
        <v>71</v>
      </c>
      <c r="H35" s="90"/>
      <c r="I35" s="95">
        <v>0</v>
      </c>
      <c r="J35" s="96">
        <f t="shared" ref="J35:J40" si="6">SUM(K35:O35)</f>
        <v>4126.87</v>
      </c>
      <c r="K35" s="95"/>
      <c r="L35" s="96"/>
      <c r="M35" s="96"/>
      <c r="N35" s="96">
        <v>4126.87</v>
      </c>
      <c r="O35" s="96"/>
      <c r="P35" s="96"/>
      <c r="Q35" s="96"/>
      <c r="R35" s="96"/>
      <c r="S35" s="97"/>
      <c r="T35" s="93"/>
    </row>
    <row r="36" spans="1:20" s="98" customFormat="1" ht="13.5" customHeight="1" thickBot="1" x14ac:dyDescent="0.3">
      <c r="A36" s="1098"/>
      <c r="B36" s="1098"/>
      <c r="C36" s="1098"/>
      <c r="D36" s="1098"/>
      <c r="E36" s="1099"/>
      <c r="F36" s="100"/>
      <c r="G36" s="104" t="s">
        <v>71</v>
      </c>
      <c r="H36" s="95"/>
      <c r="I36" s="95">
        <v>245</v>
      </c>
      <c r="J36" s="96">
        <f t="shared" si="6"/>
        <v>129.59</v>
      </c>
      <c r="K36" s="96">
        <v>0</v>
      </c>
      <c r="L36" s="96">
        <v>10.54</v>
      </c>
      <c r="M36" s="96">
        <v>0.22</v>
      </c>
      <c r="N36" s="96">
        <v>118.83</v>
      </c>
      <c r="O36" s="96"/>
      <c r="P36" s="96"/>
      <c r="Q36" s="96"/>
      <c r="R36" s="96"/>
      <c r="S36" s="97"/>
      <c r="T36" s="93"/>
    </row>
    <row r="37" spans="1:20" s="98" customFormat="1" ht="13.5" customHeight="1" thickBot="1" x14ac:dyDescent="0.3">
      <c r="A37" s="1098"/>
      <c r="B37" s="1098"/>
      <c r="C37" s="1098"/>
      <c r="D37" s="1098"/>
      <c r="E37" s="1099"/>
      <c r="F37" s="100"/>
      <c r="G37" s="104" t="s">
        <v>71</v>
      </c>
      <c r="H37" s="95"/>
      <c r="I37" s="95"/>
      <c r="J37" s="96">
        <f>SUM(K37:O37)</f>
        <v>275</v>
      </c>
      <c r="K37" s="96">
        <v>275</v>
      </c>
      <c r="L37" s="96"/>
      <c r="M37" s="96"/>
      <c r="N37" s="96"/>
      <c r="O37" s="96"/>
      <c r="P37" s="96"/>
      <c r="Q37" s="96"/>
      <c r="R37" s="96"/>
      <c r="S37" s="97"/>
      <c r="T37" s="93"/>
    </row>
    <row r="38" spans="1:20" s="98" customFormat="1" ht="13.5" customHeight="1" thickBot="1" x14ac:dyDescent="0.3">
      <c r="A38" s="1098"/>
      <c r="B38" s="1098"/>
      <c r="C38" s="1098"/>
      <c r="D38" s="1098"/>
      <c r="E38" s="1099"/>
      <c r="F38" s="100"/>
      <c r="G38" s="104" t="s">
        <v>71</v>
      </c>
      <c r="H38" s="95"/>
      <c r="I38" s="95">
        <v>0</v>
      </c>
      <c r="J38" s="96">
        <f t="shared" si="6"/>
        <v>781</v>
      </c>
      <c r="K38" s="96">
        <v>781</v>
      </c>
      <c r="L38" s="96">
        <v>0</v>
      </c>
      <c r="M38" s="96"/>
      <c r="N38" s="96">
        <v>0</v>
      </c>
      <c r="O38" s="96"/>
      <c r="P38" s="96"/>
      <c r="Q38" s="96"/>
      <c r="R38" s="96"/>
      <c r="S38" s="97"/>
      <c r="T38" s="93"/>
    </row>
    <row r="39" spans="1:20" s="98" customFormat="1" ht="13.5" customHeight="1" thickBot="1" x14ac:dyDescent="0.3">
      <c r="A39" s="1098"/>
      <c r="B39" s="1098"/>
      <c r="C39" s="1098"/>
      <c r="D39" s="1098"/>
      <c r="E39" s="1099"/>
      <c r="F39" s="100" t="s">
        <v>73</v>
      </c>
      <c r="G39" s="104" t="s">
        <v>74</v>
      </c>
      <c r="H39" s="95"/>
      <c r="I39" s="95">
        <v>0</v>
      </c>
      <c r="J39" s="49">
        <f t="shared" si="6"/>
        <v>-1465.3799999998882</v>
      </c>
      <c r="K39" s="96">
        <v>0</v>
      </c>
      <c r="L39" s="49">
        <v>-1465.3799999998882</v>
      </c>
      <c r="M39" s="96"/>
      <c r="N39" s="96">
        <v>0</v>
      </c>
      <c r="O39" s="96"/>
      <c r="P39" s="96"/>
      <c r="Q39" s="96"/>
      <c r="R39" s="96"/>
      <c r="S39" s="97"/>
      <c r="T39" s="93"/>
    </row>
    <row r="40" spans="1:20" s="98" customFormat="1" ht="13.5" customHeight="1" thickBot="1" x14ac:dyDescent="0.3">
      <c r="A40" s="1098"/>
      <c r="B40" s="1098"/>
      <c r="C40" s="1098"/>
      <c r="D40" s="1098"/>
      <c r="E40" s="1099"/>
      <c r="F40" s="100" t="s">
        <v>75</v>
      </c>
      <c r="G40" s="104" t="s">
        <v>76</v>
      </c>
      <c r="H40" s="95"/>
      <c r="I40" s="95">
        <v>0</v>
      </c>
      <c r="J40" s="96">
        <f t="shared" si="6"/>
        <v>0</v>
      </c>
      <c r="K40" s="96">
        <v>0</v>
      </c>
      <c r="L40" s="96">
        <v>0</v>
      </c>
      <c r="M40" s="96">
        <v>0</v>
      </c>
      <c r="N40" s="96">
        <v>0</v>
      </c>
      <c r="O40" s="96"/>
      <c r="P40" s="96"/>
      <c r="Q40" s="96"/>
      <c r="R40" s="96"/>
      <c r="S40" s="97"/>
      <c r="T40" s="93"/>
    </row>
    <row r="41" spans="1:20" ht="13.5" customHeight="1" thickBot="1" x14ac:dyDescent="0.25">
      <c r="A41" s="1100"/>
      <c r="B41" s="1100"/>
      <c r="C41" s="1100"/>
      <c r="D41" s="1101" t="s">
        <v>77</v>
      </c>
      <c r="E41" s="1102"/>
      <c r="F41" s="105" t="s">
        <v>77</v>
      </c>
      <c r="G41" s="106"/>
      <c r="H41" s="106">
        <f t="shared" ref="H41:O41" si="7">SUBTOTAL(9,H5:H40)</f>
        <v>317708</v>
      </c>
      <c r="I41" s="106">
        <f t="shared" si="7"/>
        <v>9687329</v>
      </c>
      <c r="J41" s="29">
        <f t="shared" si="7"/>
        <v>12023608.240000002</v>
      </c>
      <c r="K41" s="29">
        <f t="shared" si="7"/>
        <v>4585458.74</v>
      </c>
      <c r="L41" s="29">
        <f t="shared" si="7"/>
        <v>1890857.6000000003</v>
      </c>
      <c r="M41" s="29">
        <f t="shared" si="7"/>
        <v>106009.73999999998</v>
      </c>
      <c r="N41" s="29">
        <f t="shared" si="7"/>
        <v>5442295.1799999988</v>
      </c>
      <c r="O41" s="29">
        <f t="shared" si="7"/>
        <v>-1013.02</v>
      </c>
      <c r="P41" s="29">
        <f>SUBTOTAL(9,P5:P29)</f>
        <v>0</v>
      </c>
      <c r="Q41" s="29">
        <f>SUBTOTAL(9,Q5:Q29)</f>
        <v>44186.549999999996</v>
      </c>
      <c r="R41" s="29">
        <f>SUBTOTAL(9,R5:R29)</f>
        <v>0</v>
      </c>
      <c r="S41" s="50">
        <f>SUBTOTAL(9,S5:S29)</f>
        <v>3245.56</v>
      </c>
    </row>
    <row r="42" spans="1:20" ht="13.5" customHeight="1" thickBot="1" x14ac:dyDescent="0.25">
      <c r="A42" s="1100"/>
      <c r="B42" s="1100"/>
      <c r="C42" s="1100"/>
      <c r="D42" s="1101" t="s">
        <v>77</v>
      </c>
      <c r="E42" s="1102"/>
      <c r="F42" s="105" t="s">
        <v>78</v>
      </c>
      <c r="G42" s="106"/>
      <c r="H42" s="106"/>
      <c r="I42" s="106">
        <v>9687320</v>
      </c>
      <c r="J42" s="29">
        <f>SUM(K42:S42)</f>
        <v>12023608.24</v>
      </c>
      <c r="K42" s="29">
        <v>4585458.74</v>
      </c>
      <c r="L42" s="29">
        <v>1890857.6</v>
      </c>
      <c r="M42" s="29">
        <v>106009.74</v>
      </c>
      <c r="N42" s="29">
        <v>5442295.1799999997</v>
      </c>
      <c r="O42" s="29">
        <v>-1013.02</v>
      </c>
      <c r="P42" s="29"/>
      <c r="Q42" s="29"/>
      <c r="R42" s="29"/>
      <c r="S42" s="50"/>
    </row>
    <row r="43" spans="1:20" ht="13.5" customHeight="1" thickBot="1" x14ac:dyDescent="0.25">
      <c r="A43" s="1100"/>
      <c r="B43" s="1100"/>
      <c r="C43" s="1100"/>
      <c r="D43" s="1101"/>
      <c r="E43" s="1102"/>
      <c r="F43" s="107" t="s">
        <v>79</v>
      </c>
      <c r="G43" s="108"/>
      <c r="H43" s="108"/>
      <c r="I43" s="41">
        <f t="shared" ref="I43:N43" si="8">I41-I42</f>
        <v>9</v>
      </c>
      <c r="J43" s="51">
        <f t="shared" si="8"/>
        <v>0</v>
      </c>
      <c r="K43" s="51">
        <f t="shared" si="8"/>
        <v>0</v>
      </c>
      <c r="L43" s="51">
        <f t="shared" si="8"/>
        <v>0</v>
      </c>
      <c r="M43" s="51">
        <f t="shared" si="8"/>
        <v>0</v>
      </c>
      <c r="N43" s="51">
        <f t="shared" si="8"/>
        <v>0</v>
      </c>
      <c r="O43" s="51">
        <f>O41-O42</f>
        <v>0</v>
      </c>
      <c r="P43" s="51"/>
      <c r="Q43" s="51"/>
      <c r="R43" s="51"/>
      <c r="S43" s="52"/>
    </row>
    <row r="44" spans="1:20" ht="13.5" thickBot="1" x14ac:dyDescent="0.25">
      <c r="G44" s="78"/>
      <c r="H44" s="78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</row>
    <row r="45" spans="1:20" ht="24.6" customHeight="1" thickBot="1" x14ac:dyDescent="0.25">
      <c r="A45" s="1089"/>
      <c r="B45" s="1090"/>
      <c r="C45" s="1090"/>
      <c r="D45" s="1377" t="s">
        <v>80</v>
      </c>
      <c r="E45" s="1378"/>
      <c r="F45" s="109" t="s">
        <v>81</v>
      </c>
      <c r="G45" s="110"/>
      <c r="H45" s="82" t="s">
        <v>2</v>
      </c>
      <c r="I45" s="83" t="s">
        <v>3</v>
      </c>
      <c r="J45" s="83" t="s">
        <v>4</v>
      </c>
      <c r="K45" s="83" t="s">
        <v>5</v>
      </c>
      <c r="L45" s="83" t="s">
        <v>6</v>
      </c>
      <c r="M45" s="83" t="s">
        <v>7</v>
      </c>
      <c r="N45" s="83" t="s">
        <v>8</v>
      </c>
      <c r="O45" s="83" t="s">
        <v>9</v>
      </c>
      <c r="P45" s="83" t="s">
        <v>10</v>
      </c>
      <c r="Q45" s="83" t="s">
        <v>11</v>
      </c>
      <c r="R45" s="83" t="s">
        <v>12</v>
      </c>
      <c r="S45" s="84" t="s">
        <v>13</v>
      </c>
    </row>
    <row r="46" spans="1:20" ht="13.5" customHeight="1" thickBot="1" x14ac:dyDescent="0.25">
      <c r="A46" s="1092" t="s">
        <v>14</v>
      </c>
      <c r="B46" s="1093" t="s">
        <v>15</v>
      </c>
      <c r="C46" s="1093" t="s">
        <v>16</v>
      </c>
      <c r="D46" s="1093" t="s">
        <v>17</v>
      </c>
      <c r="E46" s="1103"/>
      <c r="F46" s="85"/>
      <c r="G46" s="86"/>
      <c r="H46" s="86"/>
      <c r="I46" s="86" t="s">
        <v>19</v>
      </c>
      <c r="J46" s="87" t="s">
        <v>20</v>
      </c>
      <c r="K46" s="87" t="s">
        <v>20</v>
      </c>
      <c r="L46" s="87" t="s">
        <v>20</v>
      </c>
      <c r="M46" s="87" t="s">
        <v>20</v>
      </c>
      <c r="N46" s="87" t="s">
        <v>20</v>
      </c>
      <c r="O46" s="87" t="s">
        <v>20</v>
      </c>
      <c r="P46" s="87" t="s">
        <v>20</v>
      </c>
      <c r="Q46" s="87" t="s">
        <v>20</v>
      </c>
      <c r="R46" s="87" t="s">
        <v>20</v>
      </c>
      <c r="S46" s="88" t="s">
        <v>20</v>
      </c>
    </row>
    <row r="47" spans="1:20" ht="13.5" customHeight="1" outlineLevel="2" thickBot="1" x14ac:dyDescent="0.3">
      <c r="A47" s="1094" t="s">
        <v>21</v>
      </c>
      <c r="B47" s="1094" t="s">
        <v>21</v>
      </c>
      <c r="C47" s="1094" t="s">
        <v>28</v>
      </c>
      <c r="D47" s="1094" t="s">
        <v>82</v>
      </c>
      <c r="E47" s="1095" t="s">
        <v>83</v>
      </c>
      <c r="F47" s="89" t="s">
        <v>84</v>
      </c>
      <c r="G47" s="90"/>
      <c r="H47" s="90"/>
      <c r="I47" s="90">
        <v>683790</v>
      </c>
      <c r="J47" s="91">
        <f>SUM(K47:S47)</f>
        <v>690689.04</v>
      </c>
      <c r="K47" s="91">
        <v>340</v>
      </c>
      <c r="L47" s="91">
        <v>19474.34</v>
      </c>
      <c r="M47" s="91">
        <v>0</v>
      </c>
      <c r="N47" s="91">
        <v>383900.22</v>
      </c>
      <c r="O47" s="91">
        <v>0</v>
      </c>
      <c r="P47" s="91">
        <v>0</v>
      </c>
      <c r="Q47" s="91">
        <v>0</v>
      </c>
      <c r="R47" s="91">
        <v>286974.48</v>
      </c>
      <c r="S47" s="92">
        <v>0</v>
      </c>
      <c r="T47" s="93"/>
    </row>
    <row r="48" spans="1:20" ht="13.5" customHeight="1" thickBot="1" x14ac:dyDescent="0.3">
      <c r="A48" s="1095"/>
      <c r="B48" s="1104"/>
      <c r="C48" s="1104"/>
      <c r="D48" s="1102"/>
      <c r="E48" s="1105"/>
      <c r="F48" s="111" t="s">
        <v>85</v>
      </c>
      <c r="G48" s="90"/>
      <c r="H48" s="90">
        <v>2</v>
      </c>
      <c r="I48" s="90">
        <f t="shared" ref="I48:S48" si="9">SUBTOTAL(9,I47:I47)</f>
        <v>683790</v>
      </c>
      <c r="J48" s="47">
        <f>SUBTOTAL(9,J47:J47)</f>
        <v>690689.04</v>
      </c>
      <c r="K48" s="47">
        <f t="shared" si="9"/>
        <v>340</v>
      </c>
      <c r="L48" s="47">
        <f t="shared" si="9"/>
        <v>19474.34</v>
      </c>
      <c r="M48" s="47">
        <f t="shared" si="9"/>
        <v>0</v>
      </c>
      <c r="N48" s="47">
        <f t="shared" si="9"/>
        <v>383900.22</v>
      </c>
      <c r="O48" s="47">
        <f t="shared" si="9"/>
        <v>0</v>
      </c>
      <c r="P48" s="47">
        <f t="shared" si="9"/>
        <v>0</v>
      </c>
      <c r="Q48" s="47">
        <f t="shared" si="9"/>
        <v>0</v>
      </c>
      <c r="R48" s="47">
        <f t="shared" si="9"/>
        <v>286974.48</v>
      </c>
      <c r="S48" s="48">
        <f t="shared" si="9"/>
        <v>0</v>
      </c>
      <c r="T48" s="93">
        <f>ROUND(J48-SUM(K48:P48)-R48,2)</f>
        <v>0</v>
      </c>
    </row>
    <row r="49" spans="1:21" ht="13.5" customHeight="1" thickBot="1" x14ac:dyDescent="0.3">
      <c r="A49" s="1100"/>
      <c r="B49" s="1100"/>
      <c r="C49" s="1104"/>
      <c r="D49" s="1102"/>
      <c r="E49" s="1106"/>
      <c r="F49" s="94" t="s">
        <v>86</v>
      </c>
      <c r="G49" s="90"/>
      <c r="H49" s="90"/>
      <c r="I49" s="90"/>
      <c r="J49" s="47"/>
      <c r="K49" s="47"/>
      <c r="L49" s="47">
        <f>-R49</f>
        <v>286974.48</v>
      </c>
      <c r="M49" s="47"/>
      <c r="N49" s="47"/>
      <c r="O49" s="47"/>
      <c r="P49" s="47"/>
      <c r="Q49" s="47"/>
      <c r="R49" s="47">
        <f>-R48</f>
        <v>-286974.48</v>
      </c>
      <c r="S49" s="48"/>
      <c r="T49" s="93"/>
    </row>
    <row r="50" spans="1:21" ht="13.5" customHeight="1" thickBot="1" x14ac:dyDescent="0.3">
      <c r="A50" s="1100"/>
      <c r="B50" s="1100"/>
      <c r="C50" s="1104"/>
      <c r="D50" s="1102"/>
      <c r="E50" s="1106"/>
      <c r="F50" s="94" t="s">
        <v>87</v>
      </c>
      <c r="G50" s="90"/>
      <c r="H50" s="90"/>
      <c r="I50" s="90">
        <v>700120</v>
      </c>
      <c r="J50" s="47">
        <f>SUM(K50:O50)</f>
        <v>110119.04000000001</v>
      </c>
      <c r="K50" s="47">
        <v>781</v>
      </c>
      <c r="L50" s="47">
        <v>108385.58</v>
      </c>
      <c r="M50" s="47"/>
      <c r="N50" s="47">
        <v>952.46</v>
      </c>
      <c r="O50" s="47"/>
      <c r="P50" s="47"/>
      <c r="Q50" s="47"/>
      <c r="R50" s="47"/>
      <c r="S50" s="48"/>
      <c r="T50" s="93"/>
    </row>
    <row r="51" spans="1:21" ht="13.5" customHeight="1" thickBot="1" x14ac:dyDescent="0.25">
      <c r="A51" s="1100"/>
      <c r="B51" s="1100"/>
      <c r="C51" s="1101"/>
      <c r="D51" s="1107" t="s">
        <v>88</v>
      </c>
      <c r="E51" s="1102"/>
      <c r="F51" s="112" t="s">
        <v>89</v>
      </c>
      <c r="G51" s="106"/>
      <c r="H51" s="106">
        <f>+H48</f>
        <v>2</v>
      </c>
      <c r="I51" s="53">
        <f t="shared" ref="I51:S51" si="10">SUBTOTAL(9,I47:I50)</f>
        <v>1383910</v>
      </c>
      <c r="J51" s="29">
        <f t="shared" si="10"/>
        <v>800808.08000000007</v>
      </c>
      <c r="K51" s="29">
        <f t="shared" si="10"/>
        <v>1121</v>
      </c>
      <c r="L51" s="29">
        <f t="shared" si="10"/>
        <v>414834.4</v>
      </c>
      <c r="M51" s="29">
        <f t="shared" si="10"/>
        <v>0</v>
      </c>
      <c r="N51" s="29">
        <f t="shared" si="10"/>
        <v>384852.68</v>
      </c>
      <c r="O51" s="29">
        <f t="shared" si="10"/>
        <v>0</v>
      </c>
      <c r="P51" s="29">
        <f t="shared" si="10"/>
        <v>0</v>
      </c>
      <c r="Q51" s="29">
        <f t="shared" si="10"/>
        <v>0</v>
      </c>
      <c r="R51" s="29">
        <f t="shared" si="10"/>
        <v>0</v>
      </c>
      <c r="S51" s="50">
        <f t="shared" si="10"/>
        <v>0</v>
      </c>
    </row>
    <row r="52" spans="1:21" ht="13.5" customHeight="1" thickBot="1" x14ac:dyDescent="0.25">
      <c r="A52" s="1100"/>
      <c r="B52" s="1100"/>
      <c r="C52" s="1100"/>
      <c r="D52" s="1101" t="s">
        <v>77</v>
      </c>
      <c r="E52" s="1102"/>
      <c r="F52" s="112" t="s">
        <v>90</v>
      </c>
      <c r="G52" s="106"/>
      <c r="H52" s="106"/>
      <c r="I52" s="106">
        <v>1383910</v>
      </c>
      <c r="J52" s="29">
        <f>SUM(K52:S52)</f>
        <v>800808.08000000007</v>
      </c>
      <c r="K52" s="29">
        <v>1121</v>
      </c>
      <c r="L52" s="29">
        <v>414834.4</v>
      </c>
      <c r="M52" s="29">
        <v>0</v>
      </c>
      <c r="N52" s="29">
        <v>384852.68</v>
      </c>
      <c r="O52" s="29">
        <v>0</v>
      </c>
      <c r="P52" s="29"/>
      <c r="Q52" s="29"/>
      <c r="R52" s="29"/>
      <c r="S52" s="50"/>
    </row>
    <row r="53" spans="1:21" ht="13.5" customHeight="1" thickBot="1" x14ac:dyDescent="0.25">
      <c r="A53" s="1100"/>
      <c r="B53" s="1100"/>
      <c r="C53" s="1100"/>
      <c r="D53" s="1101"/>
      <c r="E53" s="1102"/>
      <c r="F53" s="107" t="s">
        <v>79</v>
      </c>
      <c r="G53" s="108"/>
      <c r="H53" s="108"/>
      <c r="I53" s="41">
        <f t="shared" ref="I53:N53" si="11">I51-I52</f>
        <v>0</v>
      </c>
      <c r="J53" s="51">
        <f t="shared" si="11"/>
        <v>0</v>
      </c>
      <c r="K53" s="51">
        <f t="shared" si="11"/>
        <v>0</v>
      </c>
      <c r="L53" s="51">
        <f t="shared" si="11"/>
        <v>0</v>
      </c>
      <c r="M53" s="51">
        <f t="shared" si="11"/>
        <v>0</v>
      </c>
      <c r="N53" s="51">
        <f t="shared" si="11"/>
        <v>0</v>
      </c>
      <c r="O53" s="51">
        <f>O51-O52</f>
        <v>0</v>
      </c>
      <c r="P53" s="51"/>
      <c r="Q53" s="51"/>
      <c r="R53" s="51"/>
      <c r="S53" s="52"/>
    </row>
    <row r="54" spans="1:21" ht="13.5" thickBot="1" x14ac:dyDescent="0.25">
      <c r="G54" s="78"/>
      <c r="H54" s="78"/>
      <c r="I54" s="113"/>
      <c r="K54" s="113"/>
      <c r="L54" s="113"/>
      <c r="M54" s="113"/>
      <c r="N54" s="54"/>
      <c r="O54" s="113"/>
      <c r="P54" s="113"/>
    </row>
    <row r="55" spans="1:21" ht="23.25" thickBot="1" x14ac:dyDescent="0.25">
      <c r="D55" s="1379" t="s">
        <v>91</v>
      </c>
      <c r="E55" s="1380"/>
      <c r="F55" s="114" t="s">
        <v>92</v>
      </c>
      <c r="G55" s="82"/>
      <c r="H55" s="82" t="s">
        <v>2</v>
      </c>
      <c r="I55" s="83" t="s">
        <v>3</v>
      </c>
      <c r="J55" s="83" t="s">
        <v>4</v>
      </c>
      <c r="K55" s="83" t="s">
        <v>5</v>
      </c>
      <c r="L55" s="83" t="s">
        <v>6</v>
      </c>
      <c r="M55" s="83" t="s">
        <v>7</v>
      </c>
      <c r="N55" s="83" t="s">
        <v>93</v>
      </c>
      <c r="O55" s="83" t="s">
        <v>9</v>
      </c>
      <c r="P55" s="83" t="s">
        <v>10</v>
      </c>
      <c r="Q55" s="83" t="s">
        <v>11</v>
      </c>
      <c r="R55" s="83" t="s">
        <v>12</v>
      </c>
      <c r="S55" s="84" t="s">
        <v>13</v>
      </c>
    </row>
    <row r="56" spans="1:21" ht="13.5" thickBot="1" x14ac:dyDescent="0.25">
      <c r="D56" s="1096"/>
      <c r="E56" s="1097"/>
      <c r="F56" s="115"/>
      <c r="G56" s="86"/>
      <c r="H56" s="86"/>
      <c r="I56" s="86" t="s">
        <v>19</v>
      </c>
      <c r="J56" s="87" t="s">
        <v>20</v>
      </c>
      <c r="K56" s="87" t="s">
        <v>20</v>
      </c>
      <c r="L56" s="87" t="s">
        <v>20</v>
      </c>
      <c r="M56" s="87" t="s">
        <v>20</v>
      </c>
      <c r="N56" s="87" t="s">
        <v>20</v>
      </c>
      <c r="O56" s="87" t="s">
        <v>20</v>
      </c>
      <c r="P56" s="87" t="s">
        <v>20</v>
      </c>
      <c r="Q56" s="87" t="s">
        <v>20</v>
      </c>
      <c r="R56" s="87" t="s">
        <v>20</v>
      </c>
      <c r="S56" s="88" t="s">
        <v>20</v>
      </c>
    </row>
    <row r="57" spans="1:21" ht="14.25" outlineLevel="2" thickBot="1" x14ac:dyDescent="0.3">
      <c r="D57" s="1094" t="s">
        <v>94</v>
      </c>
      <c r="E57" s="1095" t="s">
        <v>95</v>
      </c>
      <c r="F57" s="89" t="s">
        <v>96</v>
      </c>
      <c r="G57" s="90"/>
      <c r="H57" s="90"/>
      <c r="I57" s="90">
        <v>0</v>
      </c>
      <c r="J57" s="91">
        <v>0</v>
      </c>
      <c r="K57" s="91">
        <v>0</v>
      </c>
      <c r="L57" s="91"/>
      <c r="M57" s="91"/>
      <c r="N57" s="91"/>
      <c r="O57" s="91"/>
      <c r="P57" s="91"/>
      <c r="Q57" s="91"/>
      <c r="R57" s="91"/>
      <c r="S57" s="92"/>
      <c r="U57" s="101">
        <f t="shared" ref="U57:U72" si="12">SUM(K57:S57)-J57</f>
        <v>0</v>
      </c>
    </row>
    <row r="58" spans="1:21" ht="14.25" outlineLevel="2" thickBot="1" x14ac:dyDescent="0.3">
      <c r="D58" s="1094" t="s">
        <v>97</v>
      </c>
      <c r="E58" s="1095" t="s">
        <v>98</v>
      </c>
      <c r="F58" s="89" t="s">
        <v>96</v>
      </c>
      <c r="G58" s="90"/>
      <c r="H58" s="90"/>
      <c r="I58" s="90">
        <v>245</v>
      </c>
      <c r="J58" s="91">
        <v>129.59</v>
      </c>
      <c r="K58" s="91"/>
      <c r="L58" s="91">
        <v>10.54</v>
      </c>
      <c r="M58" s="91">
        <v>0.22</v>
      </c>
      <c r="N58" s="91">
        <v>118.83</v>
      </c>
      <c r="O58" s="91"/>
      <c r="P58" s="91"/>
      <c r="Q58" s="91"/>
      <c r="R58" s="91"/>
      <c r="S58" s="92"/>
      <c r="U58" s="101">
        <f t="shared" si="12"/>
        <v>0</v>
      </c>
    </row>
    <row r="59" spans="1:21" ht="14.25" outlineLevel="2" thickBot="1" x14ac:dyDescent="0.3">
      <c r="D59" s="1094" t="s">
        <v>97</v>
      </c>
      <c r="E59" s="1095" t="s">
        <v>98</v>
      </c>
      <c r="F59" s="89" t="s">
        <v>96</v>
      </c>
      <c r="G59" s="90"/>
      <c r="H59" s="90"/>
      <c r="I59" s="90">
        <v>0</v>
      </c>
      <c r="J59" s="91">
        <v>0</v>
      </c>
      <c r="K59" s="47">
        <v>0</v>
      </c>
      <c r="L59" s="47">
        <v>0</v>
      </c>
      <c r="M59" s="47">
        <v>0</v>
      </c>
      <c r="N59" s="91">
        <v>0</v>
      </c>
      <c r="O59" s="91"/>
      <c r="P59" s="91"/>
      <c r="Q59" s="91"/>
      <c r="R59" s="91"/>
      <c r="S59" s="92"/>
      <c r="U59" s="101">
        <f t="shared" si="12"/>
        <v>0</v>
      </c>
    </row>
    <row r="60" spans="1:21" ht="14.25" outlineLevel="2" thickBot="1" x14ac:dyDescent="0.3">
      <c r="D60" s="1094" t="s">
        <v>99</v>
      </c>
      <c r="E60" s="1095" t="s">
        <v>100</v>
      </c>
      <c r="F60" s="89" t="s">
        <v>96</v>
      </c>
      <c r="G60" s="90"/>
      <c r="H60" s="90"/>
      <c r="I60" s="90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/>
      <c r="P60" s="91"/>
      <c r="Q60" s="91"/>
      <c r="R60" s="91"/>
      <c r="S60" s="92"/>
      <c r="U60" s="101">
        <f t="shared" si="12"/>
        <v>0</v>
      </c>
    </row>
    <row r="61" spans="1:21" ht="14.25" outlineLevel="2" thickBot="1" x14ac:dyDescent="0.3">
      <c r="D61" s="1094" t="s">
        <v>99</v>
      </c>
      <c r="E61" s="1095" t="s">
        <v>100</v>
      </c>
      <c r="F61" s="89" t="s">
        <v>96</v>
      </c>
      <c r="G61" s="90"/>
      <c r="H61" s="90"/>
      <c r="I61" s="90"/>
      <c r="J61" s="91"/>
      <c r="K61" s="91"/>
      <c r="L61" s="91"/>
      <c r="M61" s="91"/>
      <c r="N61" s="91"/>
      <c r="O61" s="91"/>
      <c r="P61" s="91"/>
      <c r="Q61" s="91"/>
      <c r="R61" s="91"/>
      <c r="S61" s="92"/>
      <c r="U61" s="101">
        <f t="shared" si="12"/>
        <v>0</v>
      </c>
    </row>
    <row r="62" spans="1:21" ht="14.25" outlineLevel="2" thickBot="1" x14ac:dyDescent="0.3">
      <c r="D62" s="1094" t="s">
        <v>99</v>
      </c>
      <c r="E62" s="1095" t="s">
        <v>100</v>
      </c>
      <c r="F62" s="89" t="s">
        <v>96</v>
      </c>
      <c r="G62" s="90"/>
      <c r="H62" s="90"/>
      <c r="I62" s="90">
        <v>0</v>
      </c>
      <c r="J62" s="91">
        <v>0</v>
      </c>
      <c r="K62" s="91"/>
      <c r="L62" s="91"/>
      <c r="M62" s="91"/>
      <c r="N62" s="91"/>
      <c r="O62" s="91"/>
      <c r="P62" s="91"/>
      <c r="Q62" s="91"/>
      <c r="R62" s="91"/>
      <c r="S62" s="92"/>
      <c r="U62" s="101">
        <f t="shared" si="12"/>
        <v>0</v>
      </c>
    </row>
    <row r="63" spans="1:21" ht="14.25" thickBot="1" x14ac:dyDescent="0.3">
      <c r="D63" s="1096"/>
      <c r="E63" s="1097"/>
      <c r="F63" s="94" t="s">
        <v>101</v>
      </c>
      <c r="G63" s="95"/>
      <c r="H63" s="95">
        <v>1</v>
      </c>
      <c r="I63" s="95">
        <f t="shared" ref="I63:S63" si="13">SUBTOTAL(9,I57:I62)</f>
        <v>245</v>
      </c>
      <c r="J63" s="96">
        <f>SUBTOTAL(9,J57:J62)</f>
        <v>129.59</v>
      </c>
      <c r="K63" s="96">
        <f t="shared" si="13"/>
        <v>0</v>
      </c>
      <c r="L63" s="96">
        <f t="shared" si="13"/>
        <v>10.54</v>
      </c>
      <c r="M63" s="96">
        <f t="shared" si="13"/>
        <v>0.22</v>
      </c>
      <c r="N63" s="96">
        <f t="shared" si="13"/>
        <v>118.83</v>
      </c>
      <c r="O63" s="96">
        <f t="shared" si="13"/>
        <v>0</v>
      </c>
      <c r="P63" s="96">
        <f t="shared" si="13"/>
        <v>0</v>
      </c>
      <c r="Q63" s="96">
        <f t="shared" si="13"/>
        <v>0</v>
      </c>
      <c r="R63" s="96">
        <f t="shared" si="13"/>
        <v>0</v>
      </c>
      <c r="S63" s="97">
        <f t="shared" si="13"/>
        <v>0</v>
      </c>
      <c r="U63" s="101">
        <f t="shared" si="12"/>
        <v>0</v>
      </c>
    </row>
    <row r="64" spans="1:21" ht="14.25" outlineLevel="2" thickBot="1" x14ac:dyDescent="0.3">
      <c r="D64" s="1094" t="s">
        <v>102</v>
      </c>
      <c r="E64" s="1095" t="s">
        <v>103</v>
      </c>
      <c r="F64" s="89" t="s">
        <v>104</v>
      </c>
      <c r="G64" s="90"/>
      <c r="H64" s="90"/>
      <c r="I64" s="90">
        <v>0</v>
      </c>
      <c r="J64" s="91">
        <v>4126.87</v>
      </c>
      <c r="K64" s="91"/>
      <c r="L64" s="91"/>
      <c r="M64" s="91"/>
      <c r="N64" s="91">
        <v>4126.87</v>
      </c>
      <c r="O64" s="91"/>
      <c r="P64" s="91"/>
      <c r="Q64" s="91"/>
      <c r="R64" s="91"/>
      <c r="S64" s="92"/>
      <c r="U64" s="101">
        <f t="shared" si="12"/>
        <v>0</v>
      </c>
    </row>
    <row r="65" spans="1:21" ht="14.25" thickBot="1" x14ac:dyDescent="0.3">
      <c r="D65" s="1096"/>
      <c r="E65" s="1097"/>
      <c r="F65" s="94" t="s">
        <v>105</v>
      </c>
      <c r="G65" s="95"/>
      <c r="H65" s="95">
        <v>1</v>
      </c>
      <c r="I65" s="95">
        <f t="shared" ref="I65:S65" si="14">SUBTOTAL(9,I64:I64)</f>
        <v>0</v>
      </c>
      <c r="J65" s="96">
        <f t="shared" si="14"/>
        <v>4126.87</v>
      </c>
      <c r="K65" s="96">
        <f t="shared" si="14"/>
        <v>0</v>
      </c>
      <c r="L65" s="96">
        <f t="shared" si="14"/>
        <v>0</v>
      </c>
      <c r="M65" s="96">
        <f t="shared" si="14"/>
        <v>0</v>
      </c>
      <c r="N65" s="96">
        <f t="shared" si="14"/>
        <v>4126.87</v>
      </c>
      <c r="O65" s="96">
        <f t="shared" si="14"/>
        <v>0</v>
      </c>
      <c r="P65" s="96">
        <f t="shared" si="14"/>
        <v>0</v>
      </c>
      <c r="Q65" s="96">
        <f t="shared" si="14"/>
        <v>0</v>
      </c>
      <c r="R65" s="96">
        <f t="shared" si="14"/>
        <v>0</v>
      </c>
      <c r="S65" s="97">
        <f t="shared" si="14"/>
        <v>0</v>
      </c>
      <c r="U65" s="101">
        <f t="shared" si="12"/>
        <v>0</v>
      </c>
    </row>
    <row r="66" spans="1:21" ht="14.25" outlineLevel="2" thickBot="1" x14ac:dyDescent="0.3">
      <c r="D66" s="1094" t="s">
        <v>106</v>
      </c>
      <c r="E66" s="1095" t="s">
        <v>107</v>
      </c>
      <c r="F66" s="89" t="s">
        <v>72</v>
      </c>
      <c r="G66" s="95"/>
      <c r="H66" s="90"/>
      <c r="I66" s="90">
        <v>0</v>
      </c>
      <c r="J66" s="91">
        <v>781</v>
      </c>
      <c r="K66" s="91">
        <v>781</v>
      </c>
      <c r="L66" s="91">
        <v>0</v>
      </c>
      <c r="M66" s="91">
        <v>0</v>
      </c>
      <c r="N66" s="91">
        <v>0</v>
      </c>
      <c r="O66" s="91"/>
      <c r="P66" s="91"/>
      <c r="Q66" s="91"/>
      <c r="R66" s="91"/>
      <c r="S66" s="92"/>
      <c r="U66" s="101">
        <f t="shared" si="12"/>
        <v>0</v>
      </c>
    </row>
    <row r="67" spans="1:21" ht="14.25" thickBot="1" x14ac:dyDescent="0.3">
      <c r="D67" s="1096"/>
      <c r="E67" s="1105"/>
      <c r="F67" s="111" t="s">
        <v>108</v>
      </c>
      <c r="G67" s="95"/>
      <c r="H67" s="95">
        <v>1</v>
      </c>
      <c r="I67" s="95">
        <f t="shared" ref="I67:S67" si="15">SUBTOTAL(9,I66:I66)</f>
        <v>0</v>
      </c>
      <c r="J67" s="96">
        <f>SUBTOTAL(9,J66:J66)</f>
        <v>781</v>
      </c>
      <c r="K67" s="96">
        <f t="shared" si="15"/>
        <v>781</v>
      </c>
      <c r="L67" s="96">
        <f t="shared" si="15"/>
        <v>0</v>
      </c>
      <c r="M67" s="96">
        <f t="shared" si="15"/>
        <v>0</v>
      </c>
      <c r="N67" s="96">
        <f t="shared" si="15"/>
        <v>0</v>
      </c>
      <c r="O67" s="96">
        <f t="shared" si="15"/>
        <v>0</v>
      </c>
      <c r="P67" s="96">
        <f t="shared" si="15"/>
        <v>0</v>
      </c>
      <c r="Q67" s="96">
        <f t="shared" si="15"/>
        <v>0</v>
      </c>
      <c r="R67" s="96">
        <f t="shared" si="15"/>
        <v>0</v>
      </c>
      <c r="S67" s="97">
        <f t="shared" si="15"/>
        <v>0</v>
      </c>
      <c r="U67" s="101">
        <f t="shared" si="12"/>
        <v>0</v>
      </c>
    </row>
    <row r="68" spans="1:21" ht="14.25" outlineLevel="2" thickBot="1" x14ac:dyDescent="0.3">
      <c r="D68" s="1094" t="s">
        <v>109</v>
      </c>
      <c r="E68" s="1095" t="s">
        <v>110</v>
      </c>
      <c r="F68" s="116" t="s">
        <v>111</v>
      </c>
      <c r="G68" s="90"/>
      <c r="H68" s="90"/>
      <c r="I68" s="90">
        <v>0</v>
      </c>
      <c r="J68" s="91">
        <v>275</v>
      </c>
      <c r="K68" s="91">
        <v>275</v>
      </c>
      <c r="L68" s="91">
        <v>0</v>
      </c>
      <c r="M68" s="91">
        <v>0</v>
      </c>
      <c r="N68" s="91">
        <v>0</v>
      </c>
      <c r="O68" s="91"/>
      <c r="P68" s="91"/>
      <c r="Q68" s="91"/>
      <c r="R68" s="91"/>
      <c r="S68" s="92"/>
      <c r="U68" s="101">
        <f t="shared" si="12"/>
        <v>0</v>
      </c>
    </row>
    <row r="69" spans="1:21" ht="14.25" thickBot="1" x14ac:dyDescent="0.3">
      <c r="D69" s="1096"/>
      <c r="E69" s="1105"/>
      <c r="F69" s="111" t="s">
        <v>112</v>
      </c>
      <c r="G69" s="95"/>
      <c r="H69" s="95">
        <v>1</v>
      </c>
      <c r="I69" s="95">
        <f t="shared" ref="I69:S69" si="16">SUBTOTAL(9,I68:I68)</f>
        <v>0</v>
      </c>
      <c r="J69" s="96">
        <f>SUBTOTAL(9,J68:J68)</f>
        <v>275</v>
      </c>
      <c r="K69" s="96">
        <f t="shared" si="16"/>
        <v>275</v>
      </c>
      <c r="L69" s="96">
        <f t="shared" si="16"/>
        <v>0</v>
      </c>
      <c r="M69" s="96">
        <f t="shared" si="16"/>
        <v>0</v>
      </c>
      <c r="N69" s="96">
        <f t="shared" si="16"/>
        <v>0</v>
      </c>
      <c r="O69" s="96">
        <f t="shared" si="16"/>
        <v>0</v>
      </c>
      <c r="P69" s="96">
        <f t="shared" si="16"/>
        <v>0</v>
      </c>
      <c r="Q69" s="96">
        <f t="shared" si="16"/>
        <v>0</v>
      </c>
      <c r="R69" s="96">
        <f t="shared" si="16"/>
        <v>0</v>
      </c>
      <c r="S69" s="97">
        <f t="shared" si="16"/>
        <v>0</v>
      </c>
      <c r="U69" s="101">
        <f t="shared" si="12"/>
        <v>0</v>
      </c>
    </row>
    <row r="70" spans="1:21" ht="14.25" outlineLevel="2" thickBot="1" x14ac:dyDescent="0.3">
      <c r="D70" s="1094" t="s">
        <v>113</v>
      </c>
      <c r="E70" s="1095" t="s">
        <v>114</v>
      </c>
      <c r="F70" s="116" t="s">
        <v>115</v>
      </c>
      <c r="G70" s="90"/>
      <c r="H70" s="90"/>
      <c r="I70" s="90">
        <v>0</v>
      </c>
      <c r="J70" s="91">
        <v>781</v>
      </c>
      <c r="K70" s="91">
        <v>781</v>
      </c>
      <c r="L70" s="91">
        <v>0</v>
      </c>
      <c r="M70" s="91">
        <v>0</v>
      </c>
      <c r="N70" s="91">
        <v>0</v>
      </c>
      <c r="O70" s="91"/>
      <c r="P70" s="91"/>
      <c r="Q70" s="91"/>
      <c r="R70" s="91"/>
      <c r="S70" s="92"/>
      <c r="U70" s="101">
        <f t="shared" si="12"/>
        <v>0</v>
      </c>
    </row>
    <row r="71" spans="1:21" ht="14.25" thickBot="1" x14ac:dyDescent="0.3">
      <c r="D71" s="1102"/>
      <c r="E71" s="1105"/>
      <c r="F71" s="111" t="s">
        <v>116</v>
      </c>
      <c r="G71" s="95"/>
      <c r="H71" s="95">
        <v>1</v>
      </c>
      <c r="I71" s="95">
        <f t="shared" ref="I71:S71" si="17">SUBTOTAL(9,I70:I70)</f>
        <v>0</v>
      </c>
      <c r="J71" s="96">
        <f>SUBTOTAL(9,J70:J70)</f>
        <v>781</v>
      </c>
      <c r="K71" s="96">
        <f t="shared" si="17"/>
        <v>781</v>
      </c>
      <c r="L71" s="96">
        <f t="shared" si="17"/>
        <v>0</v>
      </c>
      <c r="M71" s="96">
        <f t="shared" si="17"/>
        <v>0</v>
      </c>
      <c r="N71" s="96">
        <f t="shared" si="17"/>
        <v>0</v>
      </c>
      <c r="O71" s="96">
        <f t="shared" si="17"/>
        <v>0</v>
      </c>
      <c r="P71" s="96">
        <f t="shared" si="17"/>
        <v>0</v>
      </c>
      <c r="Q71" s="96">
        <f t="shared" si="17"/>
        <v>0</v>
      </c>
      <c r="R71" s="96">
        <f t="shared" si="17"/>
        <v>0</v>
      </c>
      <c r="S71" s="97">
        <f t="shared" si="17"/>
        <v>0</v>
      </c>
      <c r="U71" s="101">
        <f t="shared" si="12"/>
        <v>0</v>
      </c>
    </row>
    <row r="72" spans="1:21" ht="15.75" thickBot="1" x14ac:dyDescent="0.3">
      <c r="A72" s="1108"/>
      <c r="B72" s="1108"/>
      <c r="C72" s="1108"/>
      <c r="D72" s="1381" t="s">
        <v>117</v>
      </c>
      <c r="E72" s="1381"/>
      <c r="F72" s="40" t="s">
        <v>118</v>
      </c>
      <c r="G72" s="41"/>
      <c r="H72" s="41">
        <f>SUBTOTAL(9,H57:H71)</f>
        <v>5</v>
      </c>
      <c r="I72" s="41">
        <f t="shared" ref="I72:S72" si="18">SUBTOTAL(9,I57:I71)</f>
        <v>245</v>
      </c>
      <c r="J72" s="51">
        <f>SUBTOTAL(9,J57:J71)</f>
        <v>6093.46</v>
      </c>
      <c r="K72" s="51">
        <f t="shared" si="18"/>
        <v>1837</v>
      </c>
      <c r="L72" s="51">
        <f>SUBTOTAL(9,L57:L71)</f>
        <v>10.54</v>
      </c>
      <c r="M72" s="51">
        <f t="shared" si="18"/>
        <v>0.22</v>
      </c>
      <c r="N72" s="51">
        <f t="shared" si="18"/>
        <v>4245.7</v>
      </c>
      <c r="O72" s="51">
        <f t="shared" si="18"/>
        <v>0</v>
      </c>
      <c r="P72" s="51">
        <f t="shared" si="18"/>
        <v>0</v>
      </c>
      <c r="Q72" s="51">
        <f t="shared" si="18"/>
        <v>0</v>
      </c>
      <c r="R72" s="51">
        <f t="shared" si="18"/>
        <v>0</v>
      </c>
      <c r="S72" s="52">
        <f t="shared" si="18"/>
        <v>0</v>
      </c>
      <c r="U72" s="101">
        <f t="shared" si="12"/>
        <v>0</v>
      </c>
    </row>
    <row r="73" spans="1:21" ht="13.5" x14ac:dyDescent="0.25">
      <c r="G73" s="78"/>
      <c r="H73" s="78"/>
      <c r="I73" s="117"/>
      <c r="K73" s="118"/>
      <c r="L73" s="118"/>
      <c r="M73" s="118"/>
      <c r="N73" s="118"/>
      <c r="O73" s="118"/>
      <c r="P73" s="118"/>
    </row>
    <row r="74" spans="1:21" x14ac:dyDescent="0.2">
      <c r="G74" s="119" t="s">
        <v>76</v>
      </c>
      <c r="H74" s="113" t="s">
        <v>119</v>
      </c>
    </row>
    <row r="75" spans="1:21" s="120" customFormat="1" ht="11.25" x14ac:dyDescent="0.2">
      <c r="A75" s="1109"/>
      <c r="B75" s="1109"/>
      <c r="C75" s="1109"/>
      <c r="D75" s="1109"/>
      <c r="E75" s="1109"/>
      <c r="G75" s="119" t="s">
        <v>74</v>
      </c>
      <c r="H75" s="113" t="s">
        <v>120</v>
      </c>
    </row>
    <row r="76" spans="1:21" x14ac:dyDescent="0.2">
      <c r="G76" s="119" t="s">
        <v>71</v>
      </c>
      <c r="H76" s="113" t="s">
        <v>121</v>
      </c>
    </row>
    <row r="77" spans="1:21" x14ac:dyDescent="0.2">
      <c r="G77" s="121"/>
      <c r="H77" s="113"/>
    </row>
  </sheetData>
  <mergeCells count="5">
    <mergeCell ref="F1:K1"/>
    <mergeCell ref="D4:E4"/>
    <mergeCell ref="D45:E45"/>
    <mergeCell ref="D55:E55"/>
    <mergeCell ref="D72:E72"/>
  </mergeCells>
  <conditionalFormatting sqref="T47:T50 T5:T29 T33:T40">
    <cfRule type="cellIs" dxfId="51" priority="1" stopIfTrue="1" operator="notEqual">
      <formula>0</formula>
    </cfRule>
  </conditionalFormatting>
  <printOptions horizontalCentered="1"/>
  <pageMargins left="0.25" right="0" top="0.25" bottom="0.5" header="0.25" footer="0.25"/>
  <pageSetup scale="42" fitToHeight="3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39997558519241921"/>
    <pageSetUpPr fitToPage="1"/>
  </sheetPr>
  <dimension ref="A1:U80"/>
  <sheetViews>
    <sheetView showGridLines="0" zoomScale="80" zoomScaleNormal="80" workbookViewId="0"/>
  </sheetViews>
  <sheetFormatPr defaultRowHeight="12.75" outlineLevelRow="2" x14ac:dyDescent="0.2"/>
  <cols>
    <col min="1" max="1" width="14.140625" style="1087" customWidth="1"/>
    <col min="2" max="2" width="14.7109375" style="1087" customWidth="1"/>
    <col min="3" max="3" width="15.42578125" style="1087" customWidth="1"/>
    <col min="4" max="4" width="31.28515625" style="1087" customWidth="1"/>
    <col min="5" max="5" width="26.140625" style="1087" customWidth="1"/>
    <col min="6" max="6" width="30.140625" style="78" bestFit="1" customWidth="1"/>
    <col min="7" max="7" width="3.7109375" style="80" bestFit="1" customWidth="1"/>
    <col min="8" max="8" width="13.5703125" style="80" bestFit="1" customWidth="1"/>
    <col min="9" max="9" width="10.7109375" style="78" customWidth="1"/>
    <col min="10" max="10" width="13.28515625" style="78" bestFit="1" customWidth="1"/>
    <col min="11" max="12" width="13.42578125" style="78" bestFit="1" customWidth="1"/>
    <col min="13" max="13" width="13.5703125" style="78" bestFit="1" customWidth="1"/>
    <col min="14" max="14" width="14.28515625" style="78" bestFit="1" customWidth="1"/>
    <col min="15" max="15" width="11.85546875" style="78" bestFit="1" customWidth="1"/>
    <col min="16" max="16" width="8.7109375" style="78" customWidth="1"/>
    <col min="17" max="17" width="10.5703125" style="78" bestFit="1" customWidth="1"/>
    <col min="18" max="18" width="13.140625" style="78" bestFit="1" customWidth="1"/>
    <col min="19" max="19" width="10.7109375" style="78" customWidth="1"/>
    <col min="20" max="20" width="17.7109375" style="78" bestFit="1" customWidth="1"/>
    <col min="21" max="21" width="6.28515625" style="78" bestFit="1" customWidth="1"/>
    <col min="22" max="16384" width="9.140625" style="78"/>
  </cols>
  <sheetData>
    <row r="1" spans="1:20" ht="23.25" customHeight="1" x14ac:dyDescent="0.35">
      <c r="A1" s="1086"/>
      <c r="D1" s="1086"/>
      <c r="F1" s="1374" t="s">
        <v>252</v>
      </c>
      <c r="G1" s="1374"/>
      <c r="H1" s="1374"/>
      <c r="I1" s="1374"/>
      <c r="J1" s="1374"/>
      <c r="K1" s="1374"/>
      <c r="L1" s="79"/>
    </row>
    <row r="2" spans="1:20" ht="15.75" thickBot="1" x14ac:dyDescent="0.35">
      <c r="A2" s="1088"/>
      <c r="D2" s="1088"/>
    </row>
    <row r="3" spans="1:20" ht="23.25" thickBot="1" x14ac:dyDescent="0.25">
      <c r="A3" s="1089"/>
      <c r="B3" s="1090"/>
      <c r="C3" s="1090"/>
      <c r="D3" s="1089" t="s">
        <v>1</v>
      </c>
      <c r="E3" s="1091"/>
      <c r="F3" s="81" t="s">
        <v>1</v>
      </c>
      <c r="G3" s="82"/>
      <c r="H3" s="82" t="s">
        <v>2</v>
      </c>
      <c r="I3" s="83" t="s">
        <v>3</v>
      </c>
      <c r="J3" s="83" t="s">
        <v>4</v>
      </c>
      <c r="K3" s="83" t="s">
        <v>5</v>
      </c>
      <c r="L3" s="83" t="s">
        <v>6</v>
      </c>
      <c r="M3" s="83" t="s">
        <v>7</v>
      </c>
      <c r="N3" s="83" t="s">
        <v>8</v>
      </c>
      <c r="O3" s="83" t="s">
        <v>9</v>
      </c>
      <c r="P3" s="83" t="s">
        <v>10</v>
      </c>
      <c r="Q3" s="83" t="s">
        <v>11</v>
      </c>
      <c r="R3" s="83" t="s">
        <v>12</v>
      </c>
      <c r="S3" s="84" t="s">
        <v>13</v>
      </c>
    </row>
    <row r="4" spans="1:20" ht="13.5" customHeight="1" thickBot="1" x14ac:dyDescent="0.25">
      <c r="A4" s="1092" t="s">
        <v>14</v>
      </c>
      <c r="B4" s="1093" t="s">
        <v>15</v>
      </c>
      <c r="C4" s="1093" t="s">
        <v>16</v>
      </c>
      <c r="D4" s="1375" t="s">
        <v>17</v>
      </c>
      <c r="E4" s="1376"/>
      <c r="F4" s="85" t="s">
        <v>18</v>
      </c>
      <c r="G4" s="86"/>
      <c r="H4" s="86"/>
      <c r="I4" s="86" t="s">
        <v>19</v>
      </c>
      <c r="J4" s="87" t="s">
        <v>20</v>
      </c>
      <c r="K4" s="87" t="s">
        <v>20</v>
      </c>
      <c r="L4" s="87" t="s">
        <v>20</v>
      </c>
      <c r="M4" s="87" t="s">
        <v>20</v>
      </c>
      <c r="N4" s="87" t="s">
        <v>20</v>
      </c>
      <c r="O4" s="87" t="s">
        <v>20</v>
      </c>
      <c r="P4" s="87" t="s">
        <v>20</v>
      </c>
      <c r="Q4" s="87" t="s">
        <v>20</v>
      </c>
      <c r="R4" s="87" t="s">
        <v>20</v>
      </c>
      <c r="S4" s="88" t="s">
        <v>20</v>
      </c>
    </row>
    <row r="5" spans="1:20" ht="13.5" customHeight="1" outlineLevel="2" thickBot="1" x14ac:dyDescent="0.3">
      <c r="A5" s="1094" t="s">
        <v>21</v>
      </c>
      <c r="B5" s="1094" t="s">
        <v>21</v>
      </c>
      <c r="C5" s="1094" t="s">
        <v>22</v>
      </c>
      <c r="D5" s="1094" t="s">
        <v>23</v>
      </c>
      <c r="E5" s="1095" t="s">
        <v>24</v>
      </c>
      <c r="F5" s="89" t="s">
        <v>25</v>
      </c>
      <c r="G5" s="90"/>
      <c r="H5" s="90"/>
      <c r="I5" s="90">
        <v>25687</v>
      </c>
      <c r="J5" s="91">
        <v>16620.190000000002</v>
      </c>
      <c r="K5" s="91">
        <v>825</v>
      </c>
      <c r="L5" s="91">
        <v>1349.08</v>
      </c>
      <c r="M5" s="91">
        <v>24.66</v>
      </c>
      <c r="N5" s="91">
        <v>14421.45</v>
      </c>
      <c r="O5" s="91">
        <v>0</v>
      </c>
      <c r="P5" s="91">
        <v>0</v>
      </c>
      <c r="Q5" s="91">
        <v>0</v>
      </c>
      <c r="R5" s="91">
        <v>0</v>
      </c>
      <c r="S5" s="92">
        <v>0</v>
      </c>
      <c r="T5" s="93"/>
    </row>
    <row r="6" spans="1:20" ht="13.5" customHeight="1" outlineLevel="2" thickBot="1" x14ac:dyDescent="0.3">
      <c r="A6" s="1094" t="s">
        <v>21</v>
      </c>
      <c r="B6" s="1094" t="s">
        <v>21</v>
      </c>
      <c r="C6" s="1094" t="s">
        <v>26</v>
      </c>
      <c r="D6" s="1094" t="s">
        <v>23</v>
      </c>
      <c r="E6" s="1095" t="s">
        <v>24</v>
      </c>
      <c r="F6" s="89" t="s">
        <v>27</v>
      </c>
      <c r="G6" s="90"/>
      <c r="H6" s="90"/>
      <c r="I6" s="90">
        <v>34527</v>
      </c>
      <c r="J6" s="91">
        <v>21506</v>
      </c>
      <c r="K6" s="91">
        <v>275</v>
      </c>
      <c r="L6" s="91">
        <v>1813.36</v>
      </c>
      <c r="M6" s="91">
        <v>33.15</v>
      </c>
      <c r="N6" s="91">
        <v>19384.490000000002</v>
      </c>
      <c r="O6" s="91">
        <v>0</v>
      </c>
      <c r="P6" s="91">
        <v>0</v>
      </c>
      <c r="Q6" s="91">
        <v>0</v>
      </c>
      <c r="R6" s="91">
        <v>0</v>
      </c>
      <c r="S6" s="92">
        <v>0</v>
      </c>
      <c r="T6" s="93"/>
    </row>
    <row r="7" spans="1:20" ht="13.5" customHeight="1" outlineLevel="2" thickBot="1" x14ac:dyDescent="0.3">
      <c r="A7" s="1094" t="s">
        <v>21</v>
      </c>
      <c r="B7" s="1094" t="s">
        <v>21</v>
      </c>
      <c r="C7" s="1094" t="s">
        <v>28</v>
      </c>
      <c r="D7" s="1094" t="s">
        <v>29</v>
      </c>
      <c r="E7" s="1095" t="s">
        <v>30</v>
      </c>
      <c r="F7" s="89" t="s">
        <v>31</v>
      </c>
      <c r="G7" s="90"/>
      <c r="H7" s="90"/>
      <c r="I7" s="90">
        <v>104105</v>
      </c>
      <c r="J7" s="91">
        <v>66115.28</v>
      </c>
      <c r="K7" s="91">
        <v>2200</v>
      </c>
      <c r="L7" s="91">
        <v>5467.6</v>
      </c>
      <c r="M7" s="91">
        <v>0</v>
      </c>
      <c r="N7" s="91">
        <v>58447.68</v>
      </c>
      <c r="O7" s="91">
        <v>0</v>
      </c>
      <c r="P7" s="91">
        <v>0</v>
      </c>
      <c r="Q7" s="91">
        <v>0</v>
      </c>
      <c r="R7" s="91">
        <v>0</v>
      </c>
      <c r="S7" s="92">
        <v>0</v>
      </c>
      <c r="T7" s="93"/>
    </row>
    <row r="8" spans="1:20" ht="13.5" customHeight="1" outlineLevel="2" thickBot="1" x14ac:dyDescent="0.3">
      <c r="A8" s="1094" t="s">
        <v>21</v>
      </c>
      <c r="B8" s="1094" t="s">
        <v>21</v>
      </c>
      <c r="C8" s="1094" t="s">
        <v>26</v>
      </c>
      <c r="D8" s="1094" t="s">
        <v>29</v>
      </c>
      <c r="E8" s="1095" t="s">
        <v>30</v>
      </c>
      <c r="F8" s="89" t="s">
        <v>32</v>
      </c>
      <c r="G8" s="90"/>
      <c r="H8" s="90"/>
      <c r="I8" s="90">
        <v>11023</v>
      </c>
      <c r="J8" s="91">
        <v>7042.5700000000006</v>
      </c>
      <c r="K8" s="91">
        <v>275</v>
      </c>
      <c r="L8" s="91">
        <v>578.92999999999995</v>
      </c>
      <c r="M8" s="91">
        <v>0</v>
      </c>
      <c r="N8" s="91">
        <v>6188.64</v>
      </c>
      <c r="O8" s="91">
        <v>0</v>
      </c>
      <c r="P8" s="91">
        <v>0</v>
      </c>
      <c r="Q8" s="91">
        <v>0</v>
      </c>
      <c r="R8" s="91">
        <v>0</v>
      </c>
      <c r="S8" s="92">
        <v>0</v>
      </c>
      <c r="T8" s="93"/>
    </row>
    <row r="9" spans="1:20" s="98" customFormat="1" ht="13.5" customHeight="1" outlineLevel="1" thickBot="1" x14ac:dyDescent="0.3">
      <c r="A9" s="1096"/>
      <c r="B9" s="1096"/>
      <c r="C9" s="1096"/>
      <c r="D9" s="1096"/>
      <c r="E9" s="1097"/>
      <c r="F9" s="94" t="s">
        <v>33</v>
      </c>
      <c r="G9" s="90"/>
      <c r="H9" s="95">
        <v>12</v>
      </c>
      <c r="I9" s="95">
        <f t="shared" ref="I9:S9" si="0">SUBTOTAL(9,I5:I8)</f>
        <v>175342</v>
      </c>
      <c r="J9" s="96">
        <f>SUBTOTAL(9,J5:J8)</f>
        <v>111284.04000000001</v>
      </c>
      <c r="K9" s="96">
        <f t="shared" si="0"/>
        <v>3575</v>
      </c>
      <c r="L9" s="96">
        <f t="shared" si="0"/>
        <v>9208.9700000000012</v>
      </c>
      <c r="M9" s="96">
        <f t="shared" si="0"/>
        <v>57.81</v>
      </c>
      <c r="N9" s="96">
        <f t="shared" si="0"/>
        <v>98442.26</v>
      </c>
      <c r="O9" s="96">
        <f t="shared" si="0"/>
        <v>0</v>
      </c>
      <c r="P9" s="96">
        <f t="shared" si="0"/>
        <v>0</v>
      </c>
      <c r="Q9" s="96">
        <f t="shared" si="0"/>
        <v>0</v>
      </c>
      <c r="R9" s="96">
        <f t="shared" si="0"/>
        <v>0</v>
      </c>
      <c r="S9" s="97">
        <f t="shared" si="0"/>
        <v>0</v>
      </c>
      <c r="T9" s="93">
        <f>ROUND(J9-SUM(K9:P9)-R9,2)</f>
        <v>0</v>
      </c>
    </row>
    <row r="10" spans="1:20" ht="13.5" customHeight="1" outlineLevel="2" thickBot="1" x14ac:dyDescent="0.3">
      <c r="A10" s="1094" t="s">
        <v>21</v>
      </c>
      <c r="B10" s="1094" t="s">
        <v>21</v>
      </c>
      <c r="C10" s="1094" t="s">
        <v>22</v>
      </c>
      <c r="D10" s="1094" t="s">
        <v>34</v>
      </c>
      <c r="E10" s="1095" t="s">
        <v>35</v>
      </c>
      <c r="F10" s="89" t="s">
        <v>36</v>
      </c>
      <c r="G10" s="95"/>
      <c r="H10" s="90"/>
      <c r="I10" s="90">
        <v>304</v>
      </c>
      <c r="J10" s="91">
        <v>707.86999999999989</v>
      </c>
      <c r="K10" s="91">
        <v>480</v>
      </c>
      <c r="L10" s="91">
        <v>56.91</v>
      </c>
      <c r="M10" s="91">
        <v>0.28999999999999998</v>
      </c>
      <c r="N10" s="91">
        <v>170.67</v>
      </c>
      <c r="O10" s="91">
        <v>0</v>
      </c>
      <c r="P10" s="91">
        <v>0</v>
      </c>
      <c r="Q10" s="91">
        <v>0</v>
      </c>
      <c r="R10" s="91">
        <v>0</v>
      </c>
      <c r="S10" s="92">
        <v>0</v>
      </c>
      <c r="T10" s="93"/>
    </row>
    <row r="11" spans="1:20" ht="13.5" customHeight="1" outlineLevel="2" thickBot="1" x14ac:dyDescent="0.3">
      <c r="A11" s="1094" t="s">
        <v>21</v>
      </c>
      <c r="B11" s="1094" t="s">
        <v>21</v>
      </c>
      <c r="C11" s="1094" t="s">
        <v>26</v>
      </c>
      <c r="D11" s="1094" t="s">
        <v>34</v>
      </c>
      <c r="E11" s="1095" t="s">
        <v>35</v>
      </c>
      <c r="F11" s="89" t="s">
        <v>36</v>
      </c>
      <c r="G11" s="90"/>
      <c r="H11" s="90"/>
      <c r="I11" s="90">
        <v>54</v>
      </c>
      <c r="J11" s="91">
        <v>130.47999999999999</v>
      </c>
      <c r="K11" s="91">
        <v>90</v>
      </c>
      <c r="L11" s="91">
        <v>10.11</v>
      </c>
      <c r="M11" s="91">
        <v>0.05</v>
      </c>
      <c r="N11" s="91">
        <v>30.32</v>
      </c>
      <c r="O11" s="91">
        <v>0</v>
      </c>
      <c r="P11" s="91">
        <v>0</v>
      </c>
      <c r="Q11" s="91">
        <v>0</v>
      </c>
      <c r="R11" s="91">
        <v>0</v>
      </c>
      <c r="S11" s="92">
        <v>0</v>
      </c>
      <c r="T11" s="93"/>
    </row>
    <row r="12" spans="1:20" ht="13.5" customHeight="1" outlineLevel="2" thickBot="1" x14ac:dyDescent="0.3">
      <c r="A12" s="1094" t="s">
        <v>21</v>
      </c>
      <c r="B12" s="1094" t="s">
        <v>21</v>
      </c>
      <c r="C12" s="1094" t="s">
        <v>22</v>
      </c>
      <c r="D12" s="1094" t="s">
        <v>37</v>
      </c>
      <c r="E12" s="1095" t="s">
        <v>38</v>
      </c>
      <c r="F12" s="89" t="s">
        <v>39</v>
      </c>
      <c r="G12" s="90"/>
      <c r="H12" s="90"/>
      <c r="I12" s="90">
        <v>2494096</v>
      </c>
      <c r="J12" s="91">
        <v>2634095.04</v>
      </c>
      <c r="K12" s="91">
        <v>802500.84</v>
      </c>
      <c r="L12" s="91">
        <v>429617.18</v>
      </c>
      <c r="M12" s="91">
        <v>2386.35</v>
      </c>
      <c r="N12" s="91">
        <v>1399793.42</v>
      </c>
      <c r="O12" s="91">
        <v>-202.75</v>
      </c>
      <c r="P12" s="91">
        <v>0</v>
      </c>
      <c r="Q12" s="91">
        <v>0</v>
      </c>
      <c r="R12" s="91">
        <v>0</v>
      </c>
      <c r="S12" s="92">
        <v>1049.04</v>
      </c>
      <c r="T12" s="93"/>
    </row>
    <row r="13" spans="1:20" ht="13.5" customHeight="1" outlineLevel="2" thickBot="1" x14ac:dyDescent="0.3">
      <c r="A13" s="1094" t="s">
        <v>21</v>
      </c>
      <c r="B13" s="1094" t="s">
        <v>21</v>
      </c>
      <c r="C13" s="1094" t="s">
        <v>26</v>
      </c>
      <c r="D13" s="1094" t="s">
        <v>37</v>
      </c>
      <c r="E13" s="1095" t="s">
        <v>38</v>
      </c>
      <c r="F13" s="89" t="s">
        <v>39</v>
      </c>
      <c r="G13" s="95"/>
      <c r="H13" s="90"/>
      <c r="I13" s="90">
        <v>244361</v>
      </c>
      <c r="J13" s="91">
        <v>249188.25</v>
      </c>
      <c r="K13" s="91">
        <v>71409.33</v>
      </c>
      <c r="L13" s="91">
        <v>40353.39</v>
      </c>
      <c r="M13" s="91">
        <v>234.51</v>
      </c>
      <c r="N13" s="91">
        <v>137190.98000000001</v>
      </c>
      <c r="O13" s="91">
        <v>0.04</v>
      </c>
      <c r="P13" s="91">
        <v>0</v>
      </c>
      <c r="Q13" s="91">
        <v>0</v>
      </c>
      <c r="R13" s="91">
        <v>0</v>
      </c>
      <c r="S13" s="92">
        <v>73.400000000000006</v>
      </c>
      <c r="T13" s="93"/>
    </row>
    <row r="14" spans="1:20" ht="13.5" customHeight="1" outlineLevel="2" thickBot="1" x14ac:dyDescent="0.3">
      <c r="A14" s="1094" t="s">
        <v>21</v>
      </c>
      <c r="B14" s="1094" t="s">
        <v>21</v>
      </c>
      <c r="C14" s="1094" t="s">
        <v>40</v>
      </c>
      <c r="D14" s="1094" t="s">
        <v>37</v>
      </c>
      <c r="E14" s="1095" t="s">
        <v>38</v>
      </c>
      <c r="F14" s="89" t="s">
        <v>39</v>
      </c>
      <c r="G14" s="90"/>
      <c r="H14" s="90"/>
      <c r="I14" s="90">
        <v>1451</v>
      </c>
      <c r="J14" s="91">
        <v>1462.3899999999999</v>
      </c>
      <c r="K14" s="91">
        <v>392</v>
      </c>
      <c r="L14" s="91">
        <v>254.36</v>
      </c>
      <c r="M14" s="91">
        <v>1.39</v>
      </c>
      <c r="N14" s="91">
        <v>814.64</v>
      </c>
      <c r="O14" s="91">
        <v>0</v>
      </c>
      <c r="P14" s="91">
        <v>0</v>
      </c>
      <c r="Q14" s="91">
        <v>0</v>
      </c>
      <c r="R14" s="91">
        <v>0</v>
      </c>
      <c r="S14" s="92">
        <v>0</v>
      </c>
      <c r="T14" s="93"/>
    </row>
    <row r="15" spans="1:20" ht="13.5" customHeight="1" outlineLevel="2" thickBot="1" x14ac:dyDescent="0.3">
      <c r="A15" s="1094" t="s">
        <v>21</v>
      </c>
      <c r="B15" s="1094" t="s">
        <v>21</v>
      </c>
      <c r="C15" s="1094" t="s">
        <v>22</v>
      </c>
      <c r="D15" s="1094" t="s">
        <v>41</v>
      </c>
      <c r="E15" s="1095" t="s">
        <v>42</v>
      </c>
      <c r="F15" s="89" t="s">
        <v>43</v>
      </c>
      <c r="G15" s="99"/>
      <c r="H15" s="90"/>
      <c r="I15" s="90">
        <v>635</v>
      </c>
      <c r="J15" s="91">
        <v>19630.89</v>
      </c>
      <c r="K15" s="91">
        <v>19155.64</v>
      </c>
      <c r="L15" s="91">
        <v>120.3</v>
      </c>
      <c r="M15" s="91">
        <v>0</v>
      </c>
      <c r="N15" s="91">
        <v>354.95</v>
      </c>
      <c r="O15" s="91">
        <v>0</v>
      </c>
      <c r="P15" s="91">
        <v>0</v>
      </c>
      <c r="Q15" s="91">
        <v>0</v>
      </c>
      <c r="R15" s="91">
        <v>0</v>
      </c>
      <c r="S15" s="92">
        <v>1.84</v>
      </c>
      <c r="T15" s="93"/>
    </row>
    <row r="16" spans="1:20" s="98" customFormat="1" ht="13.5" customHeight="1" outlineLevel="1" thickBot="1" x14ac:dyDescent="0.3">
      <c r="A16" s="1096"/>
      <c r="B16" s="1096"/>
      <c r="C16" s="1096"/>
      <c r="D16" s="1096"/>
      <c r="E16" s="1097"/>
      <c r="F16" s="94" t="s">
        <v>44</v>
      </c>
      <c r="G16" s="99"/>
      <c r="H16" s="95">
        <v>24634</v>
      </c>
      <c r="I16" s="95">
        <f t="shared" ref="I16:S16" si="1">SUBTOTAL(9,I10:I15)</f>
        <v>2740901</v>
      </c>
      <c r="J16" s="96">
        <f>SUBTOTAL(9,J10:J15)</f>
        <v>2905214.9200000004</v>
      </c>
      <c r="K16" s="96">
        <f t="shared" si="1"/>
        <v>894027.80999999994</v>
      </c>
      <c r="L16" s="96">
        <f t="shared" si="1"/>
        <v>470412.25</v>
      </c>
      <c r="M16" s="96">
        <f t="shared" si="1"/>
        <v>2622.5899999999997</v>
      </c>
      <c r="N16" s="96">
        <f t="shared" si="1"/>
        <v>1538354.9799999997</v>
      </c>
      <c r="O16" s="96">
        <f t="shared" si="1"/>
        <v>-202.71</v>
      </c>
      <c r="P16" s="96">
        <f t="shared" si="1"/>
        <v>0</v>
      </c>
      <c r="Q16" s="96">
        <f t="shared" si="1"/>
        <v>0</v>
      </c>
      <c r="R16" s="96">
        <f t="shared" si="1"/>
        <v>0</v>
      </c>
      <c r="S16" s="97">
        <f t="shared" si="1"/>
        <v>1124.28</v>
      </c>
      <c r="T16" s="93">
        <f>ROUND(J16-SUM(K16:P16)-R16,2)</f>
        <v>0</v>
      </c>
    </row>
    <row r="17" spans="1:21" ht="13.5" customHeight="1" outlineLevel="2" thickBot="1" x14ac:dyDescent="0.3">
      <c r="A17" s="1094" t="s">
        <v>21</v>
      </c>
      <c r="B17" s="1094" t="s">
        <v>21</v>
      </c>
      <c r="C17" s="1094" t="s">
        <v>28</v>
      </c>
      <c r="D17" s="1094" t="s">
        <v>45</v>
      </c>
      <c r="E17" s="1095" t="s">
        <v>46</v>
      </c>
      <c r="F17" s="89" t="s">
        <v>47</v>
      </c>
      <c r="G17" s="99"/>
      <c r="H17" s="90"/>
      <c r="I17" s="90">
        <v>339138</v>
      </c>
      <c r="J17" s="91">
        <v>259866.85</v>
      </c>
      <c r="K17" s="91">
        <v>19271</v>
      </c>
      <c r="L17" s="91">
        <v>50193.63</v>
      </c>
      <c r="M17" s="91">
        <v>0</v>
      </c>
      <c r="N17" s="91">
        <v>190402.22</v>
      </c>
      <c r="O17" s="91">
        <v>0</v>
      </c>
      <c r="P17" s="91">
        <v>0</v>
      </c>
      <c r="Q17" s="91">
        <v>0</v>
      </c>
      <c r="R17" s="91">
        <v>0</v>
      </c>
      <c r="S17" s="92">
        <v>0</v>
      </c>
      <c r="T17" s="93"/>
    </row>
    <row r="18" spans="1:21" ht="13.5" customHeight="1" outlineLevel="2" thickBot="1" x14ac:dyDescent="0.3">
      <c r="A18" s="1094"/>
      <c r="B18" s="1094"/>
      <c r="C18" s="1094"/>
      <c r="D18" s="1094" t="s">
        <v>45</v>
      </c>
      <c r="E18" s="1095"/>
      <c r="F18" s="89" t="s">
        <v>47</v>
      </c>
      <c r="G18" s="99"/>
      <c r="H18" s="90"/>
      <c r="I18" s="90">
        <v>3332</v>
      </c>
      <c r="J18" s="91">
        <v>2557.8900000000003</v>
      </c>
      <c r="K18" s="91">
        <v>170</v>
      </c>
      <c r="L18" s="91">
        <v>517.21</v>
      </c>
      <c r="M18" s="91">
        <v>0</v>
      </c>
      <c r="N18" s="91">
        <v>1870.68</v>
      </c>
      <c r="O18" s="91">
        <v>0</v>
      </c>
      <c r="P18" s="91">
        <v>0</v>
      </c>
      <c r="Q18" s="91">
        <v>0</v>
      </c>
      <c r="R18" s="91">
        <v>0</v>
      </c>
      <c r="S18" s="92">
        <v>0</v>
      </c>
      <c r="T18" s="93"/>
    </row>
    <row r="19" spans="1:21" ht="13.5" customHeight="1" outlineLevel="2" thickBot="1" x14ac:dyDescent="0.3">
      <c r="A19" s="1094" t="s">
        <v>21</v>
      </c>
      <c r="B19" s="1094" t="s">
        <v>21</v>
      </c>
      <c r="C19" s="1094" t="s">
        <v>26</v>
      </c>
      <c r="D19" s="1094" t="s">
        <v>45</v>
      </c>
      <c r="E19" s="1095" t="s">
        <v>46</v>
      </c>
      <c r="F19" s="89" t="s">
        <v>47</v>
      </c>
      <c r="G19" s="90"/>
      <c r="H19" s="90"/>
      <c r="I19" s="90">
        <v>71</v>
      </c>
      <c r="J19" s="91">
        <v>343.36</v>
      </c>
      <c r="K19" s="91">
        <v>290</v>
      </c>
      <c r="L19" s="91">
        <v>13.5</v>
      </c>
      <c r="M19" s="91">
        <v>0</v>
      </c>
      <c r="N19" s="91">
        <v>39.86</v>
      </c>
      <c r="O19" s="91">
        <v>0</v>
      </c>
      <c r="P19" s="91">
        <v>0</v>
      </c>
      <c r="Q19" s="91">
        <v>0</v>
      </c>
      <c r="R19" s="91">
        <v>0</v>
      </c>
      <c r="S19" s="92">
        <v>0</v>
      </c>
      <c r="T19" s="93"/>
    </row>
    <row r="20" spans="1:21" s="98" customFormat="1" ht="13.5" customHeight="1" outlineLevel="1" thickBot="1" x14ac:dyDescent="0.3">
      <c r="A20" s="1096"/>
      <c r="B20" s="1096"/>
      <c r="C20" s="1096"/>
      <c r="D20" s="1096"/>
      <c r="E20" s="1097"/>
      <c r="F20" s="94" t="s">
        <v>48</v>
      </c>
      <c r="G20" s="95"/>
      <c r="H20" s="95">
        <v>194</v>
      </c>
      <c r="I20" s="95">
        <f t="shared" ref="I20:S20" si="2">SUBTOTAL(9,I17:I19)</f>
        <v>342541</v>
      </c>
      <c r="J20" s="96">
        <f>SUBTOTAL(9,J17:J19)</f>
        <v>262768.09999999998</v>
      </c>
      <c r="K20" s="96">
        <f t="shared" si="2"/>
        <v>19731</v>
      </c>
      <c r="L20" s="96">
        <f t="shared" si="2"/>
        <v>50724.34</v>
      </c>
      <c r="M20" s="96">
        <f t="shared" si="2"/>
        <v>0</v>
      </c>
      <c r="N20" s="96">
        <f t="shared" si="2"/>
        <v>192312.75999999998</v>
      </c>
      <c r="O20" s="96">
        <f t="shared" si="2"/>
        <v>0</v>
      </c>
      <c r="P20" s="96">
        <f t="shared" si="2"/>
        <v>0</v>
      </c>
      <c r="Q20" s="96">
        <f t="shared" si="2"/>
        <v>0</v>
      </c>
      <c r="R20" s="96">
        <f t="shared" si="2"/>
        <v>0</v>
      </c>
      <c r="S20" s="97">
        <f t="shared" si="2"/>
        <v>0</v>
      </c>
      <c r="T20" s="93">
        <f>ROUND(J20-SUM(K20:P20)-R20,2)</f>
        <v>0</v>
      </c>
    </row>
    <row r="21" spans="1:21" ht="13.5" customHeight="1" outlineLevel="2" thickBot="1" x14ac:dyDescent="0.3">
      <c r="A21" s="1094" t="s">
        <v>21</v>
      </c>
      <c r="B21" s="1094" t="s">
        <v>21</v>
      </c>
      <c r="C21" s="1094" t="s">
        <v>40</v>
      </c>
      <c r="D21" s="1094" t="s">
        <v>49</v>
      </c>
      <c r="E21" s="1095" t="s">
        <v>50</v>
      </c>
      <c r="F21" s="89" t="s">
        <v>51</v>
      </c>
      <c r="G21" s="90"/>
      <c r="H21" s="90"/>
      <c r="I21" s="90">
        <v>32</v>
      </c>
      <c r="J21" s="91">
        <v>50.74</v>
      </c>
      <c r="K21" s="91">
        <v>25</v>
      </c>
      <c r="L21" s="91">
        <v>7.17</v>
      </c>
      <c r="M21" s="91">
        <v>0.6</v>
      </c>
      <c r="N21" s="91">
        <v>17.97</v>
      </c>
      <c r="O21" s="91">
        <v>0</v>
      </c>
      <c r="P21" s="91">
        <v>0</v>
      </c>
      <c r="Q21" s="91">
        <v>0</v>
      </c>
      <c r="R21" s="91">
        <v>0</v>
      </c>
      <c r="S21" s="92">
        <v>0</v>
      </c>
      <c r="T21" s="93"/>
    </row>
    <row r="22" spans="1:21" ht="13.5" customHeight="1" outlineLevel="2" thickBot="1" x14ac:dyDescent="0.3">
      <c r="A22" s="1094" t="s">
        <v>21</v>
      </c>
      <c r="B22" s="1094" t="s">
        <v>21</v>
      </c>
      <c r="C22" s="1094" t="s">
        <v>40</v>
      </c>
      <c r="D22" s="1094" t="s">
        <v>52</v>
      </c>
      <c r="E22" s="1095" t="s">
        <v>53</v>
      </c>
      <c r="F22" s="89" t="s">
        <v>54</v>
      </c>
      <c r="G22" s="95"/>
      <c r="H22" s="99"/>
      <c r="I22" s="90">
        <v>3837540</v>
      </c>
      <c r="J22" s="91">
        <v>6712254.0099999998</v>
      </c>
      <c r="K22" s="91">
        <v>3625703.83</v>
      </c>
      <c r="L22" s="91">
        <v>859567.51</v>
      </c>
      <c r="M22" s="91">
        <v>72516.539999999994</v>
      </c>
      <c r="N22" s="91">
        <v>2154868.5</v>
      </c>
      <c r="O22" s="91">
        <v>-402.37</v>
      </c>
      <c r="P22" s="91">
        <v>0</v>
      </c>
      <c r="Q22" s="91">
        <v>43973.55</v>
      </c>
      <c r="R22" s="91">
        <v>0</v>
      </c>
      <c r="S22" s="92">
        <v>1612.99</v>
      </c>
      <c r="T22" s="93"/>
    </row>
    <row r="23" spans="1:21" ht="13.5" customHeight="1" outlineLevel="2" thickBot="1" x14ac:dyDescent="0.3">
      <c r="A23" s="1094" t="s">
        <v>21</v>
      </c>
      <c r="B23" s="1094" t="s">
        <v>21</v>
      </c>
      <c r="C23" s="1094" t="s">
        <v>26</v>
      </c>
      <c r="D23" s="1095" t="s">
        <v>52</v>
      </c>
      <c r="E23" s="1104" t="s">
        <v>53</v>
      </c>
      <c r="F23" s="89" t="s">
        <v>54</v>
      </c>
      <c r="G23" s="90"/>
      <c r="H23" s="99"/>
      <c r="I23" s="90">
        <v>256</v>
      </c>
      <c r="J23" s="91">
        <v>726.78000000000009</v>
      </c>
      <c r="K23" s="91">
        <v>520.83000000000004</v>
      </c>
      <c r="L23" s="91">
        <v>57.35</v>
      </c>
      <c r="M23" s="91">
        <v>4.87</v>
      </c>
      <c r="N23" s="91">
        <v>143.72999999999999</v>
      </c>
      <c r="O23" s="91">
        <v>0</v>
      </c>
      <c r="P23" s="91">
        <v>0</v>
      </c>
      <c r="Q23" s="91">
        <v>6.3</v>
      </c>
      <c r="R23" s="91">
        <v>0</v>
      </c>
      <c r="S23" s="92">
        <v>0</v>
      </c>
      <c r="T23" s="93"/>
    </row>
    <row r="24" spans="1:21" ht="13.5" customHeight="1" outlineLevel="2" thickBot="1" x14ac:dyDescent="0.3">
      <c r="A24" s="1094"/>
      <c r="B24" s="1094"/>
      <c r="C24" s="1094"/>
      <c r="D24" s="1095" t="s">
        <v>52</v>
      </c>
      <c r="E24" s="1104"/>
      <c r="F24" s="89" t="s">
        <v>54</v>
      </c>
      <c r="G24" s="90"/>
      <c r="H24" s="99"/>
      <c r="I24" s="90">
        <v>32</v>
      </c>
      <c r="J24" s="91">
        <v>63.24</v>
      </c>
      <c r="K24" s="91">
        <v>37.5</v>
      </c>
      <c r="L24" s="91">
        <v>7.17</v>
      </c>
      <c r="M24" s="91">
        <v>0.6</v>
      </c>
      <c r="N24" s="91">
        <v>17.97</v>
      </c>
      <c r="O24" s="91">
        <v>0</v>
      </c>
      <c r="P24" s="91">
        <v>0</v>
      </c>
      <c r="Q24" s="91">
        <v>0.45</v>
      </c>
      <c r="R24" s="91">
        <v>0</v>
      </c>
      <c r="S24" s="92">
        <v>0</v>
      </c>
      <c r="T24" s="93"/>
    </row>
    <row r="25" spans="1:21" ht="13.5" customHeight="1" outlineLevel="2" thickBot="1" x14ac:dyDescent="0.3">
      <c r="A25" s="1094" t="s">
        <v>21</v>
      </c>
      <c r="B25" s="1094" t="s">
        <v>21</v>
      </c>
      <c r="C25" s="1094" t="s">
        <v>40</v>
      </c>
      <c r="D25" s="1094" t="s">
        <v>55</v>
      </c>
      <c r="E25" s="1095" t="s">
        <v>56</v>
      </c>
      <c r="F25" s="89" t="s">
        <v>57</v>
      </c>
      <c r="G25" s="95"/>
      <c r="H25" s="90"/>
      <c r="I25" s="90">
        <v>49</v>
      </c>
      <c r="J25" s="91">
        <v>25.8</v>
      </c>
      <c r="K25" s="91">
        <v>0.5</v>
      </c>
      <c r="L25" s="91">
        <v>-2.21</v>
      </c>
      <c r="M25" s="91">
        <v>0</v>
      </c>
      <c r="N25" s="91">
        <v>27.51</v>
      </c>
      <c r="O25" s="91">
        <v>0</v>
      </c>
      <c r="P25" s="91">
        <v>0</v>
      </c>
      <c r="Q25" s="91">
        <v>0</v>
      </c>
      <c r="R25" s="91">
        <v>0</v>
      </c>
      <c r="S25" s="92">
        <v>0</v>
      </c>
      <c r="T25" s="93"/>
    </row>
    <row r="26" spans="1:21" s="98" customFormat="1" ht="13.5" customHeight="1" outlineLevel="1" thickBot="1" x14ac:dyDescent="0.3">
      <c r="A26" s="1096"/>
      <c r="B26" s="1096"/>
      <c r="C26" s="1096"/>
      <c r="D26" s="1096"/>
      <c r="E26" s="1097"/>
      <c r="F26" s="94" t="s">
        <v>58</v>
      </c>
      <c r="G26" s="95"/>
      <c r="H26" s="95">
        <v>290956</v>
      </c>
      <c r="I26" s="95">
        <f t="shared" ref="I26:S26" si="3">SUBTOTAL(9,I21:I25)</f>
        <v>3837909</v>
      </c>
      <c r="J26" s="96">
        <f>SUBTOTAL(9,J21:J25)</f>
        <v>6713120.5700000003</v>
      </c>
      <c r="K26" s="96">
        <f t="shared" si="3"/>
        <v>3626287.66</v>
      </c>
      <c r="L26" s="96">
        <f t="shared" si="3"/>
        <v>859636.99000000011</v>
      </c>
      <c r="M26" s="96">
        <f t="shared" si="3"/>
        <v>72522.61</v>
      </c>
      <c r="N26" s="96">
        <f t="shared" si="3"/>
        <v>2155075.6800000002</v>
      </c>
      <c r="O26" s="96">
        <f t="shared" si="3"/>
        <v>-402.37</v>
      </c>
      <c r="P26" s="96">
        <f t="shared" si="3"/>
        <v>0</v>
      </c>
      <c r="Q26" s="96">
        <f t="shared" si="3"/>
        <v>43980.3</v>
      </c>
      <c r="R26" s="96">
        <f t="shared" si="3"/>
        <v>0</v>
      </c>
      <c r="S26" s="97">
        <f t="shared" si="3"/>
        <v>1612.99</v>
      </c>
      <c r="T26" s="93">
        <f>ROUND(J26-SUM(K26:P26),2)</f>
        <v>0</v>
      </c>
    </row>
    <row r="27" spans="1:21" ht="13.5" customHeight="1" outlineLevel="2" thickBot="1" x14ac:dyDescent="0.3">
      <c r="A27" s="1094" t="s">
        <v>21</v>
      </c>
      <c r="B27" s="1094" t="s">
        <v>21</v>
      </c>
      <c r="C27" s="1094" t="s">
        <v>40</v>
      </c>
      <c r="D27" s="1094" t="s">
        <v>59</v>
      </c>
      <c r="E27" s="1095" t="s">
        <v>60</v>
      </c>
      <c r="F27" s="89" t="s">
        <v>61</v>
      </c>
      <c r="G27" s="90"/>
      <c r="H27" s="90"/>
      <c r="I27" s="90">
        <v>192</v>
      </c>
      <c r="J27" s="91">
        <v>191.91000000000003</v>
      </c>
      <c r="K27" s="91">
        <v>37.5</v>
      </c>
      <c r="L27" s="91">
        <v>43</v>
      </c>
      <c r="M27" s="91">
        <v>3.62</v>
      </c>
      <c r="N27" s="91">
        <v>107.79</v>
      </c>
      <c r="O27" s="91">
        <v>0</v>
      </c>
      <c r="P27" s="91">
        <v>0</v>
      </c>
      <c r="Q27" s="91">
        <v>0</v>
      </c>
      <c r="R27" s="91">
        <v>0</v>
      </c>
      <c r="S27" s="92">
        <v>0</v>
      </c>
      <c r="T27" s="93"/>
    </row>
    <row r="28" spans="1:21" ht="13.5" customHeight="1" outlineLevel="2" thickBot="1" x14ac:dyDescent="0.3">
      <c r="A28" s="1094" t="s">
        <v>21</v>
      </c>
      <c r="B28" s="1094" t="s">
        <v>21</v>
      </c>
      <c r="C28" s="1094" t="s">
        <v>26</v>
      </c>
      <c r="D28" s="1094" t="s">
        <v>59</v>
      </c>
      <c r="E28" s="1095" t="s">
        <v>60</v>
      </c>
      <c r="F28" s="89" t="s">
        <v>61</v>
      </c>
      <c r="G28" s="90"/>
      <c r="H28" s="90"/>
      <c r="I28" s="90">
        <v>153</v>
      </c>
      <c r="J28" s="91">
        <v>135.56</v>
      </c>
      <c r="K28" s="91">
        <v>12.5</v>
      </c>
      <c r="L28" s="91">
        <v>34.270000000000003</v>
      </c>
      <c r="M28" s="91">
        <v>2.89</v>
      </c>
      <c r="N28" s="91">
        <v>85.9</v>
      </c>
      <c r="O28" s="91">
        <v>0</v>
      </c>
      <c r="P28" s="91">
        <v>0</v>
      </c>
      <c r="Q28" s="91">
        <v>0</v>
      </c>
      <c r="R28" s="91">
        <v>0</v>
      </c>
      <c r="S28" s="92">
        <v>0</v>
      </c>
      <c r="T28" s="93"/>
    </row>
    <row r="29" spans="1:21" s="98" customFormat="1" ht="13.5" customHeight="1" outlineLevel="1" thickBot="1" x14ac:dyDescent="0.3">
      <c r="A29" s="1098"/>
      <c r="B29" s="1098"/>
      <c r="C29" s="1098"/>
      <c r="D29" s="1098"/>
      <c r="E29" s="1098"/>
      <c r="F29" s="100" t="s">
        <v>62</v>
      </c>
      <c r="G29" s="90"/>
      <c r="H29" s="95">
        <v>4</v>
      </c>
      <c r="I29" s="95">
        <f>SUBTOTAL(9,I27:I28)</f>
        <v>345</v>
      </c>
      <c r="J29" s="96">
        <f>SUBTOTAL(9,J27:J28)</f>
        <v>327.47000000000003</v>
      </c>
      <c r="K29" s="96">
        <f t="shared" ref="K29:S29" si="4">SUBTOTAL(9,K27:K28)</f>
        <v>50</v>
      </c>
      <c r="L29" s="96">
        <f t="shared" si="4"/>
        <v>77.27000000000001</v>
      </c>
      <c r="M29" s="96">
        <f t="shared" si="4"/>
        <v>6.51</v>
      </c>
      <c r="N29" s="96">
        <f t="shared" si="4"/>
        <v>193.69</v>
      </c>
      <c r="O29" s="96">
        <f t="shared" si="4"/>
        <v>0</v>
      </c>
      <c r="P29" s="96">
        <f t="shared" si="4"/>
        <v>0</v>
      </c>
      <c r="Q29" s="96">
        <f t="shared" si="4"/>
        <v>0</v>
      </c>
      <c r="R29" s="96">
        <f t="shared" si="4"/>
        <v>0</v>
      </c>
      <c r="S29" s="97">
        <f t="shared" si="4"/>
        <v>0</v>
      </c>
      <c r="T29" s="93">
        <f>ROUND(J29-SUM(K29:P29)-R29,2)</f>
        <v>0</v>
      </c>
    </row>
    <row r="30" spans="1:21" ht="14.25" outlineLevel="2" thickBot="1" x14ac:dyDescent="0.3">
      <c r="B30" s="1098"/>
      <c r="C30" s="1098"/>
      <c r="D30" s="1094" t="s">
        <v>63</v>
      </c>
      <c r="E30" s="1095" t="s">
        <v>64</v>
      </c>
      <c r="F30" s="89" t="s">
        <v>65</v>
      </c>
      <c r="G30" s="90"/>
      <c r="H30" s="90"/>
      <c r="I30" s="90">
        <v>1454</v>
      </c>
      <c r="J30" s="47">
        <v>1429.94</v>
      </c>
      <c r="K30" s="47">
        <v>340</v>
      </c>
      <c r="L30" s="47">
        <v>272.22000000000003</v>
      </c>
      <c r="M30" s="47">
        <v>1.4</v>
      </c>
      <c r="N30" s="47">
        <v>816.32</v>
      </c>
      <c r="O30" s="47"/>
      <c r="P30" s="47"/>
      <c r="Q30" s="47"/>
      <c r="R30" s="47"/>
      <c r="S30" s="48"/>
      <c r="U30" s="101">
        <f>SUM(K30:S30)-J30</f>
        <v>0</v>
      </c>
    </row>
    <row r="31" spans="1:21" ht="14.25" outlineLevel="2" thickBot="1" x14ac:dyDescent="0.3">
      <c r="B31" s="1098"/>
      <c r="C31" s="1098"/>
      <c r="D31" s="1094" t="s">
        <v>66</v>
      </c>
      <c r="E31" s="1095" t="s">
        <v>67</v>
      </c>
      <c r="F31" s="89" t="s">
        <v>68</v>
      </c>
      <c r="G31" s="95"/>
      <c r="H31" s="90"/>
      <c r="I31" s="90">
        <v>407</v>
      </c>
      <c r="J31" s="47">
        <v>645.92000000000007</v>
      </c>
      <c r="K31" s="47">
        <v>340</v>
      </c>
      <c r="L31" s="47">
        <v>77.42</v>
      </c>
      <c r="M31" s="47">
        <v>0</v>
      </c>
      <c r="N31" s="47">
        <v>228.5</v>
      </c>
      <c r="O31" s="47"/>
      <c r="P31" s="47"/>
      <c r="Q31" s="47"/>
      <c r="R31" s="47"/>
      <c r="S31" s="48"/>
      <c r="U31" s="101">
        <f>SUM(K31:S31)-J31</f>
        <v>0</v>
      </c>
    </row>
    <row r="32" spans="1:21" ht="14.25" thickBot="1" x14ac:dyDescent="0.3">
      <c r="B32" s="1098"/>
      <c r="C32" s="1098"/>
      <c r="D32" s="1096"/>
      <c r="E32" s="1097"/>
      <c r="F32" s="94" t="s">
        <v>69</v>
      </c>
      <c r="G32" s="90"/>
      <c r="H32" s="95">
        <v>3</v>
      </c>
      <c r="I32" s="95">
        <f t="shared" ref="I32:S32" si="5">SUBTOTAL(9,I30:I31)</f>
        <v>1861</v>
      </c>
      <c r="J32" s="96">
        <f>SUBTOTAL(9,J30:J31)</f>
        <v>2075.86</v>
      </c>
      <c r="K32" s="96">
        <f t="shared" si="5"/>
        <v>680</v>
      </c>
      <c r="L32" s="96">
        <f t="shared" si="5"/>
        <v>349.64000000000004</v>
      </c>
      <c r="M32" s="96">
        <f t="shared" si="5"/>
        <v>1.4</v>
      </c>
      <c r="N32" s="96">
        <f t="shared" si="5"/>
        <v>1044.8200000000002</v>
      </c>
      <c r="O32" s="96">
        <f t="shared" si="5"/>
        <v>0</v>
      </c>
      <c r="P32" s="96">
        <f t="shared" si="5"/>
        <v>0</v>
      </c>
      <c r="Q32" s="96">
        <f t="shared" si="5"/>
        <v>0</v>
      </c>
      <c r="R32" s="96">
        <f t="shared" si="5"/>
        <v>0</v>
      </c>
      <c r="S32" s="97">
        <f t="shared" si="5"/>
        <v>0</v>
      </c>
      <c r="U32" s="101">
        <f>SUM(K32:S32)-J32</f>
        <v>0</v>
      </c>
    </row>
    <row r="33" spans="1:20" s="98" customFormat="1" ht="13.5" customHeight="1" thickBot="1" x14ac:dyDescent="0.3">
      <c r="A33" s="1098"/>
      <c r="B33" s="1098"/>
      <c r="C33" s="1098"/>
      <c r="D33" s="1098"/>
      <c r="E33" s="1098"/>
      <c r="F33" s="100"/>
      <c r="G33" s="90"/>
      <c r="H33" s="95"/>
      <c r="I33" s="95"/>
      <c r="J33" s="96"/>
      <c r="K33" s="96"/>
      <c r="L33" s="96"/>
      <c r="M33" s="96"/>
      <c r="N33" s="96"/>
      <c r="O33" s="96"/>
      <c r="P33" s="96"/>
      <c r="Q33" s="96"/>
      <c r="R33" s="96"/>
      <c r="S33" s="97"/>
      <c r="T33" s="93"/>
    </row>
    <row r="34" spans="1:20" s="98" customFormat="1" ht="13.5" customHeight="1" thickBot="1" x14ac:dyDescent="0.3">
      <c r="A34" s="1098"/>
      <c r="B34" s="1098"/>
      <c r="C34" s="1098"/>
      <c r="D34" s="1098"/>
      <c r="E34" s="1098"/>
      <c r="F34" s="94" t="s">
        <v>70</v>
      </c>
      <c r="G34" s="102"/>
      <c r="H34" s="90"/>
      <c r="I34" s="95"/>
      <c r="J34" s="96"/>
      <c r="K34" s="95"/>
      <c r="L34" s="96"/>
      <c r="M34" s="96"/>
      <c r="N34" s="96"/>
      <c r="O34" s="96"/>
      <c r="P34" s="96"/>
      <c r="Q34" s="96"/>
      <c r="R34" s="96"/>
      <c r="S34" s="97"/>
      <c r="T34" s="93"/>
    </row>
    <row r="35" spans="1:20" s="98" customFormat="1" ht="13.5" customHeight="1" thickBot="1" x14ac:dyDescent="0.3">
      <c r="A35" s="1098"/>
      <c r="B35" s="1098"/>
      <c r="C35" s="1098"/>
      <c r="D35" s="1098"/>
      <c r="E35" s="1099"/>
      <c r="F35" s="100"/>
      <c r="G35" s="104" t="s">
        <v>71</v>
      </c>
      <c r="H35" s="95"/>
      <c r="I35" s="95">
        <v>453</v>
      </c>
      <c r="J35" s="96">
        <f t="shared" ref="J35:J41" si="6">SUM(K35:O35)</f>
        <v>252.53</v>
      </c>
      <c r="K35" s="96">
        <v>0</v>
      </c>
      <c r="L35" s="96">
        <v>19.48</v>
      </c>
      <c r="M35" s="96">
        <v>0.43</v>
      </c>
      <c r="N35" s="96">
        <v>232.62</v>
      </c>
      <c r="O35" s="96"/>
      <c r="P35" s="96"/>
      <c r="Q35" s="96"/>
      <c r="R35" s="96"/>
      <c r="S35" s="97"/>
      <c r="T35" s="93"/>
    </row>
    <row r="36" spans="1:20" s="98" customFormat="1" ht="13.5" customHeight="1" thickBot="1" x14ac:dyDescent="0.3">
      <c r="A36" s="1098"/>
      <c r="B36" s="1098"/>
      <c r="C36" s="1098"/>
      <c r="D36" s="1098"/>
      <c r="E36" s="1099"/>
      <c r="F36" s="100"/>
      <c r="G36" s="104" t="s">
        <v>71</v>
      </c>
      <c r="H36" s="95"/>
      <c r="I36" s="95"/>
      <c r="J36" s="96">
        <f t="shared" si="6"/>
        <v>33933.620000000003</v>
      </c>
      <c r="K36" s="96"/>
      <c r="L36" s="96"/>
      <c r="M36" s="96"/>
      <c r="N36" s="96">
        <v>33933.620000000003</v>
      </c>
      <c r="O36" s="96"/>
      <c r="P36" s="96"/>
      <c r="Q36" s="96"/>
      <c r="R36" s="96"/>
      <c r="S36" s="97"/>
      <c r="T36" s="93"/>
    </row>
    <row r="37" spans="1:20" s="98" customFormat="1" ht="13.5" customHeight="1" thickBot="1" x14ac:dyDescent="0.3">
      <c r="A37" s="1098"/>
      <c r="B37" s="1098"/>
      <c r="C37" s="1098"/>
      <c r="D37" s="1098"/>
      <c r="E37" s="1099"/>
      <c r="F37" s="100"/>
      <c r="G37" s="104" t="s">
        <v>71</v>
      </c>
      <c r="H37" s="95"/>
      <c r="I37" s="95"/>
      <c r="J37" s="96">
        <f t="shared" si="6"/>
        <v>2213.6999999999998</v>
      </c>
      <c r="K37" s="96"/>
      <c r="L37" s="96"/>
      <c r="M37" s="96"/>
      <c r="N37" s="96">
        <v>2213.6999999999998</v>
      </c>
      <c r="O37" s="96"/>
      <c r="P37" s="96"/>
      <c r="Q37" s="96"/>
      <c r="R37" s="96"/>
      <c r="S37" s="97"/>
      <c r="T37" s="93"/>
    </row>
    <row r="38" spans="1:20" s="98" customFormat="1" ht="13.5" customHeight="1" thickBot="1" x14ac:dyDescent="0.3">
      <c r="A38" s="1098"/>
      <c r="B38" s="1098"/>
      <c r="C38" s="1098"/>
      <c r="D38" s="1098"/>
      <c r="E38" s="1099"/>
      <c r="F38" s="100"/>
      <c r="G38" s="104" t="s">
        <v>71</v>
      </c>
      <c r="H38" s="95"/>
      <c r="I38" s="95"/>
      <c r="J38" s="96">
        <f>SUM(K38:O38)</f>
        <v>275</v>
      </c>
      <c r="K38" s="96">
        <v>275</v>
      </c>
      <c r="L38" s="96"/>
      <c r="M38" s="96"/>
      <c r="N38" s="96"/>
      <c r="O38" s="96"/>
      <c r="P38" s="96"/>
      <c r="Q38" s="96"/>
      <c r="R38" s="96"/>
      <c r="S38" s="97"/>
      <c r="T38" s="93"/>
    </row>
    <row r="39" spans="1:20" s="98" customFormat="1" ht="13.5" customHeight="1" thickBot="1" x14ac:dyDescent="0.3">
      <c r="A39" s="1098"/>
      <c r="B39" s="1098"/>
      <c r="C39" s="1098"/>
      <c r="D39" s="1098"/>
      <c r="E39" s="1099"/>
      <c r="F39" s="100"/>
      <c r="G39" s="104" t="s">
        <v>71</v>
      </c>
      <c r="H39" s="95"/>
      <c r="I39" s="95">
        <v>0</v>
      </c>
      <c r="J39" s="96">
        <f t="shared" si="6"/>
        <v>781</v>
      </c>
      <c r="K39" s="96">
        <v>781</v>
      </c>
      <c r="L39" s="96">
        <v>0</v>
      </c>
      <c r="M39" s="96"/>
      <c r="N39" s="96">
        <v>0</v>
      </c>
      <c r="O39" s="96"/>
      <c r="P39" s="96"/>
      <c r="Q39" s="96"/>
      <c r="R39" s="96"/>
      <c r="S39" s="97"/>
      <c r="T39" s="93"/>
    </row>
    <row r="40" spans="1:20" s="98" customFormat="1" ht="13.5" customHeight="1" thickBot="1" x14ac:dyDescent="0.3">
      <c r="A40" s="1098"/>
      <c r="B40" s="1098"/>
      <c r="C40" s="1098"/>
      <c r="D40" s="1098"/>
      <c r="E40" s="1099"/>
      <c r="F40" s="100" t="s">
        <v>73</v>
      </c>
      <c r="G40" s="104" t="s">
        <v>74</v>
      </c>
      <c r="H40" s="95"/>
      <c r="I40" s="95">
        <v>0</v>
      </c>
      <c r="J40" s="49">
        <f t="shared" si="6"/>
        <v>0</v>
      </c>
      <c r="K40" s="96">
        <v>0</v>
      </c>
      <c r="L40" s="49">
        <v>0</v>
      </c>
      <c r="M40" s="96"/>
      <c r="N40" s="96">
        <v>0</v>
      </c>
      <c r="O40" s="96"/>
      <c r="P40" s="96"/>
      <c r="Q40" s="96"/>
      <c r="R40" s="96"/>
      <c r="S40" s="97"/>
      <c r="T40" s="93"/>
    </row>
    <row r="41" spans="1:20" s="98" customFormat="1" ht="13.5" customHeight="1" thickBot="1" x14ac:dyDescent="0.3">
      <c r="A41" s="1098"/>
      <c r="B41" s="1098"/>
      <c r="C41" s="1098"/>
      <c r="D41" s="1098"/>
      <c r="E41" s="1099"/>
      <c r="F41" s="100" t="s">
        <v>75</v>
      </c>
      <c r="G41" s="104" t="s">
        <v>76</v>
      </c>
      <c r="H41" s="95"/>
      <c r="I41" s="95">
        <v>0</v>
      </c>
      <c r="J41" s="96">
        <f t="shared" si="6"/>
        <v>-2664.2900000000068</v>
      </c>
      <c r="K41" s="96">
        <v>0</v>
      </c>
      <c r="L41" s="96">
        <v>-2664.2900000000068</v>
      </c>
      <c r="M41" s="96">
        <v>0</v>
      </c>
      <c r="N41" s="96">
        <v>0</v>
      </c>
      <c r="O41" s="96"/>
      <c r="P41" s="96"/>
      <c r="Q41" s="96"/>
      <c r="R41" s="96"/>
      <c r="S41" s="97"/>
      <c r="T41" s="93"/>
    </row>
    <row r="42" spans="1:20" ht="13.5" customHeight="1" thickBot="1" x14ac:dyDescent="0.25">
      <c r="A42" s="1100"/>
      <c r="B42" s="1100"/>
      <c r="C42" s="1100"/>
      <c r="D42" s="1101" t="s">
        <v>77</v>
      </c>
      <c r="E42" s="1102"/>
      <c r="F42" s="105" t="s">
        <v>77</v>
      </c>
      <c r="G42" s="106"/>
      <c r="H42" s="106">
        <f t="shared" ref="H42:O42" si="7">SUBTOTAL(9,H5:H41)</f>
        <v>315803</v>
      </c>
      <c r="I42" s="106">
        <f t="shared" si="7"/>
        <v>7099352</v>
      </c>
      <c r="J42" s="29">
        <f t="shared" si="7"/>
        <v>10029582.52</v>
      </c>
      <c r="K42" s="29">
        <f t="shared" si="7"/>
        <v>4545407.47</v>
      </c>
      <c r="L42" s="29">
        <f t="shared" si="7"/>
        <v>1387764.65</v>
      </c>
      <c r="M42" s="29">
        <f t="shared" si="7"/>
        <v>75211.349999999977</v>
      </c>
      <c r="N42" s="29">
        <f t="shared" si="7"/>
        <v>4021804.13</v>
      </c>
      <c r="O42" s="29">
        <f t="shared" si="7"/>
        <v>-605.08000000000004</v>
      </c>
      <c r="P42" s="29">
        <f>SUBTOTAL(9,P5:P29)</f>
        <v>0</v>
      </c>
      <c r="Q42" s="29">
        <f>SUBTOTAL(9,Q5:Q29)</f>
        <v>43980.3</v>
      </c>
      <c r="R42" s="29">
        <f>SUBTOTAL(9,R5:R29)</f>
        <v>0</v>
      </c>
      <c r="S42" s="50">
        <f>SUBTOTAL(9,S5:S29)</f>
        <v>2737.27</v>
      </c>
    </row>
    <row r="43" spans="1:20" ht="13.5" customHeight="1" thickBot="1" x14ac:dyDescent="0.25">
      <c r="A43" s="1100"/>
      <c r="B43" s="1100"/>
      <c r="C43" s="1100"/>
      <c r="D43" s="1101" t="s">
        <v>77</v>
      </c>
      <c r="E43" s="1102"/>
      <c r="F43" s="105" t="s">
        <v>78</v>
      </c>
      <c r="G43" s="106"/>
      <c r="H43" s="106"/>
      <c r="I43" s="106">
        <v>7099360</v>
      </c>
      <c r="J43" s="29">
        <f>SUM(K43:S43)</f>
        <v>10029582.519999998</v>
      </c>
      <c r="K43" s="29">
        <v>4545407.47</v>
      </c>
      <c r="L43" s="29">
        <v>1387764.65</v>
      </c>
      <c r="M43" s="29">
        <v>75211.350000000006</v>
      </c>
      <c r="N43" s="29">
        <v>4021804.13</v>
      </c>
      <c r="O43" s="29">
        <v>-605.08000000000004</v>
      </c>
      <c r="P43" s="29"/>
      <c r="Q43" s="29"/>
      <c r="R43" s="29"/>
      <c r="S43" s="50"/>
    </row>
    <row r="44" spans="1:20" ht="13.5" customHeight="1" thickBot="1" x14ac:dyDescent="0.25">
      <c r="A44" s="1100"/>
      <c r="B44" s="1100"/>
      <c r="C44" s="1100"/>
      <c r="D44" s="1101"/>
      <c r="E44" s="1102"/>
      <c r="F44" s="107" t="s">
        <v>79</v>
      </c>
      <c r="G44" s="108"/>
      <c r="H44" s="108"/>
      <c r="I44" s="41">
        <f t="shared" ref="I44:N44" si="8">I42-I43</f>
        <v>-8</v>
      </c>
      <c r="J44" s="51">
        <f t="shared" si="8"/>
        <v>0</v>
      </c>
      <c r="K44" s="51">
        <f t="shared" si="8"/>
        <v>0</v>
      </c>
      <c r="L44" s="51">
        <f t="shared" si="8"/>
        <v>0</v>
      </c>
      <c r="M44" s="51">
        <f t="shared" si="8"/>
        <v>0</v>
      </c>
      <c r="N44" s="51">
        <f t="shared" si="8"/>
        <v>0</v>
      </c>
      <c r="O44" s="51">
        <f>O42-O43</f>
        <v>0</v>
      </c>
      <c r="P44" s="51"/>
      <c r="Q44" s="51"/>
      <c r="R44" s="51"/>
      <c r="S44" s="52"/>
    </row>
    <row r="45" spans="1:20" ht="13.5" thickBot="1" x14ac:dyDescent="0.25">
      <c r="G45" s="78"/>
      <c r="H45" s="78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</row>
    <row r="46" spans="1:20" ht="24.6" customHeight="1" thickBot="1" x14ac:dyDescent="0.25">
      <c r="A46" s="1089"/>
      <c r="B46" s="1090"/>
      <c r="C46" s="1090"/>
      <c r="D46" s="1377" t="s">
        <v>80</v>
      </c>
      <c r="E46" s="1378"/>
      <c r="F46" s="109" t="s">
        <v>81</v>
      </c>
      <c r="G46" s="110"/>
      <c r="H46" s="82" t="s">
        <v>2</v>
      </c>
      <c r="I46" s="83" t="s">
        <v>3</v>
      </c>
      <c r="J46" s="83" t="s">
        <v>4</v>
      </c>
      <c r="K46" s="83" t="s">
        <v>5</v>
      </c>
      <c r="L46" s="83" t="s">
        <v>6</v>
      </c>
      <c r="M46" s="83" t="s">
        <v>7</v>
      </c>
      <c r="N46" s="83" t="s">
        <v>253</v>
      </c>
      <c r="O46" s="83" t="s">
        <v>9</v>
      </c>
      <c r="P46" s="83" t="s">
        <v>10</v>
      </c>
      <c r="Q46" s="83" t="s">
        <v>11</v>
      </c>
      <c r="R46" s="83" t="s">
        <v>12</v>
      </c>
      <c r="S46" s="84" t="s">
        <v>13</v>
      </c>
    </row>
    <row r="47" spans="1:20" ht="13.5" customHeight="1" thickBot="1" x14ac:dyDescent="0.25">
      <c r="A47" s="1092" t="s">
        <v>14</v>
      </c>
      <c r="B47" s="1093" t="s">
        <v>15</v>
      </c>
      <c r="C47" s="1093" t="s">
        <v>16</v>
      </c>
      <c r="D47" s="1093" t="s">
        <v>17</v>
      </c>
      <c r="E47" s="1103"/>
      <c r="F47" s="85"/>
      <c r="G47" s="86"/>
      <c r="H47" s="86"/>
      <c r="I47" s="86" t="s">
        <v>19</v>
      </c>
      <c r="J47" s="87" t="s">
        <v>20</v>
      </c>
      <c r="K47" s="87" t="s">
        <v>20</v>
      </c>
      <c r="L47" s="87" t="s">
        <v>20</v>
      </c>
      <c r="M47" s="87" t="s">
        <v>20</v>
      </c>
      <c r="N47" s="87" t="s">
        <v>20</v>
      </c>
      <c r="O47" s="87" t="s">
        <v>20</v>
      </c>
      <c r="P47" s="87" t="s">
        <v>20</v>
      </c>
      <c r="Q47" s="87" t="s">
        <v>20</v>
      </c>
      <c r="R47" s="87" t="s">
        <v>20</v>
      </c>
      <c r="S47" s="88" t="s">
        <v>20</v>
      </c>
    </row>
    <row r="48" spans="1:20" ht="13.5" customHeight="1" outlineLevel="2" thickBot="1" x14ac:dyDescent="0.3">
      <c r="A48" s="1094" t="s">
        <v>21</v>
      </c>
      <c r="B48" s="1094" t="s">
        <v>21</v>
      </c>
      <c r="C48" s="1094" t="s">
        <v>28</v>
      </c>
      <c r="D48" s="1094" t="s">
        <v>82</v>
      </c>
      <c r="E48" s="1095" t="s">
        <v>83</v>
      </c>
      <c r="F48" s="89" t="s">
        <v>84</v>
      </c>
      <c r="G48" s="90"/>
      <c r="H48" s="90"/>
      <c r="I48" s="90">
        <v>615540</v>
      </c>
      <c r="J48" s="91">
        <f>SUM(K48:S48)</f>
        <v>650427.67999999993</v>
      </c>
      <c r="K48" s="91">
        <v>340</v>
      </c>
      <c r="L48" s="91">
        <v>17530.580000000002</v>
      </c>
      <c r="M48" s="91">
        <v>0</v>
      </c>
      <c r="N48" s="91">
        <v>345582.62</v>
      </c>
      <c r="O48" s="91">
        <v>0</v>
      </c>
      <c r="P48" s="91">
        <v>0</v>
      </c>
      <c r="Q48" s="91">
        <v>0</v>
      </c>
      <c r="R48" s="91">
        <v>286974.48</v>
      </c>
      <c r="S48" s="92">
        <v>0</v>
      </c>
      <c r="T48" s="93"/>
    </row>
    <row r="49" spans="1:21" ht="13.5" customHeight="1" thickBot="1" x14ac:dyDescent="0.3">
      <c r="A49" s="1095"/>
      <c r="B49" s="1104"/>
      <c r="C49" s="1104"/>
      <c r="D49" s="1102"/>
      <c r="E49" s="1105"/>
      <c r="F49" s="111" t="s">
        <v>85</v>
      </c>
      <c r="G49" s="90"/>
      <c r="H49" s="90">
        <v>2</v>
      </c>
      <c r="I49" s="90">
        <f t="shared" ref="I49:S49" si="9">SUBTOTAL(9,I48:I48)</f>
        <v>615540</v>
      </c>
      <c r="J49" s="47">
        <f>SUBTOTAL(9,J48:J48)</f>
        <v>650427.67999999993</v>
      </c>
      <c r="K49" s="47">
        <f t="shared" si="9"/>
        <v>340</v>
      </c>
      <c r="L49" s="47">
        <f t="shared" si="9"/>
        <v>17530.580000000002</v>
      </c>
      <c r="M49" s="47">
        <f t="shared" si="9"/>
        <v>0</v>
      </c>
      <c r="N49" s="47">
        <f t="shared" si="9"/>
        <v>345582.62</v>
      </c>
      <c r="O49" s="47">
        <f t="shared" si="9"/>
        <v>0</v>
      </c>
      <c r="P49" s="47">
        <f t="shared" si="9"/>
        <v>0</v>
      </c>
      <c r="Q49" s="47">
        <f t="shared" si="9"/>
        <v>0</v>
      </c>
      <c r="R49" s="47">
        <f t="shared" si="9"/>
        <v>286974.48</v>
      </c>
      <c r="S49" s="48">
        <f t="shared" si="9"/>
        <v>0</v>
      </c>
      <c r="T49" s="93">
        <f>ROUND(J49-SUM(K49:P49)-R49,2)</f>
        <v>0</v>
      </c>
    </row>
    <row r="50" spans="1:21" ht="13.5" customHeight="1" thickBot="1" x14ac:dyDescent="0.3">
      <c r="A50" s="1100"/>
      <c r="B50" s="1100"/>
      <c r="C50" s="1104"/>
      <c r="D50" s="1102"/>
      <c r="E50" s="1106"/>
      <c r="F50" s="94" t="s">
        <v>86</v>
      </c>
      <c r="G50" s="90"/>
      <c r="H50" s="90"/>
      <c r="I50" s="90"/>
      <c r="J50" s="47"/>
      <c r="K50" s="47"/>
      <c r="L50" s="47">
        <f>-R50</f>
        <v>286974.48</v>
      </c>
      <c r="M50" s="47"/>
      <c r="N50" s="47"/>
      <c r="O50" s="47"/>
      <c r="P50" s="47"/>
      <c r="Q50" s="47"/>
      <c r="R50" s="47">
        <f>-R49</f>
        <v>-286974.48</v>
      </c>
      <c r="S50" s="48"/>
      <c r="T50" s="93"/>
    </row>
    <row r="51" spans="1:21" ht="13.5" customHeight="1" thickBot="1" x14ac:dyDescent="0.3">
      <c r="A51" s="1100"/>
      <c r="B51" s="1100"/>
      <c r="C51" s="1104"/>
      <c r="D51" s="1102"/>
      <c r="E51" s="1106"/>
      <c r="F51" s="94" t="s">
        <v>87</v>
      </c>
      <c r="G51" s="90"/>
      <c r="H51" s="90"/>
      <c r="I51" s="90">
        <f>1171820-51297</f>
        <v>1120523</v>
      </c>
      <c r="J51" s="47">
        <f>SUM(K51:O51)</f>
        <v>6803.18</v>
      </c>
      <c r="K51" s="47"/>
      <c r="L51" s="47">
        <f>5456.93</f>
        <v>5456.93</v>
      </c>
      <c r="M51" s="47"/>
      <c r="N51" s="47">
        <f>1346.25</f>
        <v>1346.25</v>
      </c>
      <c r="O51" s="47"/>
      <c r="P51" s="47"/>
      <c r="Q51" s="47"/>
      <c r="R51" s="47">
        <v>104976</v>
      </c>
      <c r="S51" s="48"/>
      <c r="T51" s="93"/>
    </row>
    <row r="52" spans="1:21" ht="13.5" customHeight="1" thickBot="1" x14ac:dyDescent="0.3">
      <c r="A52" s="1100"/>
      <c r="B52" s="1100"/>
      <c r="C52" s="1104"/>
      <c r="D52" s="1102"/>
      <c r="E52" s="1106"/>
      <c r="F52" s="94" t="s">
        <v>254</v>
      </c>
      <c r="G52" s="90"/>
      <c r="H52" s="90"/>
      <c r="I52" s="90"/>
      <c r="J52" s="47">
        <f>SUM(K52:O52)</f>
        <v>104976</v>
      </c>
      <c r="K52" s="47"/>
      <c r="L52" s="47">
        <f>-R52</f>
        <v>104976</v>
      </c>
      <c r="M52" s="47"/>
      <c r="N52" s="47"/>
      <c r="O52" s="47"/>
      <c r="P52" s="47"/>
      <c r="Q52" s="47"/>
      <c r="R52" s="47">
        <f>-R51</f>
        <v>-104976</v>
      </c>
      <c r="S52" s="48"/>
      <c r="T52" s="93"/>
    </row>
    <row r="53" spans="1:21" ht="13.5" customHeight="1" thickBot="1" x14ac:dyDescent="0.3">
      <c r="A53" s="1100"/>
      <c r="B53" s="1100"/>
      <c r="C53" s="1104"/>
      <c r="D53" s="1102"/>
      <c r="E53" s="1106"/>
      <c r="F53" s="94" t="s">
        <v>255</v>
      </c>
      <c r="G53" s="90"/>
      <c r="H53" s="90"/>
      <c r="I53" s="90">
        <f>51297</f>
        <v>51297</v>
      </c>
      <c r="J53" s="47">
        <f>SUM(K53:O53)</f>
        <v>26217.65</v>
      </c>
      <c r="K53" s="47">
        <v>781</v>
      </c>
      <c r="L53" s="47">
        <v>249.82</v>
      </c>
      <c r="M53" s="47"/>
      <c r="N53" s="47">
        <f>25186.83</f>
        <v>25186.83</v>
      </c>
      <c r="O53" s="47"/>
      <c r="P53" s="47"/>
      <c r="Q53" s="47"/>
      <c r="R53" s="47"/>
      <c r="S53" s="48"/>
      <c r="T53" s="93"/>
    </row>
    <row r="54" spans="1:21" ht="13.5" customHeight="1" thickBot="1" x14ac:dyDescent="0.25">
      <c r="A54" s="1100"/>
      <c r="B54" s="1100"/>
      <c r="C54" s="1101"/>
      <c r="D54" s="1107" t="s">
        <v>88</v>
      </c>
      <c r="E54" s="1102"/>
      <c r="F54" s="112" t="s">
        <v>89</v>
      </c>
      <c r="G54" s="106"/>
      <c r="H54" s="106">
        <f>+H49</f>
        <v>2</v>
      </c>
      <c r="I54" s="53">
        <f t="shared" ref="I54:S54" si="10">SUBTOTAL(9,I48:I53)</f>
        <v>1787360</v>
      </c>
      <c r="J54" s="29">
        <f t="shared" si="10"/>
        <v>788424.51</v>
      </c>
      <c r="K54" s="29">
        <f t="shared" si="10"/>
        <v>1121</v>
      </c>
      <c r="L54" s="29">
        <f t="shared" si="10"/>
        <v>415187.81</v>
      </c>
      <c r="M54" s="29">
        <f t="shared" si="10"/>
        <v>0</v>
      </c>
      <c r="N54" s="29">
        <f t="shared" si="10"/>
        <v>372115.7</v>
      </c>
      <c r="O54" s="29">
        <f t="shared" si="10"/>
        <v>0</v>
      </c>
      <c r="P54" s="29">
        <f t="shared" si="10"/>
        <v>0</v>
      </c>
      <c r="Q54" s="29">
        <f t="shared" si="10"/>
        <v>0</v>
      </c>
      <c r="R54" s="29">
        <f t="shared" si="10"/>
        <v>0</v>
      </c>
      <c r="S54" s="50">
        <f t="shared" si="10"/>
        <v>0</v>
      </c>
    </row>
    <row r="55" spans="1:21" ht="13.5" customHeight="1" thickBot="1" x14ac:dyDescent="0.25">
      <c r="A55" s="1100"/>
      <c r="B55" s="1100"/>
      <c r="C55" s="1100"/>
      <c r="D55" s="1101" t="s">
        <v>77</v>
      </c>
      <c r="E55" s="1102"/>
      <c r="F55" s="112" t="s">
        <v>90</v>
      </c>
      <c r="G55" s="106"/>
      <c r="H55" s="106"/>
      <c r="I55" s="106">
        <v>1787360</v>
      </c>
      <c r="J55" s="29">
        <f>SUM(K55:S55)</f>
        <v>788424.51</v>
      </c>
      <c r="K55" s="29">
        <v>1121</v>
      </c>
      <c r="L55" s="29">
        <v>415187.81</v>
      </c>
      <c r="M55" s="29">
        <v>0</v>
      </c>
      <c r="N55" s="29">
        <v>372115.7</v>
      </c>
      <c r="O55" s="29">
        <v>0</v>
      </c>
      <c r="P55" s="29"/>
      <c r="Q55" s="29"/>
      <c r="R55" s="29"/>
      <c r="S55" s="50"/>
    </row>
    <row r="56" spans="1:21" ht="13.5" customHeight="1" thickBot="1" x14ac:dyDescent="0.25">
      <c r="A56" s="1100"/>
      <c r="B56" s="1100"/>
      <c r="C56" s="1100"/>
      <c r="D56" s="1101"/>
      <c r="E56" s="1102"/>
      <c r="F56" s="107" t="s">
        <v>79</v>
      </c>
      <c r="G56" s="108"/>
      <c r="H56" s="108"/>
      <c r="I56" s="41">
        <f t="shared" ref="I56:N56" si="11">I54-I55</f>
        <v>0</v>
      </c>
      <c r="J56" s="51">
        <f t="shared" si="11"/>
        <v>0</v>
      </c>
      <c r="K56" s="51">
        <f t="shared" si="11"/>
        <v>0</v>
      </c>
      <c r="L56" s="51">
        <f t="shared" si="11"/>
        <v>0</v>
      </c>
      <c r="M56" s="51">
        <f t="shared" si="11"/>
        <v>0</v>
      </c>
      <c r="N56" s="51">
        <f t="shared" si="11"/>
        <v>0</v>
      </c>
      <c r="O56" s="51">
        <f>O54-O55</f>
        <v>0</v>
      </c>
      <c r="P56" s="51"/>
      <c r="Q56" s="51"/>
      <c r="R56" s="51"/>
      <c r="S56" s="52"/>
    </row>
    <row r="57" spans="1:21" ht="13.5" thickBot="1" x14ac:dyDescent="0.25">
      <c r="G57" s="78"/>
      <c r="H57" s="78"/>
      <c r="I57" s="113"/>
      <c r="K57" s="113"/>
      <c r="L57" s="113"/>
      <c r="M57" s="113"/>
      <c r="N57" s="54"/>
      <c r="O57" s="113"/>
      <c r="P57" s="113"/>
    </row>
    <row r="58" spans="1:21" ht="23.25" thickBot="1" x14ac:dyDescent="0.25">
      <c r="D58" s="1379" t="s">
        <v>91</v>
      </c>
      <c r="E58" s="1380"/>
      <c r="F58" s="114" t="s">
        <v>92</v>
      </c>
      <c r="G58" s="82"/>
      <c r="H58" s="82" t="s">
        <v>2</v>
      </c>
      <c r="I58" s="83" t="s">
        <v>3</v>
      </c>
      <c r="J58" s="83" t="s">
        <v>4</v>
      </c>
      <c r="K58" s="83" t="s">
        <v>5</v>
      </c>
      <c r="L58" s="83" t="s">
        <v>6</v>
      </c>
      <c r="M58" s="83" t="s">
        <v>7</v>
      </c>
      <c r="N58" s="83" t="s">
        <v>93</v>
      </c>
      <c r="O58" s="83" t="s">
        <v>9</v>
      </c>
      <c r="P58" s="83" t="s">
        <v>10</v>
      </c>
      <c r="Q58" s="83" t="s">
        <v>11</v>
      </c>
      <c r="R58" s="83" t="s">
        <v>12</v>
      </c>
      <c r="S58" s="84" t="s">
        <v>13</v>
      </c>
    </row>
    <row r="59" spans="1:21" ht="13.5" thickBot="1" x14ac:dyDescent="0.25">
      <c r="D59" s="1096"/>
      <c r="E59" s="1097"/>
      <c r="F59" s="115"/>
      <c r="G59" s="86"/>
      <c r="H59" s="86"/>
      <c r="I59" s="86" t="s">
        <v>19</v>
      </c>
      <c r="J59" s="87" t="s">
        <v>20</v>
      </c>
      <c r="K59" s="87" t="s">
        <v>20</v>
      </c>
      <c r="L59" s="87" t="s">
        <v>20</v>
      </c>
      <c r="M59" s="87" t="s">
        <v>20</v>
      </c>
      <c r="N59" s="87" t="s">
        <v>20</v>
      </c>
      <c r="O59" s="87" t="s">
        <v>20</v>
      </c>
      <c r="P59" s="87" t="s">
        <v>20</v>
      </c>
      <c r="Q59" s="87" t="s">
        <v>20</v>
      </c>
      <c r="R59" s="87" t="s">
        <v>20</v>
      </c>
      <c r="S59" s="88" t="s">
        <v>20</v>
      </c>
    </row>
    <row r="60" spans="1:21" ht="14.25" outlineLevel="2" thickBot="1" x14ac:dyDescent="0.3">
      <c r="D60" s="1094" t="s">
        <v>94</v>
      </c>
      <c r="E60" s="1095" t="s">
        <v>95</v>
      </c>
      <c r="F60" s="89" t="s">
        <v>96</v>
      </c>
      <c r="G60" s="90"/>
      <c r="H60" s="90"/>
      <c r="I60" s="90">
        <v>0</v>
      </c>
      <c r="J60" s="91">
        <v>0</v>
      </c>
      <c r="K60" s="91">
        <v>0</v>
      </c>
      <c r="L60" s="91"/>
      <c r="M60" s="91"/>
      <c r="N60" s="91"/>
      <c r="O60" s="91"/>
      <c r="P60" s="91"/>
      <c r="Q60" s="91"/>
      <c r="R60" s="91"/>
      <c r="S60" s="92"/>
      <c r="U60" s="101">
        <f t="shared" ref="U60:U75" si="12">SUM(K60:S60)-J60</f>
        <v>0</v>
      </c>
    </row>
    <row r="61" spans="1:21" ht="23.25" outlineLevel="2" thickBot="1" x14ac:dyDescent="0.3">
      <c r="D61" s="1094" t="s">
        <v>97</v>
      </c>
      <c r="E61" s="1095" t="s">
        <v>98</v>
      </c>
      <c r="F61" s="89" t="s">
        <v>96</v>
      </c>
      <c r="G61" s="90"/>
      <c r="H61" s="90"/>
      <c r="I61" s="90">
        <v>453</v>
      </c>
      <c r="J61" s="91">
        <v>252.53</v>
      </c>
      <c r="K61" s="91"/>
      <c r="L61" s="91">
        <v>19.48</v>
      </c>
      <c r="M61" s="91">
        <v>0.43</v>
      </c>
      <c r="N61" s="91">
        <v>232.62</v>
      </c>
      <c r="O61" s="91"/>
      <c r="P61" s="91"/>
      <c r="Q61" s="91"/>
      <c r="R61" s="91"/>
      <c r="S61" s="92"/>
      <c r="U61" s="101">
        <f t="shared" si="12"/>
        <v>0</v>
      </c>
    </row>
    <row r="62" spans="1:21" ht="23.25" outlineLevel="2" thickBot="1" x14ac:dyDescent="0.3">
      <c r="D62" s="1094" t="s">
        <v>97</v>
      </c>
      <c r="E62" s="1095" t="s">
        <v>98</v>
      </c>
      <c r="F62" s="89" t="s">
        <v>96</v>
      </c>
      <c r="G62" s="90"/>
      <c r="H62" s="90"/>
      <c r="I62" s="90">
        <v>0</v>
      </c>
      <c r="J62" s="91">
        <v>0</v>
      </c>
      <c r="K62" s="47">
        <v>0</v>
      </c>
      <c r="L62" s="47">
        <v>0</v>
      </c>
      <c r="M62" s="47">
        <v>0</v>
      </c>
      <c r="N62" s="91">
        <v>0</v>
      </c>
      <c r="O62" s="91"/>
      <c r="P62" s="91"/>
      <c r="Q62" s="91"/>
      <c r="R62" s="91"/>
      <c r="S62" s="92"/>
      <c r="U62" s="101">
        <f t="shared" si="12"/>
        <v>0</v>
      </c>
    </row>
    <row r="63" spans="1:21" ht="23.25" outlineLevel="2" thickBot="1" x14ac:dyDescent="0.3">
      <c r="D63" s="1094" t="s">
        <v>99</v>
      </c>
      <c r="E63" s="1095" t="s">
        <v>100</v>
      </c>
      <c r="F63" s="89" t="s">
        <v>96</v>
      </c>
      <c r="G63" s="90"/>
      <c r="H63" s="90"/>
      <c r="I63" s="90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/>
      <c r="P63" s="91"/>
      <c r="Q63" s="91"/>
      <c r="R63" s="91"/>
      <c r="S63" s="92"/>
      <c r="U63" s="101">
        <f t="shared" si="12"/>
        <v>0</v>
      </c>
    </row>
    <row r="64" spans="1:21" ht="23.25" outlineLevel="2" thickBot="1" x14ac:dyDescent="0.3">
      <c r="D64" s="1094" t="s">
        <v>99</v>
      </c>
      <c r="E64" s="1095" t="s">
        <v>100</v>
      </c>
      <c r="F64" s="89" t="s">
        <v>96</v>
      </c>
      <c r="G64" s="90"/>
      <c r="H64" s="90"/>
      <c r="I64" s="90"/>
      <c r="J64" s="91"/>
      <c r="K64" s="91"/>
      <c r="L64" s="91"/>
      <c r="M64" s="91"/>
      <c r="N64" s="91"/>
      <c r="O64" s="91"/>
      <c r="P64" s="91"/>
      <c r="Q64" s="91"/>
      <c r="R64" s="91"/>
      <c r="S64" s="92"/>
      <c r="U64" s="101">
        <f t="shared" si="12"/>
        <v>0</v>
      </c>
    </row>
    <row r="65" spans="1:21" ht="23.25" outlineLevel="2" thickBot="1" x14ac:dyDescent="0.3">
      <c r="D65" s="1094" t="s">
        <v>99</v>
      </c>
      <c r="E65" s="1095" t="s">
        <v>100</v>
      </c>
      <c r="F65" s="89" t="s">
        <v>96</v>
      </c>
      <c r="G65" s="90"/>
      <c r="H65" s="90"/>
      <c r="I65" s="90">
        <v>0</v>
      </c>
      <c r="J65" s="91">
        <v>0</v>
      </c>
      <c r="K65" s="91"/>
      <c r="L65" s="91"/>
      <c r="M65" s="91"/>
      <c r="N65" s="91"/>
      <c r="O65" s="91"/>
      <c r="P65" s="91"/>
      <c r="Q65" s="91"/>
      <c r="R65" s="91"/>
      <c r="S65" s="92"/>
      <c r="U65" s="101">
        <f t="shared" si="12"/>
        <v>0</v>
      </c>
    </row>
    <row r="66" spans="1:21" ht="14.25" thickBot="1" x14ac:dyDescent="0.3">
      <c r="D66" s="1096"/>
      <c r="E66" s="1097"/>
      <c r="F66" s="94" t="s">
        <v>101</v>
      </c>
      <c r="G66" s="95"/>
      <c r="H66" s="95">
        <v>1</v>
      </c>
      <c r="I66" s="95">
        <f t="shared" ref="I66:S66" si="13">SUBTOTAL(9,I60:I65)</f>
        <v>453</v>
      </c>
      <c r="J66" s="96">
        <f>SUBTOTAL(9,J60:J65)</f>
        <v>252.53</v>
      </c>
      <c r="K66" s="96">
        <f t="shared" si="13"/>
        <v>0</v>
      </c>
      <c r="L66" s="96">
        <f t="shared" si="13"/>
        <v>19.48</v>
      </c>
      <c r="M66" s="96">
        <f t="shared" si="13"/>
        <v>0.43</v>
      </c>
      <c r="N66" s="96">
        <f t="shared" si="13"/>
        <v>232.62</v>
      </c>
      <c r="O66" s="96">
        <f t="shared" si="13"/>
        <v>0</v>
      </c>
      <c r="P66" s="96">
        <f t="shared" si="13"/>
        <v>0</v>
      </c>
      <c r="Q66" s="96">
        <f t="shared" si="13"/>
        <v>0</v>
      </c>
      <c r="R66" s="96">
        <f t="shared" si="13"/>
        <v>0</v>
      </c>
      <c r="S66" s="97">
        <f t="shared" si="13"/>
        <v>0</v>
      </c>
      <c r="U66" s="101">
        <f t="shared" si="12"/>
        <v>0</v>
      </c>
    </row>
    <row r="67" spans="1:21" ht="23.25" outlineLevel="2" thickBot="1" x14ac:dyDescent="0.3">
      <c r="D67" s="1094" t="s">
        <v>102</v>
      </c>
      <c r="E67" s="1095" t="s">
        <v>103</v>
      </c>
      <c r="F67" s="89" t="s">
        <v>104</v>
      </c>
      <c r="G67" s="90"/>
      <c r="H67" s="90"/>
      <c r="I67" s="90">
        <v>0</v>
      </c>
      <c r="J67" s="91">
        <v>36147.32</v>
      </c>
      <c r="K67" s="91"/>
      <c r="L67" s="91"/>
      <c r="M67" s="91"/>
      <c r="N67" s="91">
        <v>36147.32</v>
      </c>
      <c r="O67" s="91"/>
      <c r="P67" s="91"/>
      <c r="Q67" s="91"/>
      <c r="R67" s="91"/>
      <c r="S67" s="92"/>
      <c r="U67" s="101">
        <f t="shared" si="12"/>
        <v>0</v>
      </c>
    </row>
    <row r="68" spans="1:21" ht="14.25" thickBot="1" x14ac:dyDescent="0.3">
      <c r="D68" s="1096"/>
      <c r="E68" s="1097"/>
      <c r="F68" s="94" t="s">
        <v>105</v>
      </c>
      <c r="G68" s="95"/>
      <c r="H68" s="95">
        <v>2</v>
      </c>
      <c r="I68" s="95">
        <f t="shared" ref="I68:S68" si="14">SUBTOTAL(9,I67:I67)</f>
        <v>0</v>
      </c>
      <c r="J68" s="96">
        <f t="shared" si="14"/>
        <v>36147.32</v>
      </c>
      <c r="K68" s="96">
        <f t="shared" si="14"/>
        <v>0</v>
      </c>
      <c r="L68" s="96">
        <f t="shared" si="14"/>
        <v>0</v>
      </c>
      <c r="M68" s="96">
        <f t="shared" si="14"/>
        <v>0</v>
      </c>
      <c r="N68" s="96">
        <f t="shared" si="14"/>
        <v>36147.32</v>
      </c>
      <c r="O68" s="96">
        <f t="shared" si="14"/>
        <v>0</v>
      </c>
      <c r="P68" s="96">
        <f t="shared" si="14"/>
        <v>0</v>
      </c>
      <c r="Q68" s="96">
        <f t="shared" si="14"/>
        <v>0</v>
      </c>
      <c r="R68" s="96">
        <f t="shared" si="14"/>
        <v>0</v>
      </c>
      <c r="S68" s="97">
        <f t="shared" si="14"/>
        <v>0</v>
      </c>
      <c r="U68" s="101">
        <f t="shared" si="12"/>
        <v>0</v>
      </c>
    </row>
    <row r="69" spans="1:21" ht="14.25" outlineLevel="2" thickBot="1" x14ac:dyDescent="0.3">
      <c r="D69" s="1094" t="s">
        <v>106</v>
      </c>
      <c r="E69" s="1095" t="s">
        <v>107</v>
      </c>
      <c r="F69" s="89" t="s">
        <v>72</v>
      </c>
      <c r="G69" s="95"/>
      <c r="H69" s="90"/>
      <c r="I69" s="90">
        <v>0</v>
      </c>
      <c r="J69" s="91">
        <v>781</v>
      </c>
      <c r="K69" s="91">
        <v>781</v>
      </c>
      <c r="L69" s="91">
        <v>0</v>
      </c>
      <c r="M69" s="91">
        <v>0</v>
      </c>
      <c r="N69" s="91">
        <v>0</v>
      </c>
      <c r="O69" s="91"/>
      <c r="P69" s="91"/>
      <c r="Q69" s="91"/>
      <c r="R69" s="91"/>
      <c r="S69" s="92"/>
      <c r="U69" s="101">
        <f t="shared" si="12"/>
        <v>0</v>
      </c>
    </row>
    <row r="70" spans="1:21" ht="14.25" thickBot="1" x14ac:dyDescent="0.3">
      <c r="D70" s="1096"/>
      <c r="E70" s="1105"/>
      <c r="F70" s="111" t="s">
        <v>108</v>
      </c>
      <c r="G70" s="95"/>
      <c r="H70" s="95">
        <v>1</v>
      </c>
      <c r="I70" s="95">
        <f t="shared" ref="I70:S70" si="15">SUBTOTAL(9,I69:I69)</f>
        <v>0</v>
      </c>
      <c r="J70" s="96">
        <f>SUBTOTAL(9,J69:J69)</f>
        <v>781</v>
      </c>
      <c r="K70" s="96">
        <f t="shared" si="15"/>
        <v>781</v>
      </c>
      <c r="L70" s="96">
        <f t="shared" si="15"/>
        <v>0</v>
      </c>
      <c r="M70" s="96">
        <f t="shared" si="15"/>
        <v>0</v>
      </c>
      <c r="N70" s="96">
        <f t="shared" si="15"/>
        <v>0</v>
      </c>
      <c r="O70" s="96">
        <f t="shared" si="15"/>
        <v>0</v>
      </c>
      <c r="P70" s="96">
        <f t="shared" si="15"/>
        <v>0</v>
      </c>
      <c r="Q70" s="96">
        <f t="shared" si="15"/>
        <v>0</v>
      </c>
      <c r="R70" s="96">
        <f t="shared" si="15"/>
        <v>0</v>
      </c>
      <c r="S70" s="97">
        <f t="shared" si="15"/>
        <v>0</v>
      </c>
      <c r="U70" s="101">
        <f t="shared" si="12"/>
        <v>0</v>
      </c>
    </row>
    <row r="71" spans="1:21" ht="14.25" outlineLevel="2" thickBot="1" x14ac:dyDescent="0.3">
      <c r="D71" s="1094" t="s">
        <v>109</v>
      </c>
      <c r="E71" s="1095" t="s">
        <v>110</v>
      </c>
      <c r="F71" s="116" t="s">
        <v>111</v>
      </c>
      <c r="G71" s="90"/>
      <c r="H71" s="90"/>
      <c r="I71" s="90">
        <v>0</v>
      </c>
      <c r="J71" s="91">
        <v>275</v>
      </c>
      <c r="K71" s="91">
        <v>275</v>
      </c>
      <c r="L71" s="91">
        <v>0</v>
      </c>
      <c r="M71" s="91">
        <v>0</v>
      </c>
      <c r="N71" s="91">
        <v>0</v>
      </c>
      <c r="O71" s="91"/>
      <c r="P71" s="91"/>
      <c r="Q71" s="91"/>
      <c r="R71" s="91"/>
      <c r="S71" s="92"/>
      <c r="U71" s="101">
        <f t="shared" si="12"/>
        <v>0</v>
      </c>
    </row>
    <row r="72" spans="1:21" ht="14.25" thickBot="1" x14ac:dyDescent="0.3">
      <c r="D72" s="1096"/>
      <c r="E72" s="1105"/>
      <c r="F72" s="111" t="s">
        <v>112</v>
      </c>
      <c r="G72" s="95"/>
      <c r="H72" s="95">
        <v>1</v>
      </c>
      <c r="I72" s="95">
        <f t="shared" ref="I72:S72" si="16">SUBTOTAL(9,I71:I71)</f>
        <v>0</v>
      </c>
      <c r="J72" s="96">
        <f>SUBTOTAL(9,J71:J71)</f>
        <v>275</v>
      </c>
      <c r="K72" s="96">
        <f t="shared" si="16"/>
        <v>275</v>
      </c>
      <c r="L72" s="96">
        <f t="shared" si="16"/>
        <v>0</v>
      </c>
      <c r="M72" s="96">
        <f t="shared" si="16"/>
        <v>0</v>
      </c>
      <c r="N72" s="96">
        <f t="shared" si="16"/>
        <v>0</v>
      </c>
      <c r="O72" s="96">
        <f t="shared" si="16"/>
        <v>0</v>
      </c>
      <c r="P72" s="96">
        <f t="shared" si="16"/>
        <v>0</v>
      </c>
      <c r="Q72" s="96">
        <f t="shared" si="16"/>
        <v>0</v>
      </c>
      <c r="R72" s="96">
        <f t="shared" si="16"/>
        <v>0</v>
      </c>
      <c r="S72" s="97">
        <f t="shared" si="16"/>
        <v>0</v>
      </c>
      <c r="U72" s="101">
        <f t="shared" si="12"/>
        <v>0</v>
      </c>
    </row>
    <row r="73" spans="1:21" ht="23.25" outlineLevel="2" thickBot="1" x14ac:dyDescent="0.3">
      <c r="D73" s="1094" t="s">
        <v>113</v>
      </c>
      <c r="E73" s="1095" t="s">
        <v>114</v>
      </c>
      <c r="F73" s="116" t="s">
        <v>115</v>
      </c>
      <c r="G73" s="90"/>
      <c r="H73" s="90"/>
      <c r="I73" s="90">
        <v>51297</v>
      </c>
      <c r="J73" s="91">
        <v>26217.65</v>
      </c>
      <c r="K73" s="91">
        <v>781</v>
      </c>
      <c r="L73" s="91">
        <v>249.82</v>
      </c>
      <c r="M73" s="91">
        <v>0</v>
      </c>
      <c r="N73" s="91">
        <v>25186.83</v>
      </c>
      <c r="O73" s="91"/>
      <c r="P73" s="91"/>
      <c r="Q73" s="91"/>
      <c r="R73" s="91"/>
      <c r="S73" s="92"/>
      <c r="U73" s="101">
        <f t="shared" si="12"/>
        <v>0</v>
      </c>
    </row>
    <row r="74" spans="1:21" ht="14.25" thickBot="1" x14ac:dyDescent="0.3">
      <c r="D74" s="1102"/>
      <c r="E74" s="1105"/>
      <c r="F74" s="111" t="s">
        <v>116</v>
      </c>
      <c r="G74" s="95"/>
      <c r="H74" s="95">
        <v>1</v>
      </c>
      <c r="I74" s="95">
        <f t="shared" ref="I74:S74" si="17">SUBTOTAL(9,I73:I73)</f>
        <v>51297</v>
      </c>
      <c r="J74" s="96">
        <f>SUBTOTAL(9,J73:J73)</f>
        <v>26217.65</v>
      </c>
      <c r="K74" s="96">
        <f t="shared" si="17"/>
        <v>781</v>
      </c>
      <c r="L74" s="96">
        <f t="shared" si="17"/>
        <v>249.82</v>
      </c>
      <c r="M74" s="96">
        <f t="shared" si="17"/>
        <v>0</v>
      </c>
      <c r="N74" s="96">
        <f t="shared" si="17"/>
        <v>25186.83</v>
      </c>
      <c r="O74" s="96">
        <f t="shared" si="17"/>
        <v>0</v>
      </c>
      <c r="P74" s="96">
        <f t="shared" si="17"/>
        <v>0</v>
      </c>
      <c r="Q74" s="96">
        <f t="shared" si="17"/>
        <v>0</v>
      </c>
      <c r="R74" s="96">
        <f t="shared" si="17"/>
        <v>0</v>
      </c>
      <c r="S74" s="97">
        <f t="shared" si="17"/>
        <v>0</v>
      </c>
      <c r="U74" s="101">
        <f t="shared" si="12"/>
        <v>0</v>
      </c>
    </row>
    <row r="75" spans="1:21" ht="15.75" thickBot="1" x14ac:dyDescent="0.3">
      <c r="A75" s="1108"/>
      <c r="B75" s="1108"/>
      <c r="C75" s="1108"/>
      <c r="D75" s="1381" t="s">
        <v>117</v>
      </c>
      <c r="E75" s="1381"/>
      <c r="F75" s="40" t="s">
        <v>118</v>
      </c>
      <c r="G75" s="41"/>
      <c r="H75" s="41">
        <f>SUBTOTAL(9,H60:H74)</f>
        <v>6</v>
      </c>
      <c r="I75" s="41">
        <f t="shared" ref="I75:S75" si="18">SUBTOTAL(9,I60:I74)</f>
        <v>51750</v>
      </c>
      <c r="J75" s="51">
        <f>SUBTOTAL(9,J60:J74)</f>
        <v>63673.5</v>
      </c>
      <c r="K75" s="51">
        <f t="shared" si="18"/>
        <v>1837</v>
      </c>
      <c r="L75" s="51">
        <f>SUBTOTAL(9,L60:L74)</f>
        <v>269.3</v>
      </c>
      <c r="M75" s="51">
        <f t="shared" si="18"/>
        <v>0.43</v>
      </c>
      <c r="N75" s="51">
        <f t="shared" si="18"/>
        <v>61566.770000000004</v>
      </c>
      <c r="O75" s="51">
        <f t="shared" si="18"/>
        <v>0</v>
      </c>
      <c r="P75" s="51">
        <f t="shared" si="18"/>
        <v>0</v>
      </c>
      <c r="Q75" s="51">
        <f t="shared" si="18"/>
        <v>0</v>
      </c>
      <c r="R75" s="51">
        <f t="shared" si="18"/>
        <v>0</v>
      </c>
      <c r="S75" s="52">
        <f t="shared" si="18"/>
        <v>0</v>
      </c>
      <c r="U75" s="101">
        <f t="shared" si="12"/>
        <v>0</v>
      </c>
    </row>
    <row r="76" spans="1:21" ht="13.5" x14ac:dyDescent="0.25">
      <c r="G76" s="78"/>
      <c r="H76" s="78"/>
      <c r="I76" s="117"/>
      <c r="K76" s="118"/>
      <c r="L76" s="118"/>
      <c r="M76" s="118"/>
      <c r="N76" s="118"/>
      <c r="O76" s="118"/>
      <c r="P76" s="118"/>
    </row>
    <row r="77" spans="1:21" x14ac:dyDescent="0.2">
      <c r="G77" s="119" t="s">
        <v>76</v>
      </c>
      <c r="H77" s="113" t="s">
        <v>119</v>
      </c>
    </row>
    <row r="78" spans="1:21" s="120" customFormat="1" ht="11.25" x14ac:dyDescent="0.2">
      <c r="A78" s="1109"/>
      <c r="B78" s="1109"/>
      <c r="C78" s="1109"/>
      <c r="D78" s="1109"/>
      <c r="E78" s="1109"/>
      <c r="G78" s="119" t="s">
        <v>74</v>
      </c>
      <c r="H78" s="113" t="s">
        <v>120</v>
      </c>
    </row>
    <row r="79" spans="1:21" x14ac:dyDescent="0.2">
      <c r="G79" s="119" t="s">
        <v>71</v>
      </c>
      <c r="H79" s="113" t="s">
        <v>121</v>
      </c>
    </row>
    <row r="80" spans="1:21" x14ac:dyDescent="0.2">
      <c r="G80" s="121"/>
      <c r="H80" s="113"/>
    </row>
  </sheetData>
  <mergeCells count="5">
    <mergeCell ref="F1:K1"/>
    <mergeCell ref="D4:E4"/>
    <mergeCell ref="D46:E46"/>
    <mergeCell ref="D58:E58"/>
    <mergeCell ref="D75:E75"/>
  </mergeCells>
  <conditionalFormatting sqref="T5:T29 T33:T41 T48:T53">
    <cfRule type="cellIs" dxfId="50" priority="1" stopIfTrue="1" operator="notEqual">
      <formula>0</formula>
    </cfRule>
  </conditionalFormatting>
  <printOptions horizontalCentered="1"/>
  <pageMargins left="0.25" right="0" top="0.25" bottom="0.5" header="0.25" footer="0.25"/>
  <pageSetup scale="45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8" tint="0.39997558519241921"/>
    <pageSetUpPr fitToPage="1"/>
  </sheetPr>
  <dimension ref="A1:W80"/>
  <sheetViews>
    <sheetView showGridLines="0" zoomScale="80" zoomScaleNormal="80" workbookViewId="0"/>
  </sheetViews>
  <sheetFormatPr defaultRowHeight="12.75" outlineLevelRow="2" x14ac:dyDescent="0.2"/>
  <cols>
    <col min="1" max="1" width="7.5703125" style="1135" customWidth="1"/>
    <col min="2" max="2" width="13" style="1135" customWidth="1"/>
    <col min="3" max="3" width="16.5703125" style="1135" customWidth="1"/>
    <col min="4" max="4" width="25.5703125" style="1135" customWidth="1"/>
    <col min="5" max="5" width="27.140625" style="1135" customWidth="1"/>
    <col min="6" max="6" width="30.140625" style="122" bestFit="1" customWidth="1"/>
    <col min="7" max="7" width="3.7109375" style="123" bestFit="1" customWidth="1"/>
    <col min="8" max="8" width="13.5703125" style="123" bestFit="1" customWidth="1"/>
    <col min="9" max="9" width="10.7109375" style="122" customWidth="1"/>
    <col min="10" max="10" width="13.85546875" style="122" bestFit="1" customWidth="1"/>
    <col min="11" max="12" width="13.42578125" style="122" bestFit="1" customWidth="1"/>
    <col min="13" max="13" width="13.5703125" style="122" bestFit="1" customWidth="1"/>
    <col min="14" max="14" width="14.28515625" style="122" bestFit="1" customWidth="1"/>
    <col min="15" max="15" width="11.85546875" style="122" bestFit="1" customWidth="1"/>
    <col min="16" max="16" width="8.7109375" style="122" customWidth="1"/>
    <col min="17" max="17" width="10.5703125" style="122" bestFit="1" customWidth="1"/>
    <col min="18" max="18" width="13.140625" style="122" bestFit="1" customWidth="1"/>
    <col min="19" max="19" width="10.7109375" style="122" customWidth="1"/>
    <col min="20" max="20" width="17.7109375" style="122" bestFit="1" customWidth="1"/>
    <col min="21" max="21" width="6.28515625" style="122" bestFit="1" customWidth="1"/>
    <col min="22" max="16384" width="9.140625" style="122"/>
  </cols>
  <sheetData>
    <row r="1" spans="1:20" ht="23.25" customHeight="1" x14ac:dyDescent="0.35">
      <c r="A1" s="1134"/>
      <c r="D1" s="1134"/>
      <c r="F1" s="1389" t="s">
        <v>256</v>
      </c>
      <c r="G1" s="1389"/>
      <c r="H1" s="1389"/>
      <c r="I1" s="1389"/>
      <c r="J1" s="1389"/>
      <c r="K1" s="1389"/>
      <c r="L1" s="79"/>
    </row>
    <row r="2" spans="1:20" ht="15.75" thickBot="1" x14ac:dyDescent="0.35">
      <c r="A2" s="1088"/>
      <c r="D2" s="1088"/>
    </row>
    <row r="3" spans="1:20" ht="23.25" thickBot="1" x14ac:dyDescent="0.25">
      <c r="A3" s="1136"/>
      <c r="B3" s="1137"/>
      <c r="C3" s="1137"/>
      <c r="D3" s="1138" t="s">
        <v>1</v>
      </c>
      <c r="E3" s="1103"/>
      <c r="F3" s="124" t="s">
        <v>1</v>
      </c>
      <c r="G3" s="125"/>
      <c r="H3" s="126" t="s">
        <v>2</v>
      </c>
      <c r="I3" s="127" t="s">
        <v>3</v>
      </c>
      <c r="J3" s="127" t="s">
        <v>4</v>
      </c>
      <c r="K3" s="127" t="s">
        <v>5</v>
      </c>
      <c r="L3" s="127" t="s">
        <v>6</v>
      </c>
      <c r="M3" s="127" t="s">
        <v>7</v>
      </c>
      <c r="N3" s="127" t="s">
        <v>8</v>
      </c>
      <c r="O3" s="127" t="s">
        <v>9</v>
      </c>
      <c r="P3" s="127" t="s">
        <v>10</v>
      </c>
      <c r="Q3" s="127" t="s">
        <v>11</v>
      </c>
      <c r="R3" s="127" t="s">
        <v>12</v>
      </c>
      <c r="S3" s="128" t="s">
        <v>13</v>
      </c>
    </row>
    <row r="4" spans="1:20" ht="13.5" customHeight="1" thickBot="1" x14ac:dyDescent="0.25">
      <c r="A4" s="1139" t="s">
        <v>14</v>
      </c>
      <c r="B4" s="1140" t="s">
        <v>15</v>
      </c>
      <c r="C4" s="1140" t="s">
        <v>16</v>
      </c>
      <c r="D4" s="1390" t="s">
        <v>17</v>
      </c>
      <c r="E4" s="1391"/>
      <c r="F4" s="129" t="s">
        <v>18</v>
      </c>
      <c r="G4" s="130"/>
      <c r="H4" s="130"/>
      <c r="I4" s="131" t="s">
        <v>19</v>
      </c>
      <c r="J4" s="132" t="s">
        <v>20</v>
      </c>
      <c r="K4" s="132" t="s">
        <v>20</v>
      </c>
      <c r="L4" s="132" t="s">
        <v>20</v>
      </c>
      <c r="M4" s="132" t="s">
        <v>20</v>
      </c>
      <c r="N4" s="132" t="s">
        <v>20</v>
      </c>
      <c r="O4" s="132" t="s">
        <v>20</v>
      </c>
      <c r="P4" s="132" t="s">
        <v>20</v>
      </c>
      <c r="Q4" s="132" t="s">
        <v>20</v>
      </c>
      <c r="R4" s="132" t="s">
        <v>20</v>
      </c>
      <c r="S4" s="133" t="s">
        <v>20</v>
      </c>
      <c r="T4" s="134" t="s">
        <v>257</v>
      </c>
    </row>
    <row r="5" spans="1:20" ht="13.5" customHeight="1" outlineLevel="2" thickBot="1" x14ac:dyDescent="0.3">
      <c r="A5" s="1141" t="s">
        <v>21</v>
      </c>
      <c r="B5" s="1141" t="s">
        <v>21</v>
      </c>
      <c r="C5" s="1141" t="s">
        <v>22</v>
      </c>
      <c r="D5" s="1141" t="s">
        <v>23</v>
      </c>
      <c r="E5" s="1142" t="s">
        <v>24</v>
      </c>
      <c r="F5" s="135" t="s">
        <v>25</v>
      </c>
      <c r="G5" s="99"/>
      <c r="H5" s="99"/>
      <c r="I5" s="99">
        <v>39913</v>
      </c>
      <c r="J5" s="136">
        <v>25898.530000000002</v>
      </c>
      <c r="K5" s="136">
        <v>1375</v>
      </c>
      <c r="L5" s="136">
        <v>2096.2399999999998</v>
      </c>
      <c r="M5" s="137">
        <v>38.32</v>
      </c>
      <c r="N5" s="137">
        <v>22388.97</v>
      </c>
      <c r="O5" s="137">
        <v>0</v>
      </c>
      <c r="P5" s="137">
        <v>0</v>
      </c>
      <c r="Q5" s="137">
        <v>0</v>
      </c>
      <c r="R5" s="137">
        <v>0</v>
      </c>
      <c r="S5" s="138">
        <v>0</v>
      </c>
      <c r="T5" s="139"/>
    </row>
    <row r="6" spans="1:20" ht="13.5" customHeight="1" outlineLevel="2" thickBot="1" x14ac:dyDescent="0.3">
      <c r="A6" s="1141" t="s">
        <v>21</v>
      </c>
      <c r="B6" s="1141" t="s">
        <v>21</v>
      </c>
      <c r="C6" s="1141" t="s">
        <v>26</v>
      </c>
      <c r="D6" s="1141" t="s">
        <v>23</v>
      </c>
      <c r="E6" s="1142" t="s">
        <v>24</v>
      </c>
      <c r="F6" s="135" t="s">
        <v>27</v>
      </c>
      <c r="G6" s="99"/>
      <c r="H6" s="99"/>
      <c r="I6" s="99">
        <v>34527</v>
      </c>
      <c r="J6" s="136">
        <v>21481.07</v>
      </c>
      <c r="K6" s="136">
        <v>275</v>
      </c>
      <c r="L6" s="136">
        <v>1813.36</v>
      </c>
      <c r="M6" s="137">
        <v>33.15</v>
      </c>
      <c r="N6" s="137">
        <v>19359.560000000001</v>
      </c>
      <c r="O6" s="137">
        <v>0</v>
      </c>
      <c r="P6" s="137">
        <v>0</v>
      </c>
      <c r="Q6" s="137">
        <v>0</v>
      </c>
      <c r="R6" s="137">
        <v>0</v>
      </c>
      <c r="S6" s="138">
        <v>0</v>
      </c>
      <c r="T6" s="139"/>
    </row>
    <row r="7" spans="1:20" ht="13.5" customHeight="1" outlineLevel="2" thickBot="1" x14ac:dyDescent="0.3">
      <c r="A7" s="1141" t="s">
        <v>21</v>
      </c>
      <c r="B7" s="1141" t="s">
        <v>21</v>
      </c>
      <c r="C7" s="1141" t="s">
        <v>28</v>
      </c>
      <c r="D7" s="1141" t="s">
        <v>29</v>
      </c>
      <c r="E7" s="1142" t="s">
        <v>30</v>
      </c>
      <c r="F7" s="135" t="s">
        <v>31</v>
      </c>
      <c r="G7" s="99"/>
      <c r="H7" s="99"/>
      <c r="I7" s="99">
        <v>89537</v>
      </c>
      <c r="J7" s="136">
        <v>57396.67</v>
      </c>
      <c r="K7" s="136">
        <v>2475</v>
      </c>
      <c r="L7" s="136">
        <v>4702.47</v>
      </c>
      <c r="M7" s="137">
        <v>0</v>
      </c>
      <c r="N7" s="137">
        <v>50219.199999999997</v>
      </c>
      <c r="O7" s="137">
        <v>0</v>
      </c>
      <c r="P7" s="137">
        <v>0</v>
      </c>
      <c r="Q7" s="137">
        <v>0</v>
      </c>
      <c r="R7" s="137">
        <v>0</v>
      </c>
      <c r="S7" s="138">
        <v>0</v>
      </c>
      <c r="T7" s="139"/>
    </row>
    <row r="8" spans="1:20" ht="13.5" customHeight="1" outlineLevel="2" thickBot="1" x14ac:dyDescent="0.3">
      <c r="A8" s="1141" t="s">
        <v>21</v>
      </c>
      <c r="B8" s="1141" t="s">
        <v>21</v>
      </c>
      <c r="C8" s="1141" t="s">
        <v>26</v>
      </c>
      <c r="D8" s="1141" t="s">
        <v>29</v>
      </c>
      <c r="E8" s="1142" t="s">
        <v>30</v>
      </c>
      <c r="F8" s="135" t="s">
        <v>32</v>
      </c>
      <c r="G8" s="99"/>
      <c r="H8" s="99"/>
      <c r="I8" s="99">
        <v>11610</v>
      </c>
      <c r="J8" s="136">
        <v>7394.55</v>
      </c>
      <c r="K8" s="136">
        <v>275</v>
      </c>
      <c r="L8" s="136">
        <v>609.76</v>
      </c>
      <c r="M8" s="137">
        <v>0</v>
      </c>
      <c r="N8" s="137">
        <v>6509.79</v>
      </c>
      <c r="O8" s="137">
        <v>0</v>
      </c>
      <c r="P8" s="137">
        <v>0</v>
      </c>
      <c r="Q8" s="137">
        <v>0</v>
      </c>
      <c r="R8" s="137">
        <v>0</v>
      </c>
      <c r="S8" s="138">
        <v>0</v>
      </c>
      <c r="T8" s="139"/>
    </row>
    <row r="9" spans="1:20" s="98" customFormat="1" ht="13.5" customHeight="1" outlineLevel="1" thickBot="1" x14ac:dyDescent="0.3">
      <c r="A9" s="1143"/>
      <c r="B9" s="1143"/>
      <c r="C9" s="1143"/>
      <c r="D9" s="1143"/>
      <c r="E9" s="1144"/>
      <c r="F9" s="140" t="s">
        <v>33</v>
      </c>
      <c r="G9" s="99"/>
      <c r="H9" s="141">
        <v>14</v>
      </c>
      <c r="I9" s="142">
        <f t="shared" ref="I9:S9" si="0">SUBTOTAL(9,I5:I8)</f>
        <v>175587</v>
      </c>
      <c r="J9" s="143">
        <f>SUBTOTAL(9,J5:J8)</f>
        <v>112170.82</v>
      </c>
      <c r="K9" s="143">
        <f t="shared" si="0"/>
        <v>4400</v>
      </c>
      <c r="L9" s="143">
        <f t="shared" si="0"/>
        <v>9221.83</v>
      </c>
      <c r="M9" s="143">
        <f t="shared" si="0"/>
        <v>71.47</v>
      </c>
      <c r="N9" s="143">
        <f t="shared" si="0"/>
        <v>98477.51999999999</v>
      </c>
      <c r="O9" s="143">
        <f t="shared" si="0"/>
        <v>0</v>
      </c>
      <c r="P9" s="143">
        <f t="shared" si="0"/>
        <v>0</v>
      </c>
      <c r="Q9" s="143">
        <f t="shared" si="0"/>
        <v>0</v>
      </c>
      <c r="R9" s="143">
        <f t="shared" si="0"/>
        <v>0</v>
      </c>
      <c r="S9" s="144">
        <f t="shared" si="0"/>
        <v>0</v>
      </c>
      <c r="T9" s="139">
        <f>ROUND(J9-SUM(K9:P9)-R9,2)</f>
        <v>0</v>
      </c>
    </row>
    <row r="10" spans="1:20" ht="13.5" customHeight="1" outlineLevel="2" thickBot="1" x14ac:dyDescent="0.3">
      <c r="A10" s="1141" t="s">
        <v>21</v>
      </c>
      <c r="B10" s="1141" t="s">
        <v>21</v>
      </c>
      <c r="C10" s="1141" t="s">
        <v>22</v>
      </c>
      <c r="D10" s="1141" t="s">
        <v>34</v>
      </c>
      <c r="E10" s="1142" t="s">
        <v>35</v>
      </c>
      <c r="F10" s="135" t="s">
        <v>36</v>
      </c>
      <c r="G10" s="145"/>
      <c r="H10" s="146"/>
      <c r="I10" s="147">
        <v>304</v>
      </c>
      <c r="J10" s="148">
        <v>707.68</v>
      </c>
      <c r="K10" s="148">
        <v>480</v>
      </c>
      <c r="L10" s="148">
        <v>56.91</v>
      </c>
      <c r="M10" s="148">
        <v>0.28999999999999998</v>
      </c>
      <c r="N10" s="148">
        <v>170.48</v>
      </c>
      <c r="O10" s="148">
        <v>0</v>
      </c>
      <c r="P10" s="148">
        <v>0</v>
      </c>
      <c r="Q10" s="148">
        <v>0</v>
      </c>
      <c r="R10" s="148">
        <v>0</v>
      </c>
      <c r="S10" s="149">
        <v>0</v>
      </c>
      <c r="T10" s="139"/>
    </row>
    <row r="11" spans="1:20" ht="13.5" customHeight="1" outlineLevel="2" thickBot="1" x14ac:dyDescent="0.3">
      <c r="A11" s="1141" t="s">
        <v>21</v>
      </c>
      <c r="B11" s="1141" t="s">
        <v>21</v>
      </c>
      <c r="C11" s="1141" t="s">
        <v>26</v>
      </c>
      <c r="D11" s="1141" t="s">
        <v>34</v>
      </c>
      <c r="E11" s="1142" t="s">
        <v>35</v>
      </c>
      <c r="F11" s="135" t="s">
        <v>36</v>
      </c>
      <c r="G11" s="99"/>
      <c r="H11" s="146"/>
      <c r="I11" s="147">
        <v>54</v>
      </c>
      <c r="J11" s="148">
        <v>130.44999999999999</v>
      </c>
      <c r="K11" s="148">
        <v>90</v>
      </c>
      <c r="L11" s="148">
        <v>10.11</v>
      </c>
      <c r="M11" s="148">
        <v>0.05</v>
      </c>
      <c r="N11" s="148">
        <v>30.29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139"/>
    </row>
    <row r="12" spans="1:20" ht="13.5" customHeight="1" outlineLevel="2" thickBot="1" x14ac:dyDescent="0.3">
      <c r="A12" s="1141" t="s">
        <v>21</v>
      </c>
      <c r="B12" s="1141" t="s">
        <v>21</v>
      </c>
      <c r="C12" s="1141" t="s">
        <v>22</v>
      </c>
      <c r="D12" s="1141" t="s">
        <v>37</v>
      </c>
      <c r="E12" s="1142" t="s">
        <v>38</v>
      </c>
      <c r="F12" s="135" t="s">
        <v>39</v>
      </c>
      <c r="G12" s="99"/>
      <c r="H12" s="146"/>
      <c r="I12" s="147">
        <v>2385761</v>
      </c>
      <c r="J12" s="148">
        <v>2596005.1599999997</v>
      </c>
      <c r="K12" s="148">
        <v>845250.89</v>
      </c>
      <c r="L12" s="148">
        <v>410110.26</v>
      </c>
      <c r="M12" s="148">
        <v>2287.46</v>
      </c>
      <c r="N12" s="148">
        <v>1338512.96</v>
      </c>
      <c r="O12" s="148">
        <v>-156.41</v>
      </c>
      <c r="P12" s="148">
        <v>0</v>
      </c>
      <c r="Q12" s="148">
        <v>0</v>
      </c>
      <c r="R12" s="148">
        <v>0</v>
      </c>
      <c r="S12" s="149">
        <v>1006.1</v>
      </c>
      <c r="T12" s="139"/>
    </row>
    <row r="13" spans="1:20" ht="13.5" customHeight="1" outlineLevel="2" thickBot="1" x14ac:dyDescent="0.3">
      <c r="A13" s="1141" t="s">
        <v>21</v>
      </c>
      <c r="B13" s="1141" t="s">
        <v>21</v>
      </c>
      <c r="C13" s="1141" t="s">
        <v>26</v>
      </c>
      <c r="D13" s="1141" t="s">
        <v>37</v>
      </c>
      <c r="E13" s="1142" t="s">
        <v>38</v>
      </c>
      <c r="F13" s="135" t="s">
        <v>39</v>
      </c>
      <c r="G13" s="145"/>
      <c r="H13" s="146"/>
      <c r="I13" s="147">
        <v>230927</v>
      </c>
      <c r="J13" s="148">
        <v>245168.94</v>
      </c>
      <c r="K13" s="148">
        <v>76750</v>
      </c>
      <c r="L13" s="148">
        <v>38649.21</v>
      </c>
      <c r="M13" s="148">
        <v>221.65</v>
      </c>
      <c r="N13" s="148">
        <v>129549.6</v>
      </c>
      <c r="O13" s="148">
        <v>-1.52</v>
      </c>
      <c r="P13" s="148">
        <v>0</v>
      </c>
      <c r="Q13" s="148">
        <v>0</v>
      </c>
      <c r="R13" s="148">
        <v>0</v>
      </c>
      <c r="S13" s="149">
        <v>72.58</v>
      </c>
      <c r="T13" s="139"/>
    </row>
    <row r="14" spans="1:20" ht="13.5" customHeight="1" outlineLevel="2" thickBot="1" x14ac:dyDescent="0.3">
      <c r="A14" s="1141" t="s">
        <v>21</v>
      </c>
      <c r="B14" s="1141" t="s">
        <v>21</v>
      </c>
      <c r="C14" s="1141" t="s">
        <v>40</v>
      </c>
      <c r="D14" s="1141" t="s">
        <v>37</v>
      </c>
      <c r="E14" s="1142" t="s">
        <v>38</v>
      </c>
      <c r="F14" s="135" t="s">
        <v>39</v>
      </c>
      <c r="G14" s="99"/>
      <c r="H14" s="146"/>
      <c r="I14" s="147">
        <v>1271</v>
      </c>
      <c r="J14" s="148">
        <v>1292.0900000000001</v>
      </c>
      <c r="K14" s="148">
        <v>350</v>
      </c>
      <c r="L14" s="148">
        <v>227.71</v>
      </c>
      <c r="M14" s="148">
        <v>1.23</v>
      </c>
      <c r="N14" s="148">
        <v>713.15</v>
      </c>
      <c r="O14" s="148">
        <v>0</v>
      </c>
      <c r="P14" s="148">
        <v>0</v>
      </c>
      <c r="Q14" s="148">
        <v>0</v>
      </c>
      <c r="R14" s="148">
        <v>0</v>
      </c>
      <c r="S14" s="149">
        <v>0</v>
      </c>
      <c r="T14" s="139"/>
    </row>
    <row r="15" spans="1:20" ht="13.5" customHeight="1" outlineLevel="2" thickBot="1" x14ac:dyDescent="0.3">
      <c r="A15" s="1141" t="s">
        <v>21</v>
      </c>
      <c r="B15" s="1141" t="s">
        <v>21</v>
      </c>
      <c r="C15" s="1141" t="s">
        <v>22</v>
      </c>
      <c r="D15" s="1141" t="s">
        <v>41</v>
      </c>
      <c r="E15" s="1142" t="s">
        <v>42</v>
      </c>
      <c r="F15" s="135" t="s">
        <v>43</v>
      </c>
      <c r="G15" s="99"/>
      <c r="H15" s="146"/>
      <c r="I15" s="147">
        <v>615</v>
      </c>
      <c r="J15" s="148">
        <v>19093.16</v>
      </c>
      <c r="K15" s="148">
        <v>18632</v>
      </c>
      <c r="L15" s="148">
        <v>116.76</v>
      </c>
      <c r="M15" s="148">
        <v>0</v>
      </c>
      <c r="N15" s="148">
        <v>344.4</v>
      </c>
      <c r="O15" s="148">
        <v>0</v>
      </c>
      <c r="P15" s="148">
        <v>0</v>
      </c>
      <c r="Q15" s="148">
        <v>0</v>
      </c>
      <c r="R15" s="148">
        <v>0</v>
      </c>
      <c r="S15" s="149">
        <v>1.84</v>
      </c>
      <c r="T15" s="139"/>
    </row>
    <row r="16" spans="1:20" s="98" customFormat="1" ht="13.5" customHeight="1" outlineLevel="1" thickBot="1" x14ac:dyDescent="0.3">
      <c r="A16" s="1143"/>
      <c r="B16" s="1143"/>
      <c r="C16" s="1143"/>
      <c r="D16" s="1143"/>
      <c r="E16" s="1144"/>
      <c r="F16" s="140" t="s">
        <v>44</v>
      </c>
      <c r="G16" s="99"/>
      <c r="H16" s="141">
        <v>25401</v>
      </c>
      <c r="I16" s="142">
        <f t="shared" ref="I16:S16" si="1">SUBTOTAL(9,I10:I15)</f>
        <v>2618932</v>
      </c>
      <c r="J16" s="143">
        <f>SUBTOTAL(9,J10:J15)</f>
        <v>2862397.4799999995</v>
      </c>
      <c r="K16" s="143">
        <f t="shared" si="1"/>
        <v>941552.89</v>
      </c>
      <c r="L16" s="143">
        <f t="shared" si="1"/>
        <v>449170.96000000008</v>
      </c>
      <c r="M16" s="143">
        <f t="shared" si="1"/>
        <v>2510.6800000000003</v>
      </c>
      <c r="N16" s="143">
        <f t="shared" si="1"/>
        <v>1469320.88</v>
      </c>
      <c r="O16" s="143">
        <f t="shared" si="1"/>
        <v>-157.93</v>
      </c>
      <c r="P16" s="143">
        <f t="shared" si="1"/>
        <v>0</v>
      </c>
      <c r="Q16" s="143">
        <f t="shared" si="1"/>
        <v>0</v>
      </c>
      <c r="R16" s="143">
        <f t="shared" si="1"/>
        <v>0</v>
      </c>
      <c r="S16" s="144">
        <f t="shared" si="1"/>
        <v>1080.52</v>
      </c>
      <c r="T16" s="139">
        <f>ROUND(J16-SUM(K16:P16)-R16,2)</f>
        <v>0</v>
      </c>
    </row>
    <row r="17" spans="1:21" ht="13.5" customHeight="1" outlineLevel="2" thickBot="1" x14ac:dyDescent="0.3">
      <c r="A17" s="1141" t="s">
        <v>21</v>
      </c>
      <c r="B17" s="1141" t="s">
        <v>21</v>
      </c>
      <c r="C17" s="1141" t="s">
        <v>28</v>
      </c>
      <c r="D17" s="1141" t="s">
        <v>45</v>
      </c>
      <c r="E17" s="1142" t="s">
        <v>46</v>
      </c>
      <c r="F17" s="135" t="s">
        <v>47</v>
      </c>
      <c r="G17" s="99"/>
      <c r="H17" s="146"/>
      <c r="I17" s="147">
        <v>439254</v>
      </c>
      <c r="J17" s="148">
        <v>332614.14</v>
      </c>
      <c r="K17" s="148">
        <v>21790</v>
      </c>
      <c r="L17" s="148">
        <v>64421.74</v>
      </c>
      <c r="M17" s="148">
        <v>0</v>
      </c>
      <c r="N17" s="148">
        <v>246402.4</v>
      </c>
      <c r="O17" s="148">
        <v>0</v>
      </c>
      <c r="P17" s="148">
        <v>0</v>
      </c>
      <c r="Q17" s="148">
        <v>0</v>
      </c>
      <c r="R17" s="148">
        <v>0</v>
      </c>
      <c r="S17" s="149">
        <v>0</v>
      </c>
      <c r="T17" s="139"/>
    </row>
    <row r="18" spans="1:21" ht="13.5" customHeight="1" outlineLevel="2" thickBot="1" x14ac:dyDescent="0.3">
      <c r="A18" s="1145"/>
      <c r="B18" s="1145"/>
      <c r="C18" s="1145"/>
      <c r="D18" s="1141" t="s">
        <v>45</v>
      </c>
      <c r="E18" s="1146"/>
      <c r="F18" s="135" t="s">
        <v>47</v>
      </c>
      <c r="G18" s="99"/>
      <c r="H18" s="146"/>
      <c r="I18" s="147">
        <v>3126</v>
      </c>
      <c r="J18" s="148">
        <v>2411.7799999999997</v>
      </c>
      <c r="K18" s="148">
        <v>170</v>
      </c>
      <c r="L18" s="148">
        <v>488.33</v>
      </c>
      <c r="M18" s="148">
        <v>0</v>
      </c>
      <c r="N18" s="148">
        <v>1753.45</v>
      </c>
      <c r="O18" s="148">
        <v>0</v>
      </c>
      <c r="P18" s="148">
        <v>0</v>
      </c>
      <c r="Q18" s="148">
        <v>0</v>
      </c>
      <c r="R18" s="148">
        <v>0</v>
      </c>
      <c r="S18" s="149">
        <v>0</v>
      </c>
      <c r="T18" s="139"/>
    </row>
    <row r="19" spans="1:21" ht="13.5" customHeight="1" outlineLevel="2" thickBot="1" x14ac:dyDescent="0.3">
      <c r="A19" s="1141" t="s">
        <v>21</v>
      </c>
      <c r="B19" s="1141" t="s">
        <v>21</v>
      </c>
      <c r="C19" s="1141" t="s">
        <v>26</v>
      </c>
      <c r="D19" s="1141" t="s">
        <v>45</v>
      </c>
      <c r="E19" s="1142" t="s">
        <v>46</v>
      </c>
      <c r="F19" s="135" t="s">
        <v>47</v>
      </c>
      <c r="G19" s="99"/>
      <c r="H19" s="146"/>
      <c r="I19" s="147">
        <v>74</v>
      </c>
      <c r="J19" s="148">
        <v>345.56</v>
      </c>
      <c r="K19" s="148">
        <v>290</v>
      </c>
      <c r="L19" s="148">
        <v>14.07</v>
      </c>
      <c r="M19" s="148">
        <v>0</v>
      </c>
      <c r="N19" s="148">
        <v>41.49</v>
      </c>
      <c r="O19" s="148">
        <v>0</v>
      </c>
      <c r="P19" s="148">
        <v>0</v>
      </c>
      <c r="Q19" s="148">
        <v>0</v>
      </c>
      <c r="R19" s="148">
        <v>0</v>
      </c>
      <c r="S19" s="149">
        <v>0</v>
      </c>
      <c r="T19" s="139"/>
    </row>
    <row r="20" spans="1:21" s="98" customFormat="1" ht="13.5" customHeight="1" outlineLevel="1" thickBot="1" x14ac:dyDescent="0.3">
      <c r="A20" s="1143"/>
      <c r="B20" s="1143"/>
      <c r="C20" s="1143"/>
      <c r="D20" s="1143"/>
      <c r="E20" s="1144"/>
      <c r="F20" s="140" t="s">
        <v>48</v>
      </c>
      <c r="G20" s="145"/>
      <c r="H20" s="141">
        <v>210</v>
      </c>
      <c r="I20" s="142">
        <f t="shared" ref="I20:S20" si="2">SUBTOTAL(9,I17:I19)</f>
        <v>442454</v>
      </c>
      <c r="J20" s="143">
        <f>SUBTOTAL(9,J17:J19)</f>
        <v>335371.48000000004</v>
      </c>
      <c r="K20" s="143">
        <f t="shared" si="2"/>
        <v>22250</v>
      </c>
      <c r="L20" s="143">
        <f t="shared" si="2"/>
        <v>64924.14</v>
      </c>
      <c r="M20" s="143">
        <f t="shared" si="2"/>
        <v>0</v>
      </c>
      <c r="N20" s="143">
        <f t="shared" si="2"/>
        <v>248197.34</v>
      </c>
      <c r="O20" s="143">
        <f t="shared" si="2"/>
        <v>0</v>
      </c>
      <c r="P20" s="143">
        <f t="shared" si="2"/>
        <v>0</v>
      </c>
      <c r="Q20" s="143">
        <f t="shared" si="2"/>
        <v>0</v>
      </c>
      <c r="R20" s="143">
        <f t="shared" si="2"/>
        <v>0</v>
      </c>
      <c r="S20" s="144">
        <f t="shared" si="2"/>
        <v>0</v>
      </c>
      <c r="T20" s="139">
        <f>ROUND(J20-SUM(K20:P20)-R20,2)</f>
        <v>0</v>
      </c>
    </row>
    <row r="21" spans="1:21" ht="13.5" customHeight="1" outlineLevel="2" thickBot="1" x14ac:dyDescent="0.3">
      <c r="A21" s="1141" t="s">
        <v>21</v>
      </c>
      <c r="B21" s="1141" t="s">
        <v>21</v>
      </c>
      <c r="C21" s="1141" t="s">
        <v>40</v>
      </c>
      <c r="D21" s="1141" t="s">
        <v>49</v>
      </c>
      <c r="E21" s="1142" t="s">
        <v>50</v>
      </c>
      <c r="F21" s="135" t="s">
        <v>51</v>
      </c>
      <c r="G21" s="99"/>
      <c r="H21" s="146"/>
      <c r="I21" s="147">
        <v>32</v>
      </c>
      <c r="J21" s="148">
        <v>50.72</v>
      </c>
      <c r="K21" s="148">
        <v>25</v>
      </c>
      <c r="L21" s="148">
        <v>7.17</v>
      </c>
      <c r="M21" s="148">
        <v>0.6</v>
      </c>
      <c r="N21" s="148">
        <v>17.95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139"/>
    </row>
    <row r="22" spans="1:21" ht="13.5" customHeight="1" outlineLevel="2" thickBot="1" x14ac:dyDescent="0.3">
      <c r="A22" s="1141" t="s">
        <v>21</v>
      </c>
      <c r="B22" s="1141" t="s">
        <v>21</v>
      </c>
      <c r="C22" s="1141" t="s">
        <v>40</v>
      </c>
      <c r="D22" s="1141" t="s">
        <v>52</v>
      </c>
      <c r="E22" s="1142" t="s">
        <v>53</v>
      </c>
      <c r="F22" s="135" t="s">
        <v>54</v>
      </c>
      <c r="G22" s="145"/>
      <c r="H22" s="146"/>
      <c r="I22" s="147">
        <v>3589973</v>
      </c>
      <c r="J22" s="148">
        <v>6524039.7999999998</v>
      </c>
      <c r="K22" s="148">
        <v>3638560.02</v>
      </c>
      <c r="L22" s="148">
        <v>804101.08</v>
      </c>
      <c r="M22" s="148">
        <v>67812.570000000007</v>
      </c>
      <c r="N22" s="148">
        <v>2013731.95</v>
      </c>
      <c r="O22" s="148">
        <v>-165.82</v>
      </c>
      <c r="P22" s="148">
        <v>0</v>
      </c>
      <c r="Q22" s="148">
        <v>44237.85</v>
      </c>
      <c r="R22" s="148">
        <v>0</v>
      </c>
      <c r="S22" s="149">
        <v>1548.7</v>
      </c>
      <c r="T22" s="139"/>
    </row>
    <row r="23" spans="1:21" ht="13.5" customHeight="1" outlineLevel="2" thickBot="1" x14ac:dyDescent="0.3">
      <c r="A23" s="1141" t="s">
        <v>21</v>
      </c>
      <c r="B23" s="1141" t="s">
        <v>21</v>
      </c>
      <c r="C23" s="1141" t="s">
        <v>26</v>
      </c>
      <c r="D23" s="1142" t="s">
        <v>52</v>
      </c>
      <c r="E23" s="1147" t="s">
        <v>53</v>
      </c>
      <c r="F23" s="135" t="s">
        <v>54</v>
      </c>
      <c r="G23" s="99"/>
      <c r="H23" s="146"/>
      <c r="I23" s="147">
        <v>250</v>
      </c>
      <c r="J23" s="148">
        <v>738.46</v>
      </c>
      <c r="K23" s="148">
        <v>537.5</v>
      </c>
      <c r="L23" s="148">
        <v>56</v>
      </c>
      <c r="M23" s="148">
        <v>4.75</v>
      </c>
      <c r="N23" s="148">
        <v>140.21</v>
      </c>
      <c r="O23" s="148">
        <v>0</v>
      </c>
      <c r="P23" s="148">
        <v>0</v>
      </c>
      <c r="Q23" s="148">
        <v>6.45</v>
      </c>
      <c r="R23" s="148">
        <v>0</v>
      </c>
      <c r="S23" s="149">
        <v>0</v>
      </c>
      <c r="T23" s="139"/>
    </row>
    <row r="24" spans="1:21" ht="13.5" customHeight="1" outlineLevel="2" thickBot="1" x14ac:dyDescent="0.3">
      <c r="A24" s="1145"/>
      <c r="B24" s="1145"/>
      <c r="C24" s="1145"/>
      <c r="D24" s="1142" t="s">
        <v>52</v>
      </c>
      <c r="E24" s="1148"/>
      <c r="F24" s="135" t="s">
        <v>54</v>
      </c>
      <c r="G24" s="99"/>
      <c r="H24" s="146"/>
      <c r="I24" s="147">
        <v>32</v>
      </c>
      <c r="J24" s="148">
        <v>63.210000000000008</v>
      </c>
      <c r="K24" s="148">
        <v>37.5</v>
      </c>
      <c r="L24" s="148">
        <v>7.17</v>
      </c>
      <c r="M24" s="148">
        <v>0.6</v>
      </c>
      <c r="N24" s="148">
        <v>17.940000000000001</v>
      </c>
      <c r="O24" s="148">
        <v>0</v>
      </c>
      <c r="P24" s="148">
        <v>0</v>
      </c>
      <c r="Q24" s="148">
        <v>0.45</v>
      </c>
      <c r="R24" s="148">
        <v>0</v>
      </c>
      <c r="S24" s="149">
        <v>0</v>
      </c>
      <c r="T24" s="139"/>
    </row>
    <row r="25" spans="1:21" ht="13.5" customHeight="1" outlineLevel="2" thickBot="1" x14ac:dyDescent="0.3">
      <c r="A25" s="1141" t="s">
        <v>21</v>
      </c>
      <c r="B25" s="1141" t="s">
        <v>21</v>
      </c>
      <c r="C25" s="1141" t="s">
        <v>40</v>
      </c>
      <c r="D25" s="1141" t="s">
        <v>55</v>
      </c>
      <c r="E25" s="1142" t="s">
        <v>56</v>
      </c>
      <c r="F25" s="135" t="s">
        <v>57</v>
      </c>
      <c r="G25" s="145"/>
      <c r="H25" s="146"/>
      <c r="I25" s="147">
        <v>27</v>
      </c>
      <c r="J25" s="148">
        <v>14.41</v>
      </c>
      <c r="K25" s="148">
        <v>0.5</v>
      </c>
      <c r="L25" s="148">
        <v>-1.22</v>
      </c>
      <c r="M25" s="148">
        <v>0</v>
      </c>
      <c r="N25" s="148">
        <v>15.13</v>
      </c>
      <c r="O25" s="148">
        <v>0</v>
      </c>
      <c r="P25" s="148">
        <v>0</v>
      </c>
      <c r="Q25" s="148">
        <v>0</v>
      </c>
      <c r="R25" s="148">
        <v>0</v>
      </c>
      <c r="S25" s="149">
        <v>0</v>
      </c>
      <c r="T25" s="139"/>
    </row>
    <row r="26" spans="1:21" s="98" customFormat="1" ht="13.5" customHeight="1" outlineLevel="1" thickBot="1" x14ac:dyDescent="0.3">
      <c r="A26" s="1143"/>
      <c r="B26" s="1143"/>
      <c r="C26" s="1143"/>
      <c r="D26" s="1143"/>
      <c r="E26" s="1144"/>
      <c r="F26" s="140" t="s">
        <v>58</v>
      </c>
      <c r="G26" s="145"/>
      <c r="H26" s="141">
        <v>291706</v>
      </c>
      <c r="I26" s="142">
        <f t="shared" ref="I26:S26" si="3">SUBTOTAL(9,I21:I25)</f>
        <v>3590314</v>
      </c>
      <c r="J26" s="143">
        <f>SUBTOTAL(9,J21:J25)</f>
        <v>6524906.5999999996</v>
      </c>
      <c r="K26" s="143">
        <f t="shared" si="3"/>
        <v>3639160.52</v>
      </c>
      <c r="L26" s="143">
        <f t="shared" si="3"/>
        <v>804170.20000000007</v>
      </c>
      <c r="M26" s="143">
        <f t="shared" si="3"/>
        <v>67818.520000000019</v>
      </c>
      <c r="N26" s="143">
        <f t="shared" si="3"/>
        <v>2013923.1799999997</v>
      </c>
      <c r="O26" s="143">
        <f t="shared" si="3"/>
        <v>-165.82</v>
      </c>
      <c r="P26" s="143">
        <f t="shared" si="3"/>
        <v>0</v>
      </c>
      <c r="Q26" s="143">
        <f t="shared" si="3"/>
        <v>44244.749999999993</v>
      </c>
      <c r="R26" s="143">
        <f t="shared" si="3"/>
        <v>0</v>
      </c>
      <c r="S26" s="144">
        <f t="shared" si="3"/>
        <v>1548.7</v>
      </c>
      <c r="T26" s="139">
        <f>ROUND(J26-SUM(K26:P26)-R26,2)</f>
        <v>0</v>
      </c>
    </row>
    <row r="27" spans="1:21" ht="13.5" customHeight="1" outlineLevel="2" thickBot="1" x14ac:dyDescent="0.3">
      <c r="A27" s="1141" t="s">
        <v>21</v>
      </c>
      <c r="B27" s="1141" t="s">
        <v>21</v>
      </c>
      <c r="C27" s="1141" t="s">
        <v>40</v>
      </c>
      <c r="D27" s="1141" t="s">
        <v>59</v>
      </c>
      <c r="E27" s="1142" t="s">
        <v>60</v>
      </c>
      <c r="F27" s="135" t="s">
        <v>61</v>
      </c>
      <c r="G27" s="99"/>
      <c r="H27" s="146"/>
      <c r="I27" s="147">
        <v>199</v>
      </c>
      <c r="J27" s="148">
        <v>197.42000000000002</v>
      </c>
      <c r="K27" s="148">
        <v>37.5</v>
      </c>
      <c r="L27" s="148">
        <v>44.56</v>
      </c>
      <c r="M27" s="148">
        <v>3.76</v>
      </c>
      <c r="N27" s="148">
        <v>111.6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139"/>
    </row>
    <row r="28" spans="1:21" ht="13.5" customHeight="1" outlineLevel="2" thickBot="1" x14ac:dyDescent="0.3">
      <c r="A28" s="1141" t="s">
        <v>21</v>
      </c>
      <c r="B28" s="1141" t="s">
        <v>21</v>
      </c>
      <c r="C28" s="1141" t="s">
        <v>26</v>
      </c>
      <c r="D28" s="1141" t="s">
        <v>59</v>
      </c>
      <c r="E28" s="1142" t="s">
        <v>60</v>
      </c>
      <c r="F28" s="135" t="s">
        <v>61</v>
      </c>
      <c r="G28" s="99"/>
      <c r="H28" s="146"/>
      <c r="I28" s="147">
        <v>123</v>
      </c>
      <c r="J28" s="148">
        <v>111.38</v>
      </c>
      <c r="K28" s="148">
        <v>12.5</v>
      </c>
      <c r="L28" s="148">
        <v>27.55</v>
      </c>
      <c r="M28" s="148">
        <v>2.3199999999999998</v>
      </c>
      <c r="N28" s="148">
        <v>69.010000000000005</v>
      </c>
      <c r="O28" s="148">
        <v>0</v>
      </c>
      <c r="P28" s="148">
        <v>0</v>
      </c>
      <c r="Q28" s="148">
        <v>0</v>
      </c>
      <c r="R28" s="148">
        <v>0</v>
      </c>
      <c r="S28" s="149">
        <v>0</v>
      </c>
      <c r="T28" s="139"/>
    </row>
    <row r="29" spans="1:21" s="98" customFormat="1" ht="13.5" customHeight="1" outlineLevel="1" thickBot="1" x14ac:dyDescent="0.3">
      <c r="A29" s="1149"/>
      <c r="B29" s="1149"/>
      <c r="C29" s="1149"/>
      <c r="D29" s="1149"/>
      <c r="E29" s="1149"/>
      <c r="F29" s="150" t="s">
        <v>62</v>
      </c>
      <c r="G29" s="99"/>
      <c r="H29" s="141">
        <v>4</v>
      </c>
      <c r="I29" s="142">
        <f>SUBTOTAL(9,I27:I28)</f>
        <v>322</v>
      </c>
      <c r="J29" s="143">
        <f>SUBTOTAL(9,J27:J28)</f>
        <v>308.8</v>
      </c>
      <c r="K29" s="143">
        <f t="shared" ref="K29:S29" si="4">SUBTOTAL(9,K27:K28)</f>
        <v>50</v>
      </c>
      <c r="L29" s="143">
        <f t="shared" si="4"/>
        <v>72.11</v>
      </c>
      <c r="M29" s="143">
        <f t="shared" si="4"/>
        <v>6.08</v>
      </c>
      <c r="N29" s="143">
        <f t="shared" si="4"/>
        <v>180.61</v>
      </c>
      <c r="O29" s="143">
        <f t="shared" si="4"/>
        <v>0</v>
      </c>
      <c r="P29" s="143">
        <f t="shared" si="4"/>
        <v>0</v>
      </c>
      <c r="Q29" s="143">
        <f t="shared" si="4"/>
        <v>0</v>
      </c>
      <c r="R29" s="143">
        <f t="shared" si="4"/>
        <v>0</v>
      </c>
      <c r="S29" s="144">
        <f t="shared" si="4"/>
        <v>0</v>
      </c>
      <c r="T29" s="139">
        <f>ROUND(J29-SUM(K29:P29)-R29,2)</f>
        <v>0</v>
      </c>
    </row>
    <row r="30" spans="1:21" ht="14.25" outlineLevel="2" thickBot="1" x14ac:dyDescent="0.3">
      <c r="B30" s="1149"/>
      <c r="C30" s="1149"/>
      <c r="D30" s="1141" t="s">
        <v>63</v>
      </c>
      <c r="E30" s="1142" t="s">
        <v>64</v>
      </c>
      <c r="F30" s="135" t="s">
        <v>65</v>
      </c>
      <c r="G30" s="99"/>
      <c r="H30" s="146"/>
      <c r="I30" s="147">
        <v>-226</v>
      </c>
      <c r="J30" s="148">
        <v>-169.60000000000002</v>
      </c>
      <c r="K30" s="148">
        <v>0</v>
      </c>
      <c r="L30" s="148">
        <v>-42.310000000000016</v>
      </c>
      <c r="M30" s="148">
        <v>-0.21999999999999997</v>
      </c>
      <c r="N30" s="148">
        <v>-127.07000000000001</v>
      </c>
      <c r="O30" s="148"/>
      <c r="P30" s="148"/>
      <c r="Q30" s="148"/>
      <c r="R30" s="148"/>
      <c r="S30" s="149"/>
      <c r="T30" s="139"/>
      <c r="U30" s="101"/>
    </row>
    <row r="31" spans="1:21" ht="14.25" outlineLevel="2" thickBot="1" x14ac:dyDescent="0.3">
      <c r="B31" s="1149"/>
      <c r="C31" s="1149"/>
      <c r="D31" s="1141" t="s">
        <v>66</v>
      </c>
      <c r="E31" s="1142" t="s">
        <v>67</v>
      </c>
      <c r="F31" s="135" t="s">
        <v>68</v>
      </c>
      <c r="G31" s="145"/>
      <c r="H31" s="146"/>
      <c r="I31" s="147">
        <v>1463</v>
      </c>
      <c r="J31" s="148">
        <v>1415.3400000000001</v>
      </c>
      <c r="K31" s="148">
        <v>340</v>
      </c>
      <c r="L31" s="148">
        <v>255.14</v>
      </c>
      <c r="M31" s="148">
        <v>0</v>
      </c>
      <c r="N31" s="148">
        <v>820.2</v>
      </c>
      <c r="O31" s="148"/>
      <c r="P31" s="148"/>
      <c r="Q31" s="148"/>
      <c r="R31" s="148"/>
      <c r="S31" s="149"/>
      <c r="T31" s="139"/>
      <c r="U31" s="101"/>
    </row>
    <row r="32" spans="1:21" ht="14.25" outlineLevel="1" thickBot="1" x14ac:dyDescent="0.3">
      <c r="B32" s="1149"/>
      <c r="C32" s="1149"/>
      <c r="D32" s="1143"/>
      <c r="E32" s="1144"/>
      <c r="F32" s="140" t="s">
        <v>69</v>
      </c>
      <c r="G32" s="99"/>
      <c r="H32" s="141">
        <v>3</v>
      </c>
      <c r="I32" s="142">
        <f t="shared" ref="I32:S32" si="5">SUBTOTAL(9,I30:I31)</f>
        <v>1237</v>
      </c>
      <c r="J32" s="151">
        <f>SUBTOTAL(9,J30:J31)</f>
        <v>1245.7400000000002</v>
      </c>
      <c r="K32" s="151">
        <f t="shared" si="5"/>
        <v>340</v>
      </c>
      <c r="L32" s="151">
        <f t="shared" si="5"/>
        <v>212.82999999999998</v>
      </c>
      <c r="M32" s="151">
        <f t="shared" si="5"/>
        <v>-0.21999999999999997</v>
      </c>
      <c r="N32" s="151">
        <f t="shared" si="5"/>
        <v>693.13</v>
      </c>
      <c r="O32" s="151">
        <f t="shared" si="5"/>
        <v>0</v>
      </c>
      <c r="P32" s="151">
        <f t="shared" si="5"/>
        <v>0</v>
      </c>
      <c r="Q32" s="151">
        <f t="shared" si="5"/>
        <v>0</v>
      </c>
      <c r="R32" s="151">
        <f t="shared" si="5"/>
        <v>0</v>
      </c>
      <c r="S32" s="152">
        <f t="shared" si="5"/>
        <v>0</v>
      </c>
      <c r="T32" s="139">
        <f>ROUND(J32-SUM(K32:P32)-R32,2)</f>
        <v>0</v>
      </c>
    </row>
    <row r="33" spans="1:23" s="98" customFormat="1" ht="13.5" customHeight="1" thickBot="1" x14ac:dyDescent="0.3">
      <c r="A33" s="1149"/>
      <c r="B33" s="1149"/>
      <c r="C33" s="1149"/>
      <c r="D33" s="1149"/>
      <c r="E33" s="1149"/>
      <c r="F33" s="153"/>
      <c r="G33" s="99"/>
      <c r="H33" s="145"/>
      <c r="I33" s="145"/>
      <c r="J33" s="154"/>
      <c r="K33" s="154"/>
      <c r="L33" s="154"/>
      <c r="M33" s="154"/>
      <c r="N33" s="154"/>
      <c r="O33" s="154"/>
      <c r="P33" s="154"/>
      <c r="Q33" s="154"/>
      <c r="R33" s="154"/>
      <c r="S33" s="155"/>
      <c r="T33" s="139"/>
    </row>
    <row r="34" spans="1:23" s="98" customFormat="1" ht="13.5" customHeight="1" thickBot="1" x14ac:dyDescent="0.3">
      <c r="A34" s="1149"/>
      <c r="B34" s="1149"/>
      <c r="C34" s="1149"/>
      <c r="D34" s="1149"/>
      <c r="E34" s="1149"/>
      <c r="F34" s="140" t="s">
        <v>70</v>
      </c>
      <c r="G34" s="145"/>
      <c r="H34" s="99"/>
      <c r="I34" s="145"/>
      <c r="J34" s="154"/>
      <c r="K34" s="145"/>
      <c r="L34" s="154"/>
      <c r="M34" s="154"/>
      <c r="N34" s="154"/>
      <c r="O34" s="154"/>
      <c r="P34" s="154"/>
      <c r="Q34" s="154"/>
      <c r="R34" s="154"/>
      <c r="S34" s="155"/>
      <c r="T34" s="139"/>
    </row>
    <row r="35" spans="1:23" s="98" customFormat="1" ht="13.5" customHeight="1" thickBot="1" x14ac:dyDescent="0.3">
      <c r="A35" s="1149"/>
      <c r="B35" s="1149"/>
      <c r="C35" s="1149"/>
      <c r="D35" s="1149"/>
      <c r="E35" s="1150"/>
      <c r="F35" s="150"/>
      <c r="G35" s="156" t="s">
        <v>71</v>
      </c>
      <c r="H35" s="145"/>
      <c r="I35" s="141">
        <v>0</v>
      </c>
      <c r="J35" s="154">
        <f t="shared" ref="J35:J41" si="6">SUM(K35:O35)</f>
        <v>0</v>
      </c>
      <c r="K35" s="157">
        <v>0</v>
      </c>
      <c r="L35" s="157">
        <v>0</v>
      </c>
      <c r="M35" s="157">
        <v>0</v>
      </c>
      <c r="N35" s="157">
        <v>0</v>
      </c>
      <c r="O35" s="154"/>
      <c r="P35" s="154"/>
      <c r="Q35" s="154"/>
      <c r="R35" s="154"/>
      <c r="S35" s="155"/>
      <c r="T35" s="139"/>
    </row>
    <row r="36" spans="1:23" s="98" customFormat="1" ht="13.5" customHeight="1" thickBot="1" x14ac:dyDescent="0.3">
      <c r="A36" s="1149"/>
      <c r="B36" s="1149"/>
      <c r="C36" s="1149"/>
      <c r="D36" s="1149"/>
      <c r="E36" s="1150"/>
      <c r="F36" s="150"/>
      <c r="G36" s="156" t="s">
        <v>71</v>
      </c>
      <c r="H36" s="145"/>
      <c r="I36" s="158"/>
      <c r="J36" s="154">
        <f t="shared" si="6"/>
        <v>59503.8</v>
      </c>
      <c r="K36" s="159"/>
      <c r="L36" s="159"/>
      <c r="M36" s="159"/>
      <c r="N36" s="157">
        <v>59503.8</v>
      </c>
      <c r="O36" s="154"/>
      <c r="P36" s="154"/>
      <c r="Q36" s="154"/>
      <c r="R36" s="154"/>
      <c r="S36" s="155"/>
      <c r="T36" s="139"/>
    </row>
    <row r="37" spans="1:23" s="98" customFormat="1" ht="13.5" customHeight="1" thickBot="1" x14ac:dyDescent="0.3">
      <c r="A37" s="1149"/>
      <c r="B37" s="1149"/>
      <c r="C37" s="1149"/>
      <c r="D37" s="1149"/>
      <c r="E37" s="1150"/>
      <c r="F37" s="150"/>
      <c r="G37" s="156" t="s">
        <v>71</v>
      </c>
      <c r="H37" s="145"/>
      <c r="I37" s="158"/>
      <c r="J37" s="154">
        <f t="shared" si="6"/>
        <v>52.54</v>
      </c>
      <c r="K37" s="159"/>
      <c r="L37" s="159"/>
      <c r="M37" s="159"/>
      <c r="N37" s="157">
        <v>52.54</v>
      </c>
      <c r="O37" s="154"/>
      <c r="P37" s="154"/>
      <c r="Q37" s="154"/>
      <c r="R37" s="154"/>
      <c r="S37" s="155"/>
      <c r="T37" s="139"/>
    </row>
    <row r="38" spans="1:23" s="98" customFormat="1" ht="13.5" customHeight="1" thickBot="1" x14ac:dyDescent="0.3">
      <c r="A38" s="1149"/>
      <c r="B38" s="1149"/>
      <c r="C38" s="1149"/>
      <c r="D38" s="1149"/>
      <c r="E38" s="1150"/>
      <c r="F38" s="150"/>
      <c r="G38" s="156" t="s">
        <v>71</v>
      </c>
      <c r="H38" s="145"/>
      <c r="I38" s="158"/>
      <c r="J38" s="154">
        <f>SUM(K38:O38)</f>
        <v>275</v>
      </c>
      <c r="K38" s="157">
        <v>275</v>
      </c>
      <c r="L38" s="159"/>
      <c r="M38" s="159"/>
      <c r="N38" s="159"/>
      <c r="O38" s="154"/>
      <c r="P38" s="154"/>
      <c r="Q38" s="154"/>
      <c r="R38" s="154"/>
      <c r="S38" s="155"/>
      <c r="T38" s="139"/>
    </row>
    <row r="39" spans="1:23" s="98" customFormat="1" ht="13.5" customHeight="1" thickBot="1" x14ac:dyDescent="0.3">
      <c r="A39" s="1149"/>
      <c r="B39" s="1149"/>
      <c r="C39" s="1149"/>
      <c r="D39" s="1149"/>
      <c r="E39" s="1150"/>
      <c r="F39" s="150"/>
      <c r="G39" s="156" t="s">
        <v>71</v>
      </c>
      <c r="H39" s="145"/>
      <c r="I39" s="141">
        <v>1547</v>
      </c>
      <c r="J39" s="154">
        <f t="shared" si="6"/>
        <v>1695.55</v>
      </c>
      <c r="K39" s="157">
        <v>781</v>
      </c>
      <c r="L39" s="157">
        <v>7.53</v>
      </c>
      <c r="M39" s="159"/>
      <c r="N39" s="157">
        <v>907.02</v>
      </c>
      <c r="O39" s="154"/>
      <c r="P39" s="154"/>
      <c r="Q39" s="154"/>
      <c r="R39" s="154"/>
      <c r="S39" s="155"/>
      <c r="T39" s="139"/>
      <c r="W39" s="98">
        <f>6370+1547</f>
        <v>7917</v>
      </c>
    </row>
    <row r="40" spans="1:23" s="98" customFormat="1" ht="13.5" customHeight="1" thickBot="1" x14ac:dyDescent="0.3">
      <c r="A40" s="1149"/>
      <c r="B40" s="1149"/>
      <c r="C40" s="1149"/>
      <c r="D40" s="1149"/>
      <c r="E40" s="1150"/>
      <c r="F40" s="150" t="s">
        <v>73</v>
      </c>
      <c r="G40" s="156" t="s">
        <v>74</v>
      </c>
      <c r="H40" s="145"/>
      <c r="I40" s="141">
        <v>0</v>
      </c>
      <c r="J40" s="160">
        <f t="shared" si="6"/>
        <v>0</v>
      </c>
      <c r="K40" s="157">
        <v>0</v>
      </c>
      <c r="L40" s="161">
        <v>0</v>
      </c>
      <c r="M40" s="159"/>
      <c r="N40" s="159">
        <v>0</v>
      </c>
      <c r="O40" s="154"/>
      <c r="P40" s="154"/>
      <c r="Q40" s="154"/>
      <c r="R40" s="154"/>
      <c r="S40" s="155"/>
      <c r="T40" s="139"/>
    </row>
    <row r="41" spans="1:23" s="98" customFormat="1" ht="13.5" customHeight="1" thickBot="1" x14ac:dyDescent="0.3">
      <c r="A41" s="1149"/>
      <c r="B41" s="1149"/>
      <c r="C41" s="1149"/>
      <c r="D41" s="1149"/>
      <c r="E41" s="1150"/>
      <c r="F41" s="150" t="s">
        <v>75</v>
      </c>
      <c r="G41" s="156" t="s">
        <v>76</v>
      </c>
      <c r="H41" s="145"/>
      <c r="I41" s="141">
        <v>0</v>
      </c>
      <c r="J41" s="154">
        <f t="shared" si="6"/>
        <v>-1659.1900000000605</v>
      </c>
      <c r="K41" s="162">
        <v>0</v>
      </c>
      <c r="L41" s="154">
        <v>-1659.1900000000605</v>
      </c>
      <c r="M41" s="154">
        <v>0</v>
      </c>
      <c r="N41" s="154">
        <v>0</v>
      </c>
      <c r="O41" s="154"/>
      <c r="P41" s="154"/>
      <c r="Q41" s="154"/>
      <c r="R41" s="154"/>
      <c r="S41" s="155"/>
      <c r="T41" s="139"/>
    </row>
    <row r="42" spans="1:23" ht="13.5" customHeight="1" thickBot="1" x14ac:dyDescent="0.25">
      <c r="A42" s="1151"/>
      <c r="B42" s="1151"/>
      <c r="C42" s="1151"/>
      <c r="D42" s="1152" t="s">
        <v>77</v>
      </c>
      <c r="E42" s="1153"/>
      <c r="F42" s="163" t="s">
        <v>77</v>
      </c>
      <c r="G42" s="164"/>
      <c r="H42" s="164">
        <f t="shared" ref="H42:O42" si="7">SUBTOTAL(9,H5:H41)</f>
        <v>317338</v>
      </c>
      <c r="I42" s="164">
        <f t="shared" si="7"/>
        <v>6830393</v>
      </c>
      <c r="J42" s="165">
        <f t="shared" si="7"/>
        <v>9896268.6200000048</v>
      </c>
      <c r="K42" s="165">
        <f t="shared" si="7"/>
        <v>4608809.41</v>
      </c>
      <c r="L42" s="165">
        <f t="shared" si="7"/>
        <v>1326120.4099999997</v>
      </c>
      <c r="M42" s="165">
        <f t="shared" si="7"/>
        <v>70406.530000000013</v>
      </c>
      <c r="N42" s="165">
        <f t="shared" si="7"/>
        <v>3891256.0199999996</v>
      </c>
      <c r="O42" s="165">
        <f t="shared" si="7"/>
        <v>-323.75</v>
      </c>
      <c r="P42" s="165">
        <f>SUBTOTAL(9,P5:P29)</f>
        <v>0</v>
      </c>
      <c r="Q42" s="165">
        <f>SUBTOTAL(9,Q5:Q29)</f>
        <v>44244.749999999993</v>
      </c>
      <c r="R42" s="165">
        <f>SUBTOTAL(9,R5:R29)</f>
        <v>0</v>
      </c>
      <c r="S42" s="166">
        <f>SUBTOTAL(9,S5:S29)</f>
        <v>2629.2200000000003</v>
      </c>
    </row>
    <row r="43" spans="1:23" ht="13.5" customHeight="1" thickBot="1" x14ac:dyDescent="0.25">
      <c r="A43" s="1151"/>
      <c r="B43" s="1151"/>
      <c r="C43" s="1151"/>
      <c r="D43" s="1152" t="s">
        <v>77</v>
      </c>
      <c r="E43" s="1153"/>
      <c r="F43" s="163" t="s">
        <v>78</v>
      </c>
      <c r="G43" s="164"/>
      <c r="H43" s="164"/>
      <c r="I43" s="167">
        <v>6830390</v>
      </c>
      <c r="J43" s="165">
        <f>SUM(K43:S43)</f>
        <v>9896268.620000001</v>
      </c>
      <c r="K43" s="168">
        <v>4608809.41</v>
      </c>
      <c r="L43" s="168">
        <v>1326120.4099999999</v>
      </c>
      <c r="M43" s="168">
        <v>70406.53</v>
      </c>
      <c r="N43" s="168">
        <v>3891256.02</v>
      </c>
      <c r="O43" s="168">
        <v>-323.75</v>
      </c>
      <c r="P43" s="165"/>
      <c r="Q43" s="165"/>
      <c r="R43" s="165"/>
      <c r="S43" s="166"/>
    </row>
    <row r="44" spans="1:23" ht="13.5" customHeight="1" thickBot="1" x14ac:dyDescent="0.25">
      <c r="A44" s="1151"/>
      <c r="B44" s="1151"/>
      <c r="C44" s="1151"/>
      <c r="D44" s="1154"/>
      <c r="E44" s="1153"/>
      <c r="F44" s="169" t="s">
        <v>79</v>
      </c>
      <c r="G44" s="170"/>
      <c r="H44" s="170"/>
      <c r="I44" s="171">
        <f t="shared" ref="I44:N44" si="8">I42-I43</f>
        <v>3</v>
      </c>
      <c r="J44" s="172">
        <f t="shared" si="8"/>
        <v>0</v>
      </c>
      <c r="K44" s="172">
        <f t="shared" si="8"/>
        <v>0</v>
      </c>
      <c r="L44" s="172">
        <f t="shared" si="8"/>
        <v>0</v>
      </c>
      <c r="M44" s="172">
        <f t="shared" si="8"/>
        <v>0</v>
      </c>
      <c r="N44" s="172">
        <f t="shared" si="8"/>
        <v>0</v>
      </c>
      <c r="O44" s="172">
        <f>O42-O43</f>
        <v>0</v>
      </c>
      <c r="P44" s="172"/>
      <c r="Q44" s="172"/>
      <c r="R44" s="172"/>
      <c r="S44" s="173"/>
    </row>
    <row r="45" spans="1:23" ht="13.5" thickBot="1" x14ac:dyDescent="0.25">
      <c r="G45" s="122"/>
      <c r="H45" s="122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</row>
    <row r="46" spans="1:23" ht="24.6" customHeight="1" thickBot="1" x14ac:dyDescent="0.25">
      <c r="A46" s="1136"/>
      <c r="B46" s="1137"/>
      <c r="C46" s="1137"/>
      <c r="D46" s="1392" t="s">
        <v>80</v>
      </c>
      <c r="E46" s="1393"/>
      <c r="F46" s="174" t="s">
        <v>81</v>
      </c>
      <c r="G46" s="175"/>
      <c r="H46" s="126" t="s">
        <v>2</v>
      </c>
      <c r="I46" s="127" t="s">
        <v>3</v>
      </c>
      <c r="J46" s="127" t="s">
        <v>4</v>
      </c>
      <c r="K46" s="127" t="s">
        <v>5</v>
      </c>
      <c r="L46" s="127" t="s">
        <v>6</v>
      </c>
      <c r="M46" s="127" t="s">
        <v>7</v>
      </c>
      <c r="N46" s="127" t="s">
        <v>253</v>
      </c>
      <c r="O46" s="127" t="s">
        <v>9</v>
      </c>
      <c r="P46" s="127" t="s">
        <v>10</v>
      </c>
      <c r="Q46" s="127" t="s">
        <v>11</v>
      </c>
      <c r="R46" s="127" t="s">
        <v>12</v>
      </c>
      <c r="S46" s="128" t="s">
        <v>13</v>
      </c>
    </row>
    <row r="47" spans="1:23" ht="13.5" customHeight="1" thickBot="1" x14ac:dyDescent="0.25">
      <c r="A47" s="1139" t="s">
        <v>14</v>
      </c>
      <c r="B47" s="1140" t="s">
        <v>15</v>
      </c>
      <c r="C47" s="1140" t="s">
        <v>16</v>
      </c>
      <c r="D47" s="1140" t="s">
        <v>17</v>
      </c>
      <c r="E47" s="1103"/>
      <c r="F47" s="176"/>
      <c r="G47" s="130"/>
      <c r="H47" s="130"/>
      <c r="I47" s="131" t="s">
        <v>19</v>
      </c>
      <c r="J47" s="132" t="s">
        <v>20</v>
      </c>
      <c r="K47" s="132" t="s">
        <v>20</v>
      </c>
      <c r="L47" s="132" t="s">
        <v>20</v>
      </c>
      <c r="M47" s="132" t="s">
        <v>20</v>
      </c>
      <c r="N47" s="132" t="s">
        <v>20</v>
      </c>
      <c r="O47" s="132" t="s">
        <v>20</v>
      </c>
      <c r="P47" s="132" t="s">
        <v>20</v>
      </c>
      <c r="Q47" s="132" t="s">
        <v>20</v>
      </c>
      <c r="R47" s="132" t="s">
        <v>20</v>
      </c>
      <c r="S47" s="133" t="s">
        <v>20</v>
      </c>
    </row>
    <row r="48" spans="1:23" ht="13.5" customHeight="1" outlineLevel="2" thickBot="1" x14ac:dyDescent="0.3">
      <c r="A48" s="1141" t="s">
        <v>21</v>
      </c>
      <c r="B48" s="1141" t="s">
        <v>21</v>
      </c>
      <c r="C48" s="1141" t="s">
        <v>28</v>
      </c>
      <c r="D48" s="1141" t="s">
        <v>82</v>
      </c>
      <c r="E48" s="1142" t="s">
        <v>83</v>
      </c>
      <c r="F48" s="135" t="s">
        <v>84</v>
      </c>
      <c r="G48" s="99"/>
      <c r="H48" s="99"/>
      <c r="I48" s="99">
        <v>878119</v>
      </c>
      <c r="J48" s="136">
        <v>804509.01</v>
      </c>
      <c r="K48" s="137">
        <v>340</v>
      </c>
      <c r="L48" s="137">
        <v>25008.83</v>
      </c>
      <c r="M48" s="137">
        <v>0</v>
      </c>
      <c r="N48" s="137">
        <v>492185.7</v>
      </c>
      <c r="O48" s="137">
        <v>0</v>
      </c>
      <c r="P48" s="137">
        <v>0</v>
      </c>
      <c r="Q48" s="137">
        <v>0</v>
      </c>
      <c r="R48" s="137">
        <v>286974.48</v>
      </c>
      <c r="S48" s="177">
        <v>0</v>
      </c>
      <c r="T48" s="139"/>
    </row>
    <row r="49" spans="1:21" ht="13.5" customHeight="1" thickBot="1" x14ac:dyDescent="0.3">
      <c r="A49" s="1146"/>
      <c r="B49" s="1148"/>
      <c r="C49" s="1148"/>
      <c r="D49" s="1153"/>
      <c r="E49" s="1155"/>
      <c r="F49" s="178" t="s">
        <v>85</v>
      </c>
      <c r="G49" s="99"/>
      <c r="H49" s="179">
        <v>2</v>
      </c>
      <c r="I49" s="99">
        <f t="shared" ref="I49:S49" si="9">SUBTOTAL(9,I48:I48)</f>
        <v>878119</v>
      </c>
      <c r="J49" s="137">
        <f>SUBTOTAL(9,J48:J48)</f>
        <v>804509.01</v>
      </c>
      <c r="K49" s="137">
        <f t="shared" si="9"/>
        <v>340</v>
      </c>
      <c r="L49" s="137">
        <f t="shared" si="9"/>
        <v>25008.83</v>
      </c>
      <c r="M49" s="137">
        <f t="shared" si="9"/>
        <v>0</v>
      </c>
      <c r="N49" s="137">
        <f t="shared" si="9"/>
        <v>492185.7</v>
      </c>
      <c r="O49" s="137">
        <f t="shared" si="9"/>
        <v>0</v>
      </c>
      <c r="P49" s="137">
        <f t="shared" si="9"/>
        <v>0</v>
      </c>
      <c r="Q49" s="137">
        <f t="shared" si="9"/>
        <v>0</v>
      </c>
      <c r="R49" s="137">
        <f t="shared" si="9"/>
        <v>286974.48</v>
      </c>
      <c r="S49" s="177">
        <f t="shared" si="9"/>
        <v>0</v>
      </c>
      <c r="T49" s="139">
        <f>ROUND(J49-SUM(K49:P49)-R49,2)</f>
        <v>0</v>
      </c>
    </row>
    <row r="50" spans="1:21" ht="13.5" customHeight="1" thickBot="1" x14ac:dyDescent="0.3">
      <c r="A50" s="1151"/>
      <c r="B50" s="1151"/>
      <c r="C50" s="1148"/>
      <c r="D50" s="1153"/>
      <c r="E50" s="1156"/>
      <c r="F50" s="140" t="s">
        <v>86</v>
      </c>
      <c r="G50" s="99"/>
      <c r="H50" s="99"/>
      <c r="I50" s="99"/>
      <c r="J50" s="137"/>
      <c r="K50" s="137"/>
      <c r="L50" s="137">
        <f>-R50</f>
        <v>286974.48</v>
      </c>
      <c r="M50" s="137"/>
      <c r="N50" s="137"/>
      <c r="O50" s="137"/>
      <c r="P50" s="137"/>
      <c r="Q50" s="137"/>
      <c r="R50" s="137">
        <f>-R49</f>
        <v>-286974.48</v>
      </c>
      <c r="S50" s="177"/>
      <c r="T50" s="139"/>
    </row>
    <row r="51" spans="1:21" ht="13.5" customHeight="1" thickBot="1" x14ac:dyDescent="0.3">
      <c r="A51" s="1151"/>
      <c r="B51" s="1151"/>
      <c r="C51" s="1148"/>
      <c r="D51" s="1153"/>
      <c r="E51" s="1156"/>
      <c r="F51" s="140" t="s">
        <v>87</v>
      </c>
      <c r="G51" s="99"/>
      <c r="H51" s="99"/>
      <c r="I51" s="180">
        <v>614630</v>
      </c>
      <c r="J51" s="137">
        <f>SUM(K51:O51)</f>
        <v>3822.35</v>
      </c>
      <c r="K51" s="137"/>
      <c r="L51" s="181">
        <v>2993.25</v>
      </c>
      <c r="M51" s="137"/>
      <c r="N51" s="181">
        <v>829.1</v>
      </c>
      <c r="O51" s="137"/>
      <c r="P51" s="137"/>
      <c r="Q51" s="137"/>
      <c r="R51" s="181">
        <v>104976</v>
      </c>
      <c r="S51" s="177"/>
      <c r="T51" s="139"/>
    </row>
    <row r="52" spans="1:21" ht="13.5" customHeight="1" thickBot="1" x14ac:dyDescent="0.3">
      <c r="A52" s="1151"/>
      <c r="B52" s="1151"/>
      <c r="C52" s="1148"/>
      <c r="D52" s="1153"/>
      <c r="E52" s="1156"/>
      <c r="F52" s="140" t="s">
        <v>254</v>
      </c>
      <c r="G52" s="99"/>
      <c r="H52" s="99"/>
      <c r="I52" s="99"/>
      <c r="J52" s="137">
        <f>SUM(K52:O52)</f>
        <v>104976</v>
      </c>
      <c r="K52" s="137"/>
      <c r="L52" s="137">
        <f>-R52</f>
        <v>104976</v>
      </c>
      <c r="M52" s="137"/>
      <c r="N52" s="137"/>
      <c r="O52" s="137"/>
      <c r="P52" s="137"/>
      <c r="Q52" s="137"/>
      <c r="R52" s="137">
        <f>-R51</f>
        <v>-104976</v>
      </c>
      <c r="S52" s="177"/>
      <c r="T52" s="139"/>
    </row>
    <row r="53" spans="1:21" ht="13.5" customHeight="1" thickBot="1" x14ac:dyDescent="0.3">
      <c r="A53" s="1151"/>
      <c r="B53" s="1151"/>
      <c r="C53" s="1148"/>
      <c r="D53" s="1153"/>
      <c r="E53" s="1156"/>
      <c r="F53" s="140" t="s">
        <v>255</v>
      </c>
      <c r="G53" s="99"/>
      <c r="H53" s="99"/>
      <c r="I53" s="182">
        <v>45788</v>
      </c>
      <c r="J53" s="137">
        <f>SUM(K53:O53)</f>
        <v>21955.070000000003</v>
      </c>
      <c r="K53" s="181">
        <v>781</v>
      </c>
      <c r="L53" s="181">
        <v>222.99</v>
      </c>
      <c r="M53" s="137"/>
      <c r="N53" s="137">
        <v>20951.080000000002</v>
      </c>
      <c r="O53" s="137"/>
      <c r="P53" s="137"/>
      <c r="Q53" s="137"/>
      <c r="R53" s="137"/>
      <c r="S53" s="177"/>
      <c r="T53" s="139">
        <f>ROUND(J53-SUM(K53:P53)-R53,2)</f>
        <v>0</v>
      </c>
    </row>
    <row r="54" spans="1:21" ht="13.5" customHeight="1" thickBot="1" x14ac:dyDescent="0.25">
      <c r="A54" s="1151"/>
      <c r="B54" s="1151"/>
      <c r="C54" s="1154"/>
      <c r="D54" s="1157" t="s">
        <v>88</v>
      </c>
      <c r="E54" s="1153"/>
      <c r="F54" s="183" t="s">
        <v>89</v>
      </c>
      <c r="G54" s="164"/>
      <c r="H54" s="164">
        <f>+H49</f>
        <v>2</v>
      </c>
      <c r="I54" s="184">
        <f t="shared" ref="I54:S54" si="10">SUBTOTAL(9,I48:I53)</f>
        <v>1538537</v>
      </c>
      <c r="J54" s="165">
        <f t="shared" si="10"/>
        <v>935262.42999999993</v>
      </c>
      <c r="K54" s="165">
        <f t="shared" si="10"/>
        <v>1121</v>
      </c>
      <c r="L54" s="165">
        <f t="shared" si="10"/>
        <v>420175.55</v>
      </c>
      <c r="M54" s="165">
        <f t="shared" si="10"/>
        <v>0</v>
      </c>
      <c r="N54" s="165">
        <f t="shared" si="10"/>
        <v>513965.88</v>
      </c>
      <c r="O54" s="165">
        <f t="shared" si="10"/>
        <v>0</v>
      </c>
      <c r="P54" s="165">
        <f t="shared" si="10"/>
        <v>0</v>
      </c>
      <c r="Q54" s="165">
        <f t="shared" si="10"/>
        <v>0</v>
      </c>
      <c r="R54" s="165">
        <f t="shared" si="10"/>
        <v>0</v>
      </c>
      <c r="S54" s="166">
        <f t="shared" si="10"/>
        <v>0</v>
      </c>
    </row>
    <row r="55" spans="1:21" ht="13.5" customHeight="1" thickBot="1" x14ac:dyDescent="0.25">
      <c r="A55" s="1151"/>
      <c r="B55" s="1151"/>
      <c r="C55" s="1151"/>
      <c r="D55" s="1152" t="s">
        <v>77</v>
      </c>
      <c r="E55" s="1153"/>
      <c r="F55" s="183" t="s">
        <v>90</v>
      </c>
      <c r="G55" s="164"/>
      <c r="H55" s="164"/>
      <c r="I55" s="167">
        <v>1538540</v>
      </c>
      <c r="J55" s="165">
        <f>SUM(K55:S55)</f>
        <v>935262.42999999993</v>
      </c>
      <c r="K55" s="168">
        <v>1121</v>
      </c>
      <c r="L55" s="168">
        <v>420175.55</v>
      </c>
      <c r="M55" s="168">
        <v>0</v>
      </c>
      <c r="N55" s="168">
        <v>513965.88</v>
      </c>
      <c r="O55" s="168">
        <v>0</v>
      </c>
      <c r="P55" s="185"/>
      <c r="Q55" s="185"/>
      <c r="R55" s="185"/>
      <c r="S55" s="186"/>
    </row>
    <row r="56" spans="1:21" ht="13.5" customHeight="1" thickBot="1" x14ac:dyDescent="0.25">
      <c r="A56" s="1151"/>
      <c r="B56" s="1151"/>
      <c r="C56" s="1151"/>
      <c r="D56" s="1154"/>
      <c r="E56" s="1153"/>
      <c r="F56" s="169" t="s">
        <v>79</v>
      </c>
      <c r="G56" s="170"/>
      <c r="H56" s="170"/>
      <c r="I56" s="171">
        <f t="shared" ref="I56:N56" si="11">I54-I55</f>
        <v>-3</v>
      </c>
      <c r="J56" s="172">
        <f t="shared" si="11"/>
        <v>0</v>
      </c>
      <c r="K56" s="172">
        <f t="shared" si="11"/>
        <v>0</v>
      </c>
      <c r="L56" s="172">
        <f t="shared" si="11"/>
        <v>0</v>
      </c>
      <c r="M56" s="172">
        <f t="shared" si="11"/>
        <v>0</v>
      </c>
      <c r="N56" s="172">
        <f t="shared" si="11"/>
        <v>0</v>
      </c>
      <c r="O56" s="172">
        <f>O54-O55</f>
        <v>0</v>
      </c>
      <c r="P56" s="172"/>
      <c r="Q56" s="172"/>
      <c r="R56" s="172"/>
      <c r="S56" s="173"/>
    </row>
    <row r="57" spans="1:21" ht="13.5" thickBot="1" x14ac:dyDescent="0.25">
      <c r="G57" s="122"/>
      <c r="H57" s="122"/>
      <c r="I57" s="113"/>
      <c r="K57" s="113"/>
      <c r="L57" s="113"/>
      <c r="M57" s="113"/>
      <c r="N57" s="54"/>
      <c r="O57" s="113"/>
      <c r="P57" s="113"/>
    </row>
    <row r="58" spans="1:21" ht="23.25" thickBot="1" x14ac:dyDescent="0.25">
      <c r="D58" s="1394" t="s">
        <v>91</v>
      </c>
      <c r="E58" s="1395"/>
      <c r="F58" s="187" t="s">
        <v>92</v>
      </c>
      <c r="G58" s="125"/>
      <c r="H58" s="126" t="s">
        <v>2</v>
      </c>
      <c r="I58" s="127" t="s">
        <v>3</v>
      </c>
      <c r="J58" s="127" t="s">
        <v>4</v>
      </c>
      <c r="K58" s="127" t="s">
        <v>5</v>
      </c>
      <c r="L58" s="127" t="s">
        <v>6</v>
      </c>
      <c r="M58" s="127" t="s">
        <v>7</v>
      </c>
      <c r="N58" s="127" t="s">
        <v>93</v>
      </c>
      <c r="O58" s="127" t="s">
        <v>9</v>
      </c>
      <c r="P58" s="127" t="s">
        <v>10</v>
      </c>
      <c r="Q58" s="127" t="s">
        <v>11</v>
      </c>
      <c r="R58" s="127" t="s">
        <v>12</v>
      </c>
      <c r="S58" s="128" t="s">
        <v>13</v>
      </c>
    </row>
    <row r="59" spans="1:21" ht="13.5" thickBot="1" x14ac:dyDescent="0.25">
      <c r="D59" s="1143"/>
      <c r="E59" s="1144"/>
      <c r="F59" s="188"/>
      <c r="G59" s="130"/>
      <c r="H59" s="130"/>
      <c r="I59" s="131" t="s">
        <v>19</v>
      </c>
      <c r="J59" s="132" t="s">
        <v>20</v>
      </c>
      <c r="K59" s="132" t="s">
        <v>20</v>
      </c>
      <c r="L59" s="132" t="s">
        <v>20</v>
      </c>
      <c r="M59" s="132" t="s">
        <v>20</v>
      </c>
      <c r="N59" s="132" t="s">
        <v>20</v>
      </c>
      <c r="O59" s="132" t="s">
        <v>20</v>
      </c>
      <c r="P59" s="132" t="s">
        <v>20</v>
      </c>
      <c r="Q59" s="132" t="s">
        <v>20</v>
      </c>
      <c r="R59" s="132" t="s">
        <v>20</v>
      </c>
      <c r="S59" s="133" t="s">
        <v>20</v>
      </c>
    </row>
    <row r="60" spans="1:21" ht="14.25" outlineLevel="2" thickBot="1" x14ac:dyDescent="0.3">
      <c r="D60" s="1141" t="s">
        <v>94</v>
      </c>
      <c r="E60" s="1142" t="s">
        <v>95</v>
      </c>
      <c r="F60" s="135" t="s">
        <v>96</v>
      </c>
      <c r="G60" s="99"/>
      <c r="H60" s="99"/>
      <c r="I60" s="99">
        <v>0</v>
      </c>
      <c r="J60" s="136">
        <v>0</v>
      </c>
      <c r="K60" s="136">
        <v>0</v>
      </c>
      <c r="L60" s="136"/>
      <c r="M60" s="136"/>
      <c r="N60" s="136"/>
      <c r="O60" s="136"/>
      <c r="P60" s="136"/>
      <c r="Q60" s="136"/>
      <c r="R60" s="136"/>
      <c r="S60" s="138"/>
      <c r="U60" s="101"/>
    </row>
    <row r="61" spans="1:21" ht="23.25" outlineLevel="2" thickBot="1" x14ac:dyDescent="0.3">
      <c r="D61" s="1141" t="s">
        <v>97</v>
      </c>
      <c r="E61" s="1142" t="s">
        <v>98</v>
      </c>
      <c r="F61" s="135" t="s">
        <v>96</v>
      </c>
      <c r="G61" s="99"/>
      <c r="H61" s="99"/>
      <c r="I61" s="99">
        <v>0</v>
      </c>
      <c r="J61" s="136">
        <v>0</v>
      </c>
      <c r="K61" s="136"/>
      <c r="L61" s="136">
        <v>0</v>
      </c>
      <c r="M61" s="136">
        <v>0</v>
      </c>
      <c r="N61" s="136">
        <v>0</v>
      </c>
      <c r="O61" s="136"/>
      <c r="P61" s="136"/>
      <c r="Q61" s="136"/>
      <c r="R61" s="136"/>
      <c r="S61" s="138"/>
      <c r="U61" s="101"/>
    </row>
    <row r="62" spans="1:21" ht="23.25" outlineLevel="2" thickBot="1" x14ac:dyDescent="0.3">
      <c r="D62" s="1141" t="s">
        <v>97</v>
      </c>
      <c r="E62" s="1142" t="s">
        <v>98</v>
      </c>
      <c r="F62" s="135" t="s">
        <v>96</v>
      </c>
      <c r="G62" s="99"/>
      <c r="H62" s="99"/>
      <c r="I62" s="99">
        <v>0</v>
      </c>
      <c r="J62" s="136">
        <v>0</v>
      </c>
      <c r="K62" s="137">
        <v>0</v>
      </c>
      <c r="L62" s="137">
        <v>0</v>
      </c>
      <c r="M62" s="137">
        <v>0</v>
      </c>
      <c r="N62" s="136">
        <v>0</v>
      </c>
      <c r="O62" s="136"/>
      <c r="P62" s="136"/>
      <c r="Q62" s="136"/>
      <c r="R62" s="136"/>
      <c r="S62" s="138"/>
      <c r="U62" s="101"/>
    </row>
    <row r="63" spans="1:21" ht="14.25" outlineLevel="2" thickBot="1" x14ac:dyDescent="0.3">
      <c r="D63" s="1141" t="s">
        <v>99</v>
      </c>
      <c r="E63" s="1142" t="s">
        <v>100</v>
      </c>
      <c r="F63" s="135" t="s">
        <v>96</v>
      </c>
      <c r="G63" s="99"/>
      <c r="H63" s="99"/>
      <c r="I63" s="99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/>
      <c r="P63" s="136"/>
      <c r="Q63" s="136"/>
      <c r="R63" s="136"/>
      <c r="S63" s="138"/>
      <c r="U63" s="101"/>
    </row>
    <row r="64" spans="1:21" ht="14.25" outlineLevel="2" thickBot="1" x14ac:dyDescent="0.3">
      <c r="D64" s="1141" t="s">
        <v>99</v>
      </c>
      <c r="E64" s="1142" t="s">
        <v>100</v>
      </c>
      <c r="F64" s="135" t="s">
        <v>96</v>
      </c>
      <c r="G64" s="99"/>
      <c r="H64" s="99"/>
      <c r="I64" s="99"/>
      <c r="J64" s="136"/>
      <c r="K64" s="136"/>
      <c r="L64" s="136"/>
      <c r="M64" s="136"/>
      <c r="N64" s="136"/>
      <c r="O64" s="136"/>
      <c r="P64" s="136"/>
      <c r="Q64" s="136"/>
      <c r="R64" s="136"/>
      <c r="S64" s="138"/>
      <c r="U64" s="101"/>
    </row>
    <row r="65" spans="1:21" ht="14.25" outlineLevel="2" thickBot="1" x14ac:dyDescent="0.3">
      <c r="D65" s="1141" t="s">
        <v>99</v>
      </c>
      <c r="E65" s="1142" t="s">
        <v>100</v>
      </c>
      <c r="F65" s="135" t="s">
        <v>96</v>
      </c>
      <c r="G65" s="99"/>
      <c r="H65" s="99"/>
      <c r="I65" s="99">
        <v>0</v>
      </c>
      <c r="J65" s="136">
        <v>0</v>
      </c>
      <c r="K65" s="136"/>
      <c r="L65" s="136"/>
      <c r="M65" s="136"/>
      <c r="N65" s="136"/>
      <c r="O65" s="136"/>
      <c r="P65" s="136"/>
      <c r="Q65" s="136"/>
      <c r="R65" s="136"/>
      <c r="S65" s="138"/>
      <c r="U65" s="101"/>
    </row>
    <row r="66" spans="1:21" ht="14.25" thickBot="1" x14ac:dyDescent="0.3">
      <c r="D66" s="1143"/>
      <c r="E66" s="1144"/>
      <c r="F66" s="140" t="s">
        <v>101</v>
      </c>
      <c r="G66" s="145"/>
      <c r="H66" s="141">
        <v>0</v>
      </c>
      <c r="I66" s="145">
        <f t="shared" ref="I66:S66" si="12">SUBTOTAL(9,I60:I65)</f>
        <v>0</v>
      </c>
      <c r="J66" s="154">
        <f>SUBTOTAL(9,J60:J65)</f>
        <v>0</v>
      </c>
      <c r="K66" s="154">
        <f t="shared" si="12"/>
        <v>0</v>
      </c>
      <c r="L66" s="154">
        <f t="shared" si="12"/>
        <v>0</v>
      </c>
      <c r="M66" s="154">
        <f t="shared" si="12"/>
        <v>0</v>
      </c>
      <c r="N66" s="154">
        <f t="shared" si="12"/>
        <v>0</v>
      </c>
      <c r="O66" s="154">
        <f t="shared" si="12"/>
        <v>0</v>
      </c>
      <c r="P66" s="154">
        <f t="shared" si="12"/>
        <v>0</v>
      </c>
      <c r="Q66" s="154">
        <f t="shared" si="12"/>
        <v>0</v>
      </c>
      <c r="R66" s="154">
        <f t="shared" si="12"/>
        <v>0</v>
      </c>
      <c r="S66" s="155">
        <f t="shared" si="12"/>
        <v>0</v>
      </c>
      <c r="T66" s="139">
        <f>ROUND(J66-SUM(K66:P66)-R66,2)</f>
        <v>0</v>
      </c>
    </row>
    <row r="67" spans="1:21" ht="23.25" outlineLevel="2" thickBot="1" x14ac:dyDescent="0.3">
      <c r="D67" s="1141" t="s">
        <v>102</v>
      </c>
      <c r="E67" s="1142" t="s">
        <v>103</v>
      </c>
      <c r="F67" s="135" t="s">
        <v>104</v>
      </c>
      <c r="G67" s="99"/>
      <c r="H67" s="146"/>
      <c r="I67" s="99">
        <v>0</v>
      </c>
      <c r="J67" s="136">
        <v>59556.340000000004</v>
      </c>
      <c r="K67" s="136"/>
      <c r="L67" s="136"/>
      <c r="M67" s="136"/>
      <c r="N67" s="136">
        <v>59556.340000000004</v>
      </c>
      <c r="O67" s="136"/>
      <c r="P67" s="136"/>
      <c r="Q67" s="136"/>
      <c r="R67" s="136"/>
      <c r="S67" s="138"/>
      <c r="T67" s="189"/>
    </row>
    <row r="68" spans="1:21" ht="14.25" thickBot="1" x14ac:dyDescent="0.3">
      <c r="D68" s="1143"/>
      <c r="E68" s="1144"/>
      <c r="F68" s="140" t="s">
        <v>105</v>
      </c>
      <c r="G68" s="145"/>
      <c r="H68" s="141">
        <v>2</v>
      </c>
      <c r="I68" s="145">
        <f t="shared" ref="I68:S68" si="13">SUBTOTAL(9,I67:I67)</f>
        <v>0</v>
      </c>
      <c r="J68" s="154">
        <f t="shared" si="13"/>
        <v>59556.340000000004</v>
      </c>
      <c r="K68" s="154">
        <f t="shared" si="13"/>
        <v>0</v>
      </c>
      <c r="L68" s="154">
        <f t="shared" si="13"/>
        <v>0</v>
      </c>
      <c r="M68" s="154">
        <f t="shared" si="13"/>
        <v>0</v>
      </c>
      <c r="N68" s="154">
        <f t="shared" si="13"/>
        <v>59556.340000000004</v>
      </c>
      <c r="O68" s="154">
        <f t="shared" si="13"/>
        <v>0</v>
      </c>
      <c r="P68" s="154">
        <f t="shared" si="13"/>
        <v>0</v>
      </c>
      <c r="Q68" s="154">
        <f t="shared" si="13"/>
        <v>0</v>
      </c>
      <c r="R68" s="154">
        <f t="shared" si="13"/>
        <v>0</v>
      </c>
      <c r="S68" s="155">
        <f t="shared" si="13"/>
        <v>0</v>
      </c>
      <c r="T68" s="139">
        <f>ROUND(J68-SUM(K68:P68)-R68,2)</f>
        <v>0</v>
      </c>
    </row>
    <row r="69" spans="1:21" ht="14.25" outlineLevel="2" thickBot="1" x14ac:dyDescent="0.3">
      <c r="D69" s="1141" t="s">
        <v>106</v>
      </c>
      <c r="E69" s="1142" t="s">
        <v>107</v>
      </c>
      <c r="F69" s="135" t="s">
        <v>72</v>
      </c>
      <c r="G69" s="145"/>
      <c r="H69" s="146"/>
      <c r="I69" s="99">
        <v>1547</v>
      </c>
      <c r="J69" s="136">
        <v>1695.55</v>
      </c>
      <c r="K69" s="136">
        <v>781</v>
      </c>
      <c r="L69" s="136">
        <v>7.53</v>
      </c>
      <c r="M69" s="136">
        <v>0</v>
      </c>
      <c r="N69" s="136">
        <v>907.01999999999987</v>
      </c>
      <c r="O69" s="136"/>
      <c r="P69" s="136"/>
      <c r="Q69" s="136"/>
      <c r="R69" s="136"/>
      <c r="S69" s="138"/>
      <c r="T69" s="189"/>
    </row>
    <row r="70" spans="1:21" ht="14.25" thickBot="1" x14ac:dyDescent="0.3">
      <c r="D70" s="1143"/>
      <c r="E70" s="1155"/>
      <c r="F70" s="178" t="s">
        <v>108</v>
      </c>
      <c r="G70" s="145"/>
      <c r="H70" s="141">
        <v>1</v>
      </c>
      <c r="I70" s="145">
        <f t="shared" ref="I70:S70" si="14">SUBTOTAL(9,I69:I69)</f>
        <v>1547</v>
      </c>
      <c r="J70" s="154">
        <f>SUBTOTAL(9,J69:J69)</f>
        <v>1695.55</v>
      </c>
      <c r="K70" s="154">
        <f t="shared" si="14"/>
        <v>781</v>
      </c>
      <c r="L70" s="154">
        <f t="shared" si="14"/>
        <v>7.53</v>
      </c>
      <c r="M70" s="154">
        <f t="shared" si="14"/>
        <v>0</v>
      </c>
      <c r="N70" s="154">
        <f t="shared" si="14"/>
        <v>907.01999999999987</v>
      </c>
      <c r="O70" s="154">
        <f t="shared" si="14"/>
        <v>0</v>
      </c>
      <c r="P70" s="154">
        <f t="shared" si="14"/>
        <v>0</v>
      </c>
      <c r="Q70" s="154">
        <f t="shared" si="14"/>
        <v>0</v>
      </c>
      <c r="R70" s="154">
        <f t="shared" si="14"/>
        <v>0</v>
      </c>
      <c r="S70" s="155">
        <f t="shared" si="14"/>
        <v>0</v>
      </c>
      <c r="T70" s="139">
        <f>ROUND(J70-SUM(K70:P70)-R70,2)</f>
        <v>0</v>
      </c>
    </row>
    <row r="71" spans="1:21" ht="14.25" outlineLevel="2" thickBot="1" x14ac:dyDescent="0.3">
      <c r="D71" s="1141" t="s">
        <v>109</v>
      </c>
      <c r="E71" s="1142" t="s">
        <v>110</v>
      </c>
      <c r="F71" s="190" t="s">
        <v>111</v>
      </c>
      <c r="G71" s="99"/>
      <c r="H71" s="146"/>
      <c r="I71" s="99">
        <v>0</v>
      </c>
      <c r="J71" s="136">
        <v>275</v>
      </c>
      <c r="K71" s="136">
        <v>275</v>
      </c>
      <c r="L71" s="136">
        <v>0</v>
      </c>
      <c r="M71" s="136">
        <v>0</v>
      </c>
      <c r="N71" s="136">
        <v>0</v>
      </c>
      <c r="O71" s="136"/>
      <c r="P71" s="136"/>
      <c r="Q71" s="136"/>
      <c r="R71" s="136"/>
      <c r="S71" s="138"/>
      <c r="T71" s="189"/>
    </row>
    <row r="72" spans="1:21" ht="14.25" thickBot="1" x14ac:dyDescent="0.3">
      <c r="D72" s="1143"/>
      <c r="E72" s="1155"/>
      <c r="F72" s="178" t="s">
        <v>112</v>
      </c>
      <c r="G72" s="145"/>
      <c r="H72" s="141">
        <v>1</v>
      </c>
      <c r="I72" s="145">
        <f t="shared" ref="I72:S72" si="15">SUBTOTAL(9,I71:I71)</f>
        <v>0</v>
      </c>
      <c r="J72" s="154">
        <f>SUBTOTAL(9,J71:J71)</f>
        <v>275</v>
      </c>
      <c r="K72" s="154">
        <f t="shared" si="15"/>
        <v>275</v>
      </c>
      <c r="L72" s="154">
        <f t="shared" si="15"/>
        <v>0</v>
      </c>
      <c r="M72" s="154">
        <f t="shared" si="15"/>
        <v>0</v>
      </c>
      <c r="N72" s="154">
        <f t="shared" si="15"/>
        <v>0</v>
      </c>
      <c r="O72" s="154">
        <f t="shared" si="15"/>
        <v>0</v>
      </c>
      <c r="P72" s="154">
        <f t="shared" si="15"/>
        <v>0</v>
      </c>
      <c r="Q72" s="154">
        <f t="shared" si="15"/>
        <v>0</v>
      </c>
      <c r="R72" s="154">
        <f t="shared" si="15"/>
        <v>0</v>
      </c>
      <c r="S72" s="155">
        <f t="shared" si="15"/>
        <v>0</v>
      </c>
      <c r="T72" s="139">
        <f>ROUND(J72-SUM(K72:P72)-R72,2)</f>
        <v>0</v>
      </c>
    </row>
    <row r="73" spans="1:21" ht="14.25" outlineLevel="2" thickBot="1" x14ac:dyDescent="0.3">
      <c r="D73" s="1141" t="s">
        <v>113</v>
      </c>
      <c r="E73" s="1142" t="s">
        <v>114</v>
      </c>
      <c r="F73" s="190" t="s">
        <v>115</v>
      </c>
      <c r="G73" s="99"/>
      <c r="H73" s="146"/>
      <c r="I73" s="99">
        <v>45788</v>
      </c>
      <c r="J73" s="136">
        <v>21955.07</v>
      </c>
      <c r="K73" s="136">
        <v>781</v>
      </c>
      <c r="L73" s="136">
        <v>222.99</v>
      </c>
      <c r="M73" s="136">
        <v>0</v>
      </c>
      <c r="N73" s="136">
        <v>20951.079999999998</v>
      </c>
      <c r="O73" s="136"/>
      <c r="P73" s="136"/>
      <c r="Q73" s="136"/>
      <c r="R73" s="136"/>
      <c r="S73" s="138"/>
      <c r="T73" s="189"/>
    </row>
    <row r="74" spans="1:21" ht="14.25" thickBot="1" x14ac:dyDescent="0.3">
      <c r="D74" s="1153"/>
      <c r="E74" s="1155"/>
      <c r="F74" s="178" t="s">
        <v>116</v>
      </c>
      <c r="G74" s="145"/>
      <c r="H74" s="141">
        <v>1</v>
      </c>
      <c r="I74" s="145">
        <f t="shared" ref="I74:S74" si="16">SUBTOTAL(9,I73:I73)</f>
        <v>45788</v>
      </c>
      <c r="J74" s="154">
        <f>SUBTOTAL(9,J73:J73)</f>
        <v>21955.07</v>
      </c>
      <c r="K74" s="154">
        <f t="shared" si="16"/>
        <v>781</v>
      </c>
      <c r="L74" s="154">
        <f t="shared" si="16"/>
        <v>222.99</v>
      </c>
      <c r="M74" s="154">
        <f t="shared" si="16"/>
        <v>0</v>
      </c>
      <c r="N74" s="154">
        <f t="shared" si="16"/>
        <v>20951.079999999998</v>
      </c>
      <c r="O74" s="154">
        <f t="shared" si="16"/>
        <v>0</v>
      </c>
      <c r="P74" s="154">
        <f t="shared" si="16"/>
        <v>0</v>
      </c>
      <c r="Q74" s="154">
        <f t="shared" si="16"/>
        <v>0</v>
      </c>
      <c r="R74" s="154">
        <f t="shared" si="16"/>
        <v>0</v>
      </c>
      <c r="S74" s="155">
        <f t="shared" si="16"/>
        <v>0</v>
      </c>
      <c r="T74" s="139">
        <f>ROUND(J74-SUM(K74:P74)-R74,2)</f>
        <v>0</v>
      </c>
    </row>
    <row r="75" spans="1:21" ht="14.25" thickBot="1" x14ac:dyDescent="0.3">
      <c r="A75" s="1158"/>
      <c r="B75" s="1158"/>
      <c r="C75" s="1158"/>
      <c r="D75" s="1396" t="s">
        <v>117</v>
      </c>
      <c r="E75" s="1396"/>
      <c r="F75" s="192" t="s">
        <v>118</v>
      </c>
      <c r="G75" s="171"/>
      <c r="H75" s="171">
        <f>SUBTOTAL(9,H60:H74)</f>
        <v>5</v>
      </c>
      <c r="I75" s="171">
        <f t="shared" ref="I75:S75" si="17">SUBTOTAL(9,I60:I74)</f>
        <v>47335</v>
      </c>
      <c r="J75" s="172">
        <f>SUBTOTAL(9,J60:J74)</f>
        <v>83481.960000000006</v>
      </c>
      <c r="K75" s="172">
        <f t="shared" si="17"/>
        <v>1837</v>
      </c>
      <c r="L75" s="172">
        <f>SUBTOTAL(9,L60:L74)</f>
        <v>230.52</v>
      </c>
      <c r="M75" s="172">
        <f t="shared" si="17"/>
        <v>0</v>
      </c>
      <c r="N75" s="172">
        <f t="shared" si="17"/>
        <v>81414.44</v>
      </c>
      <c r="O75" s="172">
        <f t="shared" si="17"/>
        <v>0</v>
      </c>
      <c r="P75" s="172">
        <f t="shared" si="17"/>
        <v>0</v>
      </c>
      <c r="Q75" s="172">
        <f t="shared" si="17"/>
        <v>0</v>
      </c>
      <c r="R75" s="172">
        <f t="shared" si="17"/>
        <v>0</v>
      </c>
      <c r="S75" s="173">
        <f t="shared" si="17"/>
        <v>0</v>
      </c>
      <c r="T75" s="139">
        <f>ROUND(J75-SUM(K75:P75)-R75,2)</f>
        <v>0</v>
      </c>
    </row>
    <row r="76" spans="1:21" ht="13.5" x14ac:dyDescent="0.25">
      <c r="G76" s="122"/>
      <c r="H76" s="122"/>
      <c r="I76" s="117"/>
      <c r="K76" s="118"/>
      <c r="L76" s="118"/>
      <c r="M76" s="118"/>
      <c r="N76" s="118"/>
      <c r="O76" s="118"/>
      <c r="P76" s="118"/>
    </row>
    <row r="77" spans="1:21" x14ac:dyDescent="0.2">
      <c r="G77" s="193" t="s">
        <v>76</v>
      </c>
      <c r="H77" s="194" t="s">
        <v>119</v>
      </c>
    </row>
    <row r="78" spans="1:21" s="120" customFormat="1" ht="11.25" x14ac:dyDescent="0.2">
      <c r="A78" s="1109"/>
      <c r="B78" s="1109"/>
      <c r="C78" s="1109"/>
      <c r="D78" s="1109"/>
      <c r="E78" s="1109"/>
      <c r="G78" s="193" t="s">
        <v>74</v>
      </c>
      <c r="H78" s="194" t="s">
        <v>120</v>
      </c>
    </row>
    <row r="79" spans="1:21" x14ac:dyDescent="0.2">
      <c r="G79" s="193" t="s">
        <v>71</v>
      </c>
      <c r="H79" s="194" t="s">
        <v>121</v>
      </c>
    </row>
    <row r="80" spans="1:21" x14ac:dyDescent="0.2">
      <c r="G80" s="195"/>
      <c r="H80" s="113"/>
    </row>
  </sheetData>
  <mergeCells count="5">
    <mergeCell ref="F1:K1"/>
    <mergeCell ref="D4:E4"/>
    <mergeCell ref="D46:E46"/>
    <mergeCell ref="D58:E58"/>
    <mergeCell ref="D75:E75"/>
  </mergeCells>
  <conditionalFormatting sqref="T5:T41 T48:T53">
    <cfRule type="cellIs" dxfId="49" priority="7" stopIfTrue="1" operator="notEqual">
      <formula>0</formula>
    </cfRule>
  </conditionalFormatting>
  <conditionalFormatting sqref="T66">
    <cfRule type="cellIs" dxfId="48" priority="6" stopIfTrue="1" operator="notEqual">
      <formula>0</formula>
    </cfRule>
  </conditionalFormatting>
  <conditionalFormatting sqref="T68">
    <cfRule type="cellIs" dxfId="47" priority="5" stopIfTrue="1" operator="notEqual">
      <formula>0</formula>
    </cfRule>
  </conditionalFormatting>
  <conditionalFormatting sqref="T70">
    <cfRule type="cellIs" dxfId="46" priority="4" stopIfTrue="1" operator="notEqual">
      <formula>0</formula>
    </cfRule>
  </conditionalFormatting>
  <conditionalFormatting sqref="T72">
    <cfRule type="cellIs" dxfId="45" priority="3" stopIfTrue="1" operator="notEqual">
      <formula>0</formula>
    </cfRule>
  </conditionalFormatting>
  <conditionalFormatting sqref="T74">
    <cfRule type="cellIs" dxfId="44" priority="2" stopIfTrue="1" operator="notEqual">
      <formula>0</formula>
    </cfRule>
  </conditionalFormatting>
  <conditionalFormatting sqref="T75">
    <cfRule type="cellIs" dxfId="43" priority="1" stopIfTrue="1" operator="notEqual">
      <formula>0</formula>
    </cfRule>
  </conditionalFormatting>
  <printOptions horizontalCentered="1"/>
  <pageMargins left="0.25" right="0" top="0.25" bottom="0.5" header="0.25" footer="0.25"/>
  <pageSetup scale="46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8" tint="0.39997558519241921"/>
    <pageSetUpPr fitToPage="1"/>
  </sheetPr>
  <dimension ref="A1:U80"/>
  <sheetViews>
    <sheetView showGridLines="0" zoomScale="90" zoomScaleNormal="90" workbookViewId="0"/>
  </sheetViews>
  <sheetFormatPr defaultRowHeight="12.75" outlineLevelRow="2" x14ac:dyDescent="0.2"/>
  <cols>
    <col min="1" max="1" width="11.140625" style="1135" customWidth="1"/>
    <col min="2" max="2" width="11.28515625" style="1135" customWidth="1"/>
    <col min="3" max="3" width="17.7109375" style="1135" customWidth="1"/>
    <col min="4" max="4" width="30" style="1135" customWidth="1"/>
    <col min="5" max="5" width="32" style="1135" customWidth="1"/>
    <col min="6" max="6" width="30.140625" style="122" bestFit="1" customWidth="1"/>
    <col min="7" max="7" width="3.7109375" style="123" bestFit="1" customWidth="1"/>
    <col min="8" max="8" width="13.5703125" style="123" bestFit="1" customWidth="1"/>
    <col min="9" max="9" width="10.7109375" style="122" customWidth="1"/>
    <col min="10" max="10" width="13.28515625" style="122" bestFit="1" customWidth="1"/>
    <col min="11" max="12" width="13.42578125" style="122" bestFit="1" customWidth="1"/>
    <col min="13" max="13" width="13.5703125" style="122" bestFit="1" customWidth="1"/>
    <col min="14" max="14" width="14.28515625" style="122" bestFit="1" customWidth="1"/>
    <col min="15" max="15" width="11.85546875" style="122" bestFit="1" customWidth="1"/>
    <col min="16" max="16" width="8.7109375" style="122" customWidth="1"/>
    <col min="17" max="17" width="10.5703125" style="122" bestFit="1" customWidth="1"/>
    <col min="18" max="18" width="13.140625" style="122" bestFit="1" customWidth="1"/>
    <col min="19" max="19" width="10.7109375" style="122" customWidth="1"/>
    <col min="20" max="20" width="17.7109375" style="122" bestFit="1" customWidth="1"/>
    <col min="21" max="21" width="6.28515625" style="122" bestFit="1" customWidth="1"/>
    <col min="22" max="16384" width="9.140625" style="122"/>
  </cols>
  <sheetData>
    <row r="1" spans="1:20" ht="23.25" customHeight="1" x14ac:dyDescent="0.35">
      <c r="A1" s="1134"/>
      <c r="D1" s="1134"/>
      <c r="F1" s="1389" t="s">
        <v>258</v>
      </c>
      <c r="G1" s="1389"/>
      <c r="H1" s="1389"/>
      <c r="I1" s="1389"/>
      <c r="J1" s="1389"/>
      <c r="K1" s="1389"/>
      <c r="L1" s="79"/>
    </row>
    <row r="2" spans="1:20" ht="15.75" thickBot="1" x14ac:dyDescent="0.35">
      <c r="A2" s="1088"/>
      <c r="D2" s="1088"/>
    </row>
    <row r="3" spans="1:20" ht="23.25" thickBot="1" x14ac:dyDescent="0.25">
      <c r="A3" s="1136"/>
      <c r="B3" s="1137"/>
      <c r="C3" s="1137"/>
      <c r="D3" s="1138" t="s">
        <v>1</v>
      </c>
      <c r="E3" s="1103"/>
      <c r="F3" s="124" t="s">
        <v>1</v>
      </c>
      <c r="G3" s="125"/>
      <c r="H3" s="126" t="s">
        <v>2</v>
      </c>
      <c r="I3" s="127" t="s">
        <v>3</v>
      </c>
      <c r="J3" s="127" t="s">
        <v>4</v>
      </c>
      <c r="K3" s="127" t="s">
        <v>5</v>
      </c>
      <c r="L3" s="127" t="s">
        <v>6</v>
      </c>
      <c r="M3" s="127" t="s">
        <v>7</v>
      </c>
      <c r="N3" s="127" t="s">
        <v>8</v>
      </c>
      <c r="O3" s="127" t="s">
        <v>9</v>
      </c>
      <c r="P3" s="127" t="s">
        <v>10</v>
      </c>
      <c r="Q3" s="127" t="s">
        <v>11</v>
      </c>
      <c r="R3" s="127" t="s">
        <v>12</v>
      </c>
      <c r="S3" s="128" t="s">
        <v>13</v>
      </c>
    </row>
    <row r="4" spans="1:20" ht="13.5" customHeight="1" thickBot="1" x14ac:dyDescent="0.25">
      <c r="A4" s="1139" t="s">
        <v>14</v>
      </c>
      <c r="B4" s="1140" t="s">
        <v>15</v>
      </c>
      <c r="C4" s="1140" t="s">
        <v>16</v>
      </c>
      <c r="D4" s="1390" t="s">
        <v>17</v>
      </c>
      <c r="E4" s="1391"/>
      <c r="F4" s="129" t="s">
        <v>18</v>
      </c>
      <c r="G4" s="130"/>
      <c r="H4" s="130"/>
      <c r="I4" s="131" t="s">
        <v>19</v>
      </c>
      <c r="J4" s="132" t="s">
        <v>20</v>
      </c>
      <c r="K4" s="132" t="s">
        <v>20</v>
      </c>
      <c r="L4" s="132" t="s">
        <v>20</v>
      </c>
      <c r="M4" s="132" t="s">
        <v>20</v>
      </c>
      <c r="N4" s="132" t="s">
        <v>20</v>
      </c>
      <c r="O4" s="132" t="s">
        <v>20</v>
      </c>
      <c r="P4" s="132" t="s">
        <v>20</v>
      </c>
      <c r="Q4" s="132" t="s">
        <v>20</v>
      </c>
      <c r="R4" s="132" t="s">
        <v>20</v>
      </c>
      <c r="S4" s="133" t="s">
        <v>20</v>
      </c>
      <c r="T4" s="134" t="s">
        <v>257</v>
      </c>
    </row>
    <row r="5" spans="1:20" ht="13.5" customHeight="1" outlineLevel="2" thickBot="1" x14ac:dyDescent="0.3">
      <c r="A5" s="1141" t="s">
        <v>21</v>
      </c>
      <c r="B5" s="1141" t="s">
        <v>21</v>
      </c>
      <c r="C5" s="1141" t="s">
        <v>22</v>
      </c>
      <c r="D5" s="1141" t="s">
        <v>23</v>
      </c>
      <c r="E5" s="1142" t="s">
        <v>24</v>
      </c>
      <c r="F5" s="135" t="s">
        <v>25</v>
      </c>
      <c r="G5" s="99"/>
      <c r="H5" s="99"/>
      <c r="I5" s="99">
        <v>42425</v>
      </c>
      <c r="J5" s="136">
        <v>27148.100000000002</v>
      </c>
      <c r="K5" s="136">
        <v>1100</v>
      </c>
      <c r="L5" s="136">
        <v>2228.16</v>
      </c>
      <c r="M5" s="137">
        <v>40.72</v>
      </c>
      <c r="N5" s="137">
        <v>23779.22</v>
      </c>
      <c r="O5" s="137">
        <v>0</v>
      </c>
      <c r="P5" s="137">
        <v>0</v>
      </c>
      <c r="Q5" s="137">
        <v>0</v>
      </c>
      <c r="R5" s="137">
        <v>0</v>
      </c>
      <c r="S5" s="138">
        <v>0</v>
      </c>
      <c r="T5" s="139"/>
    </row>
    <row r="6" spans="1:20" ht="13.5" customHeight="1" outlineLevel="2" thickBot="1" x14ac:dyDescent="0.3">
      <c r="A6" s="1141" t="s">
        <v>21</v>
      </c>
      <c r="B6" s="1141" t="s">
        <v>21</v>
      </c>
      <c r="C6" s="1141" t="s">
        <v>26</v>
      </c>
      <c r="D6" s="1141" t="s">
        <v>23</v>
      </c>
      <c r="E6" s="1142" t="s">
        <v>24</v>
      </c>
      <c r="F6" s="135" t="s">
        <v>27</v>
      </c>
      <c r="G6" s="99"/>
      <c r="H6" s="99"/>
      <c r="I6" s="99">
        <v>45455</v>
      </c>
      <c r="J6" s="136">
        <v>28183.469999999998</v>
      </c>
      <c r="K6" s="136">
        <v>275</v>
      </c>
      <c r="L6" s="136">
        <v>2387.3000000000002</v>
      </c>
      <c r="M6" s="137">
        <v>43.64</v>
      </c>
      <c r="N6" s="137">
        <v>25477.53</v>
      </c>
      <c r="O6" s="137">
        <v>0</v>
      </c>
      <c r="P6" s="137">
        <v>0</v>
      </c>
      <c r="Q6" s="137">
        <v>0</v>
      </c>
      <c r="R6" s="137">
        <v>0</v>
      </c>
      <c r="S6" s="138">
        <v>0</v>
      </c>
      <c r="T6" s="139"/>
    </row>
    <row r="7" spans="1:20" ht="13.5" customHeight="1" outlineLevel="2" thickBot="1" x14ac:dyDescent="0.3">
      <c r="A7" s="1141" t="s">
        <v>21</v>
      </c>
      <c r="B7" s="1141" t="s">
        <v>21</v>
      </c>
      <c r="C7" s="1141" t="s">
        <v>28</v>
      </c>
      <c r="D7" s="1141" t="s">
        <v>29</v>
      </c>
      <c r="E7" s="1142" t="s">
        <v>30</v>
      </c>
      <c r="F7" s="135" t="s">
        <v>31</v>
      </c>
      <c r="G7" s="99"/>
      <c r="H7" s="99"/>
      <c r="I7" s="99">
        <v>50370</v>
      </c>
      <c r="J7" s="136">
        <v>32802.81</v>
      </c>
      <c r="K7" s="136">
        <v>1925</v>
      </c>
      <c r="L7" s="136">
        <v>2645.42</v>
      </c>
      <c r="M7" s="137">
        <v>0</v>
      </c>
      <c r="N7" s="137">
        <v>28232.39</v>
      </c>
      <c r="O7" s="137">
        <v>0</v>
      </c>
      <c r="P7" s="137">
        <v>0</v>
      </c>
      <c r="Q7" s="137">
        <v>0</v>
      </c>
      <c r="R7" s="137">
        <v>0</v>
      </c>
      <c r="S7" s="138">
        <v>0</v>
      </c>
      <c r="T7" s="139"/>
    </row>
    <row r="8" spans="1:20" ht="13.5" customHeight="1" outlineLevel="2" thickBot="1" x14ac:dyDescent="0.3">
      <c r="A8" s="1141" t="s">
        <v>21</v>
      </c>
      <c r="B8" s="1141" t="s">
        <v>21</v>
      </c>
      <c r="C8" s="1141" t="s">
        <v>26</v>
      </c>
      <c r="D8" s="1141" t="s">
        <v>29</v>
      </c>
      <c r="E8" s="1142" t="s">
        <v>30</v>
      </c>
      <c r="F8" s="135" t="s">
        <v>32</v>
      </c>
      <c r="G8" s="99"/>
      <c r="H8" s="99"/>
      <c r="I8" s="99">
        <v>12172</v>
      </c>
      <c r="J8" s="136">
        <v>7736.68</v>
      </c>
      <c r="K8" s="136">
        <v>275</v>
      </c>
      <c r="L8" s="136">
        <v>639.27</v>
      </c>
      <c r="M8" s="137">
        <v>0</v>
      </c>
      <c r="N8" s="137">
        <v>6822.41</v>
      </c>
      <c r="O8" s="137">
        <v>0</v>
      </c>
      <c r="P8" s="137">
        <v>0</v>
      </c>
      <c r="Q8" s="137">
        <v>0</v>
      </c>
      <c r="R8" s="137">
        <v>0</v>
      </c>
      <c r="S8" s="138">
        <v>0</v>
      </c>
      <c r="T8" s="139"/>
    </row>
    <row r="9" spans="1:20" s="98" customFormat="1" ht="13.5" customHeight="1" outlineLevel="1" thickBot="1" x14ac:dyDescent="0.3">
      <c r="A9" s="1143"/>
      <c r="B9" s="1143"/>
      <c r="C9" s="1143"/>
      <c r="D9" s="1143"/>
      <c r="E9" s="1144"/>
      <c r="F9" s="140" t="s">
        <v>33</v>
      </c>
      <c r="G9" s="99"/>
      <c r="H9" s="141">
        <v>13</v>
      </c>
      <c r="I9" s="142">
        <f t="shared" ref="I9:S9" si="0">SUBTOTAL(9,I5:I8)</f>
        <v>150422</v>
      </c>
      <c r="J9" s="143">
        <f>SUBTOTAL(9,J5:J8)</f>
        <v>95871.06</v>
      </c>
      <c r="K9" s="143">
        <f t="shared" si="0"/>
        <v>3575</v>
      </c>
      <c r="L9" s="143">
        <f t="shared" si="0"/>
        <v>7900.15</v>
      </c>
      <c r="M9" s="143">
        <f t="shared" si="0"/>
        <v>84.36</v>
      </c>
      <c r="N9" s="143">
        <f t="shared" si="0"/>
        <v>84311.55</v>
      </c>
      <c r="O9" s="143">
        <f t="shared" si="0"/>
        <v>0</v>
      </c>
      <c r="P9" s="143">
        <f t="shared" si="0"/>
        <v>0</v>
      </c>
      <c r="Q9" s="143">
        <f t="shared" si="0"/>
        <v>0</v>
      </c>
      <c r="R9" s="143">
        <f t="shared" si="0"/>
        <v>0</v>
      </c>
      <c r="S9" s="144">
        <f t="shared" si="0"/>
        <v>0</v>
      </c>
      <c r="T9" s="139">
        <f>ROUND(J9-SUM(K9:P9)-R9,2)</f>
        <v>0</v>
      </c>
    </row>
    <row r="10" spans="1:20" ht="13.5" customHeight="1" outlineLevel="2" thickBot="1" x14ac:dyDescent="0.3">
      <c r="A10" s="1141" t="s">
        <v>21</v>
      </c>
      <c r="B10" s="1141" t="s">
        <v>21</v>
      </c>
      <c r="C10" s="1141" t="s">
        <v>22</v>
      </c>
      <c r="D10" s="1141" t="s">
        <v>34</v>
      </c>
      <c r="E10" s="1142" t="s">
        <v>35</v>
      </c>
      <c r="F10" s="135" t="s">
        <v>36</v>
      </c>
      <c r="G10" s="145"/>
      <c r="H10" s="146"/>
      <c r="I10" s="147">
        <v>304</v>
      </c>
      <c r="J10" s="148">
        <v>707.58999999999992</v>
      </c>
      <c r="K10" s="148">
        <v>480</v>
      </c>
      <c r="L10" s="148">
        <v>56.91</v>
      </c>
      <c r="M10" s="148">
        <v>0.28999999999999998</v>
      </c>
      <c r="N10" s="148">
        <v>170.39</v>
      </c>
      <c r="O10" s="148">
        <v>0</v>
      </c>
      <c r="P10" s="148">
        <v>0</v>
      </c>
      <c r="Q10" s="148">
        <v>0</v>
      </c>
      <c r="R10" s="148">
        <v>0</v>
      </c>
      <c r="S10" s="149">
        <v>0</v>
      </c>
      <c r="T10" s="139"/>
    </row>
    <row r="11" spans="1:20" ht="13.5" customHeight="1" outlineLevel="2" thickBot="1" x14ac:dyDescent="0.3">
      <c r="A11" s="1141" t="s">
        <v>21</v>
      </c>
      <c r="B11" s="1141" t="s">
        <v>21</v>
      </c>
      <c r="C11" s="1141" t="s">
        <v>26</v>
      </c>
      <c r="D11" s="1141" t="s">
        <v>34</v>
      </c>
      <c r="E11" s="1142" t="s">
        <v>35</v>
      </c>
      <c r="F11" s="135" t="s">
        <v>36</v>
      </c>
      <c r="G11" s="99"/>
      <c r="H11" s="146"/>
      <c r="I11" s="147">
        <v>54</v>
      </c>
      <c r="J11" s="148">
        <v>130.43</v>
      </c>
      <c r="K11" s="148">
        <v>90</v>
      </c>
      <c r="L11" s="148">
        <v>10.11</v>
      </c>
      <c r="M11" s="148">
        <v>0.05</v>
      </c>
      <c r="N11" s="148">
        <v>30.27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139"/>
    </row>
    <row r="12" spans="1:20" ht="13.5" customHeight="1" outlineLevel="2" thickBot="1" x14ac:dyDescent="0.3">
      <c r="A12" s="1141" t="s">
        <v>21</v>
      </c>
      <c r="B12" s="1141" t="s">
        <v>21</v>
      </c>
      <c r="C12" s="1141" t="s">
        <v>22</v>
      </c>
      <c r="D12" s="1141" t="s">
        <v>37</v>
      </c>
      <c r="E12" s="1142" t="s">
        <v>38</v>
      </c>
      <c r="F12" s="135" t="s">
        <v>39</v>
      </c>
      <c r="G12" s="99"/>
      <c r="H12" s="146"/>
      <c r="I12" s="147">
        <v>2785782</v>
      </c>
      <c r="J12" s="148">
        <v>2860076.4200000004</v>
      </c>
      <c r="K12" s="148">
        <v>825151.01</v>
      </c>
      <c r="L12" s="148">
        <v>470939.42</v>
      </c>
      <c r="M12" s="148">
        <v>2669.5</v>
      </c>
      <c r="N12" s="148">
        <v>1561311.75</v>
      </c>
      <c r="O12" s="148">
        <v>4.74</v>
      </c>
      <c r="P12" s="148">
        <v>0</v>
      </c>
      <c r="Q12" s="148">
        <v>0</v>
      </c>
      <c r="R12" s="148">
        <v>0</v>
      </c>
      <c r="S12" s="149">
        <v>1003.07</v>
      </c>
      <c r="T12" s="139"/>
    </row>
    <row r="13" spans="1:20" ht="13.5" customHeight="1" outlineLevel="2" thickBot="1" x14ac:dyDescent="0.3">
      <c r="A13" s="1141" t="s">
        <v>21</v>
      </c>
      <c r="B13" s="1141" t="s">
        <v>21</v>
      </c>
      <c r="C13" s="1141" t="s">
        <v>26</v>
      </c>
      <c r="D13" s="1141" t="s">
        <v>37</v>
      </c>
      <c r="E13" s="1142" t="s">
        <v>38</v>
      </c>
      <c r="F13" s="135" t="s">
        <v>39</v>
      </c>
      <c r="G13" s="145"/>
      <c r="H13" s="146"/>
      <c r="I13" s="147">
        <v>292763</v>
      </c>
      <c r="J13" s="148">
        <v>287393.06999999995</v>
      </c>
      <c r="K13" s="148">
        <v>74255.67</v>
      </c>
      <c r="L13" s="148">
        <v>48762.74</v>
      </c>
      <c r="M13" s="148">
        <v>280.83</v>
      </c>
      <c r="N13" s="148">
        <v>164093.91</v>
      </c>
      <c r="O13" s="148">
        <v>-0.08</v>
      </c>
      <c r="P13" s="148">
        <v>0</v>
      </c>
      <c r="Q13" s="148">
        <v>0</v>
      </c>
      <c r="R13" s="148">
        <v>0</v>
      </c>
      <c r="S13" s="149">
        <v>86.46</v>
      </c>
      <c r="T13" s="139"/>
    </row>
    <row r="14" spans="1:20" ht="13.5" customHeight="1" outlineLevel="2" thickBot="1" x14ac:dyDescent="0.3">
      <c r="A14" s="1141" t="s">
        <v>21</v>
      </c>
      <c r="B14" s="1141" t="s">
        <v>21</v>
      </c>
      <c r="C14" s="1141" t="s">
        <v>40</v>
      </c>
      <c r="D14" s="1141" t="s">
        <v>37</v>
      </c>
      <c r="E14" s="1142" t="s">
        <v>38</v>
      </c>
      <c r="F14" s="135" t="s">
        <v>39</v>
      </c>
      <c r="G14" s="99"/>
      <c r="H14" s="146"/>
      <c r="I14" s="147">
        <v>1993</v>
      </c>
      <c r="J14" s="148">
        <v>1822.86</v>
      </c>
      <c r="K14" s="148">
        <v>350</v>
      </c>
      <c r="L14" s="148">
        <v>353.88</v>
      </c>
      <c r="M14" s="148">
        <v>1.91</v>
      </c>
      <c r="N14" s="148">
        <v>1117.07</v>
      </c>
      <c r="O14" s="148">
        <v>0</v>
      </c>
      <c r="P14" s="148">
        <v>0</v>
      </c>
      <c r="Q14" s="148">
        <v>0</v>
      </c>
      <c r="R14" s="148">
        <v>0</v>
      </c>
      <c r="S14" s="149">
        <v>0</v>
      </c>
      <c r="T14" s="139"/>
    </row>
    <row r="15" spans="1:20" ht="13.5" customHeight="1" outlineLevel="2" thickBot="1" x14ac:dyDescent="0.3">
      <c r="A15" s="1141" t="s">
        <v>21</v>
      </c>
      <c r="B15" s="1141" t="s">
        <v>21</v>
      </c>
      <c r="C15" s="1141" t="s">
        <v>22</v>
      </c>
      <c r="D15" s="1141" t="s">
        <v>41</v>
      </c>
      <c r="E15" s="1142" t="s">
        <v>42</v>
      </c>
      <c r="F15" s="135" t="s">
        <v>43</v>
      </c>
      <c r="G15" s="99"/>
      <c r="H15" s="146"/>
      <c r="I15" s="147">
        <v>613</v>
      </c>
      <c r="J15" s="148">
        <v>19059.66</v>
      </c>
      <c r="K15" s="148">
        <v>18600</v>
      </c>
      <c r="L15" s="148">
        <v>116.38</v>
      </c>
      <c r="M15" s="148">
        <v>0</v>
      </c>
      <c r="N15" s="148">
        <v>343.28</v>
      </c>
      <c r="O15" s="148">
        <v>0</v>
      </c>
      <c r="P15" s="148">
        <v>0</v>
      </c>
      <c r="Q15" s="148">
        <v>0</v>
      </c>
      <c r="R15" s="148">
        <v>0</v>
      </c>
      <c r="S15" s="149">
        <v>1.84</v>
      </c>
      <c r="T15" s="139"/>
    </row>
    <row r="16" spans="1:20" s="98" customFormat="1" ht="13.5" customHeight="1" outlineLevel="1" thickBot="1" x14ac:dyDescent="0.3">
      <c r="A16" s="1143"/>
      <c r="B16" s="1143"/>
      <c r="C16" s="1143"/>
      <c r="D16" s="1143"/>
      <c r="E16" s="1144"/>
      <c r="F16" s="140" t="s">
        <v>44</v>
      </c>
      <c r="G16" s="99"/>
      <c r="H16" s="141">
        <v>25442</v>
      </c>
      <c r="I16" s="142">
        <f t="shared" ref="I16:S16" si="1">SUBTOTAL(9,I10:I15)</f>
        <v>3081509</v>
      </c>
      <c r="J16" s="143">
        <f>SUBTOTAL(9,J10:J15)</f>
        <v>3169190.0300000003</v>
      </c>
      <c r="K16" s="143">
        <f t="shared" si="1"/>
        <v>918926.68</v>
      </c>
      <c r="L16" s="143">
        <f t="shared" si="1"/>
        <v>520239.44</v>
      </c>
      <c r="M16" s="143">
        <f t="shared" si="1"/>
        <v>2952.58</v>
      </c>
      <c r="N16" s="143">
        <f t="shared" si="1"/>
        <v>1727066.67</v>
      </c>
      <c r="O16" s="143">
        <f t="shared" si="1"/>
        <v>4.66</v>
      </c>
      <c r="P16" s="143">
        <f t="shared" si="1"/>
        <v>0</v>
      </c>
      <c r="Q16" s="143">
        <f t="shared" si="1"/>
        <v>0</v>
      </c>
      <c r="R16" s="143">
        <f t="shared" si="1"/>
        <v>0</v>
      </c>
      <c r="S16" s="144">
        <f t="shared" si="1"/>
        <v>1091.3699999999999</v>
      </c>
      <c r="T16" s="139">
        <f>ROUND(J16-SUM(K16:P16)-R16,2)</f>
        <v>0</v>
      </c>
    </row>
    <row r="17" spans="1:21" ht="13.5" customHeight="1" outlineLevel="2" thickBot="1" x14ac:dyDescent="0.3">
      <c r="A17" s="1141" t="s">
        <v>21</v>
      </c>
      <c r="B17" s="1141" t="s">
        <v>21</v>
      </c>
      <c r="C17" s="1141" t="s">
        <v>28</v>
      </c>
      <c r="D17" s="1141" t="s">
        <v>45</v>
      </c>
      <c r="E17" s="1142" t="s">
        <v>46</v>
      </c>
      <c r="F17" s="135" t="s">
        <v>47</v>
      </c>
      <c r="G17" s="99"/>
      <c r="H17" s="146"/>
      <c r="I17" s="147">
        <v>427187</v>
      </c>
      <c r="J17" s="148">
        <v>322081.23</v>
      </c>
      <c r="K17" s="148">
        <v>20074</v>
      </c>
      <c r="L17" s="148">
        <v>62569.3</v>
      </c>
      <c r="M17" s="148">
        <v>0</v>
      </c>
      <c r="N17" s="148">
        <v>239437.93</v>
      </c>
      <c r="O17" s="148">
        <v>0</v>
      </c>
      <c r="P17" s="148">
        <v>0</v>
      </c>
      <c r="Q17" s="148">
        <v>0</v>
      </c>
      <c r="R17" s="148">
        <v>0</v>
      </c>
      <c r="S17" s="149">
        <v>0</v>
      </c>
      <c r="T17" s="139"/>
    </row>
    <row r="18" spans="1:21" ht="13.5" customHeight="1" outlineLevel="2" thickBot="1" x14ac:dyDescent="0.3">
      <c r="A18" s="1145"/>
      <c r="B18" s="1145"/>
      <c r="C18" s="1145"/>
      <c r="D18" s="1141" t="s">
        <v>45</v>
      </c>
      <c r="E18" s="1146"/>
      <c r="F18" s="135" t="s">
        <v>47</v>
      </c>
      <c r="G18" s="99"/>
      <c r="H18" s="146"/>
      <c r="I18" s="147">
        <v>3284</v>
      </c>
      <c r="J18" s="148">
        <v>2521.16</v>
      </c>
      <c r="K18" s="148">
        <v>170</v>
      </c>
      <c r="L18" s="148">
        <v>510.48</v>
      </c>
      <c r="M18" s="148">
        <v>0</v>
      </c>
      <c r="N18" s="148">
        <v>1840.68</v>
      </c>
      <c r="O18" s="148">
        <v>0</v>
      </c>
      <c r="P18" s="148">
        <v>0</v>
      </c>
      <c r="Q18" s="148">
        <v>0</v>
      </c>
      <c r="R18" s="148">
        <v>0</v>
      </c>
      <c r="S18" s="149">
        <v>0</v>
      </c>
      <c r="T18" s="139"/>
    </row>
    <row r="19" spans="1:21" ht="13.5" customHeight="1" outlineLevel="2" thickBot="1" x14ac:dyDescent="0.3">
      <c r="A19" s="1141" t="s">
        <v>21</v>
      </c>
      <c r="B19" s="1141" t="s">
        <v>21</v>
      </c>
      <c r="C19" s="1141" t="s">
        <v>26</v>
      </c>
      <c r="D19" s="1141" t="s">
        <v>45</v>
      </c>
      <c r="E19" s="1142" t="s">
        <v>46</v>
      </c>
      <c r="F19" s="135" t="s">
        <v>47</v>
      </c>
      <c r="G19" s="99"/>
      <c r="H19" s="146"/>
      <c r="I19" s="147">
        <v>77</v>
      </c>
      <c r="J19" s="148">
        <v>347.79999999999995</v>
      </c>
      <c r="K19" s="148">
        <v>290</v>
      </c>
      <c r="L19" s="148">
        <v>14.64</v>
      </c>
      <c r="M19" s="148">
        <v>0</v>
      </c>
      <c r="N19" s="148">
        <v>43.16</v>
      </c>
      <c r="O19" s="148">
        <v>0</v>
      </c>
      <c r="P19" s="148">
        <v>0</v>
      </c>
      <c r="Q19" s="148">
        <v>0</v>
      </c>
      <c r="R19" s="148">
        <v>0</v>
      </c>
      <c r="S19" s="149">
        <v>0</v>
      </c>
      <c r="T19" s="139"/>
    </row>
    <row r="20" spans="1:21" s="98" customFormat="1" ht="13.5" customHeight="1" outlineLevel="1" thickBot="1" x14ac:dyDescent="0.3">
      <c r="A20" s="1143"/>
      <c r="B20" s="1143"/>
      <c r="C20" s="1143"/>
      <c r="D20" s="1143"/>
      <c r="E20" s="1144"/>
      <c r="F20" s="140" t="s">
        <v>48</v>
      </c>
      <c r="G20" s="145"/>
      <c r="H20" s="141">
        <v>210</v>
      </c>
      <c r="I20" s="142">
        <f t="shared" ref="I20:S20" si="2">SUBTOTAL(9,I17:I19)</f>
        <v>430548</v>
      </c>
      <c r="J20" s="143">
        <f>SUBTOTAL(9,J17:J19)</f>
        <v>324950.18999999994</v>
      </c>
      <c r="K20" s="143">
        <f t="shared" si="2"/>
        <v>20534</v>
      </c>
      <c r="L20" s="143">
        <f t="shared" si="2"/>
        <v>63094.420000000006</v>
      </c>
      <c r="M20" s="143">
        <f t="shared" si="2"/>
        <v>0</v>
      </c>
      <c r="N20" s="143">
        <f t="shared" si="2"/>
        <v>241321.77</v>
      </c>
      <c r="O20" s="143">
        <f t="shared" si="2"/>
        <v>0</v>
      </c>
      <c r="P20" s="143">
        <f t="shared" si="2"/>
        <v>0</v>
      </c>
      <c r="Q20" s="143">
        <f t="shared" si="2"/>
        <v>0</v>
      </c>
      <c r="R20" s="143">
        <f t="shared" si="2"/>
        <v>0</v>
      </c>
      <c r="S20" s="144">
        <f t="shared" si="2"/>
        <v>0</v>
      </c>
      <c r="T20" s="139">
        <f>ROUND(J20-SUM(K20:P20)-R20,2)</f>
        <v>0</v>
      </c>
    </row>
    <row r="21" spans="1:21" ht="13.5" customHeight="1" outlineLevel="2" thickBot="1" x14ac:dyDescent="0.3">
      <c r="A21" s="1141" t="s">
        <v>21</v>
      </c>
      <c r="B21" s="1141" t="s">
        <v>21</v>
      </c>
      <c r="C21" s="1141" t="s">
        <v>40</v>
      </c>
      <c r="D21" s="1141" t="s">
        <v>49</v>
      </c>
      <c r="E21" s="1142" t="s">
        <v>50</v>
      </c>
      <c r="F21" s="135" t="s">
        <v>51</v>
      </c>
      <c r="G21" s="99"/>
      <c r="H21" s="146"/>
      <c r="I21" s="147">
        <v>32</v>
      </c>
      <c r="J21" s="148">
        <v>50.710000000000008</v>
      </c>
      <c r="K21" s="148">
        <v>25</v>
      </c>
      <c r="L21" s="148">
        <v>7.17</v>
      </c>
      <c r="M21" s="148">
        <v>0.6</v>
      </c>
      <c r="N21" s="148">
        <v>17.940000000000001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139"/>
    </row>
    <row r="22" spans="1:21" ht="13.5" customHeight="1" outlineLevel="2" thickBot="1" x14ac:dyDescent="0.3">
      <c r="A22" s="1141" t="s">
        <v>21</v>
      </c>
      <c r="B22" s="1141" t="s">
        <v>21</v>
      </c>
      <c r="C22" s="1141" t="s">
        <v>40</v>
      </c>
      <c r="D22" s="1141" t="s">
        <v>52</v>
      </c>
      <c r="E22" s="1142" t="s">
        <v>53</v>
      </c>
      <c r="F22" s="135" t="s">
        <v>54</v>
      </c>
      <c r="G22" s="145"/>
      <c r="H22" s="146"/>
      <c r="I22" s="147">
        <v>3921968</v>
      </c>
      <c r="J22" s="148">
        <v>6782645.8599999994</v>
      </c>
      <c r="K22" s="148">
        <v>3632083.84</v>
      </c>
      <c r="L22" s="148">
        <v>878423.84</v>
      </c>
      <c r="M22" s="148">
        <v>74060.34</v>
      </c>
      <c r="N22" s="148">
        <v>2198183.7799999998</v>
      </c>
      <c r="O22" s="148">
        <v>-105.94</v>
      </c>
      <c r="P22" s="148">
        <v>0</v>
      </c>
      <c r="Q22" s="148">
        <v>44088.75</v>
      </c>
      <c r="R22" s="148">
        <v>0</v>
      </c>
      <c r="S22" s="149">
        <v>1530.37</v>
      </c>
      <c r="T22" s="139"/>
    </row>
    <row r="23" spans="1:21" ht="13.5" customHeight="1" outlineLevel="2" thickBot="1" x14ac:dyDescent="0.3">
      <c r="A23" s="1141" t="s">
        <v>21</v>
      </c>
      <c r="B23" s="1141" t="s">
        <v>21</v>
      </c>
      <c r="C23" s="1141" t="s">
        <v>26</v>
      </c>
      <c r="D23" s="1141" t="s">
        <v>52</v>
      </c>
      <c r="E23" s="1142" t="s">
        <v>53</v>
      </c>
      <c r="F23" s="135" t="s">
        <v>54</v>
      </c>
      <c r="G23" s="99"/>
      <c r="H23" s="146"/>
      <c r="I23" s="147">
        <v>439</v>
      </c>
      <c r="J23" s="148">
        <v>479.15</v>
      </c>
      <c r="K23" s="148">
        <v>126.46</v>
      </c>
      <c r="L23" s="148">
        <v>98.32</v>
      </c>
      <c r="M23" s="148">
        <v>8.32</v>
      </c>
      <c r="N23" s="148">
        <v>246.05</v>
      </c>
      <c r="O23" s="148">
        <v>0</v>
      </c>
      <c r="P23" s="148">
        <v>0</v>
      </c>
      <c r="Q23" s="148">
        <v>0.6</v>
      </c>
      <c r="R23" s="148">
        <v>0</v>
      </c>
      <c r="S23" s="149">
        <v>0</v>
      </c>
      <c r="T23" s="139"/>
    </row>
    <row r="24" spans="1:21" ht="13.5" customHeight="1" outlineLevel="2" thickBot="1" x14ac:dyDescent="0.3">
      <c r="A24" s="1145"/>
      <c r="B24" s="1145"/>
      <c r="C24" s="1145"/>
      <c r="D24" s="1141" t="s">
        <v>52</v>
      </c>
      <c r="E24" s="1142"/>
      <c r="F24" s="135" t="s">
        <v>54</v>
      </c>
      <c r="G24" s="99"/>
      <c r="H24" s="146"/>
      <c r="I24" s="147">
        <v>32</v>
      </c>
      <c r="J24" s="148">
        <v>63.210000000000008</v>
      </c>
      <c r="K24" s="148">
        <v>37.5</v>
      </c>
      <c r="L24" s="148">
        <v>7.17</v>
      </c>
      <c r="M24" s="148">
        <v>0.6</v>
      </c>
      <c r="N24" s="148">
        <v>17.940000000000001</v>
      </c>
      <c r="O24" s="148">
        <v>0</v>
      </c>
      <c r="P24" s="148">
        <v>0</v>
      </c>
      <c r="Q24" s="148">
        <v>0.45</v>
      </c>
      <c r="R24" s="148">
        <v>0</v>
      </c>
      <c r="S24" s="149">
        <v>0</v>
      </c>
      <c r="T24" s="139"/>
    </row>
    <row r="25" spans="1:21" ht="13.5" customHeight="1" outlineLevel="2" thickBot="1" x14ac:dyDescent="0.3">
      <c r="A25" s="1141" t="s">
        <v>21</v>
      </c>
      <c r="B25" s="1141" t="s">
        <v>21</v>
      </c>
      <c r="C25" s="1141" t="s">
        <v>40</v>
      </c>
      <c r="D25" s="1141" t="s">
        <v>55</v>
      </c>
      <c r="E25" s="1142" t="s">
        <v>56</v>
      </c>
      <c r="F25" s="135" t="s">
        <v>57</v>
      </c>
      <c r="G25" s="145"/>
      <c r="H25" s="146"/>
      <c r="I25" s="147">
        <v>170</v>
      </c>
      <c r="J25" s="148">
        <v>88.12</v>
      </c>
      <c r="K25" s="148">
        <v>0.5</v>
      </c>
      <c r="L25" s="148">
        <v>-7.67</v>
      </c>
      <c r="M25" s="148">
        <v>0</v>
      </c>
      <c r="N25" s="148">
        <v>95.29</v>
      </c>
      <c r="O25" s="148">
        <v>0</v>
      </c>
      <c r="P25" s="148">
        <v>0</v>
      </c>
      <c r="Q25" s="148">
        <v>0</v>
      </c>
      <c r="R25" s="148">
        <v>0</v>
      </c>
      <c r="S25" s="149">
        <v>0</v>
      </c>
      <c r="T25" s="139"/>
    </row>
    <row r="26" spans="1:21" s="98" customFormat="1" ht="13.5" customHeight="1" outlineLevel="1" thickBot="1" x14ac:dyDescent="0.3">
      <c r="A26" s="1143"/>
      <c r="B26" s="1143"/>
      <c r="C26" s="1143"/>
      <c r="D26" s="1143"/>
      <c r="E26" s="1144"/>
      <c r="F26" s="140" t="s">
        <v>58</v>
      </c>
      <c r="G26" s="145"/>
      <c r="H26" s="141">
        <v>291015</v>
      </c>
      <c r="I26" s="142">
        <f t="shared" ref="I26:S26" si="3">SUBTOTAL(9,I21:I25)</f>
        <v>3922641</v>
      </c>
      <c r="J26" s="143">
        <f>SUBTOTAL(9,J21:J25)</f>
        <v>6783327.0499999998</v>
      </c>
      <c r="K26" s="143">
        <f t="shared" si="3"/>
        <v>3632273.3</v>
      </c>
      <c r="L26" s="143">
        <f t="shared" si="3"/>
        <v>878528.83</v>
      </c>
      <c r="M26" s="143">
        <f t="shared" si="3"/>
        <v>74069.860000000015</v>
      </c>
      <c r="N26" s="143">
        <f t="shared" si="3"/>
        <v>2198560.9999999995</v>
      </c>
      <c r="O26" s="143">
        <f t="shared" si="3"/>
        <v>-105.94</v>
      </c>
      <c r="P26" s="143">
        <f t="shared" si="3"/>
        <v>0</v>
      </c>
      <c r="Q26" s="143">
        <f t="shared" si="3"/>
        <v>44089.799999999996</v>
      </c>
      <c r="R26" s="143">
        <f t="shared" si="3"/>
        <v>0</v>
      </c>
      <c r="S26" s="144">
        <f t="shared" si="3"/>
        <v>1530.37</v>
      </c>
      <c r="T26" s="139">
        <f>ROUND(J26-SUM(K26:P26)-R26,2)</f>
        <v>0</v>
      </c>
    </row>
    <row r="27" spans="1:21" ht="13.5" customHeight="1" outlineLevel="2" thickBot="1" x14ac:dyDescent="0.3">
      <c r="A27" s="1141" t="s">
        <v>21</v>
      </c>
      <c r="B27" s="1141" t="s">
        <v>21</v>
      </c>
      <c r="C27" s="1141" t="s">
        <v>40</v>
      </c>
      <c r="D27" s="1141" t="s">
        <v>59</v>
      </c>
      <c r="E27" s="1142" t="s">
        <v>60</v>
      </c>
      <c r="F27" s="135" t="s">
        <v>61</v>
      </c>
      <c r="G27" s="99"/>
      <c r="H27" s="146"/>
      <c r="I27" s="147">
        <v>212</v>
      </c>
      <c r="J27" s="148">
        <v>207.79</v>
      </c>
      <c r="K27" s="148">
        <v>37.5</v>
      </c>
      <c r="L27" s="148">
        <v>47.47</v>
      </c>
      <c r="M27" s="148">
        <v>4</v>
      </c>
      <c r="N27" s="148">
        <v>118.82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139"/>
    </row>
    <row r="28" spans="1:21" ht="13.5" customHeight="1" outlineLevel="2" thickBot="1" x14ac:dyDescent="0.3">
      <c r="A28" s="1141" t="s">
        <v>21</v>
      </c>
      <c r="B28" s="1141" t="s">
        <v>21</v>
      </c>
      <c r="C28" s="1141" t="s">
        <v>26</v>
      </c>
      <c r="D28" s="1141" t="s">
        <v>59</v>
      </c>
      <c r="E28" s="1142" t="s">
        <v>60</v>
      </c>
      <c r="F28" s="135" t="s">
        <v>61</v>
      </c>
      <c r="G28" s="99"/>
      <c r="H28" s="146"/>
      <c r="I28" s="147">
        <v>143</v>
      </c>
      <c r="J28" s="148">
        <v>127.38000000000001</v>
      </c>
      <c r="K28" s="148">
        <v>12.5</v>
      </c>
      <c r="L28" s="148">
        <v>32.03</v>
      </c>
      <c r="M28" s="148">
        <v>2.7</v>
      </c>
      <c r="N28" s="148">
        <v>80.150000000000006</v>
      </c>
      <c r="O28" s="148">
        <v>0</v>
      </c>
      <c r="P28" s="148">
        <v>0</v>
      </c>
      <c r="Q28" s="148">
        <v>0</v>
      </c>
      <c r="R28" s="148">
        <v>0</v>
      </c>
      <c r="S28" s="149">
        <v>0</v>
      </c>
      <c r="T28" s="139"/>
    </row>
    <row r="29" spans="1:21" s="98" customFormat="1" ht="13.5" customHeight="1" outlineLevel="1" thickBot="1" x14ac:dyDescent="0.3">
      <c r="A29" s="1149"/>
      <c r="B29" s="1149"/>
      <c r="C29" s="1149"/>
      <c r="D29" s="1149"/>
      <c r="E29" s="1149"/>
      <c r="F29" s="150" t="s">
        <v>62</v>
      </c>
      <c r="G29" s="99"/>
      <c r="H29" s="141">
        <v>4</v>
      </c>
      <c r="I29" s="142">
        <f>SUBTOTAL(9,I27:I28)</f>
        <v>355</v>
      </c>
      <c r="J29" s="143">
        <f>SUBTOTAL(9,J27:J28)</f>
        <v>335.17</v>
      </c>
      <c r="K29" s="143">
        <f t="shared" ref="K29:S29" si="4">SUBTOTAL(9,K27:K28)</f>
        <v>50</v>
      </c>
      <c r="L29" s="143">
        <f t="shared" si="4"/>
        <v>79.5</v>
      </c>
      <c r="M29" s="143">
        <f t="shared" si="4"/>
        <v>6.7</v>
      </c>
      <c r="N29" s="143">
        <f t="shared" si="4"/>
        <v>198.97</v>
      </c>
      <c r="O29" s="143">
        <f t="shared" si="4"/>
        <v>0</v>
      </c>
      <c r="P29" s="143">
        <f t="shared" si="4"/>
        <v>0</v>
      </c>
      <c r="Q29" s="143">
        <f t="shared" si="4"/>
        <v>0</v>
      </c>
      <c r="R29" s="143">
        <f t="shared" si="4"/>
        <v>0</v>
      </c>
      <c r="S29" s="144">
        <f t="shared" si="4"/>
        <v>0</v>
      </c>
      <c r="T29" s="139">
        <f>ROUND(J29-SUM(K29:P29)-R29,2)</f>
        <v>0</v>
      </c>
    </row>
    <row r="30" spans="1:21" ht="14.25" outlineLevel="2" thickBot="1" x14ac:dyDescent="0.3">
      <c r="B30" s="1149"/>
      <c r="C30" s="1149"/>
      <c r="D30" s="1141" t="s">
        <v>63</v>
      </c>
      <c r="E30" s="1142" t="s">
        <v>64</v>
      </c>
      <c r="F30" s="135" t="s">
        <v>65</v>
      </c>
      <c r="G30" s="99"/>
      <c r="H30" s="146"/>
      <c r="I30" s="147">
        <v>911</v>
      </c>
      <c r="J30" s="148">
        <v>852.05000000000007</v>
      </c>
      <c r="K30" s="148">
        <v>170</v>
      </c>
      <c r="L30" s="148">
        <v>170.56</v>
      </c>
      <c r="M30" s="148">
        <v>0.87</v>
      </c>
      <c r="N30" s="148">
        <v>510.62</v>
      </c>
      <c r="O30" s="148"/>
      <c r="P30" s="148"/>
      <c r="Q30" s="148"/>
      <c r="R30" s="148"/>
      <c r="S30" s="149"/>
      <c r="T30" s="139"/>
      <c r="U30" s="101"/>
    </row>
    <row r="31" spans="1:21" ht="14.25" outlineLevel="2" thickBot="1" x14ac:dyDescent="0.3">
      <c r="B31" s="1149"/>
      <c r="C31" s="1149"/>
      <c r="D31" s="1141" t="s">
        <v>66</v>
      </c>
      <c r="E31" s="1142" t="s">
        <v>67</v>
      </c>
      <c r="F31" s="135" t="s">
        <v>68</v>
      </c>
      <c r="G31" s="145"/>
      <c r="H31" s="146"/>
      <c r="I31" s="147">
        <v>0</v>
      </c>
      <c r="J31" s="148">
        <v>340</v>
      </c>
      <c r="K31" s="148">
        <v>340</v>
      </c>
      <c r="L31" s="148">
        <v>0</v>
      </c>
      <c r="M31" s="148">
        <v>0</v>
      </c>
      <c r="N31" s="148">
        <v>0</v>
      </c>
      <c r="O31" s="148"/>
      <c r="P31" s="148"/>
      <c r="Q31" s="148"/>
      <c r="R31" s="148"/>
      <c r="S31" s="149"/>
      <c r="T31" s="139"/>
      <c r="U31" s="101"/>
    </row>
    <row r="32" spans="1:21" ht="14.25" outlineLevel="1" thickBot="1" x14ac:dyDescent="0.3">
      <c r="B32" s="1149"/>
      <c r="C32" s="1149"/>
      <c r="D32" s="1143"/>
      <c r="E32" s="1144"/>
      <c r="F32" s="140" t="s">
        <v>69</v>
      </c>
      <c r="G32" s="99"/>
      <c r="H32" s="141">
        <v>3</v>
      </c>
      <c r="I32" s="142">
        <f t="shared" ref="I32:S32" si="5">SUBTOTAL(9,I30:I31)</f>
        <v>911</v>
      </c>
      <c r="J32" s="151">
        <f>SUBTOTAL(9,J30:J31)</f>
        <v>1192.0500000000002</v>
      </c>
      <c r="K32" s="151">
        <f t="shared" si="5"/>
        <v>510</v>
      </c>
      <c r="L32" s="151">
        <f t="shared" si="5"/>
        <v>170.56</v>
      </c>
      <c r="M32" s="151">
        <f t="shared" si="5"/>
        <v>0.87</v>
      </c>
      <c r="N32" s="151">
        <f t="shared" si="5"/>
        <v>510.62</v>
      </c>
      <c r="O32" s="151">
        <f t="shared" si="5"/>
        <v>0</v>
      </c>
      <c r="P32" s="151">
        <f t="shared" si="5"/>
        <v>0</v>
      </c>
      <c r="Q32" s="151">
        <f t="shared" si="5"/>
        <v>0</v>
      </c>
      <c r="R32" s="151">
        <f t="shared" si="5"/>
        <v>0</v>
      </c>
      <c r="S32" s="152">
        <f t="shared" si="5"/>
        <v>0</v>
      </c>
      <c r="T32" s="139">
        <f>ROUND(J32-SUM(K32:P32)-R32,2)</f>
        <v>0</v>
      </c>
    </row>
    <row r="33" spans="1:20" s="98" customFormat="1" ht="13.5" customHeight="1" thickBot="1" x14ac:dyDescent="0.3">
      <c r="A33" s="1149"/>
      <c r="B33" s="1149"/>
      <c r="C33" s="1149"/>
      <c r="D33" s="1149"/>
      <c r="E33" s="1149"/>
      <c r="F33" s="153"/>
      <c r="G33" s="99"/>
      <c r="H33" s="145"/>
      <c r="I33" s="145"/>
      <c r="J33" s="154"/>
      <c r="K33" s="154"/>
      <c r="L33" s="154"/>
      <c r="M33" s="154"/>
      <c r="N33" s="154"/>
      <c r="O33" s="154"/>
      <c r="P33" s="154"/>
      <c r="Q33" s="154"/>
      <c r="R33" s="154"/>
      <c r="S33" s="155"/>
      <c r="T33" s="139"/>
    </row>
    <row r="34" spans="1:20" s="98" customFormat="1" ht="13.5" customHeight="1" thickBot="1" x14ac:dyDescent="0.3">
      <c r="A34" s="1149"/>
      <c r="B34" s="1149"/>
      <c r="C34" s="1149"/>
      <c r="D34" s="1149"/>
      <c r="E34" s="1149"/>
      <c r="F34" s="140" t="s">
        <v>70</v>
      </c>
      <c r="G34" s="145"/>
      <c r="H34" s="99"/>
      <c r="I34" s="145"/>
      <c r="J34" s="154"/>
      <c r="K34" s="145"/>
      <c r="L34" s="154"/>
      <c r="M34" s="154"/>
      <c r="N34" s="154"/>
      <c r="O34" s="154"/>
      <c r="P34" s="154"/>
      <c r="Q34" s="154"/>
      <c r="R34" s="154"/>
      <c r="S34" s="155"/>
      <c r="T34" s="139"/>
    </row>
    <row r="35" spans="1:20" s="98" customFormat="1" ht="13.5" customHeight="1" thickBot="1" x14ac:dyDescent="0.3">
      <c r="A35" s="1149"/>
      <c r="B35" s="1149"/>
      <c r="C35" s="1149"/>
      <c r="D35" s="1149"/>
      <c r="E35" s="1150"/>
      <c r="F35" s="150"/>
      <c r="G35" s="156" t="s">
        <v>71</v>
      </c>
      <c r="H35" s="145"/>
      <c r="I35" s="141">
        <v>214</v>
      </c>
      <c r="J35" s="154">
        <f t="shared" ref="J35:J41" si="6">SUM(K35:O35)</f>
        <v>104.21</v>
      </c>
      <c r="K35" s="157">
        <v>0</v>
      </c>
      <c r="L35" s="157">
        <v>9.1999999999999993</v>
      </c>
      <c r="M35" s="157">
        <v>0.21</v>
      </c>
      <c r="N35" s="157">
        <v>94.8</v>
      </c>
      <c r="O35" s="154"/>
      <c r="P35" s="154"/>
      <c r="Q35" s="154"/>
      <c r="R35" s="154"/>
      <c r="S35" s="155"/>
      <c r="T35" s="139"/>
    </row>
    <row r="36" spans="1:20" s="98" customFormat="1" ht="13.5" customHeight="1" thickBot="1" x14ac:dyDescent="0.3">
      <c r="A36" s="1149"/>
      <c r="B36" s="1149"/>
      <c r="C36" s="1149"/>
      <c r="D36" s="1149"/>
      <c r="E36" s="1150"/>
      <c r="F36" s="150"/>
      <c r="G36" s="156" t="s">
        <v>71</v>
      </c>
      <c r="H36" s="145"/>
      <c r="I36" s="141">
        <v>0</v>
      </c>
      <c r="J36" s="154">
        <f t="shared" si="6"/>
        <v>347.31</v>
      </c>
      <c r="K36" s="159"/>
      <c r="L36" s="159"/>
      <c r="M36" s="159"/>
      <c r="N36" s="157">
        <v>347.31</v>
      </c>
      <c r="O36" s="154"/>
      <c r="P36" s="154"/>
      <c r="Q36" s="154"/>
      <c r="R36" s="154"/>
      <c r="S36" s="155"/>
      <c r="T36" s="139"/>
    </row>
    <row r="37" spans="1:20" s="98" customFormat="1" ht="13.5" customHeight="1" thickBot="1" x14ac:dyDescent="0.3">
      <c r="A37" s="1149"/>
      <c r="B37" s="1149"/>
      <c r="C37" s="1149"/>
      <c r="D37" s="1149"/>
      <c r="E37" s="1150"/>
      <c r="F37" s="150"/>
      <c r="G37" s="156" t="s">
        <v>71</v>
      </c>
      <c r="H37" s="145"/>
      <c r="I37" s="141">
        <v>0</v>
      </c>
      <c r="J37" s="154">
        <f t="shared" si="6"/>
        <v>1960.72</v>
      </c>
      <c r="K37" s="159"/>
      <c r="L37" s="159"/>
      <c r="M37" s="159"/>
      <c r="N37" s="157">
        <v>1960.72</v>
      </c>
      <c r="O37" s="154"/>
      <c r="P37" s="154"/>
      <c r="Q37" s="154"/>
      <c r="R37" s="154"/>
      <c r="S37" s="155"/>
      <c r="T37" s="139"/>
    </row>
    <row r="38" spans="1:20" s="98" customFormat="1" ht="13.5" customHeight="1" thickBot="1" x14ac:dyDescent="0.3">
      <c r="A38" s="1149"/>
      <c r="B38" s="1149"/>
      <c r="C38" s="1149"/>
      <c r="D38" s="1149"/>
      <c r="E38" s="1150"/>
      <c r="F38" s="150"/>
      <c r="G38" s="156" t="s">
        <v>71</v>
      </c>
      <c r="H38" s="145"/>
      <c r="I38" s="141">
        <v>0</v>
      </c>
      <c r="J38" s="154">
        <f>SUM(K38:O38)</f>
        <v>275</v>
      </c>
      <c r="K38" s="157">
        <v>275</v>
      </c>
      <c r="L38" s="159"/>
      <c r="M38" s="159"/>
      <c r="N38" s="159"/>
      <c r="O38" s="154"/>
      <c r="P38" s="154"/>
      <c r="Q38" s="154"/>
      <c r="R38" s="154"/>
      <c r="S38" s="155"/>
      <c r="T38" s="139"/>
    </row>
    <row r="39" spans="1:20" s="98" customFormat="1" ht="13.5" customHeight="1" thickBot="1" x14ac:dyDescent="0.3">
      <c r="A39" s="1149"/>
      <c r="B39" s="1149"/>
      <c r="C39" s="1149"/>
      <c r="D39" s="1149"/>
      <c r="E39" s="1150"/>
      <c r="F39" s="150"/>
      <c r="G39" s="156" t="s">
        <v>71</v>
      </c>
      <c r="H39" s="145"/>
      <c r="I39" s="141">
        <v>0</v>
      </c>
      <c r="J39" s="154">
        <f t="shared" si="6"/>
        <v>781</v>
      </c>
      <c r="K39" s="157">
        <v>781</v>
      </c>
      <c r="L39" s="157">
        <v>0</v>
      </c>
      <c r="M39" s="159"/>
      <c r="N39" s="157">
        <v>0</v>
      </c>
      <c r="O39" s="154"/>
      <c r="P39" s="154"/>
      <c r="Q39" s="154"/>
      <c r="R39" s="154"/>
      <c r="S39" s="155"/>
      <c r="T39" s="139"/>
    </row>
    <row r="40" spans="1:20" s="98" customFormat="1" ht="13.5" customHeight="1" thickBot="1" x14ac:dyDescent="0.3">
      <c r="A40" s="1149"/>
      <c r="B40" s="1149"/>
      <c r="C40" s="1149"/>
      <c r="D40" s="1149"/>
      <c r="E40" s="1150"/>
      <c r="F40" s="150" t="s">
        <v>73</v>
      </c>
      <c r="G40" s="156" t="s">
        <v>74</v>
      </c>
      <c r="H40" s="145"/>
      <c r="I40" s="141">
        <v>0</v>
      </c>
      <c r="J40" s="160">
        <f t="shared" si="6"/>
        <v>0</v>
      </c>
      <c r="K40" s="157">
        <v>0</v>
      </c>
      <c r="L40" s="161">
        <v>0</v>
      </c>
      <c r="M40" s="159"/>
      <c r="N40" s="159">
        <v>0</v>
      </c>
      <c r="O40" s="154"/>
      <c r="P40" s="154"/>
      <c r="Q40" s="154"/>
      <c r="R40" s="154"/>
      <c r="S40" s="155"/>
      <c r="T40" s="139"/>
    </row>
    <row r="41" spans="1:20" s="98" customFormat="1" ht="13.5" customHeight="1" thickBot="1" x14ac:dyDescent="0.3">
      <c r="A41" s="1149"/>
      <c r="B41" s="1149"/>
      <c r="C41" s="1149"/>
      <c r="D41" s="1149"/>
      <c r="E41" s="1150"/>
      <c r="F41" s="150" t="s">
        <v>75</v>
      </c>
      <c r="G41" s="156" t="s">
        <v>76</v>
      </c>
      <c r="H41" s="145"/>
      <c r="I41" s="141">
        <v>0</v>
      </c>
      <c r="J41" s="154">
        <f t="shared" si="6"/>
        <v>-1011.9499999998952</v>
      </c>
      <c r="K41" s="162">
        <v>0</v>
      </c>
      <c r="L41" s="154">
        <v>-1011.9499999998952</v>
      </c>
      <c r="M41" s="154">
        <v>0</v>
      </c>
      <c r="N41" s="154">
        <v>0</v>
      </c>
      <c r="O41" s="154"/>
      <c r="P41" s="154"/>
      <c r="Q41" s="154"/>
      <c r="R41" s="154"/>
      <c r="S41" s="155"/>
      <c r="T41" s="139"/>
    </row>
    <row r="42" spans="1:20" ht="13.5" customHeight="1" thickBot="1" x14ac:dyDescent="0.25">
      <c r="A42" s="1151"/>
      <c r="B42" s="1151"/>
      <c r="C42" s="1151"/>
      <c r="D42" s="1152" t="s">
        <v>77</v>
      </c>
      <c r="E42" s="1153"/>
      <c r="F42" s="163" t="s">
        <v>77</v>
      </c>
      <c r="G42" s="164"/>
      <c r="H42" s="164">
        <f t="shared" ref="H42:O42" si="7">SUBTOTAL(9,H5:H41)</f>
        <v>316687</v>
      </c>
      <c r="I42" s="164">
        <f t="shared" si="7"/>
        <v>7586600</v>
      </c>
      <c r="J42" s="165">
        <f t="shared" si="7"/>
        <v>10377321.840000004</v>
      </c>
      <c r="K42" s="165">
        <f t="shared" si="7"/>
        <v>4576924.9799999995</v>
      </c>
      <c r="L42" s="165">
        <f t="shared" si="7"/>
        <v>1469010.1500000001</v>
      </c>
      <c r="M42" s="165">
        <f t="shared" si="7"/>
        <v>77114.58</v>
      </c>
      <c r="N42" s="165">
        <f t="shared" si="7"/>
        <v>4254373.4099999992</v>
      </c>
      <c r="O42" s="165">
        <f t="shared" si="7"/>
        <v>-101.28</v>
      </c>
      <c r="P42" s="165">
        <f>SUBTOTAL(9,P5:P29)</f>
        <v>0</v>
      </c>
      <c r="Q42" s="165">
        <f>SUBTOTAL(9,Q5:Q29)</f>
        <v>44089.799999999996</v>
      </c>
      <c r="R42" s="165">
        <f>SUBTOTAL(9,R5:R29)</f>
        <v>0</v>
      </c>
      <c r="S42" s="166">
        <f>SUBTOTAL(9,S5:S29)</f>
        <v>2621.74</v>
      </c>
    </row>
    <row r="43" spans="1:20" ht="13.5" customHeight="1" thickBot="1" x14ac:dyDescent="0.25">
      <c r="A43" s="1151"/>
      <c r="B43" s="1151"/>
      <c r="C43" s="1151"/>
      <c r="D43" s="1152" t="s">
        <v>77</v>
      </c>
      <c r="E43" s="1153"/>
      <c r="F43" s="163" t="s">
        <v>78</v>
      </c>
      <c r="G43" s="164"/>
      <c r="H43" s="164"/>
      <c r="I43" s="167">
        <v>7586600</v>
      </c>
      <c r="J43" s="165">
        <f>SUM(K43:S43)</f>
        <v>10377321.840000002</v>
      </c>
      <c r="K43" s="168">
        <v>4576924.9800000004</v>
      </c>
      <c r="L43" s="168">
        <v>1469010.15</v>
      </c>
      <c r="M43" s="168">
        <v>77114.58</v>
      </c>
      <c r="N43" s="168">
        <v>4254373.41</v>
      </c>
      <c r="O43" s="168">
        <v>-101.28</v>
      </c>
      <c r="P43" s="165"/>
      <c r="Q43" s="165"/>
      <c r="R43" s="165"/>
      <c r="S43" s="166"/>
    </row>
    <row r="44" spans="1:20" ht="13.5" customHeight="1" thickBot="1" x14ac:dyDescent="0.25">
      <c r="A44" s="1151"/>
      <c r="B44" s="1151"/>
      <c r="C44" s="1151"/>
      <c r="D44" s="1154"/>
      <c r="E44" s="1153"/>
      <c r="F44" s="169" t="s">
        <v>79</v>
      </c>
      <c r="G44" s="170"/>
      <c r="H44" s="170"/>
      <c r="I44" s="171">
        <f t="shared" ref="I44:N44" si="8">I42-I43</f>
        <v>0</v>
      </c>
      <c r="J44" s="172">
        <f t="shared" si="8"/>
        <v>0</v>
      </c>
      <c r="K44" s="172">
        <f t="shared" si="8"/>
        <v>0</v>
      </c>
      <c r="L44" s="172">
        <f t="shared" si="8"/>
        <v>0</v>
      </c>
      <c r="M44" s="172">
        <f t="shared" si="8"/>
        <v>0</v>
      </c>
      <c r="N44" s="172">
        <f t="shared" si="8"/>
        <v>0</v>
      </c>
      <c r="O44" s="172">
        <f>O42-O43</f>
        <v>0</v>
      </c>
      <c r="P44" s="172"/>
      <c r="Q44" s="172"/>
      <c r="R44" s="172"/>
      <c r="S44" s="173"/>
    </row>
    <row r="45" spans="1:20" ht="13.5" thickBot="1" x14ac:dyDescent="0.25">
      <c r="G45" s="122"/>
      <c r="H45" s="122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</row>
    <row r="46" spans="1:20" ht="24.6" customHeight="1" thickBot="1" x14ac:dyDescent="0.25">
      <c r="A46" s="1136"/>
      <c r="B46" s="1137"/>
      <c r="C46" s="1137"/>
      <c r="D46" s="1392" t="s">
        <v>80</v>
      </c>
      <c r="E46" s="1393"/>
      <c r="F46" s="174" t="s">
        <v>81</v>
      </c>
      <c r="G46" s="175"/>
      <c r="H46" s="126" t="s">
        <v>2</v>
      </c>
      <c r="I46" s="127" t="s">
        <v>3</v>
      </c>
      <c r="J46" s="127" t="s">
        <v>4</v>
      </c>
      <c r="K46" s="127" t="s">
        <v>5</v>
      </c>
      <c r="L46" s="127" t="s">
        <v>6</v>
      </c>
      <c r="M46" s="127" t="s">
        <v>7</v>
      </c>
      <c r="N46" s="127" t="s">
        <v>253</v>
      </c>
      <c r="O46" s="127" t="s">
        <v>9</v>
      </c>
      <c r="P46" s="127" t="s">
        <v>10</v>
      </c>
      <c r="Q46" s="127" t="s">
        <v>11</v>
      </c>
      <c r="R46" s="127" t="s">
        <v>12</v>
      </c>
      <c r="S46" s="128" t="s">
        <v>13</v>
      </c>
    </row>
    <row r="47" spans="1:20" ht="13.5" customHeight="1" thickBot="1" x14ac:dyDescent="0.25">
      <c r="A47" s="1139" t="s">
        <v>14</v>
      </c>
      <c r="B47" s="1140" t="s">
        <v>15</v>
      </c>
      <c r="C47" s="1140" t="s">
        <v>16</v>
      </c>
      <c r="D47" s="1140" t="s">
        <v>17</v>
      </c>
      <c r="E47" s="1103"/>
      <c r="F47" s="176"/>
      <c r="G47" s="130"/>
      <c r="H47" s="130"/>
      <c r="I47" s="131" t="s">
        <v>19</v>
      </c>
      <c r="J47" s="132" t="s">
        <v>20</v>
      </c>
      <c r="K47" s="132" t="s">
        <v>20</v>
      </c>
      <c r="L47" s="132" t="s">
        <v>20</v>
      </c>
      <c r="M47" s="132" t="s">
        <v>20</v>
      </c>
      <c r="N47" s="132" t="s">
        <v>20</v>
      </c>
      <c r="O47" s="132" t="s">
        <v>20</v>
      </c>
      <c r="P47" s="132" t="s">
        <v>20</v>
      </c>
      <c r="Q47" s="132" t="s">
        <v>20</v>
      </c>
      <c r="R47" s="132" t="s">
        <v>20</v>
      </c>
      <c r="S47" s="133" t="s">
        <v>20</v>
      </c>
    </row>
    <row r="48" spans="1:20" ht="13.5" customHeight="1" outlineLevel="2" thickBot="1" x14ac:dyDescent="0.3">
      <c r="A48" s="1141" t="s">
        <v>21</v>
      </c>
      <c r="B48" s="1141" t="s">
        <v>21</v>
      </c>
      <c r="C48" s="1141" t="s">
        <v>28</v>
      </c>
      <c r="D48" s="1141" t="s">
        <v>82</v>
      </c>
      <c r="E48" s="1142" t="s">
        <v>83</v>
      </c>
      <c r="F48" s="135" t="s">
        <v>84</v>
      </c>
      <c r="G48" s="99"/>
      <c r="H48" s="99"/>
      <c r="I48" s="99">
        <v>395892</v>
      </c>
      <c r="J48" s="136">
        <v>520486.93999999994</v>
      </c>
      <c r="K48" s="137">
        <v>340</v>
      </c>
      <c r="L48" s="137">
        <v>11275</v>
      </c>
      <c r="M48" s="137">
        <v>0</v>
      </c>
      <c r="N48" s="137">
        <v>221897.46</v>
      </c>
      <c r="O48" s="137">
        <v>0</v>
      </c>
      <c r="P48" s="137">
        <v>0</v>
      </c>
      <c r="Q48" s="137">
        <v>0</v>
      </c>
      <c r="R48" s="137">
        <v>286974.48</v>
      </c>
      <c r="S48" s="177">
        <v>0</v>
      </c>
      <c r="T48" s="139"/>
    </row>
    <row r="49" spans="1:21" ht="13.5" customHeight="1" thickBot="1" x14ac:dyDescent="0.3">
      <c r="A49" s="1146"/>
      <c r="B49" s="1148"/>
      <c r="C49" s="1148"/>
      <c r="D49" s="1153"/>
      <c r="E49" s="1155"/>
      <c r="F49" s="178" t="s">
        <v>85</v>
      </c>
      <c r="G49" s="99"/>
      <c r="H49" s="179">
        <v>2</v>
      </c>
      <c r="I49" s="99">
        <f t="shared" ref="I49:S49" si="9">SUBTOTAL(9,I48:I48)</f>
        <v>395892</v>
      </c>
      <c r="J49" s="137">
        <f>SUBTOTAL(9,J48:J48)</f>
        <v>520486.93999999994</v>
      </c>
      <c r="K49" s="137">
        <f t="shared" si="9"/>
        <v>340</v>
      </c>
      <c r="L49" s="137">
        <f t="shared" si="9"/>
        <v>11275</v>
      </c>
      <c r="M49" s="137">
        <f t="shared" si="9"/>
        <v>0</v>
      </c>
      <c r="N49" s="137">
        <f t="shared" si="9"/>
        <v>221897.46</v>
      </c>
      <c r="O49" s="137">
        <f t="shared" si="9"/>
        <v>0</v>
      </c>
      <c r="P49" s="137">
        <f t="shared" si="9"/>
        <v>0</v>
      </c>
      <c r="Q49" s="137">
        <f t="shared" si="9"/>
        <v>0</v>
      </c>
      <c r="R49" s="137">
        <f t="shared" si="9"/>
        <v>286974.48</v>
      </c>
      <c r="S49" s="177">
        <f t="shared" si="9"/>
        <v>0</v>
      </c>
      <c r="T49" s="139">
        <f>ROUND(J49-SUM(K49:P49)-R49,2)</f>
        <v>0</v>
      </c>
    </row>
    <row r="50" spans="1:21" ht="13.5" customHeight="1" thickBot="1" x14ac:dyDescent="0.3">
      <c r="A50" s="1151"/>
      <c r="B50" s="1151"/>
      <c r="C50" s="1148"/>
      <c r="D50" s="1153"/>
      <c r="E50" s="1156"/>
      <c r="F50" s="140" t="s">
        <v>86</v>
      </c>
      <c r="G50" s="99"/>
      <c r="H50" s="99"/>
      <c r="I50" s="99"/>
      <c r="J50" s="137"/>
      <c r="K50" s="137"/>
      <c r="L50" s="137">
        <f>-R50</f>
        <v>286974.48</v>
      </c>
      <c r="M50" s="137"/>
      <c r="N50" s="137"/>
      <c r="O50" s="137"/>
      <c r="P50" s="137"/>
      <c r="Q50" s="137"/>
      <c r="R50" s="137">
        <f>-R49</f>
        <v>-286974.48</v>
      </c>
      <c r="S50" s="177"/>
      <c r="T50" s="139"/>
    </row>
    <row r="51" spans="1:21" ht="13.5" customHeight="1" thickBot="1" x14ac:dyDescent="0.3">
      <c r="A51" s="1151"/>
      <c r="B51" s="1151"/>
      <c r="C51" s="1148"/>
      <c r="D51" s="1153"/>
      <c r="E51" s="1156"/>
      <c r="F51" s="140" t="s">
        <v>87</v>
      </c>
      <c r="G51" s="99"/>
      <c r="H51" s="99"/>
      <c r="I51" s="180">
        <v>506154</v>
      </c>
      <c r="J51" s="137">
        <f>SUM(K51:O51)</f>
        <v>4435.2999999999993</v>
      </c>
      <c r="K51" s="137"/>
      <c r="L51" s="181">
        <v>2464.9699999999998</v>
      </c>
      <c r="M51" s="137"/>
      <c r="N51" s="181">
        <v>1970.33</v>
      </c>
      <c r="O51" s="137"/>
      <c r="P51" s="137"/>
      <c r="Q51" s="137"/>
      <c r="R51" s="181">
        <v>104976</v>
      </c>
      <c r="S51" s="177"/>
      <c r="T51" s="139"/>
    </row>
    <row r="52" spans="1:21" ht="13.5" customHeight="1" thickBot="1" x14ac:dyDescent="0.3">
      <c r="A52" s="1151"/>
      <c r="B52" s="1151"/>
      <c r="C52" s="1148"/>
      <c r="D52" s="1153"/>
      <c r="E52" s="1156"/>
      <c r="F52" s="140" t="s">
        <v>254</v>
      </c>
      <c r="G52" s="99"/>
      <c r="H52" s="99"/>
      <c r="I52" s="99"/>
      <c r="J52" s="137">
        <f>SUM(K52:O52)</f>
        <v>104976</v>
      </c>
      <c r="K52" s="137"/>
      <c r="L52" s="137">
        <f>-R52</f>
        <v>104976</v>
      </c>
      <c r="M52" s="137"/>
      <c r="N52" s="137"/>
      <c r="O52" s="137"/>
      <c r="P52" s="137"/>
      <c r="Q52" s="137"/>
      <c r="R52" s="137">
        <f>-R51</f>
        <v>-104976</v>
      </c>
      <c r="S52" s="177"/>
      <c r="T52" s="139"/>
    </row>
    <row r="53" spans="1:21" ht="13.5" customHeight="1" thickBot="1" x14ac:dyDescent="0.3">
      <c r="A53" s="1151"/>
      <c r="B53" s="1151"/>
      <c r="C53" s="1148"/>
      <c r="D53" s="1153"/>
      <c r="E53" s="1156"/>
      <c r="F53" s="140" t="s">
        <v>255</v>
      </c>
      <c r="G53" s="99"/>
      <c r="H53" s="99"/>
      <c r="I53" s="182">
        <v>0</v>
      </c>
      <c r="J53" s="137">
        <f>SUM(K53:O53)</f>
        <v>-17442.53</v>
      </c>
      <c r="K53" s="181">
        <v>781</v>
      </c>
      <c r="L53" s="181">
        <v>0</v>
      </c>
      <c r="M53" s="137"/>
      <c r="N53" s="181">
        <f>-18223.53</f>
        <v>-18223.53</v>
      </c>
      <c r="O53" s="137"/>
      <c r="P53" s="137"/>
      <c r="Q53" s="137"/>
      <c r="R53" s="137"/>
      <c r="S53" s="177"/>
      <c r="T53" s="139">
        <f>ROUND(J53-SUM(K53:P53)-R53,2)</f>
        <v>0</v>
      </c>
    </row>
    <row r="54" spans="1:21" ht="13.5" customHeight="1" thickBot="1" x14ac:dyDescent="0.25">
      <c r="A54" s="1151"/>
      <c r="B54" s="1151"/>
      <c r="C54" s="1154"/>
      <c r="D54" s="1157" t="s">
        <v>88</v>
      </c>
      <c r="E54" s="1153"/>
      <c r="F54" s="183" t="s">
        <v>89</v>
      </c>
      <c r="G54" s="164"/>
      <c r="H54" s="164">
        <f>+H49</f>
        <v>2</v>
      </c>
      <c r="I54" s="184">
        <f t="shared" ref="I54:S54" si="10">SUBTOTAL(9,I48:I53)</f>
        <v>902046</v>
      </c>
      <c r="J54" s="165">
        <f t="shared" si="10"/>
        <v>612455.71</v>
      </c>
      <c r="K54" s="165">
        <f t="shared" si="10"/>
        <v>1121</v>
      </c>
      <c r="L54" s="165">
        <f t="shared" si="10"/>
        <v>405690.44999999995</v>
      </c>
      <c r="M54" s="165">
        <f t="shared" si="10"/>
        <v>0</v>
      </c>
      <c r="N54" s="165">
        <f t="shared" si="10"/>
        <v>205644.25999999998</v>
      </c>
      <c r="O54" s="165">
        <f t="shared" si="10"/>
        <v>0</v>
      </c>
      <c r="P54" s="165">
        <f t="shared" si="10"/>
        <v>0</v>
      </c>
      <c r="Q54" s="165">
        <f t="shared" si="10"/>
        <v>0</v>
      </c>
      <c r="R54" s="165">
        <f t="shared" si="10"/>
        <v>0</v>
      </c>
      <c r="S54" s="166">
        <f t="shared" si="10"/>
        <v>0</v>
      </c>
    </row>
    <row r="55" spans="1:21" ht="13.5" customHeight="1" thickBot="1" x14ac:dyDescent="0.25">
      <c r="A55" s="1151"/>
      <c r="B55" s="1151"/>
      <c r="C55" s="1151"/>
      <c r="D55" s="1152" t="s">
        <v>77</v>
      </c>
      <c r="E55" s="1153"/>
      <c r="F55" s="183" t="s">
        <v>90</v>
      </c>
      <c r="G55" s="164"/>
      <c r="H55" s="164"/>
      <c r="I55" s="167">
        <v>902040</v>
      </c>
      <c r="J55" s="165">
        <f>SUM(K55:S55)</f>
        <v>612455.71</v>
      </c>
      <c r="K55" s="168">
        <v>1121</v>
      </c>
      <c r="L55" s="168">
        <v>405690.45</v>
      </c>
      <c r="M55" s="168">
        <v>0</v>
      </c>
      <c r="N55" s="168">
        <v>205644.26</v>
      </c>
      <c r="O55" s="168">
        <v>0</v>
      </c>
      <c r="P55" s="185"/>
      <c r="Q55" s="185"/>
      <c r="R55" s="185"/>
      <c r="S55" s="186"/>
    </row>
    <row r="56" spans="1:21" ht="13.5" customHeight="1" thickBot="1" x14ac:dyDescent="0.25">
      <c r="A56" s="1151"/>
      <c r="B56" s="1151"/>
      <c r="C56" s="1151"/>
      <c r="D56" s="1154"/>
      <c r="E56" s="1153"/>
      <c r="F56" s="169" t="s">
        <v>79</v>
      </c>
      <c r="G56" s="170"/>
      <c r="H56" s="170"/>
      <c r="I56" s="171">
        <f t="shared" ref="I56:N56" si="11">I54-I55</f>
        <v>6</v>
      </c>
      <c r="J56" s="172">
        <f t="shared" si="11"/>
        <v>0</v>
      </c>
      <c r="K56" s="172">
        <f t="shared" si="11"/>
        <v>0</v>
      </c>
      <c r="L56" s="172">
        <f t="shared" si="11"/>
        <v>0</v>
      </c>
      <c r="M56" s="172">
        <f t="shared" si="11"/>
        <v>0</v>
      </c>
      <c r="N56" s="172">
        <f t="shared" si="11"/>
        <v>0</v>
      </c>
      <c r="O56" s="172">
        <f>O54-O55</f>
        <v>0</v>
      </c>
      <c r="P56" s="172"/>
      <c r="Q56" s="172"/>
      <c r="R56" s="172"/>
      <c r="S56" s="173"/>
    </row>
    <row r="57" spans="1:21" ht="13.5" thickBot="1" x14ac:dyDescent="0.25">
      <c r="G57" s="122"/>
      <c r="H57" s="122"/>
      <c r="I57" s="113"/>
      <c r="K57" s="113"/>
      <c r="L57" s="113"/>
      <c r="M57" s="113"/>
      <c r="N57" s="54"/>
      <c r="O57" s="113"/>
      <c r="P57" s="113"/>
    </row>
    <row r="58" spans="1:21" ht="23.25" thickBot="1" x14ac:dyDescent="0.25">
      <c r="D58" s="1394" t="s">
        <v>91</v>
      </c>
      <c r="E58" s="1395"/>
      <c r="F58" s="187" t="s">
        <v>92</v>
      </c>
      <c r="G58" s="125"/>
      <c r="H58" s="126" t="s">
        <v>2</v>
      </c>
      <c r="I58" s="127" t="s">
        <v>3</v>
      </c>
      <c r="J58" s="127" t="s">
        <v>4</v>
      </c>
      <c r="K58" s="127" t="s">
        <v>5</v>
      </c>
      <c r="L58" s="127" t="s">
        <v>6</v>
      </c>
      <c r="M58" s="127" t="s">
        <v>7</v>
      </c>
      <c r="N58" s="127" t="s">
        <v>93</v>
      </c>
      <c r="O58" s="127" t="s">
        <v>9</v>
      </c>
      <c r="P58" s="127" t="s">
        <v>10</v>
      </c>
      <c r="Q58" s="127" t="s">
        <v>11</v>
      </c>
      <c r="R58" s="127" t="s">
        <v>12</v>
      </c>
      <c r="S58" s="128" t="s">
        <v>13</v>
      </c>
    </row>
    <row r="59" spans="1:21" ht="13.5" thickBot="1" x14ac:dyDescent="0.25">
      <c r="D59" s="1143"/>
      <c r="E59" s="1144"/>
      <c r="F59" s="188"/>
      <c r="G59" s="130"/>
      <c r="H59" s="130"/>
      <c r="I59" s="131" t="s">
        <v>19</v>
      </c>
      <c r="J59" s="132" t="s">
        <v>20</v>
      </c>
      <c r="K59" s="132" t="s">
        <v>20</v>
      </c>
      <c r="L59" s="132" t="s">
        <v>20</v>
      </c>
      <c r="M59" s="132" t="s">
        <v>20</v>
      </c>
      <c r="N59" s="132" t="s">
        <v>20</v>
      </c>
      <c r="O59" s="132" t="s">
        <v>20</v>
      </c>
      <c r="P59" s="132" t="s">
        <v>20</v>
      </c>
      <c r="Q59" s="132" t="s">
        <v>20</v>
      </c>
      <c r="R59" s="132" t="s">
        <v>20</v>
      </c>
      <c r="S59" s="133" t="s">
        <v>20</v>
      </c>
    </row>
    <row r="60" spans="1:21" ht="14.25" outlineLevel="2" thickBot="1" x14ac:dyDescent="0.3">
      <c r="D60" s="1141" t="s">
        <v>94</v>
      </c>
      <c r="E60" s="1142" t="s">
        <v>95</v>
      </c>
      <c r="F60" s="135" t="s">
        <v>96</v>
      </c>
      <c r="G60" s="99"/>
      <c r="H60" s="99"/>
      <c r="I60" s="99">
        <v>0</v>
      </c>
      <c r="J60" s="136">
        <v>0</v>
      </c>
      <c r="K60" s="136">
        <v>0</v>
      </c>
      <c r="L60" s="136"/>
      <c r="M60" s="136"/>
      <c r="N60" s="136"/>
      <c r="O60" s="136"/>
      <c r="P60" s="136"/>
      <c r="Q60" s="136"/>
      <c r="R60" s="136"/>
      <c r="S60" s="138"/>
      <c r="U60" s="101"/>
    </row>
    <row r="61" spans="1:21" ht="14.25" outlineLevel="2" thickBot="1" x14ac:dyDescent="0.3">
      <c r="D61" s="1141" t="s">
        <v>97</v>
      </c>
      <c r="E61" s="1142" t="s">
        <v>98</v>
      </c>
      <c r="F61" s="135" t="s">
        <v>96</v>
      </c>
      <c r="G61" s="99"/>
      <c r="H61" s="99"/>
      <c r="I61" s="99">
        <v>0</v>
      </c>
      <c r="J61" s="136">
        <v>0</v>
      </c>
      <c r="K61" s="136"/>
      <c r="L61" s="136">
        <v>0</v>
      </c>
      <c r="M61" s="136">
        <v>0</v>
      </c>
      <c r="N61" s="136">
        <v>0</v>
      </c>
      <c r="O61" s="136"/>
      <c r="P61" s="136"/>
      <c r="Q61" s="136"/>
      <c r="R61" s="136"/>
      <c r="S61" s="138"/>
      <c r="U61" s="101"/>
    </row>
    <row r="62" spans="1:21" ht="14.25" outlineLevel="2" thickBot="1" x14ac:dyDescent="0.3">
      <c r="D62" s="1141" t="s">
        <v>97</v>
      </c>
      <c r="E62" s="1142" t="s">
        <v>98</v>
      </c>
      <c r="F62" s="135" t="s">
        <v>96</v>
      </c>
      <c r="G62" s="99"/>
      <c r="H62" s="99"/>
      <c r="I62" s="99">
        <v>214</v>
      </c>
      <c r="J62" s="136">
        <v>104.21</v>
      </c>
      <c r="K62" s="137">
        <v>0</v>
      </c>
      <c r="L62" s="137">
        <v>9.1999999999999993</v>
      </c>
      <c r="M62" s="137">
        <v>0.21</v>
      </c>
      <c r="N62" s="136">
        <v>94.8</v>
      </c>
      <c r="O62" s="136"/>
      <c r="P62" s="136"/>
      <c r="Q62" s="136"/>
      <c r="R62" s="136"/>
      <c r="S62" s="138"/>
      <c r="U62" s="101"/>
    </row>
    <row r="63" spans="1:21" ht="14.25" outlineLevel="2" thickBot="1" x14ac:dyDescent="0.3">
      <c r="D63" s="1141" t="s">
        <v>99</v>
      </c>
      <c r="E63" s="1142" t="s">
        <v>100</v>
      </c>
      <c r="F63" s="135" t="s">
        <v>96</v>
      </c>
      <c r="G63" s="99"/>
      <c r="H63" s="99"/>
      <c r="I63" s="99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/>
      <c r="P63" s="136"/>
      <c r="Q63" s="136"/>
      <c r="R63" s="136"/>
      <c r="S63" s="138"/>
      <c r="U63" s="101"/>
    </row>
    <row r="64" spans="1:21" ht="14.25" outlineLevel="2" thickBot="1" x14ac:dyDescent="0.3">
      <c r="D64" s="1141" t="s">
        <v>99</v>
      </c>
      <c r="E64" s="1142" t="s">
        <v>100</v>
      </c>
      <c r="F64" s="135" t="s">
        <v>96</v>
      </c>
      <c r="G64" s="99"/>
      <c r="H64" s="99"/>
      <c r="I64" s="99"/>
      <c r="J64" s="136"/>
      <c r="K64" s="136"/>
      <c r="L64" s="136"/>
      <c r="M64" s="136"/>
      <c r="N64" s="136"/>
      <c r="O64" s="136"/>
      <c r="P64" s="136"/>
      <c r="Q64" s="136"/>
      <c r="R64" s="136"/>
      <c r="S64" s="138"/>
      <c r="U64" s="101"/>
    </row>
    <row r="65" spans="1:21" ht="14.25" outlineLevel="2" thickBot="1" x14ac:dyDescent="0.3">
      <c r="D65" s="1141" t="s">
        <v>99</v>
      </c>
      <c r="E65" s="1142" t="s">
        <v>100</v>
      </c>
      <c r="F65" s="135" t="s">
        <v>96</v>
      </c>
      <c r="G65" s="99"/>
      <c r="H65" s="99"/>
      <c r="I65" s="99">
        <v>0</v>
      </c>
      <c r="J65" s="136">
        <v>0</v>
      </c>
      <c r="K65" s="136"/>
      <c r="L65" s="136"/>
      <c r="M65" s="136"/>
      <c r="N65" s="136"/>
      <c r="O65" s="136"/>
      <c r="P65" s="136"/>
      <c r="Q65" s="136"/>
      <c r="R65" s="136"/>
      <c r="S65" s="138"/>
      <c r="U65" s="101"/>
    </row>
    <row r="66" spans="1:21" ht="14.25" thickBot="1" x14ac:dyDescent="0.3">
      <c r="D66" s="1143"/>
      <c r="E66" s="1144"/>
      <c r="F66" s="140" t="s">
        <v>101</v>
      </c>
      <c r="G66" s="145"/>
      <c r="H66" s="141">
        <v>1</v>
      </c>
      <c r="I66" s="145">
        <f t="shared" ref="I66:S66" si="12">SUBTOTAL(9,I60:I65)</f>
        <v>214</v>
      </c>
      <c r="J66" s="154">
        <f>SUBTOTAL(9,J60:J65)</f>
        <v>104.21</v>
      </c>
      <c r="K66" s="154">
        <f t="shared" si="12"/>
        <v>0</v>
      </c>
      <c r="L66" s="154">
        <f t="shared" si="12"/>
        <v>9.1999999999999993</v>
      </c>
      <c r="M66" s="154">
        <f t="shared" si="12"/>
        <v>0.21</v>
      </c>
      <c r="N66" s="154">
        <f t="shared" si="12"/>
        <v>94.8</v>
      </c>
      <c r="O66" s="154">
        <f t="shared" si="12"/>
        <v>0</v>
      </c>
      <c r="P66" s="154">
        <f t="shared" si="12"/>
        <v>0</v>
      </c>
      <c r="Q66" s="154">
        <f t="shared" si="12"/>
        <v>0</v>
      </c>
      <c r="R66" s="154">
        <f t="shared" si="12"/>
        <v>0</v>
      </c>
      <c r="S66" s="155">
        <f t="shared" si="12"/>
        <v>0</v>
      </c>
      <c r="T66" s="139">
        <f>ROUND(J66-SUM(K66:P66)-R66,2)</f>
        <v>0</v>
      </c>
    </row>
    <row r="67" spans="1:21" ht="14.25" outlineLevel="2" thickBot="1" x14ac:dyDescent="0.3">
      <c r="D67" s="1141" t="s">
        <v>102</v>
      </c>
      <c r="E67" s="1142" t="s">
        <v>103</v>
      </c>
      <c r="F67" s="135" t="s">
        <v>104</v>
      </c>
      <c r="G67" s="99"/>
      <c r="H67" s="146"/>
      <c r="I67" s="99">
        <v>0</v>
      </c>
      <c r="J67" s="136">
        <v>2308.0300000000002</v>
      </c>
      <c r="K67" s="136"/>
      <c r="L67" s="136"/>
      <c r="M67" s="136"/>
      <c r="N67" s="136">
        <v>2308.0300000000002</v>
      </c>
      <c r="O67" s="136"/>
      <c r="P67" s="136"/>
      <c r="Q67" s="136"/>
      <c r="R67" s="136"/>
      <c r="S67" s="138"/>
      <c r="T67" s="189"/>
    </row>
    <row r="68" spans="1:21" ht="14.25" thickBot="1" x14ac:dyDescent="0.3">
      <c r="D68" s="1143"/>
      <c r="E68" s="1144"/>
      <c r="F68" s="140" t="s">
        <v>105</v>
      </c>
      <c r="G68" s="145"/>
      <c r="H68" s="141">
        <v>2</v>
      </c>
      <c r="I68" s="145">
        <f t="shared" ref="I68:S68" si="13">SUBTOTAL(9,I67:I67)</f>
        <v>0</v>
      </c>
      <c r="J68" s="154">
        <f t="shared" si="13"/>
        <v>2308.0300000000002</v>
      </c>
      <c r="K68" s="154">
        <f t="shared" si="13"/>
        <v>0</v>
      </c>
      <c r="L68" s="154">
        <f t="shared" si="13"/>
        <v>0</v>
      </c>
      <c r="M68" s="154">
        <f t="shared" si="13"/>
        <v>0</v>
      </c>
      <c r="N68" s="154">
        <f t="shared" si="13"/>
        <v>2308.0300000000002</v>
      </c>
      <c r="O68" s="154">
        <f t="shared" si="13"/>
        <v>0</v>
      </c>
      <c r="P68" s="154">
        <f t="shared" si="13"/>
        <v>0</v>
      </c>
      <c r="Q68" s="154">
        <f t="shared" si="13"/>
        <v>0</v>
      </c>
      <c r="R68" s="154">
        <f t="shared" si="13"/>
        <v>0</v>
      </c>
      <c r="S68" s="155">
        <f t="shared" si="13"/>
        <v>0</v>
      </c>
      <c r="T68" s="139">
        <f>ROUND(J68-SUM(K68:P68)-R68,2)</f>
        <v>0</v>
      </c>
    </row>
    <row r="69" spans="1:21" ht="14.25" outlineLevel="2" thickBot="1" x14ac:dyDescent="0.3">
      <c r="D69" s="1141" t="s">
        <v>106</v>
      </c>
      <c r="E69" s="1142" t="s">
        <v>107</v>
      </c>
      <c r="F69" s="135" t="s">
        <v>72</v>
      </c>
      <c r="G69" s="145"/>
      <c r="H69" s="146"/>
      <c r="I69" s="99">
        <v>0</v>
      </c>
      <c r="J69" s="136">
        <v>781</v>
      </c>
      <c r="K69" s="136">
        <v>781</v>
      </c>
      <c r="L69" s="136">
        <v>0</v>
      </c>
      <c r="M69" s="136">
        <v>0</v>
      </c>
      <c r="N69" s="136">
        <v>0</v>
      </c>
      <c r="O69" s="136"/>
      <c r="P69" s="136"/>
      <c r="Q69" s="136"/>
      <c r="R69" s="136"/>
      <c r="S69" s="138"/>
      <c r="T69" s="189"/>
    </row>
    <row r="70" spans="1:21" ht="14.25" thickBot="1" x14ac:dyDescent="0.3">
      <c r="D70" s="1143"/>
      <c r="E70" s="1155"/>
      <c r="F70" s="178" t="s">
        <v>108</v>
      </c>
      <c r="G70" s="145"/>
      <c r="H70" s="141">
        <v>1</v>
      </c>
      <c r="I70" s="145">
        <f t="shared" ref="I70:S70" si="14">SUBTOTAL(9,I69:I69)</f>
        <v>0</v>
      </c>
      <c r="J70" s="154">
        <f>SUBTOTAL(9,J69:J69)</f>
        <v>781</v>
      </c>
      <c r="K70" s="154">
        <f t="shared" si="14"/>
        <v>781</v>
      </c>
      <c r="L70" s="154">
        <f t="shared" si="14"/>
        <v>0</v>
      </c>
      <c r="M70" s="154">
        <f t="shared" si="14"/>
        <v>0</v>
      </c>
      <c r="N70" s="154">
        <f t="shared" si="14"/>
        <v>0</v>
      </c>
      <c r="O70" s="154">
        <f t="shared" si="14"/>
        <v>0</v>
      </c>
      <c r="P70" s="154">
        <f t="shared" si="14"/>
        <v>0</v>
      </c>
      <c r="Q70" s="154">
        <f t="shared" si="14"/>
        <v>0</v>
      </c>
      <c r="R70" s="154">
        <f t="shared" si="14"/>
        <v>0</v>
      </c>
      <c r="S70" s="155">
        <f t="shared" si="14"/>
        <v>0</v>
      </c>
      <c r="T70" s="139">
        <f>ROUND(J70-SUM(K70:P70)-R70,2)</f>
        <v>0</v>
      </c>
    </row>
    <row r="71" spans="1:21" ht="14.25" outlineLevel="2" thickBot="1" x14ac:dyDescent="0.3">
      <c r="D71" s="1141" t="s">
        <v>109</v>
      </c>
      <c r="E71" s="1142" t="s">
        <v>110</v>
      </c>
      <c r="F71" s="190" t="s">
        <v>111</v>
      </c>
      <c r="G71" s="99"/>
      <c r="H71" s="146"/>
      <c r="I71" s="99">
        <v>0</v>
      </c>
      <c r="J71" s="136">
        <v>275</v>
      </c>
      <c r="K71" s="136">
        <v>275</v>
      </c>
      <c r="L71" s="136">
        <v>0</v>
      </c>
      <c r="M71" s="136">
        <v>0</v>
      </c>
      <c r="N71" s="136">
        <v>0</v>
      </c>
      <c r="O71" s="136"/>
      <c r="P71" s="136"/>
      <c r="Q71" s="136"/>
      <c r="R71" s="136"/>
      <c r="S71" s="138"/>
      <c r="T71" s="189"/>
    </row>
    <row r="72" spans="1:21" ht="14.25" thickBot="1" x14ac:dyDescent="0.3">
      <c r="D72" s="1143"/>
      <c r="E72" s="1155"/>
      <c r="F72" s="178" t="s">
        <v>112</v>
      </c>
      <c r="G72" s="145"/>
      <c r="H72" s="141">
        <v>1</v>
      </c>
      <c r="I72" s="145">
        <f t="shared" ref="I72:S72" si="15">SUBTOTAL(9,I71:I71)</f>
        <v>0</v>
      </c>
      <c r="J72" s="154">
        <f>SUBTOTAL(9,J71:J71)</f>
        <v>275</v>
      </c>
      <c r="K72" s="154">
        <f t="shared" si="15"/>
        <v>275</v>
      </c>
      <c r="L72" s="154">
        <f t="shared" si="15"/>
        <v>0</v>
      </c>
      <c r="M72" s="154">
        <f t="shared" si="15"/>
        <v>0</v>
      </c>
      <c r="N72" s="154">
        <f t="shared" si="15"/>
        <v>0</v>
      </c>
      <c r="O72" s="154">
        <f t="shared" si="15"/>
        <v>0</v>
      </c>
      <c r="P72" s="154">
        <f t="shared" si="15"/>
        <v>0</v>
      </c>
      <c r="Q72" s="154">
        <f t="shared" si="15"/>
        <v>0</v>
      </c>
      <c r="R72" s="154">
        <f t="shared" si="15"/>
        <v>0</v>
      </c>
      <c r="S72" s="155">
        <f t="shared" si="15"/>
        <v>0</v>
      </c>
      <c r="T72" s="139">
        <f>ROUND(J72-SUM(K72:P72)-R72,2)</f>
        <v>0</v>
      </c>
    </row>
    <row r="73" spans="1:21" ht="14.25" outlineLevel="2" thickBot="1" x14ac:dyDescent="0.3">
      <c r="D73" s="1141" t="s">
        <v>113</v>
      </c>
      <c r="E73" s="1142" t="s">
        <v>114</v>
      </c>
      <c r="F73" s="190" t="s">
        <v>115</v>
      </c>
      <c r="G73" s="99"/>
      <c r="H73" s="146"/>
      <c r="I73" s="99">
        <v>0</v>
      </c>
      <c r="J73" s="136">
        <v>781</v>
      </c>
      <c r="K73" s="136">
        <v>781</v>
      </c>
      <c r="L73" s="136">
        <v>0</v>
      </c>
      <c r="M73" s="136">
        <v>0</v>
      </c>
      <c r="N73" s="136">
        <v>0</v>
      </c>
      <c r="O73" s="136"/>
      <c r="P73" s="136"/>
      <c r="Q73" s="136"/>
      <c r="R73" s="136"/>
      <c r="S73" s="138"/>
      <c r="T73" s="189"/>
    </row>
    <row r="74" spans="1:21" ht="14.25" thickBot="1" x14ac:dyDescent="0.3">
      <c r="D74" s="1153"/>
      <c r="E74" s="1155"/>
      <c r="F74" s="178" t="s">
        <v>116</v>
      </c>
      <c r="G74" s="145"/>
      <c r="H74" s="141">
        <v>1</v>
      </c>
      <c r="I74" s="145">
        <f t="shared" ref="I74:S74" si="16">SUBTOTAL(9,I73:I73)</f>
        <v>0</v>
      </c>
      <c r="J74" s="154">
        <f>SUBTOTAL(9,J73:J73)</f>
        <v>781</v>
      </c>
      <c r="K74" s="154">
        <f t="shared" si="16"/>
        <v>781</v>
      </c>
      <c r="L74" s="154">
        <f t="shared" si="16"/>
        <v>0</v>
      </c>
      <c r="M74" s="154">
        <f t="shared" si="16"/>
        <v>0</v>
      </c>
      <c r="N74" s="154">
        <f t="shared" si="16"/>
        <v>0</v>
      </c>
      <c r="O74" s="154">
        <f t="shared" si="16"/>
        <v>0</v>
      </c>
      <c r="P74" s="154">
        <f t="shared" si="16"/>
        <v>0</v>
      </c>
      <c r="Q74" s="154">
        <f t="shared" si="16"/>
        <v>0</v>
      </c>
      <c r="R74" s="154">
        <f t="shared" si="16"/>
        <v>0</v>
      </c>
      <c r="S74" s="155">
        <f t="shared" si="16"/>
        <v>0</v>
      </c>
      <c r="T74" s="139">
        <f>ROUND(J74-SUM(K74:P74)-R74,2)</f>
        <v>0</v>
      </c>
    </row>
    <row r="75" spans="1:21" ht="14.25" thickBot="1" x14ac:dyDescent="0.3">
      <c r="A75" s="1158"/>
      <c r="B75" s="1158"/>
      <c r="C75" s="1158"/>
      <c r="D75" s="1396" t="s">
        <v>117</v>
      </c>
      <c r="E75" s="1396"/>
      <c r="F75" s="192" t="s">
        <v>118</v>
      </c>
      <c r="G75" s="171"/>
      <c r="H75" s="171">
        <f>SUBTOTAL(9,H60:H74)</f>
        <v>6</v>
      </c>
      <c r="I75" s="171">
        <f t="shared" ref="I75:S75" si="17">SUBTOTAL(9,I60:I74)</f>
        <v>214</v>
      </c>
      <c r="J75" s="172">
        <f>SUBTOTAL(9,J60:J74)</f>
        <v>4249.24</v>
      </c>
      <c r="K75" s="172">
        <f t="shared" si="17"/>
        <v>1837</v>
      </c>
      <c r="L75" s="172">
        <f>SUBTOTAL(9,L60:L74)</f>
        <v>9.1999999999999993</v>
      </c>
      <c r="M75" s="172">
        <f t="shared" si="17"/>
        <v>0.21</v>
      </c>
      <c r="N75" s="172">
        <f t="shared" si="17"/>
        <v>2402.8300000000004</v>
      </c>
      <c r="O75" s="172">
        <f t="shared" si="17"/>
        <v>0</v>
      </c>
      <c r="P75" s="172">
        <f t="shared" si="17"/>
        <v>0</v>
      </c>
      <c r="Q75" s="172">
        <f t="shared" si="17"/>
        <v>0</v>
      </c>
      <c r="R75" s="172">
        <f t="shared" si="17"/>
        <v>0</v>
      </c>
      <c r="S75" s="173">
        <f t="shared" si="17"/>
        <v>0</v>
      </c>
      <c r="T75" s="139">
        <f>ROUND(J75-SUM(K75:P75)-R75,2)</f>
        <v>0</v>
      </c>
    </row>
    <row r="76" spans="1:21" ht="13.5" x14ac:dyDescent="0.25">
      <c r="G76" s="122"/>
      <c r="H76" s="122"/>
      <c r="I76" s="117"/>
      <c r="K76" s="118"/>
      <c r="L76" s="118"/>
      <c r="M76" s="118"/>
      <c r="N76" s="118"/>
      <c r="O76" s="118"/>
      <c r="P76" s="118"/>
    </row>
    <row r="77" spans="1:21" x14ac:dyDescent="0.2">
      <c r="G77" s="193" t="s">
        <v>76</v>
      </c>
      <c r="H77" s="194" t="s">
        <v>119</v>
      </c>
    </row>
    <row r="78" spans="1:21" s="120" customFormat="1" ht="11.25" x14ac:dyDescent="0.2">
      <c r="A78" s="1109"/>
      <c r="B78" s="1109"/>
      <c r="C78" s="1109"/>
      <c r="D78" s="1109"/>
      <c r="E78" s="1109"/>
      <c r="G78" s="193" t="s">
        <v>74</v>
      </c>
      <c r="H78" s="194" t="s">
        <v>120</v>
      </c>
    </row>
    <row r="79" spans="1:21" x14ac:dyDescent="0.2">
      <c r="G79" s="193" t="s">
        <v>71</v>
      </c>
      <c r="H79" s="194" t="s">
        <v>121</v>
      </c>
    </row>
    <row r="80" spans="1:21" x14ac:dyDescent="0.2">
      <c r="G80" s="195"/>
      <c r="H80" s="113"/>
    </row>
  </sheetData>
  <mergeCells count="5">
    <mergeCell ref="F1:K1"/>
    <mergeCell ref="D4:E4"/>
    <mergeCell ref="D46:E46"/>
    <mergeCell ref="D58:E58"/>
    <mergeCell ref="D75:E75"/>
  </mergeCells>
  <conditionalFormatting sqref="T5:T41 T48:T53">
    <cfRule type="cellIs" dxfId="42" priority="7" stopIfTrue="1" operator="notEqual">
      <formula>0</formula>
    </cfRule>
  </conditionalFormatting>
  <conditionalFormatting sqref="T66">
    <cfRule type="cellIs" dxfId="41" priority="6" stopIfTrue="1" operator="notEqual">
      <formula>0</formula>
    </cfRule>
  </conditionalFormatting>
  <conditionalFormatting sqref="T68">
    <cfRule type="cellIs" dxfId="40" priority="5" stopIfTrue="1" operator="notEqual">
      <formula>0</formula>
    </cfRule>
  </conditionalFormatting>
  <conditionalFormatting sqref="T70">
    <cfRule type="cellIs" dxfId="39" priority="4" stopIfTrue="1" operator="notEqual">
      <formula>0</formula>
    </cfRule>
  </conditionalFormatting>
  <conditionalFormatting sqref="T72">
    <cfRule type="cellIs" dxfId="38" priority="3" stopIfTrue="1" operator="notEqual">
      <formula>0</formula>
    </cfRule>
  </conditionalFormatting>
  <conditionalFormatting sqref="T74">
    <cfRule type="cellIs" dxfId="37" priority="2" stopIfTrue="1" operator="notEqual">
      <formula>0</formula>
    </cfRule>
  </conditionalFormatting>
  <conditionalFormatting sqref="T75">
    <cfRule type="cellIs" dxfId="36" priority="1" stopIfTrue="1" operator="notEqual">
      <formula>0</formula>
    </cfRule>
  </conditionalFormatting>
  <printOptions horizontalCentered="1"/>
  <pageMargins left="0.25" right="0" top="0.25" bottom="0.5" header="0.25" footer="0.25"/>
  <pageSetup scale="41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39997558519241921"/>
  </sheetPr>
  <dimension ref="A1:U81"/>
  <sheetViews>
    <sheetView showGridLines="0" zoomScaleNormal="100" zoomScaleSheetLayoutView="80" workbookViewId="0"/>
  </sheetViews>
  <sheetFormatPr defaultRowHeight="12.75" outlineLevelRow="2" x14ac:dyDescent="0.2"/>
  <cols>
    <col min="1" max="1" width="12.7109375" style="1135" customWidth="1"/>
    <col min="2" max="2" width="15.42578125" style="1135" customWidth="1"/>
    <col min="3" max="3" width="26.5703125" style="1135" customWidth="1"/>
    <col min="4" max="4" width="15" style="1135" customWidth="1"/>
    <col min="5" max="5" width="14.5703125" style="1135" customWidth="1"/>
    <col min="6" max="6" width="30.140625" style="122" bestFit="1" customWidth="1"/>
    <col min="7" max="7" width="3.7109375" style="123" bestFit="1" customWidth="1"/>
    <col min="8" max="8" width="13.7109375" style="123" bestFit="1" customWidth="1"/>
    <col min="9" max="9" width="10.7109375" style="122" customWidth="1"/>
    <col min="10" max="10" width="14.140625" style="122" bestFit="1" customWidth="1"/>
    <col min="11" max="12" width="13.5703125" style="122" bestFit="1" customWidth="1"/>
    <col min="13" max="13" width="13.7109375" style="122" bestFit="1" customWidth="1"/>
    <col min="14" max="14" width="14.42578125" style="122" bestFit="1" customWidth="1"/>
    <col min="15" max="15" width="12" style="122" bestFit="1" customWidth="1"/>
    <col min="16" max="16" width="8.7109375" style="122" customWidth="1"/>
    <col min="17" max="17" width="10.7109375" style="122" bestFit="1" customWidth="1"/>
    <col min="18" max="18" width="13.28515625" style="122" bestFit="1" customWidth="1"/>
    <col min="19" max="19" width="10.7109375" style="122" customWidth="1"/>
    <col min="20" max="20" width="17.85546875" style="122" bestFit="1" customWidth="1"/>
    <col min="21" max="21" width="6.28515625" style="122" bestFit="1" customWidth="1"/>
    <col min="22" max="16384" width="9.140625" style="122"/>
  </cols>
  <sheetData>
    <row r="1" spans="1:20" ht="23.25" customHeight="1" x14ac:dyDescent="0.35">
      <c r="A1" s="1134"/>
      <c r="D1" s="1134"/>
      <c r="F1" s="1389" t="s">
        <v>325</v>
      </c>
      <c r="G1" s="1389"/>
      <c r="H1" s="1389"/>
      <c r="I1" s="1389"/>
      <c r="J1" s="1389"/>
      <c r="K1" s="1389"/>
      <c r="L1" s="250"/>
    </row>
    <row r="2" spans="1:20" ht="15.75" thickBot="1" x14ac:dyDescent="0.35">
      <c r="A2" s="1088"/>
      <c r="D2" s="1088"/>
    </row>
    <row r="3" spans="1:20" ht="23.25" thickBot="1" x14ac:dyDescent="0.25">
      <c r="A3" s="1136"/>
      <c r="B3" s="1137"/>
      <c r="C3" s="1137"/>
      <c r="D3" s="1138" t="s">
        <v>1</v>
      </c>
      <c r="E3" s="1103"/>
      <c r="F3" s="251" t="s">
        <v>1</v>
      </c>
      <c r="G3" s="252"/>
      <c r="H3" s="253" t="s">
        <v>2</v>
      </c>
      <c r="I3" s="254" t="s">
        <v>3</v>
      </c>
      <c r="J3" s="254" t="s">
        <v>4</v>
      </c>
      <c r="K3" s="254" t="s">
        <v>5</v>
      </c>
      <c r="L3" s="254" t="s">
        <v>6</v>
      </c>
      <c r="M3" s="254" t="s">
        <v>7</v>
      </c>
      <c r="N3" s="254" t="s">
        <v>8</v>
      </c>
      <c r="O3" s="254" t="s">
        <v>9</v>
      </c>
      <c r="P3" s="254" t="s">
        <v>10</v>
      </c>
      <c r="Q3" s="254" t="s">
        <v>11</v>
      </c>
      <c r="R3" s="254" t="s">
        <v>12</v>
      </c>
      <c r="S3" s="255" t="s">
        <v>13</v>
      </c>
    </row>
    <row r="4" spans="1:20" ht="13.5" customHeight="1" thickBot="1" x14ac:dyDescent="0.25">
      <c r="A4" s="1139" t="s">
        <v>14</v>
      </c>
      <c r="B4" s="1140" t="s">
        <v>15</v>
      </c>
      <c r="C4" s="1140" t="s">
        <v>16</v>
      </c>
      <c r="D4" s="1390" t="s">
        <v>17</v>
      </c>
      <c r="E4" s="1391"/>
      <c r="F4" s="256" t="s">
        <v>18</v>
      </c>
      <c r="G4" s="257"/>
      <c r="H4" s="257"/>
      <c r="I4" s="258" t="s">
        <v>19</v>
      </c>
      <c r="J4" s="259" t="s">
        <v>20</v>
      </c>
      <c r="K4" s="259" t="s">
        <v>20</v>
      </c>
      <c r="L4" s="259" t="s">
        <v>20</v>
      </c>
      <c r="M4" s="259" t="s">
        <v>20</v>
      </c>
      <c r="N4" s="259" t="s">
        <v>20</v>
      </c>
      <c r="O4" s="259" t="s">
        <v>20</v>
      </c>
      <c r="P4" s="259" t="s">
        <v>20</v>
      </c>
      <c r="Q4" s="259" t="s">
        <v>20</v>
      </c>
      <c r="R4" s="259" t="s">
        <v>20</v>
      </c>
      <c r="S4" s="260" t="s">
        <v>20</v>
      </c>
      <c r="T4" s="134" t="s">
        <v>257</v>
      </c>
    </row>
    <row r="5" spans="1:20" ht="13.5" customHeight="1" outlineLevel="2" thickBot="1" x14ac:dyDescent="0.3">
      <c r="A5" s="1141" t="s">
        <v>21</v>
      </c>
      <c r="B5" s="1141" t="s">
        <v>21</v>
      </c>
      <c r="C5" s="1141" t="s">
        <v>22</v>
      </c>
      <c r="D5" s="1141" t="s">
        <v>23</v>
      </c>
      <c r="E5" s="1142" t="s">
        <v>24</v>
      </c>
      <c r="F5" s="262" t="s">
        <v>25</v>
      </c>
      <c r="G5" s="99"/>
      <c r="H5" s="99"/>
      <c r="I5" s="99">
        <v>44674</v>
      </c>
      <c r="J5" s="136">
        <v>28528.93</v>
      </c>
      <c r="K5" s="136">
        <v>1100</v>
      </c>
      <c r="L5" s="136">
        <v>2346.27</v>
      </c>
      <c r="M5" s="137">
        <v>42.89</v>
      </c>
      <c r="N5" s="137">
        <v>25039.77</v>
      </c>
      <c r="O5" s="137">
        <v>0</v>
      </c>
      <c r="P5" s="137">
        <v>0</v>
      </c>
      <c r="Q5" s="137">
        <v>0</v>
      </c>
      <c r="R5" s="137">
        <v>0</v>
      </c>
      <c r="S5" s="138">
        <v>0</v>
      </c>
      <c r="T5" s="139"/>
    </row>
    <row r="6" spans="1:20" ht="13.5" customHeight="1" outlineLevel="2" thickBot="1" x14ac:dyDescent="0.3">
      <c r="A6" s="1141" t="s">
        <v>21</v>
      </c>
      <c r="B6" s="1141" t="s">
        <v>21</v>
      </c>
      <c r="C6" s="1141" t="s">
        <v>26</v>
      </c>
      <c r="D6" s="1141" t="s">
        <v>23</v>
      </c>
      <c r="E6" s="1142" t="s">
        <v>24</v>
      </c>
      <c r="F6" s="262" t="s">
        <v>27</v>
      </c>
      <c r="G6" s="99"/>
      <c r="H6" s="99"/>
      <c r="I6" s="99">
        <v>43921</v>
      </c>
      <c r="J6" s="136">
        <v>27241.61</v>
      </c>
      <c r="K6" s="136">
        <v>275</v>
      </c>
      <c r="L6" s="136">
        <v>2306.73</v>
      </c>
      <c r="M6" s="137">
        <v>42.16</v>
      </c>
      <c r="N6" s="137">
        <v>24617.72</v>
      </c>
      <c r="O6" s="137">
        <v>0</v>
      </c>
      <c r="P6" s="137">
        <v>0</v>
      </c>
      <c r="Q6" s="137">
        <v>0</v>
      </c>
      <c r="R6" s="137">
        <v>0</v>
      </c>
      <c r="S6" s="138">
        <v>0</v>
      </c>
      <c r="T6" s="139"/>
    </row>
    <row r="7" spans="1:20" ht="13.5" customHeight="1" outlineLevel="2" thickBot="1" x14ac:dyDescent="0.3">
      <c r="A7" s="1141" t="s">
        <v>21</v>
      </c>
      <c r="B7" s="1141" t="s">
        <v>21</v>
      </c>
      <c r="C7" s="1141" t="s">
        <v>28</v>
      </c>
      <c r="D7" s="1141" t="s">
        <v>29</v>
      </c>
      <c r="E7" s="1142" t="s">
        <v>30</v>
      </c>
      <c r="F7" s="262" t="s">
        <v>31</v>
      </c>
      <c r="G7" s="99"/>
      <c r="H7" s="99"/>
      <c r="I7" s="99">
        <v>156216</v>
      </c>
      <c r="J7" s="136">
        <v>97963.53</v>
      </c>
      <c r="K7" s="136">
        <v>2200</v>
      </c>
      <c r="L7" s="136">
        <v>8204.4699999999993</v>
      </c>
      <c r="M7" s="137">
        <v>0</v>
      </c>
      <c r="N7" s="137">
        <v>87559.06</v>
      </c>
      <c r="O7" s="137">
        <v>0</v>
      </c>
      <c r="P7" s="137">
        <v>0</v>
      </c>
      <c r="Q7" s="137">
        <v>0</v>
      </c>
      <c r="R7" s="137">
        <v>0</v>
      </c>
      <c r="S7" s="138">
        <v>0</v>
      </c>
      <c r="T7" s="139"/>
    </row>
    <row r="8" spans="1:20" ht="13.5" customHeight="1" outlineLevel="2" thickBot="1" x14ac:dyDescent="0.3">
      <c r="A8" s="1141" t="s">
        <v>21</v>
      </c>
      <c r="B8" s="1141" t="s">
        <v>21</v>
      </c>
      <c r="C8" s="1141" t="s">
        <v>26</v>
      </c>
      <c r="D8" s="1141" t="s">
        <v>29</v>
      </c>
      <c r="E8" s="1142" t="s">
        <v>30</v>
      </c>
      <c r="F8" s="262" t="s">
        <v>32</v>
      </c>
      <c r="G8" s="99"/>
      <c r="H8" s="99"/>
      <c r="I8" s="99">
        <v>11752</v>
      </c>
      <c r="J8" s="136">
        <v>7479.22</v>
      </c>
      <c r="K8" s="136">
        <v>275</v>
      </c>
      <c r="L8" s="136">
        <v>617.22</v>
      </c>
      <c r="M8" s="137">
        <v>0</v>
      </c>
      <c r="N8" s="137">
        <v>6587</v>
      </c>
      <c r="O8" s="137">
        <v>0</v>
      </c>
      <c r="P8" s="137">
        <v>0</v>
      </c>
      <c r="Q8" s="137">
        <v>0</v>
      </c>
      <c r="R8" s="137">
        <v>0</v>
      </c>
      <c r="S8" s="138">
        <v>0</v>
      </c>
      <c r="T8" s="139"/>
    </row>
    <row r="9" spans="1:20" s="98" customFormat="1" ht="13.5" customHeight="1" outlineLevel="1" thickBot="1" x14ac:dyDescent="0.3">
      <c r="A9" s="1143"/>
      <c r="B9" s="1143"/>
      <c r="C9" s="1143"/>
      <c r="D9" s="1143"/>
      <c r="E9" s="1144"/>
      <c r="F9" s="261" t="s">
        <v>33</v>
      </c>
      <c r="G9" s="99"/>
      <c r="H9" s="141">
        <v>14</v>
      </c>
      <c r="I9" s="142">
        <f t="shared" ref="I9:S9" si="0">SUBTOTAL(9,I5:I8)</f>
        <v>256563</v>
      </c>
      <c r="J9" s="143">
        <f>SUBTOTAL(9,J5:J8)</f>
        <v>161213.29</v>
      </c>
      <c r="K9" s="143">
        <f t="shared" si="0"/>
        <v>3850</v>
      </c>
      <c r="L9" s="143">
        <f t="shared" si="0"/>
        <v>13474.689999999999</v>
      </c>
      <c r="M9" s="143">
        <f t="shared" si="0"/>
        <v>85.05</v>
      </c>
      <c r="N9" s="143">
        <f t="shared" si="0"/>
        <v>143803.54999999999</v>
      </c>
      <c r="O9" s="143">
        <f t="shared" si="0"/>
        <v>0</v>
      </c>
      <c r="P9" s="143">
        <f t="shared" si="0"/>
        <v>0</v>
      </c>
      <c r="Q9" s="143">
        <f t="shared" si="0"/>
        <v>0</v>
      </c>
      <c r="R9" s="143">
        <f t="shared" si="0"/>
        <v>0</v>
      </c>
      <c r="S9" s="144">
        <f t="shared" si="0"/>
        <v>0</v>
      </c>
      <c r="T9" s="139">
        <f>ROUND(J9-SUM(K9:P9)-R9,2)</f>
        <v>0</v>
      </c>
    </row>
    <row r="10" spans="1:20" ht="13.5" customHeight="1" outlineLevel="2" thickBot="1" x14ac:dyDescent="0.3">
      <c r="A10" s="1141" t="s">
        <v>21</v>
      </c>
      <c r="B10" s="1141" t="s">
        <v>21</v>
      </c>
      <c r="C10" s="1141" t="s">
        <v>22</v>
      </c>
      <c r="D10" s="1141" t="s">
        <v>34</v>
      </c>
      <c r="E10" s="1142" t="s">
        <v>35</v>
      </c>
      <c r="F10" s="262" t="s">
        <v>36</v>
      </c>
      <c r="G10" s="145"/>
      <c r="H10" s="146"/>
      <c r="I10" s="147">
        <v>304</v>
      </c>
      <c r="J10" s="148">
        <v>707.58999999999992</v>
      </c>
      <c r="K10" s="148">
        <v>480</v>
      </c>
      <c r="L10" s="148">
        <v>56.91</v>
      </c>
      <c r="M10" s="148">
        <v>0.28999999999999998</v>
      </c>
      <c r="N10" s="148">
        <v>170.39</v>
      </c>
      <c r="O10" s="148">
        <v>0</v>
      </c>
      <c r="P10" s="148">
        <v>0</v>
      </c>
      <c r="Q10" s="148">
        <v>0</v>
      </c>
      <c r="R10" s="148">
        <v>0</v>
      </c>
      <c r="S10" s="149">
        <v>0</v>
      </c>
      <c r="T10" s="139"/>
    </row>
    <row r="11" spans="1:20" ht="13.5" customHeight="1" outlineLevel="2" thickBot="1" x14ac:dyDescent="0.3">
      <c r="A11" s="1141" t="s">
        <v>21</v>
      </c>
      <c r="B11" s="1141" t="s">
        <v>21</v>
      </c>
      <c r="C11" s="1141" t="s">
        <v>26</v>
      </c>
      <c r="D11" s="1141" t="s">
        <v>34</v>
      </c>
      <c r="E11" s="1142" t="s">
        <v>35</v>
      </c>
      <c r="F11" s="262" t="s">
        <v>36</v>
      </c>
      <c r="G11" s="99"/>
      <c r="H11" s="146"/>
      <c r="I11" s="147">
        <v>54</v>
      </c>
      <c r="J11" s="148">
        <v>130.43</v>
      </c>
      <c r="K11" s="148">
        <v>90</v>
      </c>
      <c r="L11" s="148">
        <v>10.11</v>
      </c>
      <c r="M11" s="148">
        <v>0.05</v>
      </c>
      <c r="N11" s="148">
        <v>30.27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139"/>
    </row>
    <row r="12" spans="1:20" ht="13.5" customHeight="1" outlineLevel="2" thickBot="1" x14ac:dyDescent="0.3">
      <c r="A12" s="1141" t="s">
        <v>21</v>
      </c>
      <c r="B12" s="1141" t="s">
        <v>21</v>
      </c>
      <c r="C12" s="1141" t="s">
        <v>22</v>
      </c>
      <c r="D12" s="1141" t="s">
        <v>37</v>
      </c>
      <c r="E12" s="1142" t="s">
        <v>38</v>
      </c>
      <c r="F12" s="262" t="s">
        <v>39</v>
      </c>
      <c r="G12" s="99"/>
      <c r="H12" s="146"/>
      <c r="I12" s="147">
        <v>3323257</v>
      </c>
      <c r="J12" s="148">
        <v>3244444.6</v>
      </c>
      <c r="K12" s="148">
        <v>814908.05</v>
      </c>
      <c r="L12" s="148">
        <v>563985.56999999995</v>
      </c>
      <c r="M12" s="148">
        <v>3184.89</v>
      </c>
      <c r="N12" s="148">
        <v>1862394.76</v>
      </c>
      <c r="O12" s="148">
        <v>-28.67</v>
      </c>
      <c r="P12" s="148">
        <v>0</v>
      </c>
      <c r="Q12" s="148">
        <v>0</v>
      </c>
      <c r="R12" s="148">
        <v>0</v>
      </c>
      <c r="S12" s="149">
        <v>1092.27</v>
      </c>
      <c r="T12" s="139"/>
    </row>
    <row r="13" spans="1:20" ht="13.5" customHeight="1" outlineLevel="2" thickBot="1" x14ac:dyDescent="0.3">
      <c r="A13" s="1141" t="s">
        <v>21</v>
      </c>
      <c r="B13" s="1141" t="s">
        <v>21</v>
      </c>
      <c r="C13" s="1141" t="s">
        <v>26</v>
      </c>
      <c r="D13" s="1141" t="s">
        <v>37</v>
      </c>
      <c r="E13" s="1142" t="s">
        <v>38</v>
      </c>
      <c r="F13" s="262" t="s">
        <v>39</v>
      </c>
      <c r="G13" s="145"/>
      <c r="H13" s="146"/>
      <c r="I13" s="147">
        <v>413761</v>
      </c>
      <c r="J13" s="148">
        <v>372937.14</v>
      </c>
      <c r="K13" s="148">
        <v>73203.67</v>
      </c>
      <c r="L13" s="148">
        <v>67423.47</v>
      </c>
      <c r="M13" s="148">
        <v>397.26</v>
      </c>
      <c r="N13" s="148">
        <v>231912.74</v>
      </c>
      <c r="O13" s="148">
        <v>0</v>
      </c>
      <c r="P13" s="148">
        <v>0</v>
      </c>
      <c r="Q13" s="148">
        <v>0</v>
      </c>
      <c r="R13" s="148">
        <v>0</v>
      </c>
      <c r="S13" s="149">
        <v>94.88</v>
      </c>
      <c r="T13" s="139"/>
    </row>
    <row r="14" spans="1:20" ht="13.5" customHeight="1" outlineLevel="2" thickBot="1" x14ac:dyDescent="0.3">
      <c r="A14" s="1141" t="s">
        <v>21</v>
      </c>
      <c r="B14" s="1141" t="s">
        <v>21</v>
      </c>
      <c r="C14" s="1141" t="s">
        <v>40</v>
      </c>
      <c r="D14" s="1141" t="s">
        <v>37</v>
      </c>
      <c r="E14" s="1142" t="s">
        <v>38</v>
      </c>
      <c r="F14" s="262" t="s">
        <v>39</v>
      </c>
      <c r="G14" s="99"/>
      <c r="H14" s="146"/>
      <c r="I14" s="147">
        <v>1865</v>
      </c>
      <c r="J14" s="148">
        <v>2034.2199999999998</v>
      </c>
      <c r="K14" s="148">
        <v>651</v>
      </c>
      <c r="L14" s="148">
        <v>339.62</v>
      </c>
      <c r="M14" s="148">
        <v>1.78</v>
      </c>
      <c r="N14" s="148">
        <v>1043.26</v>
      </c>
      <c r="O14" s="148">
        <v>-1.44</v>
      </c>
      <c r="P14" s="148">
        <v>0</v>
      </c>
      <c r="Q14" s="148">
        <v>0</v>
      </c>
      <c r="R14" s="148">
        <v>0</v>
      </c>
      <c r="S14" s="149">
        <v>0</v>
      </c>
      <c r="T14" s="139"/>
    </row>
    <row r="15" spans="1:20" ht="13.5" customHeight="1" outlineLevel="2" thickBot="1" x14ac:dyDescent="0.3">
      <c r="A15" s="1141" t="s">
        <v>21</v>
      </c>
      <c r="B15" s="1141" t="s">
        <v>21</v>
      </c>
      <c r="C15" s="1141" t="s">
        <v>22</v>
      </c>
      <c r="D15" s="1141" t="s">
        <v>41</v>
      </c>
      <c r="E15" s="1142" t="s">
        <v>42</v>
      </c>
      <c r="F15" s="262" t="s">
        <v>43</v>
      </c>
      <c r="G15" s="99"/>
      <c r="H15" s="146"/>
      <c r="I15" s="147">
        <v>613</v>
      </c>
      <c r="J15" s="148">
        <v>19059.66</v>
      </c>
      <c r="K15" s="148">
        <v>18600</v>
      </c>
      <c r="L15" s="148">
        <v>116.38</v>
      </c>
      <c r="M15" s="148">
        <v>0</v>
      </c>
      <c r="N15" s="148">
        <v>343.28</v>
      </c>
      <c r="O15" s="148">
        <v>0</v>
      </c>
      <c r="P15" s="148">
        <v>0</v>
      </c>
      <c r="Q15" s="148">
        <v>0</v>
      </c>
      <c r="R15" s="148">
        <v>0</v>
      </c>
      <c r="S15" s="149">
        <v>1.84</v>
      </c>
      <c r="T15" s="139"/>
    </row>
    <row r="16" spans="1:20" s="98" customFormat="1" ht="13.5" customHeight="1" outlineLevel="1" thickBot="1" x14ac:dyDescent="0.3">
      <c r="A16" s="1143"/>
      <c r="B16" s="1143"/>
      <c r="C16" s="1143"/>
      <c r="D16" s="1143"/>
      <c r="E16" s="1144"/>
      <c r="F16" s="261" t="s">
        <v>44</v>
      </c>
      <c r="G16" s="99"/>
      <c r="H16" s="141">
        <v>25380</v>
      </c>
      <c r="I16" s="142">
        <f t="shared" ref="I16:S16" si="1">SUBTOTAL(9,I10:I15)</f>
        <v>3739854</v>
      </c>
      <c r="J16" s="143">
        <f>SUBTOTAL(9,J10:J15)</f>
        <v>3639313.6400000006</v>
      </c>
      <c r="K16" s="143">
        <f t="shared" si="1"/>
        <v>907932.72000000009</v>
      </c>
      <c r="L16" s="143">
        <f t="shared" si="1"/>
        <v>631932.05999999994</v>
      </c>
      <c r="M16" s="143">
        <f t="shared" si="1"/>
        <v>3584.27</v>
      </c>
      <c r="N16" s="143">
        <f t="shared" si="1"/>
        <v>2095894.7</v>
      </c>
      <c r="O16" s="143">
        <f t="shared" si="1"/>
        <v>-30.110000000000003</v>
      </c>
      <c r="P16" s="143">
        <f t="shared" si="1"/>
        <v>0</v>
      </c>
      <c r="Q16" s="143">
        <f t="shared" si="1"/>
        <v>0</v>
      </c>
      <c r="R16" s="143">
        <f t="shared" si="1"/>
        <v>0</v>
      </c>
      <c r="S16" s="144">
        <f t="shared" si="1"/>
        <v>1188.99</v>
      </c>
      <c r="T16" s="139">
        <f>ROUND(J16-SUM(K16:P16)-R16,2)</f>
        <v>0</v>
      </c>
    </row>
    <row r="17" spans="1:21" ht="13.5" customHeight="1" outlineLevel="2" thickBot="1" x14ac:dyDescent="0.3">
      <c r="A17" s="1141" t="s">
        <v>21</v>
      </c>
      <c r="B17" s="1141" t="s">
        <v>21</v>
      </c>
      <c r="C17" s="1141" t="s">
        <v>28</v>
      </c>
      <c r="D17" s="1141" t="s">
        <v>45</v>
      </c>
      <c r="E17" s="1142" t="s">
        <v>46</v>
      </c>
      <c r="F17" s="262" t="s">
        <v>47</v>
      </c>
      <c r="G17" s="99"/>
      <c r="H17" s="146"/>
      <c r="I17" s="147">
        <v>493089</v>
      </c>
      <c r="J17" s="148">
        <v>369404.46</v>
      </c>
      <c r="K17" s="148">
        <v>20160</v>
      </c>
      <c r="L17" s="148">
        <v>72865.39</v>
      </c>
      <c r="M17" s="148">
        <v>0</v>
      </c>
      <c r="N17" s="148">
        <v>276379.07</v>
      </c>
      <c r="O17" s="148">
        <v>0</v>
      </c>
      <c r="P17" s="148">
        <v>0</v>
      </c>
      <c r="Q17" s="148">
        <v>0</v>
      </c>
      <c r="R17" s="148">
        <v>0</v>
      </c>
      <c r="S17" s="149">
        <v>0</v>
      </c>
      <c r="T17" s="139"/>
    </row>
    <row r="18" spans="1:21" ht="13.5" customHeight="1" outlineLevel="2" thickBot="1" x14ac:dyDescent="0.3">
      <c r="A18" s="1145"/>
      <c r="B18" s="1145"/>
      <c r="C18" s="1145"/>
      <c r="D18" s="1141" t="s">
        <v>45</v>
      </c>
      <c r="E18" s="1142" t="s">
        <v>46</v>
      </c>
      <c r="F18" s="262" t="s">
        <v>47</v>
      </c>
      <c r="G18" s="99"/>
      <c r="H18" s="146"/>
      <c r="I18" s="147">
        <v>2698</v>
      </c>
      <c r="J18" s="148">
        <v>2110.54</v>
      </c>
      <c r="K18" s="148">
        <v>170</v>
      </c>
      <c r="L18" s="148">
        <v>428.31</v>
      </c>
      <c r="M18" s="148">
        <v>0</v>
      </c>
      <c r="N18" s="148">
        <v>1512.23</v>
      </c>
      <c r="O18" s="148">
        <v>0</v>
      </c>
      <c r="P18" s="148">
        <v>0</v>
      </c>
      <c r="Q18" s="148">
        <v>0</v>
      </c>
      <c r="R18" s="148">
        <v>0</v>
      </c>
      <c r="S18" s="149">
        <v>0</v>
      </c>
      <c r="T18" s="139"/>
    </row>
    <row r="19" spans="1:21" ht="13.5" customHeight="1" outlineLevel="2" thickBot="1" x14ac:dyDescent="0.3">
      <c r="A19" s="1141" t="s">
        <v>21</v>
      </c>
      <c r="B19" s="1141" t="s">
        <v>21</v>
      </c>
      <c r="C19" s="1141" t="s">
        <v>26</v>
      </c>
      <c r="D19" s="1141" t="s">
        <v>45</v>
      </c>
      <c r="E19" s="1142" t="s">
        <v>46</v>
      </c>
      <c r="F19" s="262" t="s">
        <v>47</v>
      </c>
      <c r="G19" s="99"/>
      <c r="H19" s="146"/>
      <c r="I19" s="147">
        <v>266</v>
      </c>
      <c r="J19" s="148">
        <v>489.68000000000006</v>
      </c>
      <c r="K19" s="148">
        <v>290</v>
      </c>
      <c r="L19" s="148">
        <v>50.6</v>
      </c>
      <c r="M19" s="148">
        <v>0</v>
      </c>
      <c r="N19" s="148">
        <v>149.08000000000001</v>
      </c>
      <c r="O19" s="148">
        <v>0</v>
      </c>
      <c r="P19" s="148">
        <v>0</v>
      </c>
      <c r="Q19" s="148">
        <v>0</v>
      </c>
      <c r="R19" s="148">
        <v>0</v>
      </c>
      <c r="S19" s="149">
        <v>0</v>
      </c>
      <c r="T19" s="139"/>
    </row>
    <row r="20" spans="1:21" s="98" customFormat="1" ht="13.5" customHeight="1" outlineLevel="1" thickBot="1" x14ac:dyDescent="0.3">
      <c r="A20" s="1143"/>
      <c r="B20" s="1143"/>
      <c r="C20" s="1143"/>
      <c r="D20" s="1143"/>
      <c r="E20" s="1144"/>
      <c r="F20" s="261" t="s">
        <v>48</v>
      </c>
      <c r="G20" s="145"/>
      <c r="H20" s="141">
        <v>212</v>
      </c>
      <c r="I20" s="142">
        <f t="shared" ref="I20:S20" si="2">SUBTOTAL(9,I17:I19)</f>
        <v>496053</v>
      </c>
      <c r="J20" s="143">
        <f>SUBTOTAL(9,J17:J19)</f>
        <v>372004.68</v>
      </c>
      <c r="K20" s="143">
        <f t="shared" si="2"/>
        <v>20620</v>
      </c>
      <c r="L20" s="143">
        <f t="shared" si="2"/>
        <v>73344.3</v>
      </c>
      <c r="M20" s="143">
        <f t="shared" si="2"/>
        <v>0</v>
      </c>
      <c r="N20" s="143">
        <f t="shared" si="2"/>
        <v>278040.38</v>
      </c>
      <c r="O20" s="143">
        <f t="shared" si="2"/>
        <v>0</v>
      </c>
      <c r="P20" s="143">
        <f t="shared" si="2"/>
        <v>0</v>
      </c>
      <c r="Q20" s="143">
        <f t="shared" si="2"/>
        <v>0</v>
      </c>
      <c r="R20" s="143">
        <f t="shared" si="2"/>
        <v>0</v>
      </c>
      <c r="S20" s="144">
        <f t="shared" si="2"/>
        <v>0</v>
      </c>
      <c r="T20" s="139">
        <f>ROUND(J20-SUM(K20:P20)-R20,2)</f>
        <v>0</v>
      </c>
    </row>
    <row r="21" spans="1:21" ht="13.5" customHeight="1" outlineLevel="2" thickBot="1" x14ac:dyDescent="0.3">
      <c r="A21" s="1141" t="s">
        <v>21</v>
      </c>
      <c r="B21" s="1141" t="s">
        <v>21</v>
      </c>
      <c r="C21" s="1141" t="s">
        <v>40</v>
      </c>
      <c r="D21" s="1141" t="s">
        <v>49</v>
      </c>
      <c r="E21" s="1142" t="s">
        <v>50</v>
      </c>
      <c r="F21" s="262" t="s">
        <v>51</v>
      </c>
      <c r="G21" s="99"/>
      <c r="H21" s="146"/>
      <c r="I21" s="147">
        <v>32</v>
      </c>
      <c r="J21" s="148">
        <v>50.710000000000008</v>
      </c>
      <c r="K21" s="148">
        <v>25</v>
      </c>
      <c r="L21" s="148">
        <v>7.17</v>
      </c>
      <c r="M21" s="148">
        <v>0.6</v>
      </c>
      <c r="N21" s="148">
        <v>17.940000000000001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139"/>
    </row>
    <row r="22" spans="1:21" ht="13.5" customHeight="1" outlineLevel="2" thickBot="1" x14ac:dyDescent="0.3">
      <c r="A22" s="1141" t="s">
        <v>21</v>
      </c>
      <c r="B22" s="1141" t="s">
        <v>21</v>
      </c>
      <c r="C22" s="1141" t="s">
        <v>40</v>
      </c>
      <c r="D22" s="1141" t="s">
        <v>52</v>
      </c>
      <c r="E22" s="1142" t="s">
        <v>53</v>
      </c>
      <c r="F22" s="262" t="s">
        <v>54</v>
      </c>
      <c r="G22" s="145"/>
      <c r="H22" s="146"/>
      <c r="I22" s="147">
        <v>5742992</v>
      </c>
      <c r="J22" s="148">
        <v>8238933.8399999999</v>
      </c>
      <c r="K22" s="148">
        <v>3625123.67</v>
      </c>
      <c r="L22" s="148">
        <v>1286274.57</v>
      </c>
      <c r="M22" s="148">
        <v>108438.64</v>
      </c>
      <c r="N22" s="148">
        <v>3219144.2</v>
      </c>
      <c r="O22" s="148">
        <v>-47.24</v>
      </c>
      <c r="P22" s="148">
        <v>0</v>
      </c>
      <c r="Q22" s="148">
        <v>43994.55</v>
      </c>
      <c r="R22" s="148">
        <v>0</v>
      </c>
      <c r="S22" s="149">
        <v>1955.49</v>
      </c>
      <c r="T22" s="139"/>
    </row>
    <row r="23" spans="1:21" ht="13.5" customHeight="1" outlineLevel="2" thickBot="1" x14ac:dyDescent="0.3">
      <c r="A23" s="1141" t="s">
        <v>21</v>
      </c>
      <c r="B23" s="1141" t="s">
        <v>21</v>
      </c>
      <c r="C23" s="1141" t="s">
        <v>26</v>
      </c>
      <c r="D23" s="1142" t="s">
        <v>52</v>
      </c>
      <c r="E23" s="1147" t="s">
        <v>53</v>
      </c>
      <c r="F23" s="262" t="s">
        <v>54</v>
      </c>
      <c r="G23" s="99"/>
      <c r="H23" s="146"/>
      <c r="I23" s="147">
        <v>558</v>
      </c>
      <c r="J23" s="148">
        <v>1110.73</v>
      </c>
      <c r="K23" s="148">
        <v>662.5</v>
      </c>
      <c r="L23" s="148">
        <v>124.99</v>
      </c>
      <c r="M23" s="148">
        <v>10.5</v>
      </c>
      <c r="N23" s="148">
        <v>312.74</v>
      </c>
      <c r="O23" s="148">
        <v>0</v>
      </c>
      <c r="P23" s="148">
        <v>0</v>
      </c>
      <c r="Q23" s="148">
        <v>7.95</v>
      </c>
      <c r="R23" s="148">
        <v>0</v>
      </c>
      <c r="S23" s="149">
        <v>0</v>
      </c>
      <c r="T23" s="139"/>
    </row>
    <row r="24" spans="1:21" ht="13.5" customHeight="1" outlineLevel="2" thickBot="1" x14ac:dyDescent="0.3">
      <c r="A24" s="1145"/>
      <c r="B24" s="1145"/>
      <c r="C24" s="1145"/>
      <c r="D24" s="1142" t="s">
        <v>52</v>
      </c>
      <c r="E24" s="1148"/>
      <c r="F24" s="262" t="s">
        <v>54</v>
      </c>
      <c r="G24" s="99"/>
      <c r="H24" s="146"/>
      <c r="I24" s="147">
        <v>41</v>
      </c>
      <c r="J24" s="148">
        <v>74.61</v>
      </c>
      <c r="K24" s="148">
        <v>41.67</v>
      </c>
      <c r="L24" s="148">
        <v>9.19</v>
      </c>
      <c r="M24" s="148">
        <v>0.77</v>
      </c>
      <c r="N24" s="148">
        <v>22.98</v>
      </c>
      <c r="O24" s="148">
        <v>0</v>
      </c>
      <c r="P24" s="148">
        <v>0</v>
      </c>
      <c r="Q24" s="148">
        <v>0.6</v>
      </c>
      <c r="R24" s="148">
        <v>0</v>
      </c>
      <c r="S24" s="149">
        <v>0</v>
      </c>
      <c r="T24" s="139"/>
    </row>
    <row r="25" spans="1:21" ht="13.5" customHeight="1" outlineLevel="2" thickBot="1" x14ac:dyDescent="0.3">
      <c r="A25" s="1141" t="s">
        <v>21</v>
      </c>
      <c r="B25" s="1141" t="s">
        <v>21</v>
      </c>
      <c r="C25" s="1141" t="s">
        <v>40</v>
      </c>
      <c r="D25" s="1141" t="s">
        <v>55</v>
      </c>
      <c r="E25" s="1142" t="s">
        <v>56</v>
      </c>
      <c r="F25" s="262" t="s">
        <v>57</v>
      </c>
      <c r="G25" s="145"/>
      <c r="H25" s="146"/>
      <c r="I25" s="147">
        <v>622</v>
      </c>
      <c r="J25" s="148">
        <v>321.07</v>
      </c>
      <c r="K25" s="148">
        <v>0.5</v>
      </c>
      <c r="L25" s="148">
        <v>-28.06</v>
      </c>
      <c r="M25" s="148">
        <v>0</v>
      </c>
      <c r="N25" s="148">
        <v>348.63</v>
      </c>
      <c r="O25" s="148">
        <v>0</v>
      </c>
      <c r="P25" s="148">
        <v>0</v>
      </c>
      <c r="Q25" s="148">
        <v>0</v>
      </c>
      <c r="R25" s="148">
        <v>0</v>
      </c>
      <c r="S25" s="149">
        <v>0</v>
      </c>
      <c r="T25" s="139"/>
    </row>
    <row r="26" spans="1:21" s="98" customFormat="1" ht="13.5" customHeight="1" outlineLevel="1" thickBot="1" x14ac:dyDescent="0.3">
      <c r="A26" s="1143"/>
      <c r="B26" s="1143"/>
      <c r="C26" s="1143"/>
      <c r="D26" s="1143"/>
      <c r="E26" s="1144"/>
      <c r="F26" s="261" t="s">
        <v>58</v>
      </c>
      <c r="G26" s="145"/>
      <c r="H26" s="141">
        <v>290967</v>
      </c>
      <c r="I26" s="142">
        <f t="shared" ref="I26:S26" si="3">SUBTOTAL(9,I21:I25)</f>
        <v>5744245</v>
      </c>
      <c r="J26" s="143">
        <f>SUBTOTAL(9,J21:J25)</f>
        <v>8240490.9600000009</v>
      </c>
      <c r="K26" s="143">
        <f t="shared" si="3"/>
        <v>3625853.34</v>
      </c>
      <c r="L26" s="143">
        <f t="shared" si="3"/>
        <v>1286387.8599999999</v>
      </c>
      <c r="M26" s="143">
        <f t="shared" si="3"/>
        <v>108450.51000000001</v>
      </c>
      <c r="N26" s="143">
        <f t="shared" si="3"/>
        <v>3219846.49</v>
      </c>
      <c r="O26" s="143">
        <f t="shared" si="3"/>
        <v>-47.24</v>
      </c>
      <c r="P26" s="143">
        <f t="shared" si="3"/>
        <v>0</v>
      </c>
      <c r="Q26" s="143">
        <f t="shared" si="3"/>
        <v>44003.1</v>
      </c>
      <c r="R26" s="143">
        <f t="shared" si="3"/>
        <v>0</v>
      </c>
      <c r="S26" s="144">
        <f t="shared" si="3"/>
        <v>1955.49</v>
      </c>
      <c r="T26" s="139">
        <f>ROUND(J26-SUM(K26:P26)-R26,2)</f>
        <v>0</v>
      </c>
    </row>
    <row r="27" spans="1:21" ht="13.5" customHeight="1" outlineLevel="2" thickBot="1" x14ac:dyDescent="0.3">
      <c r="A27" s="1141" t="s">
        <v>21</v>
      </c>
      <c r="B27" s="1141" t="s">
        <v>21</v>
      </c>
      <c r="C27" s="1141" t="s">
        <v>40</v>
      </c>
      <c r="D27" s="1141" t="s">
        <v>59</v>
      </c>
      <c r="E27" s="1142" t="s">
        <v>60</v>
      </c>
      <c r="F27" s="262" t="s">
        <v>61</v>
      </c>
      <c r="G27" s="99"/>
      <c r="H27" s="146"/>
      <c r="I27" s="147">
        <v>226</v>
      </c>
      <c r="J27" s="148">
        <v>219.06</v>
      </c>
      <c r="K27" s="148">
        <v>37.5</v>
      </c>
      <c r="L27" s="148">
        <v>50.61</v>
      </c>
      <c r="M27" s="148">
        <v>4.2699999999999996</v>
      </c>
      <c r="N27" s="148">
        <v>126.68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139"/>
    </row>
    <row r="28" spans="1:21" ht="13.5" customHeight="1" outlineLevel="2" thickBot="1" x14ac:dyDescent="0.3">
      <c r="A28" s="1141" t="s">
        <v>21</v>
      </c>
      <c r="B28" s="1141" t="s">
        <v>21</v>
      </c>
      <c r="C28" s="1141" t="s">
        <v>26</v>
      </c>
      <c r="D28" s="1141" t="s">
        <v>59</v>
      </c>
      <c r="E28" s="1142" t="s">
        <v>60</v>
      </c>
      <c r="F28" s="262" t="s">
        <v>61</v>
      </c>
      <c r="G28" s="99"/>
      <c r="H28" s="146"/>
      <c r="I28" s="147">
        <v>157</v>
      </c>
      <c r="J28" s="148">
        <v>138.62</v>
      </c>
      <c r="K28" s="148">
        <v>12.5</v>
      </c>
      <c r="L28" s="148">
        <v>35.159999999999997</v>
      </c>
      <c r="M28" s="148">
        <v>2.96</v>
      </c>
      <c r="N28" s="148">
        <v>88</v>
      </c>
      <c r="O28" s="148">
        <v>0</v>
      </c>
      <c r="P28" s="148">
        <v>0</v>
      </c>
      <c r="Q28" s="148">
        <v>0</v>
      </c>
      <c r="R28" s="148">
        <v>0</v>
      </c>
      <c r="S28" s="149">
        <v>0</v>
      </c>
      <c r="T28" s="139"/>
    </row>
    <row r="29" spans="1:21" s="98" customFormat="1" ht="13.5" customHeight="1" outlineLevel="1" thickBot="1" x14ac:dyDescent="0.3">
      <c r="A29" s="1149"/>
      <c r="B29" s="1149"/>
      <c r="C29" s="1149"/>
      <c r="D29" s="1149"/>
      <c r="E29" s="1149"/>
      <c r="F29" s="263" t="s">
        <v>62</v>
      </c>
      <c r="G29" s="99"/>
      <c r="H29" s="141">
        <v>4</v>
      </c>
      <c r="I29" s="142">
        <f>SUBTOTAL(9,I27:I28)</f>
        <v>383</v>
      </c>
      <c r="J29" s="143">
        <f>SUBTOTAL(9,J27:J28)</f>
        <v>357.68</v>
      </c>
      <c r="K29" s="143">
        <f t="shared" ref="K29:S29" si="4">SUBTOTAL(9,K27:K28)</f>
        <v>50</v>
      </c>
      <c r="L29" s="143">
        <f t="shared" si="4"/>
        <v>85.77</v>
      </c>
      <c r="M29" s="143">
        <f t="shared" si="4"/>
        <v>7.2299999999999995</v>
      </c>
      <c r="N29" s="143">
        <f t="shared" si="4"/>
        <v>214.68</v>
      </c>
      <c r="O29" s="143">
        <f t="shared" si="4"/>
        <v>0</v>
      </c>
      <c r="P29" s="143">
        <f t="shared" si="4"/>
        <v>0</v>
      </c>
      <c r="Q29" s="143">
        <f t="shared" si="4"/>
        <v>0</v>
      </c>
      <c r="R29" s="143">
        <f t="shared" si="4"/>
        <v>0</v>
      </c>
      <c r="S29" s="144">
        <f t="shared" si="4"/>
        <v>0</v>
      </c>
      <c r="T29" s="139">
        <f>ROUND(J29-SUM(K29:P29)-R29,2)</f>
        <v>0</v>
      </c>
    </row>
    <row r="30" spans="1:21" ht="23.25" outlineLevel="2" thickBot="1" x14ac:dyDescent="0.3">
      <c r="B30" s="1149"/>
      <c r="C30" s="1149"/>
      <c r="D30" s="1141" t="s">
        <v>63</v>
      </c>
      <c r="E30" s="1142" t="s">
        <v>64</v>
      </c>
      <c r="F30" s="262" t="s">
        <v>65</v>
      </c>
      <c r="G30" s="99"/>
      <c r="H30" s="146"/>
      <c r="I30" s="147">
        <v>980</v>
      </c>
      <c r="J30" s="148">
        <v>903.71</v>
      </c>
      <c r="K30" s="148">
        <v>170</v>
      </c>
      <c r="L30" s="148">
        <v>183.48</v>
      </c>
      <c r="M30" s="148">
        <v>0.94</v>
      </c>
      <c r="N30" s="148">
        <v>549.29</v>
      </c>
      <c r="O30" s="148"/>
      <c r="P30" s="148"/>
      <c r="Q30" s="148"/>
      <c r="R30" s="148"/>
      <c r="S30" s="149"/>
      <c r="T30" s="139"/>
      <c r="U30" s="101"/>
    </row>
    <row r="31" spans="1:21" ht="23.25" outlineLevel="2" thickBot="1" x14ac:dyDescent="0.3">
      <c r="B31" s="1149"/>
      <c r="C31" s="1149"/>
      <c r="D31" s="1141" t="s">
        <v>66</v>
      </c>
      <c r="E31" s="1142" t="s">
        <v>67</v>
      </c>
      <c r="F31" s="262" t="s">
        <v>68</v>
      </c>
      <c r="G31" s="145"/>
      <c r="H31" s="146"/>
      <c r="I31" s="147">
        <v>22109</v>
      </c>
      <c r="J31" s="148">
        <v>15932.21</v>
      </c>
      <c r="K31" s="148">
        <v>340</v>
      </c>
      <c r="L31" s="148">
        <v>3200.12</v>
      </c>
      <c r="M31" s="148">
        <v>0</v>
      </c>
      <c r="N31" s="148">
        <v>12392.09</v>
      </c>
      <c r="O31" s="148"/>
      <c r="P31" s="148"/>
      <c r="Q31" s="148"/>
      <c r="R31" s="148"/>
      <c r="S31" s="149"/>
      <c r="T31" s="139"/>
      <c r="U31" s="101"/>
    </row>
    <row r="32" spans="1:21" ht="14.25" outlineLevel="1" thickBot="1" x14ac:dyDescent="0.3">
      <c r="B32" s="1149"/>
      <c r="C32" s="1149"/>
      <c r="D32" s="1143"/>
      <c r="E32" s="1144"/>
      <c r="F32" s="261" t="s">
        <v>69</v>
      </c>
      <c r="G32" s="99"/>
      <c r="H32" s="141">
        <v>3</v>
      </c>
      <c r="I32" s="142">
        <f t="shared" ref="I32:S32" si="5">SUBTOTAL(9,I30:I31)</f>
        <v>23089</v>
      </c>
      <c r="J32" s="151">
        <f>SUBTOTAL(9,J30:J31)</f>
        <v>16835.919999999998</v>
      </c>
      <c r="K32" s="151">
        <f t="shared" si="5"/>
        <v>510</v>
      </c>
      <c r="L32" s="151">
        <f t="shared" si="5"/>
        <v>3383.6</v>
      </c>
      <c r="M32" s="151">
        <f t="shared" si="5"/>
        <v>0.94</v>
      </c>
      <c r="N32" s="151">
        <f t="shared" si="5"/>
        <v>12941.380000000001</v>
      </c>
      <c r="O32" s="151">
        <f t="shared" si="5"/>
        <v>0</v>
      </c>
      <c r="P32" s="151">
        <f t="shared" si="5"/>
        <v>0</v>
      </c>
      <c r="Q32" s="151">
        <f t="shared" si="5"/>
        <v>0</v>
      </c>
      <c r="R32" s="151">
        <f t="shared" si="5"/>
        <v>0</v>
      </c>
      <c r="S32" s="152">
        <f t="shared" si="5"/>
        <v>0</v>
      </c>
      <c r="T32" s="139">
        <f>ROUND(J32-SUM(K32:P32)-R32,2)</f>
        <v>0</v>
      </c>
    </row>
    <row r="33" spans="1:20" s="98" customFormat="1" ht="13.5" customHeight="1" thickBot="1" x14ac:dyDescent="0.3">
      <c r="A33" s="1149"/>
      <c r="B33" s="1149"/>
      <c r="C33" s="1149"/>
      <c r="D33" s="1149"/>
      <c r="E33" s="1149"/>
      <c r="F33" s="264"/>
      <c r="G33" s="99"/>
      <c r="H33" s="145"/>
      <c r="I33" s="145"/>
      <c r="J33" s="154"/>
      <c r="K33" s="154"/>
      <c r="L33" s="154"/>
      <c r="M33" s="154"/>
      <c r="N33" s="154"/>
      <c r="O33" s="154"/>
      <c r="P33" s="154"/>
      <c r="Q33" s="154"/>
      <c r="R33" s="154"/>
      <c r="S33" s="155"/>
      <c r="T33" s="139"/>
    </row>
    <row r="34" spans="1:20" s="98" customFormat="1" ht="13.5" customHeight="1" thickBot="1" x14ac:dyDescent="0.3">
      <c r="A34" s="1149"/>
      <c r="B34" s="1149"/>
      <c r="C34" s="1149"/>
      <c r="D34" s="1149"/>
      <c r="E34" s="1149"/>
      <c r="F34" s="261" t="s">
        <v>70</v>
      </c>
      <c r="G34" s="145"/>
      <c r="H34" s="99"/>
      <c r="I34" s="145"/>
      <c r="J34" s="154"/>
      <c r="K34" s="145"/>
      <c r="L34" s="154"/>
      <c r="M34" s="154"/>
      <c r="N34" s="154"/>
      <c r="O34" s="154"/>
      <c r="P34" s="154"/>
      <c r="Q34" s="154"/>
      <c r="R34" s="154"/>
      <c r="S34" s="155"/>
      <c r="T34" s="139"/>
    </row>
    <row r="35" spans="1:20" s="98" customFormat="1" ht="13.5" customHeight="1" thickBot="1" x14ac:dyDescent="0.3">
      <c r="A35" s="1149"/>
      <c r="B35" s="1149"/>
      <c r="C35" s="1149"/>
      <c r="D35" s="1149"/>
      <c r="E35" s="1149"/>
      <c r="F35" s="263"/>
      <c r="G35" s="156" t="s">
        <v>71</v>
      </c>
      <c r="H35" s="99"/>
      <c r="I35" s="141">
        <v>2835</v>
      </c>
      <c r="J35" s="154">
        <f t="shared" ref="J35:J42" si="6">SUM(K35:O35)</f>
        <v>1325.3700000000001</v>
      </c>
      <c r="K35" s="161"/>
      <c r="L35" s="161">
        <v>121.91</v>
      </c>
      <c r="M35" s="161"/>
      <c r="N35" s="161">
        <v>1203.46</v>
      </c>
      <c r="O35" s="154"/>
      <c r="P35" s="154"/>
      <c r="Q35" s="154"/>
      <c r="R35" s="154"/>
      <c r="S35" s="155"/>
      <c r="T35" s="139"/>
    </row>
    <row r="36" spans="1:20" s="98" customFormat="1" ht="13.5" customHeight="1" thickBot="1" x14ac:dyDescent="0.3">
      <c r="A36" s="1149"/>
      <c r="B36" s="1149"/>
      <c r="C36" s="1149"/>
      <c r="D36" s="1149"/>
      <c r="E36" s="1150"/>
      <c r="F36" s="263"/>
      <c r="G36" s="156" t="s">
        <v>71</v>
      </c>
      <c r="H36" s="145"/>
      <c r="I36" s="141">
        <v>59</v>
      </c>
      <c r="J36" s="154">
        <f t="shared" si="6"/>
        <v>27.650000000000002</v>
      </c>
      <c r="K36" s="161">
        <v>0</v>
      </c>
      <c r="L36" s="161">
        <v>2.54</v>
      </c>
      <c r="M36" s="161">
        <v>0.06</v>
      </c>
      <c r="N36" s="161">
        <v>25.05</v>
      </c>
      <c r="O36" s="154"/>
      <c r="P36" s="154"/>
      <c r="Q36" s="154"/>
      <c r="R36" s="154"/>
      <c r="S36" s="155"/>
      <c r="T36" s="139"/>
    </row>
    <row r="37" spans="1:20" s="98" customFormat="1" ht="13.5" customHeight="1" thickBot="1" x14ac:dyDescent="0.3">
      <c r="A37" s="1149"/>
      <c r="B37" s="1149"/>
      <c r="C37" s="1149"/>
      <c r="D37" s="1149"/>
      <c r="E37" s="1150"/>
      <c r="F37" s="263"/>
      <c r="G37" s="156" t="s">
        <v>71</v>
      </c>
      <c r="H37" s="145"/>
      <c r="I37" s="141">
        <v>0</v>
      </c>
      <c r="J37" s="154">
        <f t="shared" si="6"/>
        <v>13616.69</v>
      </c>
      <c r="K37" s="159"/>
      <c r="L37" s="159"/>
      <c r="M37" s="159"/>
      <c r="N37" s="157">
        <v>13616.69</v>
      </c>
      <c r="O37" s="154"/>
      <c r="P37" s="154"/>
      <c r="Q37" s="154"/>
      <c r="R37" s="154"/>
      <c r="S37" s="155"/>
      <c r="T37" s="139"/>
    </row>
    <row r="38" spans="1:20" s="98" customFormat="1" ht="13.5" customHeight="1" thickBot="1" x14ac:dyDescent="0.3">
      <c r="A38" s="1149"/>
      <c r="B38" s="1149"/>
      <c r="C38" s="1149"/>
      <c r="D38" s="1149"/>
      <c r="E38" s="1150"/>
      <c r="F38" s="263"/>
      <c r="G38" s="156" t="s">
        <v>71</v>
      </c>
      <c r="H38" s="145"/>
      <c r="I38" s="141">
        <v>0</v>
      </c>
      <c r="J38" s="154">
        <f t="shared" si="6"/>
        <v>27339.919999999998</v>
      </c>
      <c r="K38" s="159"/>
      <c r="L38" s="159"/>
      <c r="M38" s="159"/>
      <c r="N38" s="157">
        <v>27339.919999999998</v>
      </c>
      <c r="O38" s="154"/>
      <c r="P38" s="154"/>
      <c r="Q38" s="154"/>
      <c r="R38" s="154"/>
      <c r="S38" s="155"/>
      <c r="T38" s="139"/>
    </row>
    <row r="39" spans="1:20" s="98" customFormat="1" ht="13.5" customHeight="1" thickBot="1" x14ac:dyDescent="0.3">
      <c r="A39" s="1149"/>
      <c r="B39" s="1149"/>
      <c r="C39" s="1149"/>
      <c r="D39" s="1149"/>
      <c r="E39" s="1150"/>
      <c r="F39" s="263"/>
      <c r="G39" s="156" t="s">
        <v>71</v>
      </c>
      <c r="H39" s="145"/>
      <c r="I39" s="141">
        <v>0</v>
      </c>
      <c r="J39" s="154">
        <f>SUM(K39:O39)</f>
        <v>275</v>
      </c>
      <c r="K39" s="157">
        <v>275</v>
      </c>
      <c r="L39" s="159"/>
      <c r="M39" s="159"/>
      <c r="N39" s="159"/>
      <c r="O39" s="154"/>
      <c r="P39" s="154"/>
      <c r="Q39" s="154"/>
      <c r="R39" s="154"/>
      <c r="S39" s="155"/>
      <c r="T39" s="139"/>
    </row>
    <row r="40" spans="1:20" s="98" customFormat="1" ht="13.5" customHeight="1" thickBot="1" x14ac:dyDescent="0.3">
      <c r="A40" s="1149"/>
      <c r="B40" s="1149"/>
      <c r="C40" s="1149"/>
      <c r="D40" s="1149"/>
      <c r="E40" s="1150"/>
      <c r="F40" s="263"/>
      <c r="G40" s="156" t="s">
        <v>71</v>
      </c>
      <c r="H40" s="145"/>
      <c r="I40" s="141">
        <v>708</v>
      </c>
      <c r="J40" s="154">
        <f t="shared" si="6"/>
        <v>1150.46</v>
      </c>
      <c r="K40" s="157">
        <v>781</v>
      </c>
      <c r="L40" s="157">
        <v>3.45</v>
      </c>
      <c r="M40" s="159"/>
      <c r="N40" s="157">
        <v>366.01</v>
      </c>
      <c r="O40" s="154"/>
      <c r="P40" s="154"/>
      <c r="Q40" s="154"/>
      <c r="R40" s="154"/>
      <c r="S40" s="155"/>
      <c r="T40" s="139"/>
    </row>
    <row r="41" spans="1:20" s="98" customFormat="1" ht="13.5" customHeight="1" thickBot="1" x14ac:dyDescent="0.3">
      <c r="A41" s="1149"/>
      <c r="B41" s="1149"/>
      <c r="C41" s="1149"/>
      <c r="D41" s="1149"/>
      <c r="E41" s="1150"/>
      <c r="F41" s="263" t="s">
        <v>73</v>
      </c>
      <c r="G41" s="156" t="s">
        <v>74</v>
      </c>
      <c r="H41" s="145"/>
      <c r="I41" s="141">
        <v>0</v>
      </c>
      <c r="J41" s="160">
        <f t="shared" si="6"/>
        <v>0</v>
      </c>
      <c r="K41" s="157">
        <v>0</v>
      </c>
      <c r="L41" s="161">
        <v>0</v>
      </c>
      <c r="M41" s="159"/>
      <c r="N41" s="159">
        <v>0</v>
      </c>
      <c r="O41" s="154"/>
      <c r="P41" s="154"/>
      <c r="Q41" s="154"/>
      <c r="R41" s="154"/>
      <c r="S41" s="155"/>
      <c r="T41" s="139"/>
    </row>
    <row r="42" spans="1:20" s="98" customFormat="1" ht="13.5" customHeight="1" thickBot="1" x14ac:dyDescent="0.3">
      <c r="A42" s="1149"/>
      <c r="B42" s="1149"/>
      <c r="C42" s="1149"/>
      <c r="D42" s="1149"/>
      <c r="E42" s="1150"/>
      <c r="F42" s="263" t="s">
        <v>75</v>
      </c>
      <c r="G42" s="156" t="s">
        <v>76</v>
      </c>
      <c r="H42" s="145"/>
      <c r="I42" s="141">
        <v>0</v>
      </c>
      <c r="J42" s="154">
        <f t="shared" si="6"/>
        <v>-118.34999999997206</v>
      </c>
      <c r="K42" s="162">
        <v>0</v>
      </c>
      <c r="L42" s="154">
        <v>-118.34999999997206</v>
      </c>
      <c r="M42" s="154">
        <v>0</v>
      </c>
      <c r="N42" s="154">
        <v>0</v>
      </c>
      <c r="O42" s="154"/>
      <c r="P42" s="154"/>
      <c r="Q42" s="154"/>
      <c r="R42" s="154"/>
      <c r="S42" s="155"/>
      <c r="T42" s="139"/>
    </row>
    <row r="43" spans="1:20" ht="13.5" customHeight="1" thickBot="1" x14ac:dyDescent="0.25">
      <c r="A43" s="1151"/>
      <c r="B43" s="1151"/>
      <c r="C43" s="1151"/>
      <c r="D43" s="1152" t="s">
        <v>77</v>
      </c>
      <c r="E43" s="1153"/>
      <c r="F43" s="163" t="s">
        <v>77</v>
      </c>
      <c r="G43" s="164"/>
      <c r="H43" s="164">
        <f t="shared" ref="H43:O43" si="7">SUBTOTAL(9,H5:H42)</f>
        <v>316580</v>
      </c>
      <c r="I43" s="164">
        <f t="shared" si="7"/>
        <v>10263789</v>
      </c>
      <c r="J43" s="165">
        <f t="shared" si="7"/>
        <v>12473832.910000002</v>
      </c>
      <c r="K43" s="165">
        <f t="shared" si="7"/>
        <v>4559872.0599999996</v>
      </c>
      <c r="L43" s="165">
        <f t="shared" si="7"/>
        <v>2008617.83</v>
      </c>
      <c r="M43" s="165">
        <f t="shared" si="7"/>
        <v>112128.06000000001</v>
      </c>
      <c r="N43" s="165">
        <f t="shared" si="7"/>
        <v>5793292.3099999996</v>
      </c>
      <c r="O43" s="165">
        <f t="shared" si="7"/>
        <v>-77.350000000000009</v>
      </c>
      <c r="P43" s="165">
        <f>SUBTOTAL(9,P5:P29)</f>
        <v>0</v>
      </c>
      <c r="Q43" s="165">
        <f>SUBTOTAL(9,Q5:Q29)</f>
        <v>44003.1</v>
      </c>
      <c r="R43" s="165">
        <f>SUBTOTAL(9,R5:R29)</f>
        <v>0</v>
      </c>
      <c r="S43" s="166">
        <f>SUBTOTAL(9,S5:S29)</f>
        <v>3144.48</v>
      </c>
    </row>
    <row r="44" spans="1:20" ht="13.5" customHeight="1" thickBot="1" x14ac:dyDescent="0.25">
      <c r="A44" s="1151"/>
      <c r="B44" s="1151"/>
      <c r="C44" s="1151"/>
      <c r="D44" s="1152" t="s">
        <v>77</v>
      </c>
      <c r="E44" s="1153"/>
      <c r="F44" s="163" t="s">
        <v>78</v>
      </c>
      <c r="G44" s="164"/>
      <c r="H44" s="164"/>
      <c r="I44" s="167">
        <v>10263800</v>
      </c>
      <c r="J44" s="165">
        <f>SUM(K44:S44)</f>
        <v>12473832.909999998</v>
      </c>
      <c r="K44" s="168">
        <v>4559872.0599999996</v>
      </c>
      <c r="L44" s="168">
        <v>2008617.83</v>
      </c>
      <c r="M44" s="168">
        <v>112128.06</v>
      </c>
      <c r="N44" s="168">
        <v>5793292.3099999996</v>
      </c>
      <c r="O44" s="168">
        <v>-77.349999999999994</v>
      </c>
      <c r="P44" s="165"/>
      <c r="Q44" s="165"/>
      <c r="R44" s="165"/>
      <c r="S44" s="166"/>
    </row>
    <row r="45" spans="1:20" ht="13.5" customHeight="1" thickBot="1" x14ac:dyDescent="0.25">
      <c r="A45" s="1151"/>
      <c r="B45" s="1151"/>
      <c r="C45" s="1151"/>
      <c r="D45" s="1154"/>
      <c r="E45" s="1153"/>
      <c r="F45" s="169" t="s">
        <v>79</v>
      </c>
      <c r="G45" s="170"/>
      <c r="H45" s="170"/>
      <c r="I45" s="171">
        <f t="shared" ref="I45:N45" si="8">I43-I44</f>
        <v>-11</v>
      </c>
      <c r="J45" s="172">
        <f t="shared" si="8"/>
        <v>0</v>
      </c>
      <c r="K45" s="172">
        <f t="shared" si="8"/>
        <v>0</v>
      </c>
      <c r="L45" s="172">
        <f t="shared" si="8"/>
        <v>0</v>
      </c>
      <c r="M45" s="172">
        <f t="shared" si="8"/>
        <v>0</v>
      </c>
      <c r="N45" s="172">
        <f t="shared" si="8"/>
        <v>0</v>
      </c>
      <c r="O45" s="172">
        <f>O43-O44</f>
        <v>0</v>
      </c>
      <c r="P45" s="172"/>
      <c r="Q45" s="172"/>
      <c r="R45" s="172"/>
      <c r="S45" s="173"/>
    </row>
    <row r="46" spans="1:20" ht="13.5" thickBot="1" x14ac:dyDescent="0.25">
      <c r="G46" s="122"/>
      <c r="H46" s="122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</row>
    <row r="47" spans="1:20" ht="24.6" customHeight="1" thickBot="1" x14ac:dyDescent="0.25">
      <c r="A47" s="1136"/>
      <c r="B47" s="1137"/>
      <c r="C47" s="1137"/>
      <c r="D47" s="1392" t="s">
        <v>80</v>
      </c>
      <c r="E47" s="1393"/>
      <c r="F47" s="265" t="s">
        <v>81</v>
      </c>
      <c r="G47" s="110"/>
      <c r="H47" s="253" t="s">
        <v>2</v>
      </c>
      <c r="I47" s="254" t="s">
        <v>3</v>
      </c>
      <c r="J47" s="254" t="s">
        <v>4</v>
      </c>
      <c r="K47" s="254" t="s">
        <v>5</v>
      </c>
      <c r="L47" s="254" t="s">
        <v>6</v>
      </c>
      <c r="M47" s="254" t="s">
        <v>7</v>
      </c>
      <c r="N47" s="254" t="s">
        <v>253</v>
      </c>
      <c r="O47" s="254" t="s">
        <v>9</v>
      </c>
      <c r="P47" s="254" t="s">
        <v>10</v>
      </c>
      <c r="Q47" s="254" t="s">
        <v>11</v>
      </c>
      <c r="R47" s="254" t="s">
        <v>12</v>
      </c>
      <c r="S47" s="255" t="s">
        <v>13</v>
      </c>
    </row>
    <row r="48" spans="1:20" ht="13.5" customHeight="1" thickBot="1" x14ac:dyDescent="0.25">
      <c r="A48" s="1139" t="s">
        <v>14</v>
      </c>
      <c r="B48" s="1140" t="s">
        <v>15</v>
      </c>
      <c r="C48" s="1140" t="s">
        <v>16</v>
      </c>
      <c r="D48" s="1140" t="s">
        <v>17</v>
      </c>
      <c r="E48" s="1103"/>
      <c r="F48" s="85"/>
      <c r="G48" s="257"/>
      <c r="H48" s="257"/>
      <c r="I48" s="258" t="s">
        <v>19</v>
      </c>
      <c r="J48" s="259" t="s">
        <v>20</v>
      </c>
      <c r="K48" s="259" t="s">
        <v>20</v>
      </c>
      <c r="L48" s="259" t="s">
        <v>20</v>
      </c>
      <c r="M48" s="259" t="s">
        <v>20</v>
      </c>
      <c r="N48" s="259" t="s">
        <v>20</v>
      </c>
      <c r="O48" s="259" t="s">
        <v>20</v>
      </c>
      <c r="P48" s="259" t="s">
        <v>20</v>
      </c>
      <c r="Q48" s="259" t="s">
        <v>20</v>
      </c>
      <c r="R48" s="259" t="s">
        <v>20</v>
      </c>
      <c r="S48" s="260" t="s">
        <v>20</v>
      </c>
    </row>
    <row r="49" spans="1:21" ht="13.5" customHeight="1" outlineLevel="2" thickBot="1" x14ac:dyDescent="0.3">
      <c r="A49" s="1141" t="s">
        <v>21</v>
      </c>
      <c r="B49" s="1141" t="s">
        <v>21</v>
      </c>
      <c r="C49" s="1141" t="s">
        <v>28</v>
      </c>
      <c r="D49" s="1141" t="s">
        <v>82</v>
      </c>
      <c r="E49" s="1142" t="s">
        <v>83</v>
      </c>
      <c r="F49" s="262" t="s">
        <v>84</v>
      </c>
      <c r="G49" s="99"/>
      <c r="H49" s="99"/>
      <c r="I49" s="99">
        <v>548813</v>
      </c>
      <c r="J49" s="136">
        <v>610554.37</v>
      </c>
      <c r="K49" s="137">
        <v>340</v>
      </c>
      <c r="L49" s="137">
        <v>15630.2</v>
      </c>
      <c r="M49" s="137">
        <v>0</v>
      </c>
      <c r="N49" s="137">
        <v>307609.69</v>
      </c>
      <c r="O49" s="137">
        <v>0</v>
      </c>
      <c r="P49" s="137">
        <v>0</v>
      </c>
      <c r="Q49" s="137">
        <v>0</v>
      </c>
      <c r="R49" s="137">
        <v>286974.48</v>
      </c>
      <c r="S49" s="177">
        <v>0</v>
      </c>
      <c r="T49" s="139"/>
    </row>
    <row r="50" spans="1:21" ht="13.5" customHeight="1" thickBot="1" x14ac:dyDescent="0.3">
      <c r="A50" s="1146"/>
      <c r="B50" s="1148"/>
      <c r="C50" s="1148"/>
      <c r="D50" s="1153"/>
      <c r="E50" s="1155"/>
      <c r="F50" s="266" t="s">
        <v>85</v>
      </c>
      <c r="G50" s="99"/>
      <c r="H50" s="179">
        <v>2</v>
      </c>
      <c r="I50" s="99">
        <f t="shared" ref="I50:S50" si="9">SUBTOTAL(9,I49:I49)</f>
        <v>548813</v>
      </c>
      <c r="J50" s="137">
        <f>SUBTOTAL(9,J49:J49)</f>
        <v>610554.37</v>
      </c>
      <c r="K50" s="137">
        <f t="shared" si="9"/>
        <v>340</v>
      </c>
      <c r="L50" s="137">
        <f t="shared" si="9"/>
        <v>15630.2</v>
      </c>
      <c r="M50" s="137">
        <f t="shared" si="9"/>
        <v>0</v>
      </c>
      <c r="N50" s="137">
        <f t="shared" si="9"/>
        <v>307609.69</v>
      </c>
      <c r="O50" s="137">
        <f t="shared" si="9"/>
        <v>0</v>
      </c>
      <c r="P50" s="137">
        <f t="shared" si="9"/>
        <v>0</v>
      </c>
      <c r="Q50" s="137">
        <f t="shared" si="9"/>
        <v>0</v>
      </c>
      <c r="R50" s="137">
        <f t="shared" si="9"/>
        <v>286974.48</v>
      </c>
      <c r="S50" s="177">
        <f t="shared" si="9"/>
        <v>0</v>
      </c>
      <c r="T50" s="139">
        <f>ROUND(J50-SUM(K50:P50)-R50,2)</f>
        <v>0</v>
      </c>
    </row>
    <row r="51" spans="1:21" ht="13.5" customHeight="1" thickBot="1" x14ac:dyDescent="0.3">
      <c r="A51" s="1151"/>
      <c r="B51" s="1151"/>
      <c r="C51" s="1148"/>
      <c r="D51" s="1153"/>
      <c r="E51" s="1156"/>
      <c r="F51" s="261" t="s">
        <v>86</v>
      </c>
      <c r="G51" s="99"/>
      <c r="H51" s="99"/>
      <c r="I51" s="99"/>
      <c r="J51" s="137"/>
      <c r="K51" s="137"/>
      <c r="L51" s="137">
        <f>-R51</f>
        <v>286974.48</v>
      </c>
      <c r="M51" s="137"/>
      <c r="N51" s="137"/>
      <c r="O51" s="137"/>
      <c r="P51" s="137"/>
      <c r="Q51" s="137"/>
      <c r="R51" s="137">
        <f>-R50</f>
        <v>-286974.48</v>
      </c>
      <c r="S51" s="177"/>
      <c r="T51" s="139"/>
    </row>
    <row r="52" spans="1:21" ht="13.5" customHeight="1" thickBot="1" x14ac:dyDescent="0.3">
      <c r="A52" s="1151"/>
      <c r="B52" s="1151"/>
      <c r="C52" s="1148"/>
      <c r="D52" s="1153"/>
      <c r="E52" s="1156"/>
      <c r="F52" s="261" t="s">
        <v>87</v>
      </c>
      <c r="G52" s="99"/>
      <c r="H52" s="99"/>
      <c r="I52" s="180">
        <v>0</v>
      </c>
      <c r="J52" s="137">
        <f>SUM(K52:O52)</f>
        <v>0</v>
      </c>
      <c r="K52" s="137"/>
      <c r="L52" s="181">
        <v>0</v>
      </c>
      <c r="M52" s="137"/>
      <c r="N52" s="181">
        <v>0</v>
      </c>
      <c r="O52" s="137"/>
      <c r="P52" s="137"/>
      <c r="Q52" s="137"/>
      <c r="R52" s="181">
        <v>104976</v>
      </c>
      <c r="S52" s="177"/>
      <c r="T52" s="139"/>
    </row>
    <row r="53" spans="1:21" ht="13.5" customHeight="1" thickBot="1" x14ac:dyDescent="0.3">
      <c r="A53" s="1151"/>
      <c r="B53" s="1151"/>
      <c r="C53" s="1148"/>
      <c r="D53" s="1153"/>
      <c r="E53" s="1156"/>
      <c r="F53" s="261" t="s">
        <v>254</v>
      </c>
      <c r="G53" s="99"/>
      <c r="H53" s="99"/>
      <c r="I53" s="99"/>
      <c r="J53" s="137">
        <f>SUM(K53:O53)</f>
        <v>104976</v>
      </c>
      <c r="K53" s="137"/>
      <c r="L53" s="137">
        <f>-R53</f>
        <v>104976</v>
      </c>
      <c r="M53" s="137"/>
      <c r="N53" s="137"/>
      <c r="O53" s="137"/>
      <c r="P53" s="137"/>
      <c r="Q53" s="137"/>
      <c r="R53" s="137">
        <f>-R52</f>
        <v>-104976</v>
      </c>
      <c r="S53" s="177"/>
      <c r="T53" s="139"/>
    </row>
    <row r="54" spans="1:21" ht="13.5" customHeight="1" thickBot="1" x14ac:dyDescent="0.3">
      <c r="A54" s="1151"/>
      <c r="B54" s="1151"/>
      <c r="C54" s="1148"/>
      <c r="D54" s="1153"/>
      <c r="E54" s="1156"/>
      <c r="F54" s="261" t="s">
        <v>255</v>
      </c>
      <c r="G54" s="99"/>
      <c r="H54" s="99"/>
      <c r="I54" s="182">
        <v>0</v>
      </c>
      <c r="J54" s="137">
        <f>SUM(K54:O54)</f>
        <v>781</v>
      </c>
      <c r="K54" s="181">
        <v>781</v>
      </c>
      <c r="L54" s="181">
        <v>0</v>
      </c>
      <c r="M54" s="137"/>
      <c r="N54" s="181">
        <v>0</v>
      </c>
      <c r="O54" s="137"/>
      <c r="P54" s="137"/>
      <c r="Q54" s="137"/>
      <c r="R54" s="137"/>
      <c r="S54" s="177"/>
      <c r="T54" s="139">
        <f>ROUND(J54-SUM(K54:P54)-R54,2)</f>
        <v>0</v>
      </c>
    </row>
    <row r="55" spans="1:21" ht="13.5" customHeight="1" thickBot="1" x14ac:dyDescent="0.25">
      <c r="A55" s="1151"/>
      <c r="B55" s="1151"/>
      <c r="C55" s="1154"/>
      <c r="D55" s="1157" t="s">
        <v>88</v>
      </c>
      <c r="E55" s="1153"/>
      <c r="F55" s="183" t="s">
        <v>89</v>
      </c>
      <c r="G55" s="164"/>
      <c r="H55" s="164">
        <f>+H50</f>
        <v>2</v>
      </c>
      <c r="I55" s="184">
        <f t="shared" ref="I55:S55" si="10">SUBTOTAL(9,I49:I54)</f>
        <v>548813</v>
      </c>
      <c r="J55" s="165">
        <f t="shared" si="10"/>
        <v>716311.37</v>
      </c>
      <c r="K55" s="165">
        <f t="shared" si="10"/>
        <v>1121</v>
      </c>
      <c r="L55" s="165">
        <f t="shared" si="10"/>
        <v>407580.68</v>
      </c>
      <c r="M55" s="165">
        <f t="shared" si="10"/>
        <v>0</v>
      </c>
      <c r="N55" s="165">
        <f t="shared" si="10"/>
        <v>307609.69</v>
      </c>
      <c r="O55" s="165">
        <f t="shared" si="10"/>
        <v>0</v>
      </c>
      <c r="P55" s="165">
        <f t="shared" si="10"/>
        <v>0</v>
      </c>
      <c r="Q55" s="165">
        <f t="shared" si="10"/>
        <v>0</v>
      </c>
      <c r="R55" s="165">
        <f t="shared" si="10"/>
        <v>0</v>
      </c>
      <c r="S55" s="166">
        <f t="shared" si="10"/>
        <v>0</v>
      </c>
    </row>
    <row r="56" spans="1:21" ht="13.5" customHeight="1" thickBot="1" x14ac:dyDescent="0.25">
      <c r="A56" s="1151"/>
      <c r="B56" s="1151"/>
      <c r="C56" s="1151"/>
      <c r="D56" s="1152" t="s">
        <v>77</v>
      </c>
      <c r="E56" s="1153"/>
      <c r="F56" s="183" t="s">
        <v>90</v>
      </c>
      <c r="G56" s="164"/>
      <c r="H56" s="164"/>
      <c r="I56" s="167">
        <v>548810</v>
      </c>
      <c r="J56" s="165">
        <f>SUM(K56:S56)</f>
        <v>716311.37</v>
      </c>
      <c r="K56" s="168">
        <v>1121</v>
      </c>
      <c r="L56" s="168">
        <v>407580.68</v>
      </c>
      <c r="M56" s="168">
        <v>0</v>
      </c>
      <c r="N56" s="168">
        <v>307609.69</v>
      </c>
      <c r="O56" s="168">
        <v>0</v>
      </c>
      <c r="P56" s="185"/>
      <c r="Q56" s="185"/>
      <c r="R56" s="185"/>
      <c r="S56" s="186"/>
    </row>
    <row r="57" spans="1:21" ht="13.5" customHeight="1" thickBot="1" x14ac:dyDescent="0.25">
      <c r="A57" s="1151"/>
      <c r="B57" s="1151"/>
      <c r="C57" s="1151"/>
      <c r="D57" s="1154"/>
      <c r="E57" s="1153"/>
      <c r="F57" s="169" t="s">
        <v>79</v>
      </c>
      <c r="G57" s="170"/>
      <c r="H57" s="170"/>
      <c r="I57" s="171">
        <f t="shared" ref="I57:N57" si="11">I55-I56</f>
        <v>3</v>
      </c>
      <c r="J57" s="172">
        <f t="shared" si="11"/>
        <v>0</v>
      </c>
      <c r="K57" s="172">
        <f t="shared" si="11"/>
        <v>0</v>
      </c>
      <c r="L57" s="172">
        <f t="shared" si="11"/>
        <v>0</v>
      </c>
      <c r="M57" s="172">
        <f t="shared" si="11"/>
        <v>0</v>
      </c>
      <c r="N57" s="172">
        <f t="shared" si="11"/>
        <v>0</v>
      </c>
      <c r="O57" s="172">
        <f>O55-O56</f>
        <v>0</v>
      </c>
      <c r="P57" s="172"/>
      <c r="Q57" s="172"/>
      <c r="R57" s="172"/>
      <c r="S57" s="173"/>
    </row>
    <row r="58" spans="1:21" ht="13.5" thickBot="1" x14ac:dyDescent="0.25">
      <c r="G58" s="122"/>
      <c r="H58" s="122"/>
      <c r="I58" s="113"/>
      <c r="K58" s="113"/>
      <c r="L58" s="113"/>
      <c r="M58" s="113"/>
      <c r="N58" s="54"/>
      <c r="O58" s="113"/>
      <c r="P58" s="113"/>
    </row>
    <row r="59" spans="1:21" ht="23.25" thickBot="1" x14ac:dyDescent="0.25">
      <c r="D59" s="1394" t="s">
        <v>91</v>
      </c>
      <c r="E59" s="1395"/>
      <c r="F59" s="267" t="s">
        <v>92</v>
      </c>
      <c r="G59" s="252"/>
      <c r="H59" s="253" t="s">
        <v>2</v>
      </c>
      <c r="I59" s="254" t="s">
        <v>3</v>
      </c>
      <c r="J59" s="254" t="s">
        <v>4</v>
      </c>
      <c r="K59" s="254" t="s">
        <v>5</v>
      </c>
      <c r="L59" s="254" t="s">
        <v>6</v>
      </c>
      <c r="M59" s="254" t="s">
        <v>7</v>
      </c>
      <c r="N59" s="254" t="s">
        <v>93</v>
      </c>
      <c r="O59" s="254" t="s">
        <v>9</v>
      </c>
      <c r="P59" s="254" t="s">
        <v>10</v>
      </c>
      <c r="Q59" s="254" t="s">
        <v>11</v>
      </c>
      <c r="R59" s="254" t="s">
        <v>12</v>
      </c>
      <c r="S59" s="255" t="s">
        <v>13</v>
      </c>
    </row>
    <row r="60" spans="1:21" ht="13.5" thickBot="1" x14ac:dyDescent="0.25">
      <c r="D60" s="1143"/>
      <c r="E60" s="1144"/>
      <c r="F60" s="268"/>
      <c r="G60" s="257"/>
      <c r="H60" s="257"/>
      <c r="I60" s="258" t="s">
        <v>19</v>
      </c>
      <c r="J60" s="259" t="s">
        <v>20</v>
      </c>
      <c r="K60" s="259" t="s">
        <v>20</v>
      </c>
      <c r="L60" s="259" t="s">
        <v>20</v>
      </c>
      <c r="M60" s="259" t="s">
        <v>20</v>
      </c>
      <c r="N60" s="259" t="s">
        <v>20</v>
      </c>
      <c r="O60" s="259" t="s">
        <v>20</v>
      </c>
      <c r="P60" s="259" t="s">
        <v>20</v>
      </c>
      <c r="Q60" s="259" t="s">
        <v>20</v>
      </c>
      <c r="R60" s="259" t="s">
        <v>20</v>
      </c>
      <c r="S60" s="260" t="s">
        <v>20</v>
      </c>
    </row>
    <row r="61" spans="1:21" ht="23.25" outlineLevel="2" thickBot="1" x14ac:dyDescent="0.3">
      <c r="D61" s="1141" t="s">
        <v>94</v>
      </c>
      <c r="E61" s="1142" t="s">
        <v>95</v>
      </c>
      <c r="F61" s="262" t="s">
        <v>96</v>
      </c>
      <c r="G61" s="99"/>
      <c r="H61" s="99"/>
      <c r="I61" s="99">
        <v>0</v>
      </c>
      <c r="J61" s="136">
        <v>0</v>
      </c>
      <c r="K61" s="136">
        <v>0</v>
      </c>
      <c r="L61" s="136"/>
      <c r="M61" s="136"/>
      <c r="N61" s="136"/>
      <c r="O61" s="136"/>
      <c r="P61" s="136"/>
      <c r="Q61" s="136"/>
      <c r="R61" s="136"/>
      <c r="S61" s="138"/>
      <c r="U61" s="101"/>
    </row>
    <row r="62" spans="1:21" ht="34.5" outlineLevel="2" thickBot="1" x14ac:dyDescent="0.3">
      <c r="D62" s="1141" t="s">
        <v>97</v>
      </c>
      <c r="E62" s="1142" t="s">
        <v>98</v>
      </c>
      <c r="F62" s="262" t="s">
        <v>96</v>
      </c>
      <c r="G62" s="99"/>
      <c r="H62" s="99"/>
      <c r="I62" s="99">
        <v>59</v>
      </c>
      <c r="J62" s="136">
        <v>27.65</v>
      </c>
      <c r="K62" s="136"/>
      <c r="L62" s="136">
        <v>2.54</v>
      </c>
      <c r="M62" s="136">
        <v>0.06</v>
      </c>
      <c r="N62" s="136">
        <v>25.05</v>
      </c>
      <c r="O62" s="136"/>
      <c r="P62" s="136"/>
      <c r="Q62" s="136"/>
      <c r="R62" s="136"/>
      <c r="S62" s="138"/>
      <c r="U62" s="101"/>
    </row>
    <row r="63" spans="1:21" ht="34.5" outlineLevel="2" thickBot="1" x14ac:dyDescent="0.3">
      <c r="D63" s="1141" t="s">
        <v>97</v>
      </c>
      <c r="E63" s="1142" t="s">
        <v>98</v>
      </c>
      <c r="F63" s="262" t="s">
        <v>96</v>
      </c>
      <c r="G63" s="99"/>
      <c r="H63" s="99"/>
      <c r="I63" s="99">
        <v>0</v>
      </c>
      <c r="J63" s="136">
        <v>0</v>
      </c>
      <c r="K63" s="137">
        <v>0</v>
      </c>
      <c r="L63" s="137">
        <v>0</v>
      </c>
      <c r="M63" s="137">
        <v>0</v>
      </c>
      <c r="N63" s="136">
        <v>0</v>
      </c>
      <c r="O63" s="136"/>
      <c r="P63" s="136"/>
      <c r="Q63" s="136"/>
      <c r="R63" s="136"/>
      <c r="S63" s="138"/>
      <c r="U63" s="101"/>
    </row>
    <row r="64" spans="1:21" ht="34.5" outlineLevel="2" thickBot="1" x14ac:dyDescent="0.3">
      <c r="D64" s="1141" t="s">
        <v>99</v>
      </c>
      <c r="E64" s="1142" t="s">
        <v>100</v>
      </c>
      <c r="F64" s="262" t="s">
        <v>96</v>
      </c>
      <c r="G64" s="99"/>
      <c r="H64" s="99"/>
      <c r="I64" s="99">
        <v>2835</v>
      </c>
      <c r="J64" s="136">
        <v>1325.3700000000001</v>
      </c>
      <c r="K64" s="136">
        <v>0</v>
      </c>
      <c r="L64" s="136">
        <v>121.91</v>
      </c>
      <c r="M64" s="136">
        <v>0</v>
      </c>
      <c r="N64" s="136">
        <v>1203.46</v>
      </c>
      <c r="O64" s="136"/>
      <c r="P64" s="136"/>
      <c r="Q64" s="136"/>
      <c r="R64" s="136"/>
      <c r="S64" s="138"/>
      <c r="U64" s="101"/>
    </row>
    <row r="65" spans="1:21" ht="34.5" outlineLevel="2" thickBot="1" x14ac:dyDescent="0.3">
      <c r="D65" s="1141" t="s">
        <v>99</v>
      </c>
      <c r="E65" s="1142" t="s">
        <v>100</v>
      </c>
      <c r="F65" s="262" t="s">
        <v>96</v>
      </c>
      <c r="G65" s="99"/>
      <c r="H65" s="99"/>
      <c r="I65" s="99"/>
      <c r="J65" s="136"/>
      <c r="K65" s="136"/>
      <c r="L65" s="136"/>
      <c r="M65" s="136"/>
      <c r="N65" s="136"/>
      <c r="O65" s="136"/>
      <c r="P65" s="136"/>
      <c r="Q65" s="136"/>
      <c r="R65" s="136"/>
      <c r="S65" s="138"/>
      <c r="U65" s="101"/>
    </row>
    <row r="66" spans="1:21" ht="34.5" outlineLevel="2" thickBot="1" x14ac:dyDescent="0.3">
      <c r="D66" s="1141" t="s">
        <v>99</v>
      </c>
      <c r="E66" s="1142" t="s">
        <v>100</v>
      </c>
      <c r="F66" s="262" t="s">
        <v>96</v>
      </c>
      <c r="G66" s="99"/>
      <c r="H66" s="99"/>
      <c r="I66" s="99">
        <v>0</v>
      </c>
      <c r="J66" s="136">
        <v>0</v>
      </c>
      <c r="K66" s="136"/>
      <c r="L66" s="136"/>
      <c r="M66" s="136"/>
      <c r="N66" s="136"/>
      <c r="O66" s="136"/>
      <c r="P66" s="136"/>
      <c r="Q66" s="136"/>
      <c r="R66" s="136"/>
      <c r="S66" s="138"/>
      <c r="U66" s="101"/>
    </row>
    <row r="67" spans="1:21" ht="14.25" thickBot="1" x14ac:dyDescent="0.3">
      <c r="D67" s="1143"/>
      <c r="E67" s="1144"/>
      <c r="F67" s="261" t="s">
        <v>101</v>
      </c>
      <c r="G67" s="145"/>
      <c r="H67" s="141">
        <v>2</v>
      </c>
      <c r="I67" s="145">
        <f t="shared" ref="I67:S67" si="12">SUBTOTAL(9,I61:I66)</f>
        <v>2894</v>
      </c>
      <c r="J67" s="154">
        <f>SUBTOTAL(9,J61:J66)</f>
        <v>1353.0200000000002</v>
      </c>
      <c r="K67" s="154">
        <f t="shared" si="12"/>
        <v>0</v>
      </c>
      <c r="L67" s="154">
        <f t="shared" si="12"/>
        <v>124.45</v>
      </c>
      <c r="M67" s="154">
        <f t="shared" si="12"/>
        <v>0.06</v>
      </c>
      <c r="N67" s="154">
        <f t="shared" si="12"/>
        <v>1228.51</v>
      </c>
      <c r="O67" s="154">
        <f t="shared" si="12"/>
        <v>0</v>
      </c>
      <c r="P67" s="154">
        <f t="shared" si="12"/>
        <v>0</v>
      </c>
      <c r="Q67" s="154">
        <f t="shared" si="12"/>
        <v>0</v>
      </c>
      <c r="R67" s="154">
        <f t="shared" si="12"/>
        <v>0</v>
      </c>
      <c r="S67" s="155">
        <f t="shared" si="12"/>
        <v>0</v>
      </c>
      <c r="T67" s="139">
        <f>ROUND(J67-SUM(K67:P67)-R67,2)</f>
        <v>0</v>
      </c>
    </row>
    <row r="68" spans="1:21" ht="34.5" outlineLevel="2" thickBot="1" x14ac:dyDescent="0.3">
      <c r="D68" s="1141" t="s">
        <v>102</v>
      </c>
      <c r="E68" s="1142" t="s">
        <v>103</v>
      </c>
      <c r="F68" s="262" t="s">
        <v>104</v>
      </c>
      <c r="G68" s="99"/>
      <c r="H68" s="146"/>
      <c r="I68" s="99">
        <v>0</v>
      </c>
      <c r="J68" s="136">
        <v>40956.61</v>
      </c>
      <c r="K68" s="136"/>
      <c r="L68" s="136"/>
      <c r="M68" s="136"/>
      <c r="N68" s="136">
        <v>40956.61</v>
      </c>
      <c r="O68" s="136"/>
      <c r="P68" s="136"/>
      <c r="Q68" s="136"/>
      <c r="R68" s="136"/>
      <c r="S68" s="138"/>
      <c r="T68" s="189"/>
    </row>
    <row r="69" spans="1:21" ht="14.25" thickBot="1" x14ac:dyDescent="0.3">
      <c r="D69" s="1143"/>
      <c r="E69" s="1144"/>
      <c r="F69" s="261" t="s">
        <v>105</v>
      </c>
      <c r="G69" s="145"/>
      <c r="H69" s="141">
        <v>2</v>
      </c>
      <c r="I69" s="145">
        <f t="shared" ref="I69:S69" si="13">SUBTOTAL(9,I68:I68)</f>
        <v>0</v>
      </c>
      <c r="J69" s="154">
        <f t="shared" si="13"/>
        <v>40956.61</v>
      </c>
      <c r="K69" s="154">
        <f t="shared" si="13"/>
        <v>0</v>
      </c>
      <c r="L69" s="154">
        <f t="shared" si="13"/>
        <v>0</v>
      </c>
      <c r="M69" s="154">
        <f t="shared" si="13"/>
        <v>0</v>
      </c>
      <c r="N69" s="154">
        <f t="shared" si="13"/>
        <v>40956.61</v>
      </c>
      <c r="O69" s="154">
        <f t="shared" si="13"/>
        <v>0</v>
      </c>
      <c r="P69" s="154">
        <f t="shared" si="13"/>
        <v>0</v>
      </c>
      <c r="Q69" s="154">
        <f t="shared" si="13"/>
        <v>0</v>
      </c>
      <c r="R69" s="154">
        <f t="shared" si="13"/>
        <v>0</v>
      </c>
      <c r="S69" s="155">
        <f t="shared" si="13"/>
        <v>0</v>
      </c>
      <c r="T69" s="139">
        <f>ROUND(J69-SUM(K69:P69)-R69,2)</f>
        <v>0</v>
      </c>
    </row>
    <row r="70" spans="1:21" ht="23.25" outlineLevel="2" thickBot="1" x14ac:dyDescent="0.3">
      <c r="D70" s="1141" t="s">
        <v>106</v>
      </c>
      <c r="E70" s="1142" t="s">
        <v>107</v>
      </c>
      <c r="F70" s="262" t="s">
        <v>72</v>
      </c>
      <c r="G70" s="145"/>
      <c r="H70" s="146"/>
      <c r="I70" s="99">
        <v>708</v>
      </c>
      <c r="J70" s="136">
        <v>1150.46</v>
      </c>
      <c r="K70" s="136">
        <v>781</v>
      </c>
      <c r="L70" s="136">
        <v>3.45</v>
      </c>
      <c r="M70" s="136">
        <v>0</v>
      </c>
      <c r="N70" s="136">
        <v>366.01</v>
      </c>
      <c r="O70" s="136"/>
      <c r="P70" s="136"/>
      <c r="Q70" s="136"/>
      <c r="R70" s="136"/>
      <c r="S70" s="138"/>
      <c r="T70" s="189"/>
    </row>
    <row r="71" spans="1:21" ht="14.25" thickBot="1" x14ac:dyDescent="0.3">
      <c r="D71" s="1143"/>
      <c r="E71" s="1155"/>
      <c r="F71" s="266" t="s">
        <v>108</v>
      </c>
      <c r="G71" s="145"/>
      <c r="H71" s="141">
        <v>1</v>
      </c>
      <c r="I71" s="145">
        <f t="shared" ref="I71:S71" si="14">SUBTOTAL(9,I70:I70)</f>
        <v>708</v>
      </c>
      <c r="J71" s="154">
        <f>SUBTOTAL(9,J70:J70)</f>
        <v>1150.46</v>
      </c>
      <c r="K71" s="154">
        <f t="shared" si="14"/>
        <v>781</v>
      </c>
      <c r="L71" s="154">
        <f t="shared" si="14"/>
        <v>3.45</v>
      </c>
      <c r="M71" s="154">
        <f t="shared" si="14"/>
        <v>0</v>
      </c>
      <c r="N71" s="154">
        <f t="shared" si="14"/>
        <v>366.01</v>
      </c>
      <c r="O71" s="154">
        <f t="shared" si="14"/>
        <v>0</v>
      </c>
      <c r="P71" s="154">
        <f t="shared" si="14"/>
        <v>0</v>
      </c>
      <c r="Q71" s="154">
        <f t="shared" si="14"/>
        <v>0</v>
      </c>
      <c r="R71" s="154">
        <f t="shared" si="14"/>
        <v>0</v>
      </c>
      <c r="S71" s="155">
        <f t="shared" si="14"/>
        <v>0</v>
      </c>
      <c r="T71" s="139">
        <f>ROUND(J71-SUM(K71:P71)-R71,2)</f>
        <v>0</v>
      </c>
    </row>
    <row r="72" spans="1:21" ht="23.25" outlineLevel="2" thickBot="1" x14ac:dyDescent="0.3">
      <c r="D72" s="1141" t="s">
        <v>109</v>
      </c>
      <c r="E72" s="1142" t="s">
        <v>110</v>
      </c>
      <c r="F72" s="269" t="s">
        <v>111</v>
      </c>
      <c r="G72" s="99"/>
      <c r="H72" s="146"/>
      <c r="I72" s="99">
        <v>0</v>
      </c>
      <c r="J72" s="136">
        <v>275</v>
      </c>
      <c r="K72" s="136">
        <v>275</v>
      </c>
      <c r="L72" s="136">
        <v>0</v>
      </c>
      <c r="M72" s="136">
        <v>0</v>
      </c>
      <c r="N72" s="136">
        <v>0</v>
      </c>
      <c r="O72" s="136"/>
      <c r="P72" s="136"/>
      <c r="Q72" s="136"/>
      <c r="R72" s="136"/>
      <c r="S72" s="138"/>
      <c r="T72" s="189"/>
    </row>
    <row r="73" spans="1:21" ht="14.25" thickBot="1" x14ac:dyDescent="0.3">
      <c r="D73" s="1143"/>
      <c r="E73" s="1155"/>
      <c r="F73" s="266" t="s">
        <v>112</v>
      </c>
      <c r="G73" s="145"/>
      <c r="H73" s="141">
        <v>1</v>
      </c>
      <c r="I73" s="145">
        <f t="shared" ref="I73:S73" si="15">SUBTOTAL(9,I72:I72)</f>
        <v>0</v>
      </c>
      <c r="J73" s="154">
        <f>SUBTOTAL(9,J72:J72)</f>
        <v>275</v>
      </c>
      <c r="K73" s="154">
        <f t="shared" si="15"/>
        <v>275</v>
      </c>
      <c r="L73" s="154">
        <f t="shared" si="15"/>
        <v>0</v>
      </c>
      <c r="M73" s="154">
        <f t="shared" si="15"/>
        <v>0</v>
      </c>
      <c r="N73" s="154">
        <f t="shared" si="15"/>
        <v>0</v>
      </c>
      <c r="O73" s="154">
        <f t="shared" si="15"/>
        <v>0</v>
      </c>
      <c r="P73" s="154">
        <f t="shared" si="15"/>
        <v>0</v>
      </c>
      <c r="Q73" s="154">
        <f t="shared" si="15"/>
        <v>0</v>
      </c>
      <c r="R73" s="154">
        <f t="shared" si="15"/>
        <v>0</v>
      </c>
      <c r="S73" s="155">
        <f t="shared" si="15"/>
        <v>0</v>
      </c>
      <c r="T73" s="139">
        <f>ROUND(J73-SUM(K73:P73)-R73,2)</f>
        <v>0</v>
      </c>
    </row>
    <row r="74" spans="1:21" ht="34.5" outlineLevel="2" thickBot="1" x14ac:dyDescent="0.3">
      <c r="D74" s="1141" t="s">
        <v>113</v>
      </c>
      <c r="E74" s="1142" t="s">
        <v>114</v>
      </c>
      <c r="F74" s="269" t="s">
        <v>115</v>
      </c>
      <c r="G74" s="99"/>
      <c r="H74" s="146"/>
      <c r="I74" s="99">
        <v>0</v>
      </c>
      <c r="J74" s="136">
        <v>781</v>
      </c>
      <c r="K74" s="136">
        <v>781</v>
      </c>
      <c r="L74" s="136">
        <v>0</v>
      </c>
      <c r="M74" s="136">
        <v>0</v>
      </c>
      <c r="N74" s="136">
        <v>0</v>
      </c>
      <c r="O74" s="136"/>
      <c r="P74" s="136"/>
      <c r="Q74" s="136"/>
      <c r="R74" s="136"/>
      <c r="S74" s="138"/>
      <c r="T74" s="189"/>
    </row>
    <row r="75" spans="1:21" ht="14.25" thickBot="1" x14ac:dyDescent="0.3">
      <c r="D75" s="1153"/>
      <c r="E75" s="1155"/>
      <c r="F75" s="266" t="s">
        <v>116</v>
      </c>
      <c r="G75" s="145"/>
      <c r="H75" s="141">
        <v>1</v>
      </c>
      <c r="I75" s="145">
        <f t="shared" ref="I75:S75" si="16">SUBTOTAL(9,I74:I74)</f>
        <v>0</v>
      </c>
      <c r="J75" s="154">
        <f>SUBTOTAL(9,J74:J74)</f>
        <v>781</v>
      </c>
      <c r="K75" s="154">
        <f t="shared" si="16"/>
        <v>781</v>
      </c>
      <c r="L75" s="154">
        <f t="shared" si="16"/>
        <v>0</v>
      </c>
      <c r="M75" s="154">
        <f t="shared" si="16"/>
        <v>0</v>
      </c>
      <c r="N75" s="154">
        <f t="shared" si="16"/>
        <v>0</v>
      </c>
      <c r="O75" s="154">
        <f t="shared" si="16"/>
        <v>0</v>
      </c>
      <c r="P75" s="154">
        <f t="shared" si="16"/>
        <v>0</v>
      </c>
      <c r="Q75" s="154">
        <f t="shared" si="16"/>
        <v>0</v>
      </c>
      <c r="R75" s="154">
        <f t="shared" si="16"/>
        <v>0</v>
      </c>
      <c r="S75" s="155">
        <f t="shared" si="16"/>
        <v>0</v>
      </c>
      <c r="T75" s="139">
        <f>ROUND(J75-SUM(K75:P75)-R75,2)</f>
        <v>0</v>
      </c>
    </row>
    <row r="76" spans="1:21" ht="14.25" thickBot="1" x14ac:dyDescent="0.3">
      <c r="A76" s="1158"/>
      <c r="B76" s="1158"/>
      <c r="C76" s="1158"/>
      <c r="D76" s="1396" t="s">
        <v>117</v>
      </c>
      <c r="E76" s="1396"/>
      <c r="F76" s="192" t="s">
        <v>118</v>
      </c>
      <c r="G76" s="171"/>
      <c r="H76" s="171">
        <f>SUBTOTAL(9,H61:H75)</f>
        <v>7</v>
      </c>
      <c r="I76" s="171">
        <f t="shared" ref="I76:S76" si="17">SUBTOTAL(9,I61:I75)</f>
        <v>3602</v>
      </c>
      <c r="J76" s="172">
        <f>SUBTOTAL(9,J61:J75)</f>
        <v>44516.09</v>
      </c>
      <c r="K76" s="172">
        <f t="shared" si="17"/>
        <v>1837</v>
      </c>
      <c r="L76" s="172">
        <f>SUBTOTAL(9,L61:L75)</f>
        <v>127.9</v>
      </c>
      <c r="M76" s="172">
        <f t="shared" si="17"/>
        <v>0.06</v>
      </c>
      <c r="N76" s="172">
        <f t="shared" si="17"/>
        <v>42551.130000000005</v>
      </c>
      <c r="O76" s="172">
        <f t="shared" si="17"/>
        <v>0</v>
      </c>
      <c r="P76" s="172">
        <f t="shared" si="17"/>
        <v>0</v>
      </c>
      <c r="Q76" s="172">
        <f t="shared" si="17"/>
        <v>0</v>
      </c>
      <c r="R76" s="172">
        <f t="shared" si="17"/>
        <v>0</v>
      </c>
      <c r="S76" s="173">
        <f t="shared" si="17"/>
        <v>0</v>
      </c>
      <c r="T76" s="139">
        <f>ROUND(J76-SUM(K76:P76)-R76,2)</f>
        <v>0</v>
      </c>
    </row>
    <row r="77" spans="1:21" ht="13.5" x14ac:dyDescent="0.25">
      <c r="G77" s="122"/>
      <c r="H77" s="122"/>
      <c r="I77" s="117"/>
      <c r="K77" s="118"/>
      <c r="L77" s="118"/>
      <c r="M77" s="118"/>
      <c r="N77" s="118"/>
      <c r="O77" s="118"/>
      <c r="P77" s="118"/>
    </row>
    <row r="78" spans="1:21" x14ac:dyDescent="0.2">
      <c r="G78" s="193" t="s">
        <v>76</v>
      </c>
      <c r="H78" s="194" t="s">
        <v>119</v>
      </c>
    </row>
    <row r="79" spans="1:21" s="120" customFormat="1" ht="11.25" x14ac:dyDescent="0.2">
      <c r="A79" s="1109"/>
      <c r="B79" s="1109"/>
      <c r="C79" s="1109"/>
      <c r="D79" s="1109"/>
      <c r="E79" s="1109"/>
      <c r="G79" s="193" t="s">
        <v>74</v>
      </c>
      <c r="H79" s="194" t="s">
        <v>120</v>
      </c>
    </row>
    <row r="80" spans="1:21" x14ac:dyDescent="0.2">
      <c r="G80" s="193" t="s">
        <v>71</v>
      </c>
      <c r="H80" s="194" t="s">
        <v>121</v>
      </c>
    </row>
    <row r="81" spans="7:8" x14ac:dyDescent="0.2">
      <c r="G81" s="195"/>
      <c r="H81" s="113"/>
    </row>
  </sheetData>
  <mergeCells count="5">
    <mergeCell ref="F1:K1"/>
    <mergeCell ref="D4:E4"/>
    <mergeCell ref="D47:E47"/>
    <mergeCell ref="D59:E59"/>
    <mergeCell ref="D76:E76"/>
  </mergeCells>
  <conditionalFormatting sqref="T5:T42 T49:T54">
    <cfRule type="cellIs" dxfId="35" priority="7" stopIfTrue="1" operator="notEqual">
      <formula>0</formula>
    </cfRule>
  </conditionalFormatting>
  <conditionalFormatting sqref="T67">
    <cfRule type="cellIs" dxfId="34" priority="6" stopIfTrue="1" operator="notEqual">
      <formula>0</formula>
    </cfRule>
  </conditionalFormatting>
  <conditionalFormatting sqref="T69">
    <cfRule type="cellIs" dxfId="33" priority="5" stopIfTrue="1" operator="notEqual">
      <formula>0</formula>
    </cfRule>
  </conditionalFormatting>
  <conditionalFormatting sqref="T71">
    <cfRule type="cellIs" dxfId="32" priority="4" stopIfTrue="1" operator="notEqual">
      <formula>0</formula>
    </cfRule>
  </conditionalFormatting>
  <conditionalFormatting sqref="T73">
    <cfRule type="cellIs" dxfId="31" priority="3" stopIfTrue="1" operator="notEqual">
      <formula>0</formula>
    </cfRule>
  </conditionalFormatting>
  <conditionalFormatting sqref="T75">
    <cfRule type="cellIs" dxfId="30" priority="2" stopIfTrue="1" operator="notEqual">
      <formula>0</formula>
    </cfRule>
  </conditionalFormatting>
  <conditionalFormatting sqref="T76">
    <cfRule type="cellIs" dxfId="29" priority="1" stopIfTrue="1" operator="notEqual">
      <formula>0</formula>
    </cfRule>
  </conditionalFormatting>
  <printOptions horizontalCentered="1"/>
  <pageMargins left="0.25" right="0" top="0.25" bottom="0.5" header="0.25" footer="0.25"/>
  <pageSetup scale="56" fitToHeight="2" orientation="landscape" r:id="rId1"/>
  <headerFooter alignWithMargins="0">
    <oddFooter>&amp;C&amp;P of &amp;N</oddFooter>
  </headerFooter>
  <rowBreaks count="1" manualBreakCount="1">
    <brk id="58" min="3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6" tint="0.39997558519241921"/>
    <pageSetUpPr fitToPage="1"/>
  </sheetPr>
  <dimension ref="A1:U226"/>
  <sheetViews>
    <sheetView zoomScaleNormal="100" zoomScaleSheetLayoutView="80" zoomScalePageLayoutView="80" workbookViewId="0"/>
  </sheetViews>
  <sheetFormatPr defaultRowHeight="15" x14ac:dyDescent="0.25"/>
  <cols>
    <col min="1" max="1" width="55.28515625" style="642" customWidth="1"/>
    <col min="2" max="2" width="14.85546875" style="642" bestFit="1" customWidth="1"/>
    <col min="3" max="3" width="13.85546875" style="642" bestFit="1" customWidth="1"/>
    <col min="4" max="4" width="12.42578125" style="642" bestFit="1" customWidth="1"/>
    <col min="5" max="5" width="11.5703125" style="642" customWidth="1"/>
    <col min="6" max="6" width="14.85546875" style="642" bestFit="1" customWidth="1"/>
    <col min="7" max="7" width="15.140625" style="642" bestFit="1" customWidth="1"/>
    <col min="8" max="8" width="14.85546875" style="642" bestFit="1" customWidth="1"/>
    <col min="9" max="9" width="14.85546875" style="642" customWidth="1"/>
    <col min="10" max="10" width="11.140625" style="642" bestFit="1" customWidth="1"/>
    <col min="11" max="12" width="9.28515625" style="642" bestFit="1" customWidth="1"/>
    <col min="13" max="13" width="20.5703125" style="642" customWidth="1"/>
    <col min="14" max="14" width="9.140625" style="642"/>
    <col min="15" max="15" width="17.85546875" style="642" customWidth="1"/>
    <col min="16" max="16" width="9.28515625" style="642" bestFit="1" customWidth="1"/>
    <col min="17" max="17" width="9.140625" style="642"/>
    <col min="18" max="18" width="15.85546875" style="642" customWidth="1"/>
    <col min="19" max="19" width="9.28515625" style="642" bestFit="1" customWidth="1"/>
    <col min="20" max="20" width="17.5703125" style="642" bestFit="1" customWidth="1"/>
    <col min="21" max="21" width="15.42578125" style="642" bestFit="1" customWidth="1"/>
    <col min="22" max="22" width="12.7109375" style="642" bestFit="1" customWidth="1"/>
    <col min="23" max="16384" width="9.140625" style="642"/>
  </cols>
  <sheetData>
    <row r="1" spans="1:21" ht="15.75" x14ac:dyDescent="0.25">
      <c r="A1" s="981" t="s">
        <v>1063</v>
      </c>
    </row>
    <row r="2" spans="1:21" ht="15.75" x14ac:dyDescent="0.25">
      <c r="A2" s="981" t="s">
        <v>1064</v>
      </c>
    </row>
    <row r="3" spans="1:21" ht="15.75" x14ac:dyDescent="0.25">
      <c r="A3" s="981" t="s">
        <v>1085</v>
      </c>
      <c r="I3" s="655"/>
    </row>
    <row r="4" spans="1:21" x14ac:dyDescent="0.25">
      <c r="O4" s="917"/>
    </row>
    <row r="5" spans="1:21" x14ac:dyDescent="0.25">
      <c r="O5" s="917"/>
    </row>
    <row r="6" spans="1:21" x14ac:dyDescent="0.25">
      <c r="M6" s="643" t="s">
        <v>1074</v>
      </c>
      <c r="O6" s="917"/>
    </row>
    <row r="7" spans="1:21" x14ac:dyDescent="0.25">
      <c r="A7" s="644"/>
      <c r="B7" s="644"/>
      <c r="C7" s="644" t="s">
        <v>1075</v>
      </c>
      <c r="D7" s="644"/>
      <c r="E7" s="644" t="s">
        <v>1076</v>
      </c>
      <c r="F7" s="644" t="s">
        <v>976</v>
      </c>
      <c r="G7" s="644" t="s">
        <v>292</v>
      </c>
      <c r="H7" s="644" t="s">
        <v>334</v>
      </c>
      <c r="I7" s="645"/>
      <c r="J7" s="645"/>
      <c r="M7" s="643" t="s">
        <v>1014</v>
      </c>
      <c r="O7" s="917"/>
      <c r="R7" s="1056"/>
      <c r="S7" s="1056"/>
      <c r="T7" s="1056"/>
      <c r="U7" s="1056"/>
    </row>
    <row r="8" spans="1:21" x14ac:dyDescent="0.25">
      <c r="A8" s="644"/>
      <c r="B8" s="644" t="s">
        <v>976</v>
      </c>
      <c r="C8" s="644" t="s">
        <v>523</v>
      </c>
      <c r="D8" s="644" t="s">
        <v>456</v>
      </c>
      <c r="E8" s="644" t="s">
        <v>1077</v>
      </c>
      <c r="F8" s="644" t="s">
        <v>244</v>
      </c>
      <c r="G8" s="644" t="s">
        <v>244</v>
      </c>
      <c r="H8" s="644" t="s">
        <v>1078</v>
      </c>
      <c r="I8" s="645"/>
      <c r="J8" s="644" t="s">
        <v>1074</v>
      </c>
      <c r="M8" s="643" t="s">
        <v>1079</v>
      </c>
      <c r="R8" s="1057"/>
      <c r="S8" s="1056"/>
      <c r="T8" s="1056"/>
      <c r="U8" s="1056"/>
    </row>
    <row r="9" spans="1:21" ht="15.75" thickBot="1" x14ac:dyDescent="0.3">
      <c r="A9" s="646" t="s">
        <v>260</v>
      </c>
      <c r="B9" s="647" t="s">
        <v>244</v>
      </c>
      <c r="C9" s="647" t="s">
        <v>451</v>
      </c>
      <c r="D9" s="647" t="s">
        <v>451</v>
      </c>
      <c r="E9" s="647" t="s">
        <v>451</v>
      </c>
      <c r="F9" s="647" t="s">
        <v>1080</v>
      </c>
      <c r="G9" s="647" t="s">
        <v>1081</v>
      </c>
      <c r="H9" s="647" t="s">
        <v>244</v>
      </c>
      <c r="I9" s="647" t="s">
        <v>1014</v>
      </c>
      <c r="J9" s="647" t="s">
        <v>1082</v>
      </c>
      <c r="M9" s="648" t="s">
        <v>1083</v>
      </c>
      <c r="O9" s="649" t="s">
        <v>1084</v>
      </c>
      <c r="R9" s="1058"/>
      <c r="S9" s="1056"/>
      <c r="T9" s="1056"/>
      <c r="U9" s="1056"/>
    </row>
    <row r="10" spans="1:21" x14ac:dyDescent="0.25">
      <c r="R10" s="1056"/>
      <c r="S10" s="1056"/>
      <c r="T10" s="1056"/>
      <c r="U10" s="1056"/>
    </row>
    <row r="11" spans="1:21" x14ac:dyDescent="0.25">
      <c r="R11" s="1056"/>
      <c r="S11" s="1056"/>
      <c r="T11" s="1056"/>
      <c r="U11" s="1056"/>
    </row>
    <row r="12" spans="1:21" x14ac:dyDescent="0.25">
      <c r="A12" s="642" t="s">
        <v>1065</v>
      </c>
      <c r="B12" s="650">
        <f ca="1">+'Exh R11Proposed Increase Detail'!J22</f>
        <v>82727786.789280012</v>
      </c>
      <c r="C12" s="650">
        <f>+'Exh R11Proposed Increase Detail'!J24</f>
        <v>5412143.2292399993</v>
      </c>
      <c r="D12" s="650">
        <f ca="1">+'Exh R11Proposed Increase Detail'!J25</f>
        <v>261960</v>
      </c>
      <c r="E12" s="650"/>
      <c r="F12" s="650">
        <f ca="1">SUM(B12:E12)</f>
        <v>88401890.018520012</v>
      </c>
      <c r="G12" s="650">
        <f>+'Exh R11Proposed Increase Detail'!J27</f>
        <v>69566529.59048</v>
      </c>
      <c r="H12" s="650">
        <f ca="1">F12+G12</f>
        <v>157968419.60900003</v>
      </c>
      <c r="I12" s="651">
        <f ca="1">+'Exh R11Proposed Increase Detail'!M31</f>
        <v>11950450.375773191</v>
      </c>
      <c r="J12" s="652">
        <f ca="1">I12/H12</f>
        <v>7.5650882659665047E-2</v>
      </c>
      <c r="L12" s="651">
        <f ca="1">I12-O12</f>
        <v>-244.63422944769263</v>
      </c>
      <c r="M12" s="653">
        <f ca="1">I12/F12</f>
        <v>0.13518319996630837</v>
      </c>
      <c r="O12" s="651">
        <f ca="1">F12*$O$38</f>
        <v>11950695.010002639</v>
      </c>
      <c r="P12" s="652">
        <f ca="1">O12/$H12</f>
        <v>7.5652431287106234E-2</v>
      </c>
      <c r="R12" s="1059"/>
      <c r="S12" s="1060"/>
      <c r="T12" s="1056"/>
      <c r="U12" s="1056"/>
    </row>
    <row r="13" spans="1:21" x14ac:dyDescent="0.25">
      <c r="J13" s="652"/>
      <c r="L13" s="651"/>
      <c r="R13" s="1056"/>
      <c r="S13" s="1056"/>
      <c r="T13" s="1056"/>
      <c r="U13" s="1056"/>
    </row>
    <row r="14" spans="1:21" x14ac:dyDescent="0.25">
      <c r="A14" s="642" t="s">
        <v>1066</v>
      </c>
      <c r="B14" s="654">
        <f ca="1">+'Exh R11Proposed Increase Detail'!J62</f>
        <v>27099364.439470001</v>
      </c>
      <c r="C14" s="654">
        <f>+'Exh R11Proposed Increase Detail'!J64</f>
        <v>3763778.7677599997</v>
      </c>
      <c r="D14" s="654">
        <f ca="1">+'Exh R11Proposed Increase Detail'!J65</f>
        <v>134196</v>
      </c>
      <c r="E14" s="654">
        <f>SUM('Exh R11Proposed Increase Detail'!J68:J70)</f>
        <v>-20668.501759999999</v>
      </c>
      <c r="F14" s="654">
        <f ca="1">SUM(B14:E14)</f>
        <v>30976670.705470003</v>
      </c>
      <c r="G14" s="654">
        <f>+'Exh R11Proposed Increase Detail'!J73+'Exh R11Proposed Increase Detail'!J74</f>
        <v>38001735.23560001</v>
      </c>
      <c r="H14" s="654">
        <f ca="1">F14+G14</f>
        <v>68978405.94107002</v>
      </c>
      <c r="I14" s="654">
        <f ca="1">+'Exh R11Proposed Increase Detail'!M78</f>
        <v>4186991.9503189176</v>
      </c>
      <c r="J14" s="652">
        <f ca="1">I14/H14</f>
        <v>6.0700039283250032E-2</v>
      </c>
      <c r="L14" s="651">
        <f ca="1">I14-O14</f>
        <v>-619.2415775526315</v>
      </c>
      <c r="M14" s="653">
        <f ca="1">I14/F14</f>
        <v>0.13516597668385194</v>
      </c>
      <c r="O14" s="651">
        <f ca="1">F14*$O$38</f>
        <v>4187611.1918964703</v>
      </c>
      <c r="P14" s="652">
        <f ca="1">O14/$H14</f>
        <v>6.0709016608386852E-2</v>
      </c>
      <c r="R14" s="1059"/>
      <c r="S14" s="1060"/>
      <c r="T14" s="1056"/>
      <c r="U14" s="1056"/>
    </row>
    <row r="15" spans="1:21" x14ac:dyDescent="0.25">
      <c r="E15" s="655"/>
      <c r="I15" s="654"/>
      <c r="J15" s="652"/>
      <c r="L15" s="651"/>
      <c r="R15" s="1056"/>
      <c r="S15" s="1056"/>
      <c r="T15" s="1056"/>
      <c r="U15" s="1056"/>
    </row>
    <row r="16" spans="1:21" x14ac:dyDescent="0.25">
      <c r="A16" s="642" t="s">
        <v>1067</v>
      </c>
      <c r="B16" s="654">
        <f ca="1">+'Exh R11Proposed Increase Detail'!J109</f>
        <v>1695570.229980001</v>
      </c>
      <c r="C16" s="654">
        <f>+'Exh R11Proposed Increase Detail'!J111</f>
        <v>114218.86860405921</v>
      </c>
      <c r="D16" s="654">
        <f ca="1">+'Exh R11Proposed Increase Detail'!J112</f>
        <v>-8417</v>
      </c>
      <c r="E16" s="654">
        <f>SUM('Exh R11Proposed Increase Detail'!J115:J118)</f>
        <v>-43872.699940000006</v>
      </c>
      <c r="F16" s="654">
        <f ca="1">SUM(B16:E16)</f>
        <v>1757499.3986440601</v>
      </c>
      <c r="G16" s="654">
        <f>+'Exh R11Proposed Increase Detail'!J120+'Exh R11Proposed Increase Detail'!J121</f>
        <v>2910969.1567123183</v>
      </c>
      <c r="H16" s="654">
        <f ca="1">F16+G16</f>
        <v>4668468.5553563787</v>
      </c>
      <c r="I16" s="654">
        <f ca="1">+'Exh R11Proposed Increase Detail'!M125</f>
        <v>237585.33406931628</v>
      </c>
      <c r="J16" s="652">
        <f ca="1">I16/H16</f>
        <v>5.0891492842277404E-2</v>
      </c>
      <c r="L16" s="651">
        <f ca="1">I16-O16</f>
        <v>-3.9220999585231766</v>
      </c>
      <c r="M16" s="653">
        <f ca="1">I16/F16</f>
        <v>0.13518373562609312</v>
      </c>
      <c r="O16" s="651">
        <f ca="1">F16*$O$38</f>
        <v>237589.2561692748</v>
      </c>
      <c r="P16" s="652">
        <f ca="1">O16/$H16</f>
        <v>5.0892332967880052E-2</v>
      </c>
      <c r="R16" s="1059"/>
      <c r="S16" s="1060"/>
      <c r="T16" s="1056"/>
      <c r="U16" s="1056"/>
    </row>
    <row r="17" spans="1:21" x14ac:dyDescent="0.25">
      <c r="E17" s="655"/>
      <c r="I17" s="654"/>
      <c r="J17" s="652"/>
      <c r="L17" s="651"/>
      <c r="R17" s="1056"/>
      <c r="S17" s="1056"/>
      <c r="T17" s="1056"/>
      <c r="U17" s="1056"/>
    </row>
    <row r="18" spans="1:21" x14ac:dyDescent="0.25">
      <c r="A18" s="642" t="s">
        <v>1068</v>
      </c>
      <c r="B18" s="654">
        <f ca="1">+'Exh R11Proposed Increase Detail'!J143</f>
        <v>225913.29542000013</v>
      </c>
      <c r="C18" s="654">
        <f>+'Exh R11Proposed Increase Detail'!J145</f>
        <v>18542.41166428131</v>
      </c>
      <c r="D18" s="654">
        <f>+'Exh R11Proposed Increase Detail'!J146</f>
        <v>0</v>
      </c>
      <c r="E18" s="654">
        <f>SUM('Exh R11Proposed Increase Detail'!J149:J150)</f>
        <v>-11054.78808</v>
      </c>
      <c r="F18" s="654">
        <f ca="1">SUM(B18:E18)</f>
        <v>233400.91900428143</v>
      </c>
      <c r="G18" s="657">
        <f ca="1">+'Exh R11Proposed Increase Detail'!J152+'Exh R11Proposed Increase Detail'!J153</f>
        <v>1272254.0449307836</v>
      </c>
      <c r="H18" s="657">
        <f ca="1">F18+G18</f>
        <v>1505654.9639350651</v>
      </c>
      <c r="I18" s="657">
        <f ca="1">+'Exh R11Proposed Increase Detail'!M157</f>
        <v>31551.080734700197</v>
      </c>
      <c r="J18" s="658">
        <f ca="1">I18/H18</f>
        <v>2.095505377423304E-2</v>
      </c>
      <c r="L18" s="651">
        <f ca="1">I18-O18</f>
        <v>-1.4482608918951883</v>
      </c>
      <c r="M18" s="653">
        <f ca="1">I18/F18</f>
        <v>0.1351797622275919</v>
      </c>
      <c r="O18" s="651">
        <f ca="1">F18*$O$38</f>
        <v>31552.528995592093</v>
      </c>
      <c r="P18" s="652">
        <f ca="1">O18/$H18</f>
        <v>2.0956015655226087E-2</v>
      </c>
      <c r="R18" s="1059"/>
      <c r="S18" s="1060"/>
      <c r="T18" s="1056"/>
      <c r="U18" s="1056"/>
    </row>
    <row r="19" spans="1:21" x14ac:dyDescent="0.25">
      <c r="E19" s="655"/>
      <c r="G19" s="419"/>
      <c r="H19" s="419"/>
      <c r="I19" s="657"/>
      <c r="J19" s="658"/>
      <c r="L19" s="651"/>
      <c r="R19" s="1056"/>
      <c r="S19" s="1056"/>
      <c r="T19" s="1056"/>
      <c r="U19" s="1056"/>
    </row>
    <row r="20" spans="1:21" x14ac:dyDescent="0.25">
      <c r="A20" s="642" t="s">
        <v>1069</v>
      </c>
      <c r="B20" s="654">
        <f>+'Exh R11Proposed Increase Detail'!J179</f>
        <v>4707180.0511994092</v>
      </c>
      <c r="C20" s="654">
        <f>+'Exh R11Proposed Increase Detail'!J181</f>
        <v>267000.77413880301</v>
      </c>
      <c r="D20" s="654">
        <f>+'Exh R11Proposed Increase Detail'!J182</f>
        <v>0</v>
      </c>
      <c r="E20" s="654">
        <f>SUM('Exh R11Proposed Increase Detail'!J185:J186)</f>
        <v>27324.826999999997</v>
      </c>
      <c r="F20" s="654">
        <f>SUM(B20:E20)</f>
        <v>5001505.6523382114</v>
      </c>
      <c r="G20" s="657">
        <f>+'Exh R11Proposed Increase Detail'!J188</f>
        <v>159532.35256059069</v>
      </c>
      <c r="H20" s="657">
        <f>F20+G20</f>
        <v>5161038.0048988024</v>
      </c>
      <c r="I20" s="657">
        <f>+'Exh R11Proposed Increase Detail'!M192</f>
        <v>333010.63162602577</v>
      </c>
      <c r="J20" s="658">
        <f>I20/H20</f>
        <v>6.4523964231601394E-2</v>
      </c>
      <c r="L20" s="651">
        <f>I20-O20</f>
        <v>0</v>
      </c>
      <c r="M20" s="653">
        <f>I20/F20</f>
        <v>6.6582076433392173E-2</v>
      </c>
      <c r="O20" s="651">
        <v>333010.63162602577</v>
      </c>
      <c r="P20" s="652"/>
      <c r="R20" s="1056"/>
      <c r="S20" s="1056"/>
      <c r="T20" s="1056"/>
      <c r="U20" s="1056"/>
    </row>
    <row r="21" spans="1:21" x14ac:dyDescent="0.25">
      <c r="E21" s="655"/>
      <c r="G21" s="419"/>
      <c r="H21" s="419"/>
      <c r="I21" s="657"/>
      <c r="J21" s="658"/>
      <c r="R21" s="1056"/>
      <c r="S21" s="1056"/>
      <c r="T21" s="1056"/>
      <c r="U21" s="1056"/>
    </row>
    <row r="22" spans="1:21" x14ac:dyDescent="0.25">
      <c r="A22" s="642" t="s">
        <v>1070</v>
      </c>
      <c r="B22" s="654">
        <f>+'Exh R11Proposed Increase Detail'!J202</f>
        <v>62025</v>
      </c>
      <c r="C22" s="654">
        <v>0</v>
      </c>
      <c r="D22" s="654">
        <v>0</v>
      </c>
      <c r="E22" s="654">
        <v>0</v>
      </c>
      <c r="F22" s="654">
        <f>SUM(B22:E22)</f>
        <v>62025</v>
      </c>
      <c r="G22" s="419"/>
      <c r="H22" s="626">
        <f>F22+G22</f>
        <v>62025</v>
      </c>
      <c r="I22" s="657">
        <f>+'Exh R11Proposed Increase Detail'!M204</f>
        <v>0</v>
      </c>
      <c r="J22" s="658">
        <f>I22/H22</f>
        <v>0</v>
      </c>
      <c r="M22" s="653">
        <f>I22/F22</f>
        <v>0</v>
      </c>
      <c r="O22" s="651"/>
      <c r="R22" s="1056"/>
      <c r="S22" s="1056"/>
      <c r="T22" s="1056"/>
      <c r="U22" s="1056"/>
    </row>
    <row r="23" spans="1:21" x14ac:dyDescent="0.25">
      <c r="G23" s="419"/>
      <c r="H23" s="419"/>
      <c r="I23" s="657"/>
      <c r="J23" s="658"/>
      <c r="R23" s="1056"/>
      <c r="S23" s="1056"/>
      <c r="T23" s="1056"/>
      <c r="U23" s="1056"/>
    </row>
    <row r="24" spans="1:21" x14ac:dyDescent="0.25">
      <c r="A24" s="642" t="s">
        <v>1071</v>
      </c>
      <c r="B24" s="654">
        <f>+'Exh R11Proposed Increase Detail'!J216</f>
        <v>3639242.06592</v>
      </c>
      <c r="F24" s="654">
        <f>SUM(B24:E24)</f>
        <v>3639242.06592</v>
      </c>
      <c r="G24" s="657">
        <f>+'Exh R11Proposed Increase Detail'!J218</f>
        <v>2346562.4121600008</v>
      </c>
      <c r="H24" s="626">
        <f>F24+G24</f>
        <v>5985804.4780800007</v>
      </c>
      <c r="I24" s="657">
        <f>'Exh R11Proposed Increase Detail'!M222</f>
        <v>458481.90096000023</v>
      </c>
      <c r="J24" s="658">
        <f>I24/H24</f>
        <v>7.6594867513457829E-2</v>
      </c>
      <c r="L24" s="651">
        <f>I24-O24</f>
        <v>0</v>
      </c>
      <c r="M24" s="653">
        <f>I24/F24</f>
        <v>0.12598279879579707</v>
      </c>
      <c r="O24" s="651">
        <v>458481.90096000023</v>
      </c>
      <c r="P24" s="652"/>
      <c r="R24" s="1061"/>
      <c r="S24" s="1056"/>
      <c r="T24" s="1056"/>
      <c r="U24" s="1056"/>
    </row>
    <row r="25" spans="1:21" x14ac:dyDescent="0.25">
      <c r="A25" s="642" t="s">
        <v>1072</v>
      </c>
      <c r="B25" s="654">
        <f>+'Exh R11Proposed Increase Detail'!J234</f>
        <v>1292809.9995499998</v>
      </c>
      <c r="F25" s="654">
        <f>SUM(B25:E25)</f>
        <v>1292809.9995499998</v>
      </c>
      <c r="G25" s="657">
        <f>+'Exh R11Proposed Increase Detail'!J236</f>
        <v>6133.0235399999992</v>
      </c>
      <c r="H25" s="626">
        <f>F25+G25</f>
        <v>1298943.0230899998</v>
      </c>
      <c r="I25" s="657">
        <f>'Exh R11Proposed Increase Detail'!M240</f>
        <v>-6.1999999452382326E-3</v>
      </c>
      <c r="J25" s="658">
        <f>I25/H25</f>
        <v>-4.7731115491804393E-9</v>
      </c>
      <c r="M25" s="653">
        <f>I25/F25</f>
        <v>-4.7957549426414733E-9</v>
      </c>
      <c r="O25" s="651">
        <v>-6.1999999452382326E-3</v>
      </c>
      <c r="R25" s="1056"/>
      <c r="S25" s="1056"/>
      <c r="T25" s="1056"/>
      <c r="U25" s="1056"/>
    </row>
    <row r="26" spans="1:21" x14ac:dyDescent="0.25">
      <c r="A26" s="642" t="s">
        <v>673</v>
      </c>
      <c r="B26" s="654">
        <f>+'Exh R11Proposed Increase Detail'!J258</f>
        <v>164193.70999999996</v>
      </c>
      <c r="F26" s="654">
        <f>SUM(B26:E26)</f>
        <v>164193.70999999996</v>
      </c>
      <c r="G26" s="657">
        <f>+'Exh R11Proposed Increase Detail'!J260</f>
        <v>14920.234559999999</v>
      </c>
      <c r="H26" s="626">
        <f>F26+G26</f>
        <v>179113.94455999997</v>
      </c>
      <c r="I26" s="657">
        <f>'Exh R11Proposed Increase Detail'!M264</f>
        <v>4439.9865500000305</v>
      </c>
      <c r="J26" s="658">
        <f>I26/H26</f>
        <v>2.4788614649222437E-2</v>
      </c>
      <c r="K26" s="658">
        <f>SUM(I24:I26)/SUM(H24:H26)</f>
        <v>6.202176777743286E-2</v>
      </c>
      <c r="M26" s="653">
        <f>I26/F26</f>
        <v>2.7041148835725993E-2</v>
      </c>
      <c r="O26" s="651">
        <v>4439.9865500000305</v>
      </c>
      <c r="R26" s="1056"/>
      <c r="S26" s="1056"/>
      <c r="T26" s="1056"/>
      <c r="U26" s="1056"/>
    </row>
    <row r="27" spans="1:21" x14ac:dyDescent="0.25">
      <c r="G27" s="419"/>
      <c r="H27" s="419"/>
      <c r="I27" s="419"/>
      <c r="J27" s="419"/>
      <c r="R27" s="1056"/>
      <c r="S27" s="1056"/>
      <c r="T27" s="1056"/>
      <c r="U27" s="1056"/>
    </row>
    <row r="28" spans="1:21" x14ac:dyDescent="0.25">
      <c r="A28" s="642" t="s">
        <v>1106</v>
      </c>
      <c r="B28" s="656">
        <f t="shared" ref="B28:H28" ca="1" si="0">SUM(B11:B27)</f>
        <v>121614085.58081943</v>
      </c>
      <c r="C28" s="656">
        <f t="shared" si="0"/>
        <v>9575684.0514071416</v>
      </c>
      <c r="D28" s="656">
        <f t="shared" ca="1" si="0"/>
        <v>387739</v>
      </c>
      <c r="E28" s="656">
        <f>ROUND(SUM(E11:E27),0)</f>
        <v>-48271</v>
      </c>
      <c r="F28" s="656">
        <f t="shared" ca="1" si="0"/>
        <v>131529237.46944655</v>
      </c>
      <c r="G28" s="659">
        <f t="shared" ca="1" si="0"/>
        <v>114278636.05054371</v>
      </c>
      <c r="H28" s="659">
        <f t="shared" ca="1" si="0"/>
        <v>245807873.51999032</v>
      </c>
      <c r="I28" s="659">
        <f ca="1">SUM(I11:I27)</f>
        <v>17202511.25383215</v>
      </c>
      <c r="J28" s="963">
        <f ca="1">I28/H28</f>
        <v>6.9983564836596485E-2</v>
      </c>
      <c r="L28" s="651">
        <f ca="1">I28-O28</f>
        <v>-869.24616785347462</v>
      </c>
      <c r="O28" s="656">
        <f ca="1">SUM(O11:O27)</f>
        <v>17203380.500000004</v>
      </c>
      <c r="R28" s="1062"/>
      <c r="S28" s="1056"/>
      <c r="T28" s="1056"/>
      <c r="U28" s="1056"/>
    </row>
    <row r="29" spans="1:21" x14ac:dyDescent="0.25">
      <c r="G29" s="419"/>
      <c r="H29" s="419"/>
      <c r="I29" s="419"/>
      <c r="J29" s="419"/>
      <c r="R29" s="1056"/>
      <c r="S29" s="1056"/>
      <c r="T29" s="1056"/>
      <c r="U29" s="1056"/>
    </row>
    <row r="30" spans="1:21" x14ac:dyDescent="0.25">
      <c r="A30" s="419" t="s">
        <v>1099</v>
      </c>
      <c r="B30" s="657">
        <f>+'Exh R11Proposed Increase Detail'!J277</f>
        <v>247029.43</v>
      </c>
      <c r="C30" s="419"/>
      <c r="D30" s="419"/>
      <c r="E30" s="596">
        <f>-'Exh R11Proposed Increase Detail'!J277</f>
        <v>-247029.43</v>
      </c>
      <c r="F30" s="657">
        <f>SUM(B30:E30)</f>
        <v>0</v>
      </c>
      <c r="G30" s="419"/>
      <c r="H30" s="626">
        <v>0</v>
      </c>
      <c r="I30" s="657"/>
      <c r="J30" s="658"/>
      <c r="M30" s="653"/>
      <c r="O30" s="650"/>
      <c r="R30" s="1056"/>
      <c r="S30" s="1056"/>
      <c r="T30" s="1056"/>
      <c r="U30" s="1056"/>
    </row>
    <row r="31" spans="1:21" x14ac:dyDescent="0.25">
      <c r="A31" s="419"/>
      <c r="B31" s="657"/>
      <c r="C31" s="419"/>
      <c r="D31" s="419"/>
      <c r="E31" s="419"/>
      <c r="F31" s="657"/>
      <c r="G31" s="419"/>
      <c r="H31" s="626"/>
      <c r="I31" s="657"/>
      <c r="J31" s="658"/>
      <c r="M31" s="653"/>
      <c r="O31" s="650"/>
      <c r="R31" s="1056"/>
      <c r="S31" s="1056"/>
      <c r="T31" s="1056"/>
      <c r="U31" s="1056"/>
    </row>
    <row r="32" spans="1:21" x14ac:dyDescent="0.25">
      <c r="A32" s="419" t="s">
        <v>1110</v>
      </c>
      <c r="B32" s="657">
        <v>332763.48</v>
      </c>
      <c r="C32" s="419"/>
      <c r="D32" s="419"/>
      <c r="E32" s="419"/>
      <c r="F32" s="657">
        <f>SUM(B32:E32)</f>
        <v>332763.48</v>
      </c>
      <c r="G32" s="419"/>
      <c r="H32" s="626">
        <f>F32+G32</f>
        <v>332763.48</v>
      </c>
      <c r="I32" s="657">
        <v>-1514.5</v>
      </c>
      <c r="J32" s="658">
        <f>I32/H32</f>
        <v>-4.5512806874119724E-3</v>
      </c>
      <c r="M32" s="653"/>
      <c r="O32" s="650">
        <f>I32</f>
        <v>-1514.5</v>
      </c>
    </row>
    <row r="33" spans="1:16" x14ac:dyDescent="0.25">
      <c r="A33" s="419"/>
      <c r="B33" s="419"/>
      <c r="C33" s="419"/>
      <c r="D33" s="419"/>
      <c r="E33" s="419"/>
      <c r="F33" s="419"/>
      <c r="G33" s="419"/>
      <c r="H33" s="419"/>
      <c r="I33" s="419"/>
      <c r="J33" s="419"/>
    </row>
    <row r="34" spans="1:16" x14ac:dyDescent="0.25">
      <c r="A34" s="419" t="s">
        <v>1073</v>
      </c>
      <c r="B34" s="659">
        <f t="shared" ref="B34:G34" ca="1" si="1">+B28+B30</f>
        <v>121861115.01081944</v>
      </c>
      <c r="C34" s="659">
        <f t="shared" si="1"/>
        <v>9575684.0514071416</v>
      </c>
      <c r="D34" s="659">
        <f t="shared" ca="1" si="1"/>
        <v>387739</v>
      </c>
      <c r="E34" s="659">
        <f t="shared" si="1"/>
        <v>-295300.43</v>
      </c>
      <c r="F34" s="659">
        <f t="shared" ca="1" si="1"/>
        <v>131529237.46944655</v>
      </c>
      <c r="G34" s="659">
        <f t="shared" ca="1" si="1"/>
        <v>114278636.05054371</v>
      </c>
      <c r="H34" s="659">
        <f ca="1">+H28+H30+H32</f>
        <v>246140636.99999031</v>
      </c>
      <c r="I34" s="659">
        <f ca="1">+I28+I30+I32</f>
        <v>17200996.75383215</v>
      </c>
      <c r="J34" s="963">
        <f ca="1">I34/H34</f>
        <v>6.9882799376329019E-2</v>
      </c>
      <c r="L34" s="651"/>
      <c r="O34" s="659">
        <f ca="1">+O28+O30+O32</f>
        <v>17201866.000000004</v>
      </c>
    </row>
    <row r="35" spans="1:16" ht="15.75" thickBot="1" x14ac:dyDescent="0.3">
      <c r="G35" s="419"/>
      <c r="H35" s="419"/>
      <c r="I35" s="419"/>
      <c r="J35" s="419"/>
    </row>
    <row r="36" spans="1:16" ht="15.75" thickBot="1" x14ac:dyDescent="0.3">
      <c r="I36" s="651"/>
      <c r="O36" s="916">
        <v>17201866</v>
      </c>
      <c r="P36" s="642" t="s">
        <v>1132</v>
      </c>
    </row>
    <row r="37" spans="1:16" ht="15.75" thickBot="1" x14ac:dyDescent="0.3">
      <c r="B37" s="655"/>
      <c r="C37" s="655"/>
      <c r="D37" s="655"/>
      <c r="E37" s="655"/>
      <c r="F37" s="655"/>
      <c r="G37" s="655"/>
      <c r="H37" s="655"/>
      <c r="I37" s="651"/>
      <c r="O37" s="652">
        <f ca="1">O36/F34</f>
        <v>0.13078359101713707</v>
      </c>
      <c r="P37" t="s">
        <v>1133</v>
      </c>
    </row>
    <row r="38" spans="1:16" ht="15.75" thickBot="1" x14ac:dyDescent="0.3">
      <c r="O38" s="915">
        <v>0.13518596726267948</v>
      </c>
      <c r="P38" s="642" t="s">
        <v>1134</v>
      </c>
    </row>
    <row r="39" spans="1:16" x14ac:dyDescent="0.25">
      <c r="O39" s="652">
        <f ca="1">O34/H34</f>
        <v>6.9886330878394048E-2</v>
      </c>
      <c r="P39" s="642" t="s">
        <v>1014</v>
      </c>
    </row>
    <row r="41" spans="1:16" x14ac:dyDescent="0.25">
      <c r="I41" s="651"/>
    </row>
    <row r="42" spans="1:16" x14ac:dyDescent="0.25">
      <c r="O42" s="954"/>
      <c r="P42" s="922"/>
    </row>
    <row r="43" spans="1:16" x14ac:dyDescent="0.25">
      <c r="O43" s="954"/>
      <c r="P43" s="711"/>
    </row>
    <row r="44" spans="1:16" x14ac:dyDescent="0.25">
      <c r="P44" s="922"/>
    </row>
    <row r="45" spans="1:16" x14ac:dyDescent="0.25">
      <c r="J45" s="652"/>
    </row>
    <row r="46" spans="1:16" x14ac:dyDescent="0.25">
      <c r="J46" s="652"/>
    </row>
    <row r="47" spans="1:16" x14ac:dyDescent="0.25">
      <c r="J47" s="652"/>
    </row>
    <row r="53" spans="7:7" x14ac:dyDescent="0.25">
      <c r="G53" s="660"/>
    </row>
    <row r="226" spans="4:4" x14ac:dyDescent="0.25">
      <c r="D226" s="642" t="s">
        <v>1160</v>
      </c>
    </row>
  </sheetData>
  <printOptions horizontalCentered="1"/>
  <pageMargins left="0.75" right="0.75" top="1.25" bottom="0.75" header="0.5" footer="0.5"/>
  <pageSetup scale="67" orientation="landscape" r:id="rId1"/>
  <headerFooter>
    <oddFooter>&amp;R&amp;"Times New Roman,Bold"&amp;14Conroy Exhibit R10
Page 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8" tint="0.39997558519241921"/>
  </sheetPr>
  <dimension ref="A1:U84"/>
  <sheetViews>
    <sheetView showGridLines="0" topLeftCell="A52" zoomScaleNormal="100" zoomScaleSheetLayoutView="80" workbookViewId="0"/>
  </sheetViews>
  <sheetFormatPr defaultRowHeight="12.75" outlineLevelRow="2" x14ac:dyDescent="0.2"/>
  <cols>
    <col min="1" max="1" width="12.28515625" style="1135" customWidth="1"/>
    <col min="2" max="2" width="11.140625" style="1135" customWidth="1"/>
    <col min="3" max="3" width="49.28515625" style="1135" customWidth="1"/>
    <col min="4" max="4" width="17" style="1135" bestFit="1" customWidth="1"/>
    <col min="5" max="5" width="21.42578125" style="1135" customWidth="1"/>
    <col min="6" max="6" width="30.140625" style="122" bestFit="1" customWidth="1"/>
    <col min="7" max="7" width="3.7109375" style="123" bestFit="1" customWidth="1"/>
    <col min="8" max="8" width="13.7109375" style="123" bestFit="1" customWidth="1"/>
    <col min="9" max="9" width="12.7109375" style="122" customWidth="1"/>
    <col min="10" max="10" width="14.140625" style="122" bestFit="1" customWidth="1"/>
    <col min="11" max="12" width="13.5703125" style="122" bestFit="1" customWidth="1"/>
    <col min="13" max="13" width="13.7109375" style="122" bestFit="1" customWidth="1"/>
    <col min="14" max="14" width="14.42578125" style="122" bestFit="1" customWidth="1"/>
    <col min="15" max="15" width="12" style="122" bestFit="1" customWidth="1"/>
    <col min="16" max="16" width="8.7109375" style="122" customWidth="1"/>
    <col min="17" max="17" width="10.7109375" style="122" bestFit="1" customWidth="1"/>
    <col min="18" max="18" width="13.28515625" style="122" bestFit="1" customWidth="1"/>
    <col min="19" max="19" width="10.7109375" style="122" customWidth="1"/>
    <col min="20" max="20" width="17.85546875" style="122" bestFit="1" customWidth="1"/>
    <col min="21" max="21" width="6.28515625" style="122" bestFit="1" customWidth="1"/>
    <col min="22" max="16384" width="9.140625" style="122"/>
  </cols>
  <sheetData>
    <row r="1" spans="1:20" ht="23.25" customHeight="1" x14ac:dyDescent="0.35">
      <c r="A1" s="1134"/>
      <c r="D1" s="1134"/>
      <c r="F1" s="1389" t="s">
        <v>326</v>
      </c>
      <c r="G1" s="1389"/>
      <c r="H1" s="1389"/>
      <c r="I1" s="1389"/>
      <c r="J1" s="1389"/>
      <c r="K1" s="1389"/>
      <c r="L1" s="250"/>
    </row>
    <row r="2" spans="1:20" ht="15.75" thickBot="1" x14ac:dyDescent="0.35">
      <c r="A2" s="1088"/>
      <c r="D2" s="1088"/>
    </row>
    <row r="3" spans="1:20" ht="23.25" thickBot="1" x14ac:dyDescent="0.25">
      <c r="A3" s="1136"/>
      <c r="B3" s="1137"/>
      <c r="C3" s="1137"/>
      <c r="D3" s="1138" t="s">
        <v>1</v>
      </c>
      <c r="E3" s="1103"/>
      <c r="F3" s="251" t="s">
        <v>1</v>
      </c>
      <c r="G3" s="252"/>
      <c r="H3" s="253" t="s">
        <v>2</v>
      </c>
      <c r="I3" s="254" t="s">
        <v>3</v>
      </c>
      <c r="J3" s="254" t="s">
        <v>4</v>
      </c>
      <c r="K3" s="254" t="s">
        <v>5</v>
      </c>
      <c r="L3" s="254" t="s">
        <v>6</v>
      </c>
      <c r="M3" s="254" t="s">
        <v>7</v>
      </c>
      <c r="N3" s="254" t="s">
        <v>8</v>
      </c>
      <c r="O3" s="254" t="s">
        <v>9</v>
      </c>
      <c r="P3" s="254" t="s">
        <v>10</v>
      </c>
      <c r="Q3" s="254" t="s">
        <v>11</v>
      </c>
      <c r="R3" s="254" t="s">
        <v>12</v>
      </c>
      <c r="S3" s="255" t="s">
        <v>13</v>
      </c>
    </row>
    <row r="4" spans="1:20" ht="13.5" customHeight="1" thickBot="1" x14ac:dyDescent="0.25">
      <c r="A4" s="1139" t="s">
        <v>14</v>
      </c>
      <c r="B4" s="1140" t="s">
        <v>15</v>
      </c>
      <c r="C4" s="1140" t="s">
        <v>16</v>
      </c>
      <c r="D4" s="1390" t="s">
        <v>17</v>
      </c>
      <c r="E4" s="1391"/>
      <c r="F4" s="256" t="s">
        <v>18</v>
      </c>
      <c r="G4" s="257"/>
      <c r="H4" s="257"/>
      <c r="I4" s="258" t="s">
        <v>19</v>
      </c>
      <c r="J4" s="259" t="s">
        <v>20</v>
      </c>
      <c r="K4" s="259" t="s">
        <v>20</v>
      </c>
      <c r="L4" s="259" t="s">
        <v>20</v>
      </c>
      <c r="M4" s="259" t="s">
        <v>20</v>
      </c>
      <c r="N4" s="259" t="s">
        <v>20</v>
      </c>
      <c r="O4" s="259" t="s">
        <v>20</v>
      </c>
      <c r="P4" s="259" t="s">
        <v>20</v>
      </c>
      <c r="Q4" s="259" t="s">
        <v>20</v>
      </c>
      <c r="R4" s="259" t="s">
        <v>20</v>
      </c>
      <c r="S4" s="260" t="s">
        <v>20</v>
      </c>
      <c r="T4" s="134" t="s">
        <v>257</v>
      </c>
    </row>
    <row r="5" spans="1:20" ht="13.5" customHeight="1" outlineLevel="2" thickBot="1" x14ac:dyDescent="0.3">
      <c r="A5" s="1141" t="s">
        <v>21</v>
      </c>
      <c r="B5" s="1141" t="s">
        <v>21</v>
      </c>
      <c r="C5" s="1141" t="s">
        <v>22</v>
      </c>
      <c r="D5" s="1141" t="s">
        <v>23</v>
      </c>
      <c r="E5" s="1142" t="s">
        <v>24</v>
      </c>
      <c r="F5" s="262" t="s">
        <v>25</v>
      </c>
      <c r="G5" s="99"/>
      <c r="H5" s="99"/>
      <c r="I5" s="99">
        <v>22939</v>
      </c>
      <c r="J5" s="136">
        <v>13467.400000000001</v>
      </c>
      <c r="K5" s="136">
        <v>275</v>
      </c>
      <c r="L5" s="136">
        <v>1204.76</v>
      </c>
      <c r="M5" s="137">
        <v>22.02</v>
      </c>
      <c r="N5" s="137">
        <v>11965.62</v>
      </c>
      <c r="O5" s="270">
        <v>0</v>
      </c>
      <c r="P5" s="137">
        <v>0</v>
      </c>
      <c r="Q5" s="270">
        <v>0</v>
      </c>
      <c r="R5" s="270">
        <v>0</v>
      </c>
      <c r="S5" s="138">
        <v>0</v>
      </c>
      <c r="T5" s="139"/>
    </row>
    <row r="6" spans="1:20" ht="13.5" customHeight="1" outlineLevel="2" thickBot="1" x14ac:dyDescent="0.3">
      <c r="A6" s="1141" t="s">
        <v>21</v>
      </c>
      <c r="B6" s="1141" t="s">
        <v>21</v>
      </c>
      <c r="C6" s="1141" t="s">
        <v>26</v>
      </c>
      <c r="D6" s="1141" t="s">
        <v>23</v>
      </c>
      <c r="E6" s="1142" t="s">
        <v>24</v>
      </c>
      <c r="F6" s="262" t="s">
        <v>27</v>
      </c>
      <c r="G6" s="99"/>
      <c r="H6" s="99"/>
      <c r="I6" s="99">
        <v>0</v>
      </c>
      <c r="J6" s="136">
        <v>0</v>
      </c>
      <c r="K6" s="136">
        <v>0</v>
      </c>
      <c r="L6" s="136">
        <v>0</v>
      </c>
      <c r="M6" s="137">
        <v>0</v>
      </c>
      <c r="N6" s="137">
        <v>0</v>
      </c>
      <c r="O6" s="137">
        <v>0</v>
      </c>
      <c r="P6" s="137">
        <v>0</v>
      </c>
      <c r="Q6" s="137">
        <v>0</v>
      </c>
      <c r="R6" s="137">
        <v>0</v>
      </c>
      <c r="S6" s="138">
        <v>0</v>
      </c>
      <c r="T6" s="139"/>
    </row>
    <row r="7" spans="1:20" ht="13.5" customHeight="1" outlineLevel="2" thickBot="1" x14ac:dyDescent="0.3">
      <c r="A7" s="1141" t="s">
        <v>21</v>
      </c>
      <c r="B7" s="1141" t="s">
        <v>21</v>
      </c>
      <c r="C7" s="1141" t="s">
        <v>28</v>
      </c>
      <c r="D7" s="1141" t="s">
        <v>29</v>
      </c>
      <c r="E7" s="1142" t="s">
        <v>30</v>
      </c>
      <c r="F7" s="262" t="s">
        <v>31</v>
      </c>
      <c r="G7" s="99"/>
      <c r="H7" s="99"/>
      <c r="I7" s="99">
        <v>126881</v>
      </c>
      <c r="J7" s="136">
        <v>75466.299999999988</v>
      </c>
      <c r="K7" s="136">
        <v>1925</v>
      </c>
      <c r="L7" s="136">
        <v>6663.79</v>
      </c>
      <c r="M7" s="137">
        <v>0</v>
      </c>
      <c r="N7" s="137">
        <v>66877.509999999995</v>
      </c>
      <c r="O7" s="137">
        <v>0</v>
      </c>
      <c r="P7" s="137">
        <v>0</v>
      </c>
      <c r="Q7" s="137">
        <v>0</v>
      </c>
      <c r="R7" s="137">
        <v>0</v>
      </c>
      <c r="S7" s="138">
        <v>0</v>
      </c>
      <c r="T7" s="139"/>
    </row>
    <row r="8" spans="1:20" ht="13.5" customHeight="1" outlineLevel="2" thickBot="1" x14ac:dyDescent="0.3">
      <c r="A8" s="1141" t="s">
        <v>21</v>
      </c>
      <c r="B8" s="1141" t="s">
        <v>21</v>
      </c>
      <c r="C8" s="1141" t="s">
        <v>28</v>
      </c>
      <c r="D8" s="1141" t="s">
        <v>29</v>
      </c>
      <c r="E8" s="1142" t="s">
        <v>30</v>
      </c>
      <c r="F8" s="262" t="s">
        <v>31</v>
      </c>
      <c r="G8" s="99"/>
      <c r="H8" s="99"/>
      <c r="I8" s="99">
        <v>11634</v>
      </c>
      <c r="J8" s="136">
        <v>7000.33</v>
      </c>
      <c r="K8" s="136">
        <v>275</v>
      </c>
      <c r="L8" s="136">
        <v>611.02</v>
      </c>
      <c r="M8" s="137">
        <v>0</v>
      </c>
      <c r="N8" s="137">
        <v>6114.31</v>
      </c>
      <c r="O8" s="137">
        <v>0</v>
      </c>
      <c r="P8" s="137">
        <v>0</v>
      </c>
      <c r="Q8" s="137">
        <v>0</v>
      </c>
      <c r="R8" s="137">
        <v>0</v>
      </c>
      <c r="S8" s="138">
        <v>0</v>
      </c>
      <c r="T8" s="139"/>
    </row>
    <row r="9" spans="1:20" ht="13.5" customHeight="1" outlineLevel="2" thickBot="1" x14ac:dyDescent="0.3">
      <c r="A9" s="1141" t="s">
        <v>21</v>
      </c>
      <c r="B9" s="1141" t="s">
        <v>21</v>
      </c>
      <c r="C9" s="1141" t="s">
        <v>26</v>
      </c>
      <c r="D9" s="1141" t="s">
        <v>23</v>
      </c>
      <c r="E9" s="1142" t="s">
        <v>30</v>
      </c>
      <c r="F9" s="262" t="s">
        <v>32</v>
      </c>
      <c r="G9" s="99"/>
      <c r="H9" s="99"/>
      <c r="I9" s="99">
        <v>409506</v>
      </c>
      <c r="J9" s="136">
        <v>251763.88</v>
      </c>
      <c r="K9" s="136">
        <v>2227.5100000000002</v>
      </c>
      <c r="L9" s="136">
        <v>21507.25</v>
      </c>
      <c r="M9" s="137">
        <v>393.12</v>
      </c>
      <c r="N9" s="137">
        <v>227636</v>
      </c>
      <c r="O9" s="137">
        <v>0</v>
      </c>
      <c r="P9" s="137">
        <v>0</v>
      </c>
      <c r="Q9" s="137">
        <v>0</v>
      </c>
      <c r="R9" s="137">
        <v>0</v>
      </c>
      <c r="S9" s="138">
        <v>0</v>
      </c>
      <c r="T9" s="139"/>
    </row>
    <row r="10" spans="1:20" s="98" customFormat="1" ht="13.5" customHeight="1" outlineLevel="1" thickBot="1" x14ac:dyDescent="0.3">
      <c r="A10" s="1143"/>
      <c r="B10" s="1143"/>
      <c r="C10" s="1143"/>
      <c r="D10" s="1143"/>
      <c r="E10" s="1144"/>
      <c r="F10" s="261" t="s">
        <v>33</v>
      </c>
      <c r="G10" s="99"/>
      <c r="H10" s="141">
        <v>12</v>
      </c>
      <c r="I10" s="142">
        <f t="shared" ref="I10:S10" si="0">SUBTOTAL(9,I5:I9)</f>
        <v>570960</v>
      </c>
      <c r="J10" s="143">
        <f>SUBTOTAL(9,J5:J9)</f>
        <v>347697.91</v>
      </c>
      <c r="K10" s="143">
        <f t="shared" si="0"/>
        <v>4702.51</v>
      </c>
      <c r="L10" s="143">
        <f t="shared" si="0"/>
        <v>29986.82</v>
      </c>
      <c r="M10" s="143">
        <f t="shared" si="0"/>
        <v>415.14</v>
      </c>
      <c r="N10" s="143">
        <f t="shared" si="0"/>
        <v>312593.44</v>
      </c>
      <c r="O10" s="143">
        <f t="shared" si="0"/>
        <v>0</v>
      </c>
      <c r="P10" s="143">
        <f t="shared" si="0"/>
        <v>0</v>
      </c>
      <c r="Q10" s="143">
        <f t="shared" si="0"/>
        <v>0</v>
      </c>
      <c r="R10" s="143">
        <f t="shared" si="0"/>
        <v>0</v>
      </c>
      <c r="S10" s="144">
        <f t="shared" si="0"/>
        <v>0</v>
      </c>
      <c r="T10" s="139">
        <f>ROUND(J10-SUM(K10:P10)-R10,2)</f>
        <v>0</v>
      </c>
    </row>
    <row r="11" spans="1:20" ht="13.5" customHeight="1" outlineLevel="2" thickBot="1" x14ac:dyDescent="0.3">
      <c r="A11" s="1141" t="s">
        <v>21</v>
      </c>
      <c r="B11" s="1141" t="s">
        <v>21</v>
      </c>
      <c r="C11" s="1141" t="s">
        <v>22</v>
      </c>
      <c r="D11" s="1141" t="s">
        <v>34</v>
      </c>
      <c r="E11" s="1142" t="s">
        <v>35</v>
      </c>
      <c r="F11" s="262" t="s">
        <v>36</v>
      </c>
      <c r="G11" s="145"/>
      <c r="H11" s="146"/>
      <c r="I11" s="147">
        <v>304</v>
      </c>
      <c r="J11" s="148">
        <v>697.2299999999999</v>
      </c>
      <c r="K11" s="148">
        <v>480</v>
      </c>
      <c r="L11" s="148">
        <v>56.91</v>
      </c>
      <c r="M11" s="148">
        <v>0.28999999999999998</v>
      </c>
      <c r="N11" s="148">
        <v>160.03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139"/>
    </row>
    <row r="12" spans="1:20" ht="13.5" customHeight="1" outlineLevel="2" thickBot="1" x14ac:dyDescent="0.3">
      <c r="A12" s="1141" t="s">
        <v>21</v>
      </c>
      <c r="B12" s="1141" t="s">
        <v>21</v>
      </c>
      <c r="C12" s="1141" t="s">
        <v>26</v>
      </c>
      <c r="D12" s="1141" t="s">
        <v>34</v>
      </c>
      <c r="E12" s="1142" t="s">
        <v>35</v>
      </c>
      <c r="F12" s="262" t="s">
        <v>36</v>
      </c>
      <c r="G12" s="99"/>
      <c r="H12" s="146"/>
      <c r="I12" s="147">
        <v>54</v>
      </c>
      <c r="J12" s="148">
        <v>128.96</v>
      </c>
      <c r="K12" s="148">
        <v>90</v>
      </c>
      <c r="L12" s="148">
        <v>10.11</v>
      </c>
      <c r="M12" s="148">
        <v>0.05</v>
      </c>
      <c r="N12" s="148">
        <v>28.8</v>
      </c>
      <c r="O12" s="148">
        <v>0</v>
      </c>
      <c r="P12" s="148">
        <v>0</v>
      </c>
      <c r="Q12" s="148">
        <v>0</v>
      </c>
      <c r="R12" s="148">
        <v>0</v>
      </c>
      <c r="S12" s="149">
        <v>0</v>
      </c>
      <c r="T12" s="139"/>
    </row>
    <row r="13" spans="1:20" ht="13.5" customHeight="1" outlineLevel="2" thickBot="1" x14ac:dyDescent="0.3">
      <c r="A13" s="1141" t="s">
        <v>21</v>
      </c>
      <c r="B13" s="1141" t="s">
        <v>21</v>
      </c>
      <c r="C13" s="1141" t="s">
        <v>22</v>
      </c>
      <c r="D13" s="1141" t="s">
        <v>37</v>
      </c>
      <c r="E13" s="1142" t="s">
        <v>38</v>
      </c>
      <c r="F13" s="262" t="s">
        <v>39</v>
      </c>
      <c r="G13" s="99"/>
      <c r="H13" s="146"/>
      <c r="I13" s="147">
        <v>3504</v>
      </c>
      <c r="J13" s="148">
        <v>2725.28</v>
      </c>
      <c r="K13" s="148">
        <v>170</v>
      </c>
      <c r="L13" s="148">
        <v>656.02</v>
      </c>
      <c r="M13" s="148">
        <v>3.36</v>
      </c>
      <c r="N13" s="148">
        <v>1908.4</v>
      </c>
      <c r="O13" s="148">
        <v>-12.5</v>
      </c>
      <c r="P13" s="148">
        <v>0</v>
      </c>
      <c r="Q13" s="148">
        <v>0</v>
      </c>
      <c r="R13" s="148">
        <v>0</v>
      </c>
      <c r="S13" s="149">
        <v>0</v>
      </c>
      <c r="T13" s="139"/>
    </row>
    <row r="14" spans="1:20" ht="13.5" customHeight="1" outlineLevel="2" thickBot="1" x14ac:dyDescent="0.3">
      <c r="A14" s="1141" t="s">
        <v>21</v>
      </c>
      <c r="B14" s="1141" t="s">
        <v>21</v>
      </c>
      <c r="C14" s="1141" t="s">
        <v>22</v>
      </c>
      <c r="D14" s="1141" t="s">
        <v>37</v>
      </c>
      <c r="E14" s="1142" t="s">
        <v>38</v>
      </c>
      <c r="F14" s="262" t="s">
        <v>39</v>
      </c>
      <c r="G14" s="99"/>
      <c r="H14" s="146"/>
      <c r="I14" s="147">
        <v>4961681</v>
      </c>
      <c r="J14" s="148">
        <v>4462314.17</v>
      </c>
      <c r="K14" s="148">
        <v>798705.21</v>
      </c>
      <c r="L14" s="148">
        <v>943696.74</v>
      </c>
      <c r="M14" s="148">
        <v>4758.93</v>
      </c>
      <c r="N14" s="148">
        <v>2664665.94</v>
      </c>
      <c r="O14" s="148">
        <v>50487.35</v>
      </c>
      <c r="P14" s="148">
        <v>0</v>
      </c>
      <c r="Q14" s="148">
        <v>0</v>
      </c>
      <c r="R14" s="148">
        <v>0</v>
      </c>
      <c r="S14" s="149">
        <v>1331.31</v>
      </c>
      <c r="T14" s="139"/>
    </row>
    <row r="15" spans="1:20" ht="13.5" customHeight="1" outlineLevel="2" thickBot="1" x14ac:dyDescent="0.3">
      <c r="A15" s="1141" t="s">
        <v>21</v>
      </c>
      <c r="B15" s="1141" t="s">
        <v>21</v>
      </c>
      <c r="C15" s="1141" t="s">
        <v>26</v>
      </c>
      <c r="D15" s="1141" t="s">
        <v>37</v>
      </c>
      <c r="E15" s="1142" t="s">
        <v>38</v>
      </c>
      <c r="F15" s="262" t="s">
        <v>39</v>
      </c>
      <c r="G15" s="145"/>
      <c r="H15" s="146"/>
      <c r="I15" s="147">
        <v>945162</v>
      </c>
      <c r="J15" s="148">
        <v>774986.42</v>
      </c>
      <c r="K15" s="148">
        <v>72208</v>
      </c>
      <c r="L15" s="148">
        <v>176294.03</v>
      </c>
      <c r="M15" s="148">
        <v>907.42</v>
      </c>
      <c r="N15" s="148">
        <v>505052.57</v>
      </c>
      <c r="O15" s="148">
        <v>20524.400000000001</v>
      </c>
      <c r="P15" s="148">
        <v>0</v>
      </c>
      <c r="Q15" s="148">
        <v>0</v>
      </c>
      <c r="R15" s="148">
        <v>0</v>
      </c>
      <c r="S15" s="149">
        <v>136.13</v>
      </c>
      <c r="T15" s="139"/>
    </row>
    <row r="16" spans="1:20" ht="13.5" customHeight="1" outlineLevel="2" thickBot="1" x14ac:dyDescent="0.3">
      <c r="A16" s="1141" t="s">
        <v>21</v>
      </c>
      <c r="B16" s="1141" t="s">
        <v>21</v>
      </c>
      <c r="C16" s="1141" t="s">
        <v>40</v>
      </c>
      <c r="D16" s="1141" t="s">
        <v>37</v>
      </c>
      <c r="E16" s="1142" t="s">
        <v>38</v>
      </c>
      <c r="F16" s="262" t="s">
        <v>39</v>
      </c>
      <c r="G16" s="99"/>
      <c r="H16" s="146"/>
      <c r="I16" s="147">
        <v>1947</v>
      </c>
      <c r="J16" s="148">
        <v>1826.02</v>
      </c>
      <c r="K16" s="148">
        <v>394</v>
      </c>
      <c r="L16" s="148">
        <v>364.51</v>
      </c>
      <c r="M16" s="148">
        <v>1.89</v>
      </c>
      <c r="N16" s="148">
        <v>1058.52</v>
      </c>
      <c r="O16" s="148">
        <v>7.1</v>
      </c>
      <c r="P16" s="148">
        <v>0</v>
      </c>
      <c r="Q16" s="148">
        <v>0</v>
      </c>
      <c r="R16" s="148">
        <v>0</v>
      </c>
      <c r="S16" s="149">
        <v>0</v>
      </c>
      <c r="T16" s="139"/>
    </row>
    <row r="17" spans="1:21" ht="13.5" customHeight="1" outlineLevel="2" thickBot="1" x14ac:dyDescent="0.3">
      <c r="A17" s="1141" t="s">
        <v>21</v>
      </c>
      <c r="B17" s="1141" t="s">
        <v>21</v>
      </c>
      <c r="C17" s="1141" t="s">
        <v>22</v>
      </c>
      <c r="D17" s="1141" t="s">
        <v>41</v>
      </c>
      <c r="E17" s="1142" t="s">
        <v>42</v>
      </c>
      <c r="F17" s="262" t="s">
        <v>43</v>
      </c>
      <c r="G17" s="99"/>
      <c r="H17" s="146"/>
      <c r="I17" s="147">
        <v>613</v>
      </c>
      <c r="J17" s="148">
        <v>19050.43</v>
      </c>
      <c r="K17" s="148">
        <v>18600</v>
      </c>
      <c r="L17" s="148">
        <v>116.38</v>
      </c>
      <c r="M17" s="148">
        <v>0</v>
      </c>
      <c r="N17" s="148">
        <v>334.05</v>
      </c>
      <c r="O17" s="148">
        <v>0</v>
      </c>
      <c r="P17" s="148">
        <v>0</v>
      </c>
      <c r="Q17" s="148">
        <v>0</v>
      </c>
      <c r="R17" s="148">
        <v>0</v>
      </c>
      <c r="S17" s="149">
        <v>1.84</v>
      </c>
      <c r="T17" s="139"/>
    </row>
    <row r="18" spans="1:21" s="98" customFormat="1" ht="13.5" customHeight="1" outlineLevel="1" thickBot="1" x14ac:dyDescent="0.3">
      <c r="A18" s="1143"/>
      <c r="B18" s="1143"/>
      <c r="C18" s="1143"/>
      <c r="D18" s="1143"/>
      <c r="E18" s="1144"/>
      <c r="F18" s="261" t="s">
        <v>44</v>
      </c>
      <c r="G18" s="99"/>
      <c r="H18" s="141">
        <v>24837</v>
      </c>
      <c r="I18" s="142">
        <f t="shared" ref="I18:S18" si="1">SUBTOTAL(9,I11:I17)</f>
        <v>5913265</v>
      </c>
      <c r="J18" s="143">
        <f>SUBTOTAL(9,J11:J17)</f>
        <v>5261728.5099999988</v>
      </c>
      <c r="K18" s="143">
        <f t="shared" si="1"/>
        <v>890647.21</v>
      </c>
      <c r="L18" s="143">
        <f t="shared" si="1"/>
        <v>1121194.7</v>
      </c>
      <c r="M18" s="143">
        <f t="shared" si="1"/>
        <v>5671.9400000000005</v>
      </c>
      <c r="N18" s="143">
        <f t="shared" si="1"/>
        <v>3173208.3099999996</v>
      </c>
      <c r="O18" s="143">
        <f t="shared" si="1"/>
        <v>71006.350000000006</v>
      </c>
      <c r="P18" s="143">
        <f t="shared" si="1"/>
        <v>0</v>
      </c>
      <c r="Q18" s="143">
        <f t="shared" si="1"/>
        <v>0</v>
      </c>
      <c r="R18" s="143">
        <f t="shared" si="1"/>
        <v>0</v>
      </c>
      <c r="S18" s="144">
        <f t="shared" si="1"/>
        <v>1469.28</v>
      </c>
      <c r="T18" s="139">
        <f>ROUND(J18-SUM(K18:P18)-R18,2)</f>
        <v>0</v>
      </c>
    </row>
    <row r="19" spans="1:21" ht="13.5" customHeight="1" outlineLevel="2" thickBot="1" x14ac:dyDescent="0.3">
      <c r="A19" s="1141" t="s">
        <v>21</v>
      </c>
      <c r="B19" s="1141" t="s">
        <v>21</v>
      </c>
      <c r="C19" s="1141" t="s">
        <v>28</v>
      </c>
      <c r="D19" s="1141" t="s">
        <v>45</v>
      </c>
      <c r="E19" s="1142" t="s">
        <v>46</v>
      </c>
      <c r="F19" s="262" t="s">
        <v>47</v>
      </c>
      <c r="G19" s="99"/>
      <c r="H19" s="146"/>
      <c r="I19" s="147">
        <v>617451</v>
      </c>
      <c r="J19" s="148">
        <v>467072.48</v>
      </c>
      <c r="K19" s="148">
        <v>20814</v>
      </c>
      <c r="L19" s="148">
        <v>115889.73</v>
      </c>
      <c r="M19" s="271">
        <v>0</v>
      </c>
      <c r="N19" s="148">
        <v>330368.75</v>
      </c>
      <c r="O19" s="271">
        <v>0</v>
      </c>
      <c r="P19" s="148">
        <v>0</v>
      </c>
      <c r="Q19" s="271">
        <v>0</v>
      </c>
      <c r="R19" s="271">
        <v>0</v>
      </c>
      <c r="S19" s="149">
        <v>0</v>
      </c>
      <c r="T19" s="139"/>
    </row>
    <row r="20" spans="1:21" ht="13.5" customHeight="1" outlineLevel="2" thickBot="1" x14ac:dyDescent="0.3">
      <c r="A20" s="1145"/>
      <c r="B20" s="1145"/>
      <c r="C20" s="1145"/>
      <c r="D20" s="1141" t="s">
        <v>45</v>
      </c>
      <c r="E20" s="1142" t="s">
        <v>46</v>
      </c>
      <c r="F20" s="262" t="s">
        <v>47</v>
      </c>
      <c r="G20" s="99"/>
      <c r="H20" s="146"/>
      <c r="I20" s="147">
        <v>3549</v>
      </c>
      <c r="J20" s="148">
        <v>2750.73</v>
      </c>
      <c r="K20" s="148">
        <v>170</v>
      </c>
      <c r="L20" s="148">
        <v>675.09</v>
      </c>
      <c r="M20" s="148">
        <v>0</v>
      </c>
      <c r="N20" s="148">
        <v>1905.64</v>
      </c>
      <c r="O20" s="148">
        <v>0</v>
      </c>
      <c r="P20" s="148">
        <v>0</v>
      </c>
      <c r="Q20" s="148">
        <v>0</v>
      </c>
      <c r="R20" s="148">
        <v>0</v>
      </c>
      <c r="S20" s="149">
        <v>0</v>
      </c>
      <c r="T20" s="139"/>
    </row>
    <row r="21" spans="1:21" ht="13.5" customHeight="1" outlineLevel="2" thickBot="1" x14ac:dyDescent="0.3">
      <c r="A21" s="1141" t="s">
        <v>21</v>
      </c>
      <c r="B21" s="1141" t="s">
        <v>21</v>
      </c>
      <c r="C21" s="1141" t="s">
        <v>26</v>
      </c>
      <c r="D21" s="1141" t="s">
        <v>45</v>
      </c>
      <c r="E21" s="1142" t="s">
        <v>46</v>
      </c>
      <c r="F21" s="262" t="s">
        <v>47</v>
      </c>
      <c r="G21" s="99"/>
      <c r="H21" s="146"/>
      <c r="I21" s="147">
        <v>7297</v>
      </c>
      <c r="J21" s="148">
        <v>5615.96</v>
      </c>
      <c r="K21" s="148">
        <v>290</v>
      </c>
      <c r="L21" s="148">
        <v>1388.03</v>
      </c>
      <c r="M21" s="148">
        <v>0</v>
      </c>
      <c r="N21" s="148">
        <v>3937.93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139"/>
    </row>
    <row r="22" spans="1:21" s="98" customFormat="1" ht="13.5" customHeight="1" outlineLevel="1" thickBot="1" x14ac:dyDescent="0.3">
      <c r="A22" s="1143"/>
      <c r="B22" s="1143"/>
      <c r="C22" s="1143"/>
      <c r="D22" s="1143"/>
      <c r="E22" s="1144"/>
      <c r="F22" s="261" t="s">
        <v>48</v>
      </c>
      <c r="G22" s="145"/>
      <c r="H22" s="141">
        <v>214</v>
      </c>
      <c r="I22" s="142">
        <f t="shared" ref="I22:S22" si="2">SUBTOTAL(9,I19:I21)</f>
        <v>628297</v>
      </c>
      <c r="J22" s="143">
        <f>SUBTOTAL(9,J19:J21)</f>
        <v>475439.17</v>
      </c>
      <c r="K22" s="143">
        <f t="shared" si="2"/>
        <v>21274</v>
      </c>
      <c r="L22" s="143">
        <f t="shared" si="2"/>
        <v>117952.84999999999</v>
      </c>
      <c r="M22" s="143">
        <f t="shared" si="2"/>
        <v>0</v>
      </c>
      <c r="N22" s="143">
        <f t="shared" si="2"/>
        <v>336212.32</v>
      </c>
      <c r="O22" s="143">
        <f t="shared" si="2"/>
        <v>0</v>
      </c>
      <c r="P22" s="143">
        <f t="shared" si="2"/>
        <v>0</v>
      </c>
      <c r="Q22" s="143">
        <f t="shared" si="2"/>
        <v>0</v>
      </c>
      <c r="R22" s="143">
        <f t="shared" si="2"/>
        <v>0</v>
      </c>
      <c r="S22" s="144">
        <f t="shared" si="2"/>
        <v>0</v>
      </c>
      <c r="T22" s="139">
        <f>ROUND(J22-SUM(K22:P22)-R22,2)</f>
        <v>0</v>
      </c>
    </row>
    <row r="23" spans="1:21" ht="13.5" customHeight="1" outlineLevel="2" thickBot="1" x14ac:dyDescent="0.3">
      <c r="A23" s="1141" t="s">
        <v>21</v>
      </c>
      <c r="B23" s="1141" t="s">
        <v>21</v>
      </c>
      <c r="C23" s="1141" t="s">
        <v>40</v>
      </c>
      <c r="D23" s="1141" t="s">
        <v>49</v>
      </c>
      <c r="E23" s="1142" t="s">
        <v>50</v>
      </c>
      <c r="F23" s="262" t="s">
        <v>51</v>
      </c>
      <c r="G23" s="99"/>
      <c r="H23" s="146"/>
      <c r="I23" s="147">
        <v>32</v>
      </c>
      <c r="J23" s="148">
        <v>49.78</v>
      </c>
      <c r="K23" s="148">
        <v>25</v>
      </c>
      <c r="L23" s="148">
        <v>7.17</v>
      </c>
      <c r="M23" s="148">
        <v>0.6</v>
      </c>
      <c r="N23" s="148">
        <v>17.010000000000002</v>
      </c>
      <c r="O23" s="148">
        <v>0</v>
      </c>
      <c r="P23" s="148">
        <v>0</v>
      </c>
      <c r="Q23" s="148">
        <v>0</v>
      </c>
      <c r="R23" s="148">
        <v>0</v>
      </c>
      <c r="S23" s="149">
        <v>0</v>
      </c>
      <c r="T23" s="139"/>
    </row>
    <row r="24" spans="1:21" ht="13.5" customHeight="1" outlineLevel="2" thickBot="1" x14ac:dyDescent="0.3">
      <c r="A24" s="1141" t="s">
        <v>21</v>
      </c>
      <c r="B24" s="1141" t="s">
        <v>21</v>
      </c>
      <c r="C24" s="1141" t="s">
        <v>40</v>
      </c>
      <c r="D24" s="1141" t="s">
        <v>52</v>
      </c>
      <c r="E24" s="1142" t="s">
        <v>53</v>
      </c>
      <c r="F24" s="262" t="s">
        <v>54</v>
      </c>
      <c r="G24" s="145"/>
      <c r="H24" s="146"/>
      <c r="I24" s="147">
        <v>12981225</v>
      </c>
      <c r="J24" s="148">
        <v>13905946.799999997</v>
      </c>
      <c r="K24" s="148">
        <v>3586633.59</v>
      </c>
      <c r="L24" s="148">
        <v>2907285.68</v>
      </c>
      <c r="M24" s="148">
        <v>244958.28</v>
      </c>
      <c r="N24" s="148">
        <v>6981012.46</v>
      </c>
      <c r="O24" s="148">
        <v>186056.79</v>
      </c>
      <c r="P24" s="148">
        <v>0</v>
      </c>
      <c r="Q24" s="148">
        <v>43444.800000000003</v>
      </c>
      <c r="R24" s="148">
        <v>0</v>
      </c>
      <c r="S24" s="149">
        <v>2956.89</v>
      </c>
      <c r="T24" s="139"/>
    </row>
    <row r="25" spans="1:21" ht="13.5" customHeight="1" outlineLevel="2" thickBot="1" x14ac:dyDescent="0.3">
      <c r="A25" s="1141" t="s">
        <v>21</v>
      </c>
      <c r="B25" s="1141" t="s">
        <v>21</v>
      </c>
      <c r="C25" s="1141" t="s">
        <v>26</v>
      </c>
      <c r="D25" s="1142" t="s">
        <v>52</v>
      </c>
      <c r="E25" s="1147" t="s">
        <v>53</v>
      </c>
      <c r="F25" s="262" t="s">
        <v>54</v>
      </c>
      <c r="G25" s="99"/>
      <c r="H25" s="146"/>
      <c r="I25" s="147">
        <v>1128</v>
      </c>
      <c r="J25" s="148">
        <v>1515.95</v>
      </c>
      <c r="K25" s="148">
        <v>612.5</v>
      </c>
      <c r="L25" s="148">
        <v>252.65</v>
      </c>
      <c r="M25" s="148">
        <v>21.26</v>
      </c>
      <c r="N25" s="148">
        <v>607.88</v>
      </c>
      <c r="O25" s="148">
        <v>21.66</v>
      </c>
      <c r="P25" s="148">
        <v>0</v>
      </c>
      <c r="Q25" s="148">
        <v>7.35</v>
      </c>
      <c r="R25" s="148">
        <v>0</v>
      </c>
      <c r="S25" s="149">
        <v>0</v>
      </c>
      <c r="T25" s="139"/>
    </row>
    <row r="26" spans="1:21" ht="13.5" customHeight="1" outlineLevel="2" thickBot="1" x14ac:dyDescent="0.3">
      <c r="A26" s="1145"/>
      <c r="B26" s="1145"/>
      <c r="C26" s="1145"/>
      <c r="D26" s="1142" t="s">
        <v>52</v>
      </c>
      <c r="E26" s="1148"/>
      <c r="F26" s="262" t="s">
        <v>54</v>
      </c>
      <c r="G26" s="99"/>
      <c r="H26" s="146"/>
      <c r="I26" s="147">
        <v>203</v>
      </c>
      <c r="J26" s="148">
        <v>224.85000000000002</v>
      </c>
      <c r="K26" s="148">
        <v>62.5</v>
      </c>
      <c r="L26" s="148">
        <v>45.46</v>
      </c>
      <c r="M26" s="148">
        <v>3.83</v>
      </c>
      <c r="N26" s="148">
        <v>107.94</v>
      </c>
      <c r="O26" s="148">
        <v>5.12</v>
      </c>
      <c r="P26" s="148">
        <v>0</v>
      </c>
      <c r="Q26" s="148">
        <v>0.75</v>
      </c>
      <c r="R26" s="148">
        <v>0</v>
      </c>
      <c r="S26" s="149">
        <v>0</v>
      </c>
      <c r="T26" s="139"/>
    </row>
    <row r="27" spans="1:21" ht="13.5" customHeight="1" outlineLevel="2" thickBot="1" x14ac:dyDescent="0.3">
      <c r="A27" s="1141" t="s">
        <v>21</v>
      </c>
      <c r="B27" s="1141" t="s">
        <v>21</v>
      </c>
      <c r="C27" s="1141" t="s">
        <v>40</v>
      </c>
      <c r="D27" s="1141" t="s">
        <v>55</v>
      </c>
      <c r="E27" s="1142" t="s">
        <v>56</v>
      </c>
      <c r="F27" s="262" t="s">
        <v>57</v>
      </c>
      <c r="G27" s="145"/>
      <c r="H27" s="146"/>
      <c r="I27" s="147">
        <v>1720</v>
      </c>
      <c r="J27" s="148">
        <v>822.01</v>
      </c>
      <c r="K27" s="148">
        <v>0.5</v>
      </c>
      <c r="L27" s="148">
        <v>-77.61</v>
      </c>
      <c r="M27" s="148">
        <v>0</v>
      </c>
      <c r="N27" s="148">
        <v>899.12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139"/>
    </row>
    <row r="28" spans="1:21" s="98" customFormat="1" ht="13.5" customHeight="1" outlineLevel="1" thickBot="1" x14ac:dyDescent="0.3">
      <c r="A28" s="1143"/>
      <c r="B28" s="1143"/>
      <c r="C28" s="1143"/>
      <c r="D28" s="1143"/>
      <c r="E28" s="1144"/>
      <c r="F28" s="261" t="s">
        <v>58</v>
      </c>
      <c r="G28" s="145"/>
      <c r="H28" s="141">
        <v>287892</v>
      </c>
      <c r="I28" s="142">
        <f t="shared" ref="I28:S28" si="3">SUBTOTAL(9,I23:I27)</f>
        <v>12984308</v>
      </c>
      <c r="J28" s="143">
        <f>SUBTOTAL(9,J23:J27)</f>
        <v>13908559.389999995</v>
      </c>
      <c r="K28" s="143">
        <f t="shared" si="3"/>
        <v>3587334.09</v>
      </c>
      <c r="L28" s="143">
        <f t="shared" si="3"/>
        <v>2907513.35</v>
      </c>
      <c r="M28" s="143">
        <f t="shared" si="3"/>
        <v>244983.97</v>
      </c>
      <c r="N28" s="143">
        <f t="shared" si="3"/>
        <v>6982644.4100000001</v>
      </c>
      <c r="O28" s="143">
        <f t="shared" si="3"/>
        <v>186083.57</v>
      </c>
      <c r="P28" s="143">
        <f t="shared" si="3"/>
        <v>0</v>
      </c>
      <c r="Q28" s="143">
        <f t="shared" si="3"/>
        <v>43452.9</v>
      </c>
      <c r="R28" s="143">
        <f t="shared" si="3"/>
        <v>0</v>
      </c>
      <c r="S28" s="144">
        <f t="shared" si="3"/>
        <v>2956.89</v>
      </c>
      <c r="T28" s="139">
        <f>ROUND(J28-SUM(K28:P28)-R28,2)</f>
        <v>0</v>
      </c>
    </row>
    <row r="29" spans="1:21" ht="13.5" customHeight="1" outlineLevel="2" thickBot="1" x14ac:dyDescent="0.3">
      <c r="A29" s="1141" t="s">
        <v>21</v>
      </c>
      <c r="B29" s="1141" t="s">
        <v>21</v>
      </c>
      <c r="C29" s="1141" t="s">
        <v>40</v>
      </c>
      <c r="D29" s="1141" t="s">
        <v>59</v>
      </c>
      <c r="E29" s="1142" t="s">
        <v>60</v>
      </c>
      <c r="F29" s="262" t="s">
        <v>61</v>
      </c>
      <c r="G29" s="99"/>
      <c r="H29" s="146"/>
      <c r="I29" s="147">
        <v>413</v>
      </c>
      <c r="J29" s="148">
        <v>362.76</v>
      </c>
      <c r="K29" s="148">
        <v>37.5</v>
      </c>
      <c r="L29" s="148">
        <v>92.5</v>
      </c>
      <c r="M29" s="148">
        <v>7.79</v>
      </c>
      <c r="N29" s="148">
        <v>219.74</v>
      </c>
      <c r="O29" s="148">
        <v>5.23</v>
      </c>
      <c r="P29" s="148">
        <v>0</v>
      </c>
      <c r="Q29" s="148">
        <v>0</v>
      </c>
      <c r="R29" s="148">
        <v>0</v>
      </c>
      <c r="S29" s="149">
        <v>0</v>
      </c>
      <c r="T29" s="139"/>
    </row>
    <row r="30" spans="1:21" ht="13.5" customHeight="1" outlineLevel="2" thickBot="1" x14ac:dyDescent="0.3">
      <c r="A30" s="1141" t="s">
        <v>21</v>
      </c>
      <c r="B30" s="1141" t="s">
        <v>21</v>
      </c>
      <c r="C30" s="1141" t="s">
        <v>26</v>
      </c>
      <c r="D30" s="1141" t="s">
        <v>59</v>
      </c>
      <c r="E30" s="1142" t="s">
        <v>60</v>
      </c>
      <c r="F30" s="262" t="s">
        <v>61</v>
      </c>
      <c r="G30" s="99"/>
      <c r="H30" s="146"/>
      <c r="I30" s="147">
        <v>285</v>
      </c>
      <c r="J30" s="148">
        <v>236.34999999999997</v>
      </c>
      <c r="K30" s="148">
        <v>12.5</v>
      </c>
      <c r="L30" s="148">
        <v>63.83</v>
      </c>
      <c r="M30" s="148">
        <v>5.38</v>
      </c>
      <c r="N30" s="148">
        <v>155.38</v>
      </c>
      <c r="O30" s="148">
        <v>-0.74</v>
      </c>
      <c r="P30" s="148">
        <v>0</v>
      </c>
      <c r="Q30" s="148">
        <v>0</v>
      </c>
      <c r="R30" s="148">
        <v>0</v>
      </c>
      <c r="S30" s="149">
        <v>0</v>
      </c>
      <c r="T30" s="139"/>
    </row>
    <row r="31" spans="1:21" s="98" customFormat="1" ht="13.5" customHeight="1" outlineLevel="1" thickBot="1" x14ac:dyDescent="0.3">
      <c r="A31" s="1149"/>
      <c r="B31" s="1149"/>
      <c r="C31" s="1149"/>
      <c r="D31" s="1149"/>
      <c r="E31" s="1149"/>
      <c r="F31" s="263" t="s">
        <v>62</v>
      </c>
      <c r="G31" s="99"/>
      <c r="H31" s="141">
        <v>4</v>
      </c>
      <c r="I31" s="142">
        <f>SUBTOTAL(9,I29:I30)</f>
        <v>698</v>
      </c>
      <c r="J31" s="143">
        <f>SUBTOTAL(9,J29:J30)</f>
        <v>599.1099999999999</v>
      </c>
      <c r="K31" s="143">
        <f t="shared" ref="K31:S31" si="4">SUBTOTAL(9,K29:K30)</f>
        <v>50</v>
      </c>
      <c r="L31" s="143">
        <f t="shared" si="4"/>
        <v>156.32999999999998</v>
      </c>
      <c r="M31" s="143">
        <f t="shared" si="4"/>
        <v>13.17</v>
      </c>
      <c r="N31" s="143">
        <f t="shared" si="4"/>
        <v>375.12</v>
      </c>
      <c r="O31" s="143">
        <f t="shared" si="4"/>
        <v>4.49</v>
      </c>
      <c r="P31" s="143">
        <f t="shared" si="4"/>
        <v>0</v>
      </c>
      <c r="Q31" s="143">
        <f t="shared" si="4"/>
        <v>0</v>
      </c>
      <c r="R31" s="143">
        <f t="shared" si="4"/>
        <v>0</v>
      </c>
      <c r="S31" s="144">
        <f t="shared" si="4"/>
        <v>0</v>
      </c>
      <c r="T31" s="139">
        <f>ROUND(J31-SUM(K31:P31)-R31,2)</f>
        <v>0</v>
      </c>
    </row>
    <row r="32" spans="1:21" ht="23.25" outlineLevel="2" thickBot="1" x14ac:dyDescent="0.3">
      <c r="B32" s="1149"/>
      <c r="C32" s="1149"/>
      <c r="D32" s="1141" t="s">
        <v>63</v>
      </c>
      <c r="E32" s="1142" t="s">
        <v>64</v>
      </c>
      <c r="F32" s="262" t="s">
        <v>65</v>
      </c>
      <c r="G32" s="99"/>
      <c r="H32" s="146"/>
      <c r="I32" s="147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/>
      <c r="P32" s="148"/>
      <c r="Q32" s="148"/>
      <c r="R32" s="148"/>
      <c r="S32" s="149"/>
      <c r="T32" s="139"/>
      <c r="U32" s="101"/>
    </row>
    <row r="33" spans="1:21" ht="23.25" outlineLevel="2" thickBot="1" x14ac:dyDescent="0.3">
      <c r="B33" s="1149"/>
      <c r="C33" s="1149"/>
      <c r="D33" s="1141" t="s">
        <v>66</v>
      </c>
      <c r="E33" s="1142" t="s">
        <v>67</v>
      </c>
      <c r="F33" s="262" t="s">
        <v>68</v>
      </c>
      <c r="G33" s="145"/>
      <c r="H33" s="146"/>
      <c r="I33" s="147">
        <v>6906</v>
      </c>
      <c r="J33" s="148">
        <v>5270.09</v>
      </c>
      <c r="K33" s="148">
        <v>340</v>
      </c>
      <c r="L33" s="148">
        <v>1313.66</v>
      </c>
      <c r="M33" s="148">
        <v>0</v>
      </c>
      <c r="N33" s="148">
        <v>3616.4300000000003</v>
      </c>
      <c r="O33" s="148"/>
      <c r="P33" s="148"/>
      <c r="Q33" s="148"/>
      <c r="R33" s="148"/>
      <c r="S33" s="149"/>
      <c r="T33" s="139"/>
      <c r="U33" s="101"/>
    </row>
    <row r="34" spans="1:21" ht="14.25" outlineLevel="1" thickBot="1" x14ac:dyDescent="0.3">
      <c r="B34" s="1149"/>
      <c r="C34" s="1149"/>
      <c r="D34" s="1143"/>
      <c r="E34" s="1144"/>
      <c r="F34" s="261" t="s">
        <v>69</v>
      </c>
      <c r="G34" s="99"/>
      <c r="H34" s="141">
        <v>2</v>
      </c>
      <c r="I34" s="142">
        <f t="shared" ref="I34:S34" si="5">SUBTOTAL(9,I32:I33)</f>
        <v>6906</v>
      </c>
      <c r="J34" s="151">
        <f>SUBTOTAL(9,J32:J33)</f>
        <v>5270.09</v>
      </c>
      <c r="K34" s="151">
        <f t="shared" si="5"/>
        <v>340</v>
      </c>
      <c r="L34" s="151">
        <f t="shared" si="5"/>
        <v>1313.66</v>
      </c>
      <c r="M34" s="151">
        <f t="shared" si="5"/>
        <v>0</v>
      </c>
      <c r="N34" s="151">
        <f t="shared" si="5"/>
        <v>3616.4300000000003</v>
      </c>
      <c r="O34" s="151">
        <f t="shared" si="5"/>
        <v>0</v>
      </c>
      <c r="P34" s="151">
        <f t="shared" si="5"/>
        <v>0</v>
      </c>
      <c r="Q34" s="151">
        <f t="shared" si="5"/>
        <v>0</v>
      </c>
      <c r="R34" s="151">
        <f t="shared" si="5"/>
        <v>0</v>
      </c>
      <c r="S34" s="152">
        <f t="shared" si="5"/>
        <v>0</v>
      </c>
      <c r="T34" s="139">
        <f>ROUND(J34-SUM(K34:P34)-R34,2)</f>
        <v>0</v>
      </c>
    </row>
    <row r="35" spans="1:21" s="98" customFormat="1" ht="13.5" customHeight="1" thickBot="1" x14ac:dyDescent="0.3">
      <c r="A35" s="1149"/>
      <c r="B35" s="1149"/>
      <c r="C35" s="1149"/>
      <c r="D35" s="1149"/>
      <c r="E35" s="1149"/>
      <c r="F35" s="264"/>
      <c r="G35" s="99"/>
      <c r="H35" s="145"/>
      <c r="I35" s="145"/>
      <c r="J35" s="154"/>
      <c r="K35" s="154"/>
      <c r="L35" s="154"/>
      <c r="M35" s="154"/>
      <c r="N35" s="154"/>
      <c r="O35" s="154"/>
      <c r="P35" s="154"/>
      <c r="Q35" s="154"/>
      <c r="R35" s="154"/>
      <c r="S35" s="155"/>
      <c r="T35" s="139"/>
    </row>
    <row r="36" spans="1:21" s="98" customFormat="1" ht="13.5" customHeight="1" thickBot="1" x14ac:dyDescent="0.3">
      <c r="A36" s="1149"/>
      <c r="B36" s="1149"/>
      <c r="C36" s="1149"/>
      <c r="D36" s="1149"/>
      <c r="E36" s="1149"/>
      <c r="F36" s="261" t="s">
        <v>70</v>
      </c>
      <c r="G36" s="145"/>
      <c r="H36" s="99"/>
      <c r="I36" s="145"/>
      <c r="J36" s="154"/>
      <c r="K36" s="145"/>
      <c r="L36" s="154"/>
      <c r="M36" s="154"/>
      <c r="N36" s="154"/>
      <c r="O36" s="154"/>
      <c r="P36" s="154"/>
      <c r="Q36" s="154"/>
      <c r="R36" s="154"/>
      <c r="S36" s="155"/>
      <c r="T36" s="139"/>
    </row>
    <row r="37" spans="1:21" s="98" customFormat="1" ht="13.5" customHeight="1" thickBot="1" x14ac:dyDescent="0.3">
      <c r="A37" s="1149"/>
      <c r="B37" s="1149"/>
      <c r="C37" s="1149"/>
      <c r="D37" s="1149"/>
      <c r="E37" s="1149"/>
      <c r="F37" s="263"/>
      <c r="G37" s="156" t="s">
        <v>71</v>
      </c>
      <c r="H37" s="99"/>
      <c r="I37" s="141">
        <v>17746</v>
      </c>
      <c r="J37" s="154">
        <f t="shared" ref="J37:J45" si="6">SUM(K37:O37)</f>
        <v>7819</v>
      </c>
      <c r="K37" s="161"/>
      <c r="L37" s="161">
        <v>763.08</v>
      </c>
      <c r="M37" s="161"/>
      <c r="N37" s="161">
        <v>7055.92</v>
      </c>
      <c r="O37" s="154"/>
      <c r="P37" s="154"/>
      <c r="Q37" s="154"/>
      <c r="R37" s="154"/>
      <c r="S37" s="155"/>
      <c r="T37" s="139"/>
    </row>
    <row r="38" spans="1:21" s="98" customFormat="1" ht="13.5" customHeight="1" thickBot="1" x14ac:dyDescent="0.3">
      <c r="A38" s="1149"/>
      <c r="B38" s="1149"/>
      <c r="C38" s="1149"/>
      <c r="D38" s="1149"/>
      <c r="E38" s="1150"/>
      <c r="F38" s="263"/>
      <c r="G38" s="156" t="s">
        <v>71</v>
      </c>
      <c r="H38" s="145"/>
      <c r="I38" s="141">
        <v>0</v>
      </c>
      <c r="J38" s="154">
        <f t="shared" si="6"/>
        <v>29626.75</v>
      </c>
      <c r="K38" s="159"/>
      <c r="L38" s="159"/>
      <c r="M38" s="159"/>
      <c r="N38" s="157">
        <v>29626.75</v>
      </c>
      <c r="O38" s="154"/>
      <c r="P38" s="154"/>
      <c r="Q38" s="154"/>
      <c r="R38" s="154"/>
      <c r="S38" s="155"/>
      <c r="T38" s="139"/>
    </row>
    <row r="39" spans="1:21" s="98" customFormat="1" ht="13.5" customHeight="1" thickBot="1" x14ac:dyDescent="0.3">
      <c r="A39" s="1149"/>
      <c r="B39" s="1149"/>
      <c r="C39" s="1149"/>
      <c r="D39" s="1149"/>
      <c r="E39" s="1150"/>
      <c r="F39" s="263"/>
      <c r="G39" s="156" t="s">
        <v>71</v>
      </c>
      <c r="H39" s="145"/>
      <c r="I39" s="141">
        <v>0</v>
      </c>
      <c r="J39" s="154">
        <f t="shared" si="6"/>
        <v>7519.49</v>
      </c>
      <c r="K39" s="159"/>
      <c r="L39" s="159"/>
      <c r="M39" s="159"/>
      <c r="N39" s="157">
        <v>7519.49</v>
      </c>
      <c r="O39" s="154"/>
      <c r="P39" s="154"/>
      <c r="Q39" s="154"/>
      <c r="R39" s="154"/>
      <c r="S39" s="155"/>
      <c r="T39" s="139"/>
    </row>
    <row r="40" spans="1:21" s="98" customFormat="1" ht="13.5" customHeight="1" thickBot="1" x14ac:dyDescent="0.3">
      <c r="A40" s="1149"/>
      <c r="B40" s="1149"/>
      <c r="C40" s="1149"/>
      <c r="D40" s="1149"/>
      <c r="E40" s="1150"/>
      <c r="F40" s="263"/>
      <c r="G40" s="156" t="s">
        <v>71</v>
      </c>
      <c r="H40" s="145"/>
      <c r="I40" s="141">
        <v>0</v>
      </c>
      <c r="J40" s="154">
        <f t="shared" si="6"/>
        <v>22819.58</v>
      </c>
      <c r="K40" s="159"/>
      <c r="L40" s="159"/>
      <c r="M40" s="159"/>
      <c r="N40" s="157">
        <v>22819.58</v>
      </c>
      <c r="O40" s="154"/>
      <c r="P40" s="154"/>
      <c r="Q40" s="154"/>
      <c r="R40" s="154"/>
      <c r="S40" s="155"/>
      <c r="T40" s="139"/>
    </row>
    <row r="41" spans="1:21" s="98" customFormat="1" ht="13.5" customHeight="1" thickBot="1" x14ac:dyDescent="0.3">
      <c r="A41" s="1149"/>
      <c r="B41" s="1149"/>
      <c r="C41" s="1149"/>
      <c r="D41" s="1149"/>
      <c r="E41" s="1150"/>
      <c r="F41" s="263"/>
      <c r="G41" s="156" t="s">
        <v>71</v>
      </c>
      <c r="H41" s="145"/>
      <c r="I41" s="141">
        <v>4547</v>
      </c>
      <c r="J41" s="154">
        <f t="shared" si="6"/>
        <v>1964.73</v>
      </c>
      <c r="K41" s="159"/>
      <c r="L41" s="157">
        <v>195.52</v>
      </c>
      <c r="M41" s="157">
        <v>4.37</v>
      </c>
      <c r="N41" s="157">
        <v>1764.84</v>
      </c>
      <c r="O41" s="154"/>
      <c r="P41" s="154"/>
      <c r="Q41" s="154"/>
      <c r="R41" s="154"/>
      <c r="S41" s="155"/>
      <c r="T41" s="139"/>
    </row>
    <row r="42" spans="1:21" s="98" customFormat="1" ht="13.5" customHeight="1" thickBot="1" x14ac:dyDescent="0.3">
      <c r="A42" s="1149"/>
      <c r="B42" s="1149"/>
      <c r="C42" s="1149"/>
      <c r="D42" s="1149"/>
      <c r="E42" s="1150"/>
      <c r="F42" s="263"/>
      <c r="G42" s="156" t="s">
        <v>71</v>
      </c>
      <c r="H42" s="145"/>
      <c r="I42" s="141">
        <v>35023</v>
      </c>
      <c r="J42" s="154">
        <f>SUM(K42:O42)</f>
        <v>14750.13</v>
      </c>
      <c r="K42" s="157">
        <v>275</v>
      </c>
      <c r="L42" s="157">
        <v>367.39</v>
      </c>
      <c r="M42" s="157">
        <v>0</v>
      </c>
      <c r="N42" s="157">
        <v>14107.74</v>
      </c>
      <c r="O42" s="154"/>
      <c r="P42" s="154"/>
      <c r="Q42" s="154"/>
      <c r="R42" s="154"/>
      <c r="S42" s="155"/>
      <c r="T42" s="139"/>
    </row>
    <row r="43" spans="1:21" s="98" customFormat="1" ht="13.5" customHeight="1" thickBot="1" x14ac:dyDescent="0.3">
      <c r="A43" s="1149"/>
      <c r="B43" s="1149"/>
      <c r="C43" s="1149"/>
      <c r="D43" s="1149"/>
      <c r="E43" s="1150"/>
      <c r="F43" s="263"/>
      <c r="G43" s="156" t="s">
        <v>71</v>
      </c>
      <c r="H43" s="145"/>
      <c r="I43" s="141">
        <v>7523</v>
      </c>
      <c r="J43" s="154">
        <f t="shared" si="6"/>
        <v>3848.28</v>
      </c>
      <c r="K43" s="157">
        <v>781</v>
      </c>
      <c r="L43" s="157">
        <v>36.64</v>
      </c>
      <c r="M43" s="159">
        <v>0</v>
      </c>
      <c r="N43" s="157">
        <v>3030.6400000000003</v>
      </c>
      <c r="O43" s="154"/>
      <c r="P43" s="154"/>
      <c r="Q43" s="154"/>
      <c r="R43" s="154"/>
      <c r="S43" s="155"/>
      <c r="T43" s="139"/>
    </row>
    <row r="44" spans="1:21" s="98" customFormat="1" ht="13.5" customHeight="1" thickBot="1" x14ac:dyDescent="0.3">
      <c r="A44" s="1149"/>
      <c r="B44" s="1149"/>
      <c r="C44" s="1149"/>
      <c r="D44" s="1149"/>
      <c r="E44" s="1150"/>
      <c r="F44" s="263" t="s">
        <v>73</v>
      </c>
      <c r="G44" s="156" t="s">
        <v>74</v>
      </c>
      <c r="H44" s="145"/>
      <c r="I44" s="141">
        <v>0</v>
      </c>
      <c r="J44" s="160">
        <f t="shared" si="6"/>
        <v>0</v>
      </c>
      <c r="K44" s="157">
        <v>0</v>
      </c>
      <c r="L44" s="161">
        <v>0</v>
      </c>
      <c r="M44" s="159"/>
      <c r="N44" s="159">
        <v>0</v>
      </c>
      <c r="O44" s="154"/>
      <c r="P44" s="154"/>
      <c r="Q44" s="154"/>
      <c r="R44" s="154"/>
      <c r="S44" s="155"/>
      <c r="T44" s="139"/>
    </row>
    <row r="45" spans="1:21" s="98" customFormat="1" ht="13.5" customHeight="1" thickBot="1" x14ac:dyDescent="0.3">
      <c r="A45" s="1149"/>
      <c r="B45" s="1149"/>
      <c r="C45" s="1149"/>
      <c r="D45" s="1149"/>
      <c r="E45" s="1150"/>
      <c r="F45" s="263" t="s">
        <v>75</v>
      </c>
      <c r="G45" s="156" t="s">
        <v>76</v>
      </c>
      <c r="H45" s="145"/>
      <c r="I45" s="141">
        <v>0</v>
      </c>
      <c r="J45" s="154">
        <f t="shared" si="6"/>
        <v>-83.169999999925494</v>
      </c>
      <c r="K45" s="162">
        <v>0</v>
      </c>
      <c r="L45" s="154">
        <v>-83.169999999925494</v>
      </c>
      <c r="M45" s="154">
        <v>0</v>
      </c>
      <c r="N45" s="154">
        <v>0</v>
      </c>
      <c r="O45" s="154"/>
      <c r="P45" s="154"/>
      <c r="Q45" s="154"/>
      <c r="R45" s="154"/>
      <c r="S45" s="155"/>
      <c r="T45" s="139"/>
    </row>
    <row r="46" spans="1:21" ht="13.5" customHeight="1" thickBot="1" x14ac:dyDescent="0.25">
      <c r="A46" s="1151"/>
      <c r="B46" s="1151"/>
      <c r="C46" s="1151"/>
      <c r="D46" s="1152" t="s">
        <v>77</v>
      </c>
      <c r="E46" s="1153"/>
      <c r="F46" s="163" t="s">
        <v>77</v>
      </c>
      <c r="G46" s="164"/>
      <c r="H46" s="164">
        <f t="shared" ref="H46:O46" si="7">SUBTOTAL(9,H5:H45)</f>
        <v>312961</v>
      </c>
      <c r="I46" s="164">
        <f t="shared" si="7"/>
        <v>20169273</v>
      </c>
      <c r="J46" s="165">
        <f t="shared" si="7"/>
        <v>20087558.969999999</v>
      </c>
      <c r="K46" s="165">
        <f t="shared" si="7"/>
        <v>4505403.8099999996</v>
      </c>
      <c r="L46" s="165">
        <f t="shared" si="7"/>
        <v>4179397.1700000004</v>
      </c>
      <c r="M46" s="165">
        <f t="shared" si="7"/>
        <v>251088.59</v>
      </c>
      <c r="N46" s="165">
        <f t="shared" si="7"/>
        <v>10894574.99</v>
      </c>
      <c r="O46" s="165">
        <f t="shared" si="7"/>
        <v>257094.41000000003</v>
      </c>
      <c r="P46" s="165">
        <f>SUBTOTAL(9,P5:P31)</f>
        <v>0</v>
      </c>
      <c r="Q46" s="165">
        <f>SUBTOTAL(9,Q5:Q31)</f>
        <v>43452.9</v>
      </c>
      <c r="R46" s="165">
        <f>SUBTOTAL(9,R5:R31)</f>
        <v>0</v>
      </c>
      <c r="S46" s="166">
        <f>SUBTOTAL(9,S5:S31)</f>
        <v>4426.17</v>
      </c>
    </row>
    <row r="47" spans="1:21" ht="13.5" customHeight="1" thickBot="1" x14ac:dyDescent="0.25">
      <c r="A47" s="1151"/>
      <c r="B47" s="1151"/>
      <c r="C47" s="1151"/>
      <c r="D47" s="1152" t="s">
        <v>77</v>
      </c>
      <c r="E47" s="1153"/>
      <c r="F47" s="163" t="s">
        <v>78</v>
      </c>
      <c r="G47" s="164"/>
      <c r="H47" s="164"/>
      <c r="I47" s="167">
        <v>20169280</v>
      </c>
      <c r="J47" s="165">
        <f>SUM(K47:S47)</f>
        <v>20087558.970000003</v>
      </c>
      <c r="K47" s="168">
        <v>4505403.8099999996</v>
      </c>
      <c r="L47" s="168">
        <v>4179397.17</v>
      </c>
      <c r="M47" s="168">
        <v>251088.59</v>
      </c>
      <c r="N47" s="168">
        <v>10894574.99</v>
      </c>
      <c r="O47" s="168">
        <v>257094.41</v>
      </c>
      <c r="P47" s="165"/>
      <c r="Q47" s="165"/>
      <c r="R47" s="165"/>
      <c r="S47" s="166"/>
    </row>
    <row r="48" spans="1:21" ht="13.5" customHeight="1" thickBot="1" x14ac:dyDescent="0.25">
      <c r="A48" s="1151"/>
      <c r="B48" s="1151"/>
      <c r="C48" s="1151"/>
      <c r="D48" s="1154"/>
      <c r="E48" s="1153"/>
      <c r="F48" s="169" t="s">
        <v>79</v>
      </c>
      <c r="G48" s="170"/>
      <c r="H48" s="170"/>
      <c r="I48" s="171">
        <f t="shared" ref="I48:N48" si="8">I46-I47</f>
        <v>-7</v>
      </c>
      <c r="J48" s="172">
        <f t="shared" si="8"/>
        <v>0</v>
      </c>
      <c r="K48" s="172">
        <f t="shared" si="8"/>
        <v>0</v>
      </c>
      <c r="L48" s="172">
        <f t="shared" si="8"/>
        <v>0</v>
      </c>
      <c r="M48" s="172">
        <f t="shared" si="8"/>
        <v>0</v>
      </c>
      <c r="N48" s="172">
        <f t="shared" si="8"/>
        <v>0</v>
      </c>
      <c r="O48" s="172">
        <f>O46-O47</f>
        <v>0</v>
      </c>
      <c r="P48" s="172"/>
      <c r="Q48" s="172"/>
      <c r="R48" s="172"/>
      <c r="S48" s="173"/>
    </row>
    <row r="49" spans="1:21" ht="13.5" thickBot="1" x14ac:dyDescent="0.25">
      <c r="G49" s="122"/>
      <c r="H49" s="122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</row>
    <row r="50" spans="1:21" ht="24.6" customHeight="1" thickBot="1" x14ac:dyDescent="0.25">
      <c r="A50" s="1136"/>
      <c r="B50" s="1137"/>
      <c r="C50" s="1137"/>
      <c r="D50" s="1392" t="s">
        <v>80</v>
      </c>
      <c r="E50" s="1393"/>
      <c r="F50" s="265" t="s">
        <v>81</v>
      </c>
      <c r="G50" s="110"/>
      <c r="H50" s="253" t="s">
        <v>2</v>
      </c>
      <c r="I50" s="254" t="s">
        <v>3</v>
      </c>
      <c r="J50" s="254" t="s">
        <v>4</v>
      </c>
      <c r="K50" s="254" t="s">
        <v>5</v>
      </c>
      <c r="L50" s="254" t="s">
        <v>6</v>
      </c>
      <c r="M50" s="254" t="s">
        <v>7</v>
      </c>
      <c r="N50" s="254" t="s">
        <v>253</v>
      </c>
      <c r="O50" s="254" t="s">
        <v>9</v>
      </c>
      <c r="P50" s="254" t="s">
        <v>10</v>
      </c>
      <c r="Q50" s="254" t="s">
        <v>11</v>
      </c>
      <c r="R50" s="254" t="s">
        <v>12</v>
      </c>
      <c r="S50" s="255" t="s">
        <v>13</v>
      </c>
    </row>
    <row r="51" spans="1:21" ht="13.5" customHeight="1" thickBot="1" x14ac:dyDescent="0.25">
      <c r="A51" s="1139" t="s">
        <v>14</v>
      </c>
      <c r="B51" s="1140" t="s">
        <v>15</v>
      </c>
      <c r="C51" s="1140" t="s">
        <v>16</v>
      </c>
      <c r="D51" s="1140" t="s">
        <v>17</v>
      </c>
      <c r="E51" s="1103"/>
      <c r="F51" s="85"/>
      <c r="G51" s="257"/>
      <c r="H51" s="257"/>
      <c r="I51" s="258" t="s">
        <v>19</v>
      </c>
      <c r="J51" s="259" t="s">
        <v>20</v>
      </c>
      <c r="K51" s="259" t="s">
        <v>20</v>
      </c>
      <c r="L51" s="259" t="s">
        <v>20</v>
      </c>
      <c r="M51" s="259" t="s">
        <v>20</v>
      </c>
      <c r="N51" s="259" t="s">
        <v>20</v>
      </c>
      <c r="O51" s="259" t="s">
        <v>20</v>
      </c>
      <c r="P51" s="259" t="s">
        <v>20</v>
      </c>
      <c r="Q51" s="259" t="s">
        <v>20</v>
      </c>
      <c r="R51" s="259" t="s">
        <v>20</v>
      </c>
      <c r="S51" s="260" t="s">
        <v>20</v>
      </c>
    </row>
    <row r="52" spans="1:21" ht="13.5" customHeight="1" outlineLevel="2" thickBot="1" x14ac:dyDescent="0.3">
      <c r="A52" s="1141" t="s">
        <v>21</v>
      </c>
      <c r="B52" s="1141" t="s">
        <v>21</v>
      </c>
      <c r="C52" s="1141" t="s">
        <v>28</v>
      </c>
      <c r="D52" s="1141" t="s">
        <v>82</v>
      </c>
      <c r="E52" s="1142" t="s">
        <v>83</v>
      </c>
      <c r="F52" s="262" t="s">
        <v>84</v>
      </c>
      <c r="G52" s="99"/>
      <c r="H52" s="99"/>
      <c r="I52" s="99">
        <v>455848</v>
      </c>
      <c r="J52" s="136">
        <v>535523.72</v>
      </c>
      <c r="K52" s="137">
        <v>340</v>
      </c>
      <c r="L52" s="137">
        <v>12982.55</v>
      </c>
      <c r="M52" s="137">
        <v>0</v>
      </c>
      <c r="N52" s="137">
        <v>235226.69</v>
      </c>
      <c r="O52" s="137">
        <v>0</v>
      </c>
      <c r="P52" s="137">
        <v>0</v>
      </c>
      <c r="Q52" s="137">
        <v>0</v>
      </c>
      <c r="R52" s="137">
        <v>286974.48</v>
      </c>
      <c r="S52" s="177">
        <v>0</v>
      </c>
      <c r="T52" s="139"/>
    </row>
    <row r="53" spans="1:21" ht="13.5" customHeight="1" thickBot="1" x14ac:dyDescent="0.3">
      <c r="A53" s="1146"/>
      <c r="B53" s="1148"/>
      <c r="C53" s="1148"/>
      <c r="D53" s="1153"/>
      <c r="E53" s="1155"/>
      <c r="F53" s="266" t="s">
        <v>85</v>
      </c>
      <c r="G53" s="99"/>
      <c r="H53" s="179">
        <v>2</v>
      </c>
      <c r="I53" s="99">
        <f t="shared" ref="I53:S53" si="9">SUBTOTAL(9,I52:I52)</f>
        <v>455848</v>
      </c>
      <c r="J53" s="137">
        <f>SUBTOTAL(9,J52:J52)</f>
        <v>535523.72</v>
      </c>
      <c r="K53" s="137">
        <f t="shared" si="9"/>
        <v>340</v>
      </c>
      <c r="L53" s="137">
        <f t="shared" si="9"/>
        <v>12982.55</v>
      </c>
      <c r="M53" s="137">
        <f t="shared" si="9"/>
        <v>0</v>
      </c>
      <c r="N53" s="137">
        <f t="shared" si="9"/>
        <v>235226.69</v>
      </c>
      <c r="O53" s="137">
        <f t="shared" si="9"/>
        <v>0</v>
      </c>
      <c r="P53" s="137">
        <f t="shared" si="9"/>
        <v>0</v>
      </c>
      <c r="Q53" s="137">
        <f t="shared" si="9"/>
        <v>0</v>
      </c>
      <c r="R53" s="137">
        <f t="shared" si="9"/>
        <v>286974.48</v>
      </c>
      <c r="S53" s="177">
        <f t="shared" si="9"/>
        <v>0</v>
      </c>
      <c r="T53" s="139">
        <f>ROUND(J53-SUM(K53:P53)-R53,2)</f>
        <v>0</v>
      </c>
    </row>
    <row r="54" spans="1:21" ht="13.5" customHeight="1" thickBot="1" x14ac:dyDescent="0.3">
      <c r="A54" s="1151"/>
      <c r="B54" s="1151"/>
      <c r="C54" s="1148"/>
      <c r="D54" s="1153"/>
      <c r="E54" s="1156"/>
      <c r="F54" s="261" t="s">
        <v>86</v>
      </c>
      <c r="G54" s="99"/>
      <c r="H54" s="99"/>
      <c r="I54" s="99"/>
      <c r="J54" s="137"/>
      <c r="K54" s="137"/>
      <c r="L54" s="137">
        <f>-R54</f>
        <v>286974.48</v>
      </c>
      <c r="M54" s="137"/>
      <c r="N54" s="137"/>
      <c r="O54" s="137"/>
      <c r="P54" s="137"/>
      <c r="Q54" s="137"/>
      <c r="R54" s="137">
        <f>-R53</f>
        <v>-286974.48</v>
      </c>
      <c r="S54" s="177"/>
      <c r="T54" s="139"/>
    </row>
    <row r="55" spans="1:21" ht="13.5" customHeight="1" thickBot="1" x14ac:dyDescent="0.3">
      <c r="A55" s="1151"/>
      <c r="B55" s="1151"/>
      <c r="C55" s="1148"/>
      <c r="D55" s="1153"/>
      <c r="E55" s="1156"/>
      <c r="F55" s="261" t="s">
        <v>87</v>
      </c>
      <c r="G55" s="99"/>
      <c r="H55" s="99"/>
      <c r="I55" s="180">
        <v>0</v>
      </c>
      <c r="J55" s="137">
        <f>SUM(K55:O55)</f>
        <v>0</v>
      </c>
      <c r="K55" s="137"/>
      <c r="L55" s="181">
        <v>0</v>
      </c>
      <c r="M55" s="137"/>
      <c r="N55" s="181">
        <v>0</v>
      </c>
      <c r="O55" s="137"/>
      <c r="P55" s="137"/>
      <c r="Q55" s="137"/>
      <c r="R55" s="181">
        <v>104976</v>
      </c>
      <c r="S55" s="177"/>
      <c r="T55" s="139"/>
    </row>
    <row r="56" spans="1:21" ht="13.5" customHeight="1" thickBot="1" x14ac:dyDescent="0.3">
      <c r="A56" s="1151"/>
      <c r="B56" s="1151"/>
      <c r="C56" s="1148"/>
      <c r="D56" s="1153"/>
      <c r="E56" s="1156"/>
      <c r="F56" s="261" t="s">
        <v>254</v>
      </c>
      <c r="G56" s="99"/>
      <c r="H56" s="99"/>
      <c r="I56" s="99">
        <v>151</v>
      </c>
      <c r="J56" s="137">
        <f>SUM(K56:O56)</f>
        <v>105060.22</v>
      </c>
      <c r="K56" s="137"/>
      <c r="L56" s="137">
        <f>-R56</f>
        <v>104976</v>
      </c>
      <c r="M56" s="137"/>
      <c r="N56" s="137">
        <f>5.37+78.85</f>
        <v>84.22</v>
      </c>
      <c r="O56" s="137"/>
      <c r="P56" s="137"/>
      <c r="Q56" s="137"/>
      <c r="R56" s="137">
        <f>-R55</f>
        <v>-104976</v>
      </c>
      <c r="S56" s="177"/>
      <c r="T56" s="139"/>
    </row>
    <row r="57" spans="1:21" ht="13.5" customHeight="1" thickBot="1" x14ac:dyDescent="0.3">
      <c r="A57" s="1151"/>
      <c r="B57" s="1151"/>
      <c r="C57" s="1148"/>
      <c r="D57" s="1153"/>
      <c r="E57" s="1156"/>
      <c r="F57" s="261" t="s">
        <v>255</v>
      </c>
      <c r="G57" s="99"/>
      <c r="H57" s="99"/>
      <c r="I57" s="182">
        <v>0</v>
      </c>
      <c r="J57" s="137">
        <f>SUM(K57:O57)</f>
        <v>781</v>
      </c>
      <c r="K57" s="181">
        <v>781</v>
      </c>
      <c r="L57" s="181">
        <v>0</v>
      </c>
      <c r="M57" s="137"/>
      <c r="N57" s="181">
        <v>0</v>
      </c>
      <c r="O57" s="137"/>
      <c r="P57" s="137"/>
      <c r="Q57" s="137"/>
      <c r="R57" s="137"/>
      <c r="S57" s="177"/>
      <c r="T57" s="139">
        <f>ROUND(J57-SUM(K57:P57)-R57,2)</f>
        <v>0</v>
      </c>
    </row>
    <row r="58" spans="1:21" ht="13.5" customHeight="1" thickBot="1" x14ac:dyDescent="0.25">
      <c r="A58" s="1151"/>
      <c r="B58" s="1151"/>
      <c r="C58" s="1154"/>
      <c r="D58" s="1157" t="s">
        <v>88</v>
      </c>
      <c r="E58" s="1153"/>
      <c r="F58" s="183" t="s">
        <v>89</v>
      </c>
      <c r="G58" s="164"/>
      <c r="H58" s="164">
        <f>+H53</f>
        <v>2</v>
      </c>
      <c r="I58" s="184">
        <f t="shared" ref="I58:S58" si="10">SUBTOTAL(9,I52:I57)</f>
        <v>455999</v>
      </c>
      <c r="J58" s="165">
        <f t="shared" si="10"/>
        <v>641364.93999999994</v>
      </c>
      <c r="K58" s="165">
        <f t="shared" si="10"/>
        <v>1121</v>
      </c>
      <c r="L58" s="165">
        <f t="shared" si="10"/>
        <v>404933.02999999997</v>
      </c>
      <c r="M58" s="165">
        <f t="shared" si="10"/>
        <v>0</v>
      </c>
      <c r="N58" s="165">
        <f t="shared" si="10"/>
        <v>235310.91</v>
      </c>
      <c r="O58" s="165">
        <f t="shared" si="10"/>
        <v>0</v>
      </c>
      <c r="P58" s="165">
        <f t="shared" si="10"/>
        <v>0</v>
      </c>
      <c r="Q58" s="165">
        <f t="shared" si="10"/>
        <v>0</v>
      </c>
      <c r="R58" s="165">
        <f t="shared" si="10"/>
        <v>0</v>
      </c>
      <c r="S58" s="166">
        <f t="shared" si="10"/>
        <v>0</v>
      </c>
    </row>
    <row r="59" spans="1:21" ht="13.5" customHeight="1" thickBot="1" x14ac:dyDescent="0.25">
      <c r="A59" s="1151"/>
      <c r="B59" s="1151"/>
      <c r="C59" s="1151"/>
      <c r="D59" s="1152" t="s">
        <v>77</v>
      </c>
      <c r="E59" s="1153"/>
      <c r="F59" s="183" t="s">
        <v>90</v>
      </c>
      <c r="G59" s="164"/>
      <c r="H59" s="164"/>
      <c r="I59" s="167">
        <v>456000</v>
      </c>
      <c r="J59" s="165">
        <f>SUM(K59:S59)</f>
        <v>641364.94000000006</v>
      </c>
      <c r="K59" s="168">
        <v>1121</v>
      </c>
      <c r="L59" s="168">
        <v>404933.03</v>
      </c>
      <c r="M59" s="168">
        <v>0</v>
      </c>
      <c r="N59" s="168">
        <v>235310.91</v>
      </c>
      <c r="O59" s="168">
        <v>0</v>
      </c>
      <c r="P59" s="185"/>
      <c r="Q59" s="185"/>
      <c r="R59" s="185"/>
      <c r="S59" s="186"/>
    </row>
    <row r="60" spans="1:21" ht="13.5" customHeight="1" thickBot="1" x14ac:dyDescent="0.25">
      <c r="A60" s="1151"/>
      <c r="B60" s="1151"/>
      <c r="C60" s="1151"/>
      <c r="D60" s="1154"/>
      <c r="E60" s="1153"/>
      <c r="F60" s="169" t="s">
        <v>79</v>
      </c>
      <c r="G60" s="170"/>
      <c r="H60" s="170"/>
      <c r="I60" s="171">
        <f t="shared" ref="I60:N60" si="11">I58-I59</f>
        <v>-1</v>
      </c>
      <c r="J60" s="172">
        <f t="shared" si="11"/>
        <v>0</v>
      </c>
      <c r="K60" s="172">
        <f t="shared" si="11"/>
        <v>0</v>
      </c>
      <c r="L60" s="172">
        <f t="shared" si="11"/>
        <v>0</v>
      </c>
      <c r="M60" s="172">
        <f t="shared" si="11"/>
        <v>0</v>
      </c>
      <c r="N60" s="172">
        <f t="shared" si="11"/>
        <v>0</v>
      </c>
      <c r="O60" s="172">
        <f>O58-O59</f>
        <v>0</v>
      </c>
      <c r="P60" s="172"/>
      <c r="Q60" s="172"/>
      <c r="R60" s="172"/>
      <c r="S60" s="173"/>
    </row>
    <row r="61" spans="1:21" ht="13.5" thickBot="1" x14ac:dyDescent="0.25">
      <c r="G61" s="122"/>
      <c r="H61" s="122"/>
      <c r="I61" s="113"/>
      <c r="K61" s="113"/>
      <c r="L61" s="113"/>
      <c r="M61" s="113"/>
      <c r="N61" s="54"/>
      <c r="O61" s="113"/>
      <c r="P61" s="113"/>
    </row>
    <row r="62" spans="1:21" ht="23.25" thickBot="1" x14ac:dyDescent="0.25">
      <c r="D62" s="1394" t="s">
        <v>91</v>
      </c>
      <c r="E62" s="1395"/>
      <c r="F62" s="267" t="s">
        <v>92</v>
      </c>
      <c r="G62" s="252"/>
      <c r="H62" s="253" t="s">
        <v>2</v>
      </c>
      <c r="I62" s="254" t="s">
        <v>3</v>
      </c>
      <c r="J62" s="254" t="s">
        <v>4</v>
      </c>
      <c r="K62" s="254" t="s">
        <v>5</v>
      </c>
      <c r="L62" s="254" t="s">
        <v>6</v>
      </c>
      <c r="M62" s="254" t="s">
        <v>7</v>
      </c>
      <c r="N62" s="254" t="s">
        <v>93</v>
      </c>
      <c r="O62" s="254" t="s">
        <v>9</v>
      </c>
      <c r="P62" s="254" t="s">
        <v>10</v>
      </c>
      <c r="Q62" s="254" t="s">
        <v>11</v>
      </c>
      <c r="R62" s="254" t="s">
        <v>12</v>
      </c>
      <c r="S62" s="255" t="s">
        <v>13</v>
      </c>
    </row>
    <row r="63" spans="1:21" ht="13.5" thickBot="1" x14ac:dyDescent="0.25">
      <c r="D63" s="1143"/>
      <c r="E63" s="1144"/>
      <c r="F63" s="268"/>
      <c r="G63" s="257"/>
      <c r="H63" s="257"/>
      <c r="I63" s="258" t="s">
        <v>19</v>
      </c>
      <c r="J63" s="259" t="s">
        <v>20</v>
      </c>
      <c r="K63" s="259" t="s">
        <v>20</v>
      </c>
      <c r="L63" s="259" t="s">
        <v>20</v>
      </c>
      <c r="M63" s="259" t="s">
        <v>20</v>
      </c>
      <c r="N63" s="259" t="s">
        <v>20</v>
      </c>
      <c r="O63" s="259" t="s">
        <v>20</v>
      </c>
      <c r="P63" s="259" t="s">
        <v>20</v>
      </c>
      <c r="Q63" s="259" t="s">
        <v>20</v>
      </c>
      <c r="R63" s="259" t="s">
        <v>20</v>
      </c>
      <c r="S63" s="260" t="s">
        <v>20</v>
      </c>
    </row>
    <row r="64" spans="1:21" ht="14.25" outlineLevel="2" thickBot="1" x14ac:dyDescent="0.3">
      <c r="D64" s="1141" t="s">
        <v>94</v>
      </c>
      <c r="E64" s="1142" t="s">
        <v>95</v>
      </c>
      <c r="F64" s="262" t="s">
        <v>96</v>
      </c>
      <c r="G64" s="99"/>
      <c r="H64" s="99"/>
      <c r="I64" s="99">
        <v>0</v>
      </c>
      <c r="J64" s="136">
        <v>0</v>
      </c>
      <c r="K64" s="136">
        <v>0</v>
      </c>
      <c r="L64" s="136"/>
      <c r="M64" s="136"/>
      <c r="N64" s="136"/>
      <c r="O64" s="136"/>
      <c r="P64" s="136"/>
      <c r="Q64" s="136"/>
      <c r="R64" s="136"/>
      <c r="S64" s="138"/>
      <c r="U64" s="101"/>
    </row>
    <row r="65" spans="1:21" ht="23.25" outlineLevel="2" thickBot="1" x14ac:dyDescent="0.3">
      <c r="D65" s="1141" t="s">
        <v>97</v>
      </c>
      <c r="E65" s="1142" t="s">
        <v>98</v>
      </c>
      <c r="F65" s="262" t="s">
        <v>96</v>
      </c>
      <c r="G65" s="99"/>
      <c r="H65" s="99"/>
      <c r="I65" s="99">
        <v>0</v>
      </c>
      <c r="J65" s="136">
        <v>0</v>
      </c>
      <c r="K65" s="136"/>
      <c r="L65" s="136">
        <v>0</v>
      </c>
      <c r="M65" s="136">
        <v>0</v>
      </c>
      <c r="N65" s="136">
        <v>0</v>
      </c>
      <c r="O65" s="136"/>
      <c r="P65" s="136"/>
      <c r="Q65" s="136"/>
      <c r="R65" s="136"/>
      <c r="S65" s="138"/>
      <c r="U65" s="101"/>
    </row>
    <row r="66" spans="1:21" ht="23.25" outlineLevel="2" thickBot="1" x14ac:dyDescent="0.3">
      <c r="D66" s="1141" t="s">
        <v>97</v>
      </c>
      <c r="E66" s="1142" t="s">
        <v>98</v>
      </c>
      <c r="F66" s="262" t="s">
        <v>96</v>
      </c>
      <c r="G66" s="99"/>
      <c r="H66" s="99"/>
      <c r="I66" s="99">
        <v>4547</v>
      </c>
      <c r="J66" s="136">
        <v>1964.7299999999998</v>
      </c>
      <c r="K66" s="137">
        <v>0</v>
      </c>
      <c r="L66" s="137">
        <v>195.52</v>
      </c>
      <c r="M66" s="137">
        <v>4.37</v>
      </c>
      <c r="N66" s="136">
        <v>1764.84</v>
      </c>
      <c r="O66" s="136"/>
      <c r="P66" s="136"/>
      <c r="Q66" s="136"/>
      <c r="R66" s="136"/>
      <c r="S66" s="138"/>
      <c r="U66" s="101"/>
    </row>
    <row r="67" spans="1:21" ht="23.25" outlineLevel="2" thickBot="1" x14ac:dyDescent="0.3">
      <c r="D67" s="1141" t="s">
        <v>99</v>
      </c>
      <c r="E67" s="1142" t="s">
        <v>100</v>
      </c>
      <c r="F67" s="262" t="s">
        <v>96</v>
      </c>
      <c r="G67" s="99"/>
      <c r="H67" s="99"/>
      <c r="I67" s="99">
        <v>17746</v>
      </c>
      <c r="J67" s="136">
        <v>7819</v>
      </c>
      <c r="K67" s="136">
        <v>0</v>
      </c>
      <c r="L67" s="136">
        <v>763.08</v>
      </c>
      <c r="M67" s="136">
        <v>0</v>
      </c>
      <c r="N67" s="136">
        <v>7055.92</v>
      </c>
      <c r="O67" s="136"/>
      <c r="P67" s="136"/>
      <c r="Q67" s="136"/>
      <c r="R67" s="136"/>
      <c r="S67" s="138"/>
      <c r="U67" s="101"/>
    </row>
    <row r="68" spans="1:21" ht="23.25" outlineLevel="2" thickBot="1" x14ac:dyDescent="0.3">
      <c r="D68" s="1141" t="s">
        <v>99</v>
      </c>
      <c r="E68" s="1142" t="s">
        <v>100</v>
      </c>
      <c r="F68" s="262" t="s">
        <v>96</v>
      </c>
      <c r="G68" s="99"/>
      <c r="H68" s="99"/>
      <c r="I68" s="99"/>
      <c r="J68" s="136"/>
      <c r="K68" s="136"/>
      <c r="L68" s="136"/>
      <c r="M68" s="136"/>
      <c r="N68" s="136"/>
      <c r="O68" s="136"/>
      <c r="P68" s="136"/>
      <c r="Q68" s="136"/>
      <c r="R68" s="136"/>
      <c r="S68" s="138"/>
      <c r="U68" s="101"/>
    </row>
    <row r="69" spans="1:21" ht="23.25" outlineLevel="2" thickBot="1" x14ac:dyDescent="0.3">
      <c r="D69" s="1141" t="s">
        <v>99</v>
      </c>
      <c r="E69" s="1142" t="s">
        <v>100</v>
      </c>
      <c r="F69" s="262" t="s">
        <v>96</v>
      </c>
      <c r="G69" s="99"/>
      <c r="H69" s="99"/>
      <c r="I69" s="99">
        <v>0</v>
      </c>
      <c r="J69" s="136">
        <v>0</v>
      </c>
      <c r="K69" s="136"/>
      <c r="L69" s="136"/>
      <c r="M69" s="136"/>
      <c r="N69" s="136"/>
      <c r="O69" s="136"/>
      <c r="P69" s="136"/>
      <c r="Q69" s="136"/>
      <c r="R69" s="136"/>
      <c r="S69" s="138"/>
      <c r="U69" s="101"/>
    </row>
    <row r="70" spans="1:21" ht="14.25" thickBot="1" x14ac:dyDescent="0.3">
      <c r="D70" s="1143"/>
      <c r="E70" s="1144"/>
      <c r="F70" s="261" t="s">
        <v>101</v>
      </c>
      <c r="G70" s="145"/>
      <c r="H70" s="141">
        <v>2</v>
      </c>
      <c r="I70" s="145">
        <f t="shared" ref="I70:S70" si="12">SUBTOTAL(9,I64:I69)</f>
        <v>22293</v>
      </c>
      <c r="J70" s="154">
        <f>SUBTOTAL(9,J64:J69)</f>
        <v>9783.73</v>
      </c>
      <c r="K70" s="154">
        <f t="shared" si="12"/>
        <v>0</v>
      </c>
      <c r="L70" s="154">
        <f t="shared" si="12"/>
        <v>958.6</v>
      </c>
      <c r="M70" s="154">
        <f t="shared" si="12"/>
        <v>4.37</v>
      </c>
      <c r="N70" s="154">
        <f t="shared" si="12"/>
        <v>8820.76</v>
      </c>
      <c r="O70" s="154">
        <f t="shared" si="12"/>
        <v>0</v>
      </c>
      <c r="P70" s="154">
        <f t="shared" si="12"/>
        <v>0</v>
      </c>
      <c r="Q70" s="154">
        <f t="shared" si="12"/>
        <v>0</v>
      </c>
      <c r="R70" s="154">
        <f t="shared" si="12"/>
        <v>0</v>
      </c>
      <c r="S70" s="155">
        <f t="shared" si="12"/>
        <v>0</v>
      </c>
      <c r="T70" s="139">
        <f>ROUND(J70-SUM(K70:P70)-R70,2)</f>
        <v>0</v>
      </c>
    </row>
    <row r="71" spans="1:21" ht="23.25" outlineLevel="2" thickBot="1" x14ac:dyDescent="0.3">
      <c r="D71" s="1141" t="s">
        <v>102</v>
      </c>
      <c r="E71" s="1142" t="s">
        <v>103</v>
      </c>
      <c r="F71" s="262" t="s">
        <v>104</v>
      </c>
      <c r="G71" s="99"/>
      <c r="H71" s="146"/>
      <c r="I71" s="99">
        <v>0</v>
      </c>
      <c r="J71" s="136">
        <v>59965.82</v>
      </c>
      <c r="K71" s="136"/>
      <c r="L71" s="136"/>
      <c r="M71" s="136"/>
      <c r="N71" s="136">
        <v>59965.82</v>
      </c>
      <c r="O71" s="136"/>
      <c r="P71" s="136"/>
      <c r="Q71" s="136"/>
      <c r="R71" s="136"/>
      <c r="S71" s="138"/>
      <c r="T71" s="189"/>
    </row>
    <row r="72" spans="1:21" ht="14.25" thickBot="1" x14ac:dyDescent="0.3">
      <c r="D72" s="1143"/>
      <c r="E72" s="1144"/>
      <c r="F72" s="261" t="s">
        <v>105</v>
      </c>
      <c r="G72" s="145"/>
      <c r="H72" s="141">
        <v>3</v>
      </c>
      <c r="I72" s="145">
        <f t="shared" ref="I72:S72" si="13">SUBTOTAL(9,I71:I71)</f>
        <v>0</v>
      </c>
      <c r="J72" s="154">
        <f t="shared" si="13"/>
        <v>59965.82</v>
      </c>
      <c r="K72" s="154">
        <f t="shared" si="13"/>
        <v>0</v>
      </c>
      <c r="L72" s="154">
        <f t="shared" si="13"/>
        <v>0</v>
      </c>
      <c r="M72" s="154">
        <f t="shared" si="13"/>
        <v>0</v>
      </c>
      <c r="N72" s="154">
        <f t="shared" si="13"/>
        <v>59965.82</v>
      </c>
      <c r="O72" s="154">
        <f t="shared" si="13"/>
        <v>0</v>
      </c>
      <c r="P72" s="154">
        <f t="shared" si="13"/>
        <v>0</v>
      </c>
      <c r="Q72" s="154">
        <f t="shared" si="13"/>
        <v>0</v>
      </c>
      <c r="R72" s="154">
        <f t="shared" si="13"/>
        <v>0</v>
      </c>
      <c r="S72" s="155">
        <f t="shared" si="13"/>
        <v>0</v>
      </c>
      <c r="T72" s="139">
        <f>ROUND(J72-SUM(K72:P72)-R72,2)</f>
        <v>0</v>
      </c>
    </row>
    <row r="73" spans="1:21" ht="14.25" outlineLevel="2" thickBot="1" x14ac:dyDescent="0.3">
      <c r="D73" s="1141" t="s">
        <v>106</v>
      </c>
      <c r="E73" s="1142" t="s">
        <v>107</v>
      </c>
      <c r="F73" s="262" t="s">
        <v>72</v>
      </c>
      <c r="G73" s="145"/>
      <c r="H73" s="146"/>
      <c r="I73" s="99">
        <v>7523</v>
      </c>
      <c r="J73" s="136">
        <v>3848.28</v>
      </c>
      <c r="K73" s="136">
        <v>781</v>
      </c>
      <c r="L73" s="136">
        <v>36.64</v>
      </c>
      <c r="M73" s="136">
        <v>0</v>
      </c>
      <c r="N73" s="136">
        <v>3030.6400000000003</v>
      </c>
      <c r="O73" s="136"/>
      <c r="P73" s="136"/>
      <c r="Q73" s="136"/>
      <c r="R73" s="136"/>
      <c r="S73" s="138"/>
      <c r="T73" s="189"/>
    </row>
    <row r="74" spans="1:21" ht="14.25" thickBot="1" x14ac:dyDescent="0.3">
      <c r="D74" s="1143"/>
      <c r="E74" s="1155"/>
      <c r="F74" s="266" t="s">
        <v>108</v>
      </c>
      <c r="G74" s="145"/>
      <c r="H74" s="141">
        <v>1</v>
      </c>
      <c r="I74" s="145">
        <f t="shared" ref="I74:S74" si="14">SUBTOTAL(9,I73:I73)</f>
        <v>7523</v>
      </c>
      <c r="J74" s="154">
        <f>SUBTOTAL(9,J73:J73)</f>
        <v>3848.28</v>
      </c>
      <c r="K74" s="154">
        <f t="shared" si="14"/>
        <v>781</v>
      </c>
      <c r="L74" s="154">
        <f t="shared" si="14"/>
        <v>36.64</v>
      </c>
      <c r="M74" s="154">
        <f t="shared" si="14"/>
        <v>0</v>
      </c>
      <c r="N74" s="154">
        <f t="shared" si="14"/>
        <v>3030.6400000000003</v>
      </c>
      <c r="O74" s="154">
        <f t="shared" si="14"/>
        <v>0</v>
      </c>
      <c r="P74" s="154">
        <f t="shared" si="14"/>
        <v>0</v>
      </c>
      <c r="Q74" s="154">
        <f t="shared" si="14"/>
        <v>0</v>
      </c>
      <c r="R74" s="154">
        <f t="shared" si="14"/>
        <v>0</v>
      </c>
      <c r="S74" s="155">
        <f t="shared" si="14"/>
        <v>0</v>
      </c>
      <c r="T74" s="139">
        <f>ROUND(J74-SUM(K74:P74)-R74,2)</f>
        <v>0</v>
      </c>
    </row>
    <row r="75" spans="1:21" ht="14.25" outlineLevel="2" thickBot="1" x14ac:dyDescent="0.3">
      <c r="D75" s="1141" t="s">
        <v>109</v>
      </c>
      <c r="E75" s="1142" t="s">
        <v>110</v>
      </c>
      <c r="F75" s="269" t="s">
        <v>111</v>
      </c>
      <c r="G75" s="99"/>
      <c r="H75" s="146"/>
      <c r="I75" s="99">
        <v>35023</v>
      </c>
      <c r="J75" s="136">
        <v>14750.13</v>
      </c>
      <c r="K75" s="136">
        <v>275</v>
      </c>
      <c r="L75" s="136">
        <v>367.39</v>
      </c>
      <c r="M75" s="136">
        <v>0</v>
      </c>
      <c r="N75" s="136">
        <v>14107.74</v>
      </c>
      <c r="O75" s="136"/>
      <c r="P75" s="136"/>
      <c r="Q75" s="136"/>
      <c r="R75" s="136"/>
      <c r="S75" s="138"/>
      <c r="T75" s="189"/>
    </row>
    <row r="76" spans="1:21" ht="14.25" thickBot="1" x14ac:dyDescent="0.3">
      <c r="D76" s="1143"/>
      <c r="E76" s="1155"/>
      <c r="F76" s="266" t="s">
        <v>112</v>
      </c>
      <c r="G76" s="145"/>
      <c r="H76" s="141">
        <v>1</v>
      </c>
      <c r="I76" s="145">
        <f t="shared" ref="I76:S76" si="15">SUBTOTAL(9,I75:I75)</f>
        <v>35023</v>
      </c>
      <c r="J76" s="154">
        <f>SUBTOTAL(9,J75:J75)</f>
        <v>14750.13</v>
      </c>
      <c r="K76" s="154">
        <f t="shared" si="15"/>
        <v>275</v>
      </c>
      <c r="L76" s="154">
        <f t="shared" si="15"/>
        <v>367.39</v>
      </c>
      <c r="M76" s="154">
        <f t="shared" si="15"/>
        <v>0</v>
      </c>
      <c r="N76" s="154">
        <f t="shared" si="15"/>
        <v>14107.74</v>
      </c>
      <c r="O76" s="154">
        <f t="shared" si="15"/>
        <v>0</v>
      </c>
      <c r="P76" s="154">
        <f t="shared" si="15"/>
        <v>0</v>
      </c>
      <c r="Q76" s="154">
        <f t="shared" si="15"/>
        <v>0</v>
      </c>
      <c r="R76" s="154">
        <f t="shared" si="15"/>
        <v>0</v>
      </c>
      <c r="S76" s="155">
        <f t="shared" si="15"/>
        <v>0</v>
      </c>
      <c r="T76" s="139">
        <f>ROUND(J76-SUM(K76:P76)-R76,2)</f>
        <v>0</v>
      </c>
    </row>
    <row r="77" spans="1:21" ht="23.25" outlineLevel="2" thickBot="1" x14ac:dyDescent="0.3">
      <c r="D77" s="1141" t="s">
        <v>113</v>
      </c>
      <c r="E77" s="1142" t="s">
        <v>114</v>
      </c>
      <c r="F77" s="269" t="s">
        <v>115</v>
      </c>
      <c r="G77" s="99"/>
      <c r="H77" s="146"/>
      <c r="I77" s="99">
        <v>151</v>
      </c>
      <c r="J77" s="136">
        <v>859.85</v>
      </c>
      <c r="K77" s="136">
        <v>781</v>
      </c>
      <c r="L77" s="136">
        <v>0.74</v>
      </c>
      <c r="M77" s="136">
        <v>0</v>
      </c>
      <c r="N77" s="136">
        <v>78.11</v>
      </c>
      <c r="O77" s="136"/>
      <c r="P77" s="136"/>
      <c r="Q77" s="136"/>
      <c r="R77" s="136"/>
      <c r="S77" s="138"/>
      <c r="T77" s="189"/>
    </row>
    <row r="78" spans="1:21" ht="14.25" thickBot="1" x14ac:dyDescent="0.3">
      <c r="D78" s="1153"/>
      <c r="E78" s="1155"/>
      <c r="F78" s="266" t="s">
        <v>116</v>
      </c>
      <c r="G78" s="145"/>
      <c r="H78" s="141">
        <v>1</v>
      </c>
      <c r="I78" s="145">
        <f t="shared" ref="I78:S78" si="16">SUBTOTAL(9,I77:I77)</f>
        <v>151</v>
      </c>
      <c r="J78" s="154">
        <f>SUBTOTAL(9,J77:J77)</f>
        <v>859.85</v>
      </c>
      <c r="K78" s="154">
        <f t="shared" si="16"/>
        <v>781</v>
      </c>
      <c r="L78" s="154">
        <f t="shared" si="16"/>
        <v>0.74</v>
      </c>
      <c r="M78" s="154">
        <f t="shared" si="16"/>
        <v>0</v>
      </c>
      <c r="N78" s="154">
        <f t="shared" si="16"/>
        <v>78.11</v>
      </c>
      <c r="O78" s="154">
        <f t="shared" si="16"/>
        <v>0</v>
      </c>
      <c r="P78" s="154">
        <f t="shared" si="16"/>
        <v>0</v>
      </c>
      <c r="Q78" s="154">
        <f t="shared" si="16"/>
        <v>0</v>
      </c>
      <c r="R78" s="154">
        <f t="shared" si="16"/>
        <v>0</v>
      </c>
      <c r="S78" s="155">
        <f t="shared" si="16"/>
        <v>0</v>
      </c>
      <c r="T78" s="139">
        <f>ROUND(J78-SUM(K78:P78)-R78,2)</f>
        <v>0</v>
      </c>
    </row>
    <row r="79" spans="1:21" ht="14.25" thickBot="1" x14ac:dyDescent="0.3">
      <c r="A79" s="1158"/>
      <c r="B79" s="1158"/>
      <c r="C79" s="1158"/>
      <c r="D79" s="1396" t="s">
        <v>117</v>
      </c>
      <c r="E79" s="1396"/>
      <c r="F79" s="192" t="s">
        <v>118</v>
      </c>
      <c r="G79" s="171"/>
      <c r="H79" s="171">
        <f>SUBTOTAL(9,H64:H78)</f>
        <v>8</v>
      </c>
      <c r="I79" s="171">
        <f t="shared" ref="I79:S79" si="17">SUBTOTAL(9,I64:I78)</f>
        <v>64990</v>
      </c>
      <c r="J79" s="172">
        <f>SUBTOTAL(9,J64:J78)</f>
        <v>89207.810000000012</v>
      </c>
      <c r="K79" s="172">
        <f t="shared" si="17"/>
        <v>1837</v>
      </c>
      <c r="L79" s="172">
        <f>SUBTOTAL(9,L64:L78)</f>
        <v>1363.3700000000001</v>
      </c>
      <c r="M79" s="172">
        <f t="shared" si="17"/>
        <v>4.37</v>
      </c>
      <c r="N79" s="172">
        <f t="shared" si="17"/>
        <v>86003.07</v>
      </c>
      <c r="O79" s="172">
        <f t="shared" si="17"/>
        <v>0</v>
      </c>
      <c r="P79" s="172">
        <f t="shared" si="17"/>
        <v>0</v>
      </c>
      <c r="Q79" s="172">
        <f t="shared" si="17"/>
        <v>0</v>
      </c>
      <c r="R79" s="172">
        <f t="shared" si="17"/>
        <v>0</v>
      </c>
      <c r="S79" s="173">
        <f t="shared" si="17"/>
        <v>0</v>
      </c>
      <c r="T79" s="139">
        <f>ROUND(J79-SUM(K79:P79)-R79,2)</f>
        <v>0</v>
      </c>
    </row>
    <row r="80" spans="1:21" ht="13.5" x14ac:dyDescent="0.25">
      <c r="G80" s="122"/>
      <c r="H80" s="122"/>
      <c r="I80" s="117"/>
      <c r="K80" s="118"/>
      <c r="L80" s="118"/>
      <c r="M80" s="118"/>
      <c r="N80" s="118"/>
      <c r="O80" s="118"/>
      <c r="P80" s="118"/>
    </row>
    <row r="81" spans="1:8" x14ac:dyDescent="0.2">
      <c r="G81" s="193" t="s">
        <v>76</v>
      </c>
      <c r="H81" s="194" t="s">
        <v>119</v>
      </c>
    </row>
    <row r="82" spans="1:8" s="120" customFormat="1" ht="11.25" x14ac:dyDescent="0.2">
      <c r="A82" s="1109"/>
      <c r="B82" s="1109"/>
      <c r="C82" s="1109"/>
      <c r="D82" s="1109"/>
      <c r="E82" s="1109"/>
      <c r="G82" s="193" t="s">
        <v>74</v>
      </c>
      <c r="H82" s="194" t="s">
        <v>120</v>
      </c>
    </row>
    <row r="83" spans="1:8" x14ac:dyDescent="0.2">
      <c r="G83" s="193" t="s">
        <v>71</v>
      </c>
      <c r="H83" s="194" t="s">
        <v>121</v>
      </c>
    </row>
    <row r="84" spans="1:8" x14ac:dyDescent="0.2">
      <c r="G84" s="195"/>
      <c r="H84" s="113"/>
    </row>
  </sheetData>
  <mergeCells count="5">
    <mergeCell ref="F1:K1"/>
    <mergeCell ref="D4:E4"/>
    <mergeCell ref="D50:E50"/>
    <mergeCell ref="D62:E62"/>
    <mergeCell ref="D79:E79"/>
  </mergeCells>
  <conditionalFormatting sqref="T52:T57 T5:T45">
    <cfRule type="cellIs" dxfId="28" priority="7" stopIfTrue="1" operator="notEqual">
      <formula>0</formula>
    </cfRule>
  </conditionalFormatting>
  <conditionalFormatting sqref="T70">
    <cfRule type="cellIs" dxfId="27" priority="6" stopIfTrue="1" operator="notEqual">
      <formula>0</formula>
    </cfRule>
  </conditionalFormatting>
  <conditionalFormatting sqref="T72">
    <cfRule type="cellIs" dxfId="26" priority="5" stopIfTrue="1" operator="notEqual">
      <formula>0</formula>
    </cfRule>
  </conditionalFormatting>
  <conditionalFormatting sqref="T74">
    <cfRule type="cellIs" dxfId="25" priority="4" stopIfTrue="1" operator="notEqual">
      <formula>0</formula>
    </cfRule>
  </conditionalFormatting>
  <conditionalFormatting sqref="T76">
    <cfRule type="cellIs" dxfId="24" priority="3" stopIfTrue="1" operator="notEqual">
      <formula>0</formula>
    </cfRule>
  </conditionalFormatting>
  <conditionalFormatting sqref="T78">
    <cfRule type="cellIs" dxfId="23" priority="2" stopIfTrue="1" operator="notEqual">
      <formula>0</formula>
    </cfRule>
  </conditionalFormatting>
  <conditionalFormatting sqref="T79">
    <cfRule type="cellIs" dxfId="22" priority="1" stopIfTrue="1" operator="notEqual">
      <formula>0</formula>
    </cfRule>
  </conditionalFormatting>
  <printOptions horizontalCentered="1"/>
  <pageMargins left="0.25" right="0" top="0.25" bottom="0.5" header="0.25" footer="0.25"/>
  <pageSetup scale="52" fitToHeight="2" orientation="landscape" r:id="rId1"/>
  <headerFooter alignWithMargins="0">
    <oddFooter>&amp;C&amp;P of &amp;N</oddFooter>
  </headerFooter>
  <rowBreaks count="1" manualBreakCount="1">
    <brk id="60" min="3" max="18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8" tint="0.39997558519241921"/>
  </sheetPr>
  <dimension ref="A1:U84"/>
  <sheetViews>
    <sheetView showGridLines="0" zoomScale="80" zoomScaleNormal="80" zoomScaleSheetLayoutView="80" workbookViewId="0"/>
  </sheetViews>
  <sheetFormatPr defaultRowHeight="12.75" outlineLevelRow="2" x14ac:dyDescent="0.2"/>
  <cols>
    <col min="1" max="1" width="13" style="1160" customWidth="1"/>
    <col min="2" max="2" width="12.7109375" style="1160" customWidth="1"/>
    <col min="3" max="3" width="16.140625" style="1160" customWidth="1"/>
    <col min="4" max="4" width="18.85546875" style="1160" customWidth="1"/>
    <col min="5" max="5" width="16.42578125" style="1160" customWidth="1"/>
    <col min="6" max="6" width="30.140625" style="1160" bestFit="1" customWidth="1"/>
    <col min="7" max="7" width="3.7109375" style="340" bestFit="1" customWidth="1"/>
    <col min="8" max="8" width="13.7109375" style="340" bestFit="1" customWidth="1"/>
    <col min="9" max="9" width="13.42578125" style="338" customWidth="1"/>
    <col min="10" max="10" width="14.140625" style="338" bestFit="1" customWidth="1"/>
    <col min="11" max="12" width="13.5703125" style="338" bestFit="1" customWidth="1"/>
    <col min="13" max="13" width="13.7109375" style="338" bestFit="1" customWidth="1"/>
    <col min="14" max="14" width="14.42578125" style="338" bestFit="1" customWidth="1"/>
    <col min="15" max="15" width="13.28515625" style="338" bestFit="1" customWidth="1"/>
    <col min="16" max="16" width="8.7109375" style="338" customWidth="1"/>
    <col min="17" max="17" width="10.7109375" style="338" bestFit="1" customWidth="1"/>
    <col min="18" max="18" width="13.28515625" style="338" bestFit="1" customWidth="1"/>
    <col min="19" max="19" width="10.7109375" style="338" customWidth="1"/>
    <col min="20" max="20" width="17.85546875" style="338" bestFit="1" customWidth="1"/>
    <col min="21" max="21" width="6.28515625" style="338" bestFit="1" customWidth="1"/>
    <col min="22" max="16384" width="9.140625" style="338"/>
  </cols>
  <sheetData>
    <row r="1" spans="1:20" ht="23.25" customHeight="1" x14ac:dyDescent="0.35">
      <c r="A1" s="1159"/>
      <c r="D1" s="1159"/>
      <c r="F1" s="1397" t="s">
        <v>503</v>
      </c>
      <c r="G1" s="1397"/>
      <c r="H1" s="1397"/>
      <c r="I1" s="1397"/>
      <c r="J1" s="1397"/>
      <c r="K1" s="1397"/>
      <c r="L1" s="339"/>
    </row>
    <row r="2" spans="1:20" ht="15.75" thickBot="1" x14ac:dyDescent="0.35">
      <c r="A2" s="1161"/>
      <c r="D2" s="1161"/>
    </row>
    <row r="3" spans="1:20" ht="23.25" thickBot="1" x14ac:dyDescent="0.25">
      <c r="A3" s="1162"/>
      <c r="B3" s="1163"/>
      <c r="C3" s="1163"/>
      <c r="D3" s="1164" t="s">
        <v>1</v>
      </c>
      <c r="E3" s="1165"/>
      <c r="F3" s="1166" t="s">
        <v>1</v>
      </c>
      <c r="G3" s="341"/>
      <c r="H3" s="342" t="s">
        <v>2</v>
      </c>
      <c r="I3" s="343" t="s">
        <v>3</v>
      </c>
      <c r="J3" s="343" t="s">
        <v>4</v>
      </c>
      <c r="K3" s="343" t="s">
        <v>5</v>
      </c>
      <c r="L3" s="343" t="s">
        <v>6</v>
      </c>
      <c r="M3" s="343" t="s">
        <v>7</v>
      </c>
      <c r="N3" s="343" t="s">
        <v>8</v>
      </c>
      <c r="O3" s="343" t="s">
        <v>9</v>
      </c>
      <c r="P3" s="343" t="s">
        <v>10</v>
      </c>
      <c r="Q3" s="343" t="s">
        <v>11</v>
      </c>
      <c r="R3" s="343" t="s">
        <v>12</v>
      </c>
      <c r="S3" s="344" t="s">
        <v>13</v>
      </c>
    </row>
    <row r="4" spans="1:20" ht="13.5" customHeight="1" thickBot="1" x14ac:dyDescent="0.25">
      <c r="A4" s="1167" t="s">
        <v>14</v>
      </c>
      <c r="B4" s="1168" t="s">
        <v>15</v>
      </c>
      <c r="C4" s="1168" t="s">
        <v>16</v>
      </c>
      <c r="D4" s="1398" t="s">
        <v>17</v>
      </c>
      <c r="E4" s="1399"/>
      <c r="F4" s="1169" t="s">
        <v>18</v>
      </c>
      <c r="G4" s="346"/>
      <c r="H4" s="346"/>
      <c r="I4" s="347" t="s">
        <v>19</v>
      </c>
      <c r="J4" s="345" t="s">
        <v>20</v>
      </c>
      <c r="K4" s="345" t="s">
        <v>20</v>
      </c>
      <c r="L4" s="345" t="s">
        <v>20</v>
      </c>
      <c r="M4" s="345" t="s">
        <v>20</v>
      </c>
      <c r="N4" s="345" t="s">
        <v>20</v>
      </c>
      <c r="O4" s="345" t="s">
        <v>20</v>
      </c>
      <c r="P4" s="345" t="s">
        <v>20</v>
      </c>
      <c r="Q4" s="345" t="s">
        <v>20</v>
      </c>
      <c r="R4" s="345" t="s">
        <v>20</v>
      </c>
      <c r="S4" s="348" t="s">
        <v>20</v>
      </c>
      <c r="T4" s="349" t="s">
        <v>257</v>
      </c>
    </row>
    <row r="5" spans="1:20" ht="13.5" customHeight="1" outlineLevel="2" thickBot="1" x14ac:dyDescent="0.3">
      <c r="A5" s="1170" t="s">
        <v>21</v>
      </c>
      <c r="B5" s="1170" t="s">
        <v>21</v>
      </c>
      <c r="C5" s="1170" t="s">
        <v>22</v>
      </c>
      <c r="D5" s="1170" t="s">
        <v>23</v>
      </c>
      <c r="E5" s="1171" t="s">
        <v>24</v>
      </c>
      <c r="F5" s="1172" t="s">
        <v>25</v>
      </c>
      <c r="G5" s="350"/>
      <c r="H5" s="350"/>
      <c r="I5" s="350">
        <v>0</v>
      </c>
      <c r="J5" s="351">
        <v>0</v>
      </c>
      <c r="K5" s="351">
        <v>0</v>
      </c>
      <c r="L5" s="351">
        <v>0</v>
      </c>
      <c r="M5" s="137">
        <v>0</v>
      </c>
      <c r="N5" s="137">
        <v>0</v>
      </c>
      <c r="O5" s="270">
        <v>0</v>
      </c>
      <c r="P5" s="137">
        <v>0</v>
      </c>
      <c r="Q5" s="270">
        <v>0</v>
      </c>
      <c r="R5" s="270">
        <v>0</v>
      </c>
      <c r="S5" s="352">
        <v>0</v>
      </c>
      <c r="T5" s="353"/>
    </row>
    <row r="6" spans="1:20" ht="13.5" customHeight="1" outlineLevel="2" thickBot="1" x14ac:dyDescent="0.3">
      <c r="A6" s="1170" t="s">
        <v>21</v>
      </c>
      <c r="B6" s="1170" t="s">
        <v>21</v>
      </c>
      <c r="C6" s="1170" t="s">
        <v>26</v>
      </c>
      <c r="D6" s="1170" t="s">
        <v>23</v>
      </c>
      <c r="E6" s="1171" t="s">
        <v>24</v>
      </c>
      <c r="F6" s="1172" t="s">
        <v>27</v>
      </c>
      <c r="G6" s="350"/>
      <c r="H6" s="350"/>
      <c r="I6" s="350">
        <v>111881</v>
      </c>
      <c r="J6" s="351">
        <v>64726.32</v>
      </c>
      <c r="K6" s="351">
        <v>550</v>
      </c>
      <c r="L6" s="351">
        <v>5875.99</v>
      </c>
      <c r="M6" s="137">
        <v>107.4</v>
      </c>
      <c r="N6" s="137">
        <v>58192.93</v>
      </c>
      <c r="O6" s="137">
        <v>0</v>
      </c>
      <c r="P6" s="137">
        <v>0</v>
      </c>
      <c r="Q6" s="137">
        <v>0</v>
      </c>
      <c r="R6" s="137">
        <v>0</v>
      </c>
      <c r="S6" s="352">
        <v>0</v>
      </c>
      <c r="T6" s="353"/>
    </row>
    <row r="7" spans="1:20" ht="13.5" customHeight="1" outlineLevel="2" thickBot="1" x14ac:dyDescent="0.3">
      <c r="A7" s="1170" t="s">
        <v>21</v>
      </c>
      <c r="B7" s="1170" t="s">
        <v>21</v>
      </c>
      <c r="C7" s="1170" t="s">
        <v>28</v>
      </c>
      <c r="D7" s="1170" t="s">
        <v>29</v>
      </c>
      <c r="E7" s="1171" t="s">
        <v>30</v>
      </c>
      <c r="F7" s="1172" t="s">
        <v>31</v>
      </c>
      <c r="G7" s="350"/>
      <c r="H7" s="350"/>
      <c r="I7" s="350">
        <v>133537</v>
      </c>
      <c r="J7" s="351">
        <v>78405.91</v>
      </c>
      <c r="K7" s="351">
        <v>2475</v>
      </c>
      <c r="L7" s="351">
        <v>7013.36</v>
      </c>
      <c r="M7" s="137">
        <v>0</v>
      </c>
      <c r="N7" s="137">
        <v>68917.55</v>
      </c>
      <c r="O7" s="137">
        <v>0</v>
      </c>
      <c r="P7" s="137">
        <v>0</v>
      </c>
      <c r="Q7" s="137">
        <v>0</v>
      </c>
      <c r="R7" s="137">
        <v>0</v>
      </c>
      <c r="S7" s="352">
        <v>0</v>
      </c>
      <c r="T7" s="353"/>
    </row>
    <row r="8" spans="1:20" ht="13.5" customHeight="1" outlineLevel="2" thickBot="1" x14ac:dyDescent="0.3">
      <c r="A8" s="1170" t="s">
        <v>21</v>
      </c>
      <c r="B8" s="1170" t="s">
        <v>21</v>
      </c>
      <c r="C8" s="1170" t="s">
        <v>28</v>
      </c>
      <c r="D8" s="1170" t="s">
        <v>29</v>
      </c>
      <c r="E8" s="1171" t="s">
        <v>30</v>
      </c>
      <c r="F8" s="1172" t="s">
        <v>31</v>
      </c>
      <c r="G8" s="350"/>
      <c r="H8" s="350"/>
      <c r="I8" s="350">
        <v>11870</v>
      </c>
      <c r="J8" s="351">
        <v>7023.57</v>
      </c>
      <c r="K8" s="351">
        <v>275</v>
      </c>
      <c r="L8" s="351">
        <v>623.41</v>
      </c>
      <c r="M8" s="137">
        <v>0</v>
      </c>
      <c r="N8" s="137">
        <v>6125.16</v>
      </c>
      <c r="O8" s="137">
        <v>0</v>
      </c>
      <c r="P8" s="137">
        <v>0</v>
      </c>
      <c r="Q8" s="137">
        <v>0</v>
      </c>
      <c r="R8" s="137">
        <v>0</v>
      </c>
      <c r="S8" s="352">
        <v>0</v>
      </c>
      <c r="T8" s="353"/>
    </row>
    <row r="9" spans="1:20" ht="13.5" customHeight="1" outlineLevel="2" thickBot="1" x14ac:dyDescent="0.3">
      <c r="A9" s="1170" t="s">
        <v>21</v>
      </c>
      <c r="B9" s="1170" t="s">
        <v>21</v>
      </c>
      <c r="C9" s="1170" t="s">
        <v>26</v>
      </c>
      <c r="D9" s="1170" t="s">
        <v>29</v>
      </c>
      <c r="E9" s="1171" t="s">
        <v>30</v>
      </c>
      <c r="F9" s="1172" t="s">
        <v>32</v>
      </c>
      <c r="G9" s="350"/>
      <c r="H9" s="350"/>
      <c r="I9" s="350">
        <v>114525</v>
      </c>
      <c r="J9" s="351">
        <v>66596.97</v>
      </c>
      <c r="K9" s="351">
        <v>1375</v>
      </c>
      <c r="L9" s="351">
        <v>6014.85</v>
      </c>
      <c r="M9" s="137">
        <v>109.94</v>
      </c>
      <c r="N9" s="137">
        <v>59097.18</v>
      </c>
      <c r="O9" s="137">
        <v>0</v>
      </c>
      <c r="P9" s="137">
        <v>0</v>
      </c>
      <c r="Q9" s="137">
        <v>0</v>
      </c>
      <c r="R9" s="137">
        <v>0</v>
      </c>
      <c r="S9" s="352">
        <v>0</v>
      </c>
      <c r="T9" s="353"/>
    </row>
    <row r="10" spans="1:20" s="356" customFormat="1" ht="13.5" customHeight="1" outlineLevel="1" thickBot="1" x14ac:dyDescent="0.3">
      <c r="A10" s="1173"/>
      <c r="B10" s="1173"/>
      <c r="C10" s="1173"/>
      <c r="D10" s="1173"/>
      <c r="E10" s="1174"/>
      <c r="F10" s="1175" t="s">
        <v>33</v>
      </c>
      <c r="G10" s="350"/>
      <c r="H10" s="354">
        <v>14</v>
      </c>
      <c r="I10" s="355">
        <f t="shared" ref="I10:S10" si="0">SUBTOTAL(9,I5:I9)</f>
        <v>371813</v>
      </c>
      <c r="J10" s="143">
        <f>SUBTOTAL(9,J5:J9)</f>
        <v>216752.77000000002</v>
      </c>
      <c r="K10" s="143">
        <f t="shared" si="0"/>
        <v>4675</v>
      </c>
      <c r="L10" s="143">
        <f t="shared" si="0"/>
        <v>19527.61</v>
      </c>
      <c r="M10" s="143">
        <f t="shared" si="0"/>
        <v>217.34</v>
      </c>
      <c r="N10" s="143">
        <f t="shared" si="0"/>
        <v>192332.82</v>
      </c>
      <c r="O10" s="143">
        <f t="shared" si="0"/>
        <v>0</v>
      </c>
      <c r="P10" s="143">
        <f t="shared" si="0"/>
        <v>0</v>
      </c>
      <c r="Q10" s="143">
        <f t="shared" si="0"/>
        <v>0</v>
      </c>
      <c r="R10" s="143">
        <f t="shared" si="0"/>
        <v>0</v>
      </c>
      <c r="S10" s="144">
        <f t="shared" si="0"/>
        <v>0</v>
      </c>
      <c r="T10" s="353">
        <f>ROUND(J10-SUM(K10:P10)-R10,2)</f>
        <v>0</v>
      </c>
    </row>
    <row r="11" spans="1:20" ht="13.5" customHeight="1" outlineLevel="2" thickBot="1" x14ac:dyDescent="0.3">
      <c r="A11" s="1170" t="s">
        <v>21</v>
      </c>
      <c r="B11" s="1170" t="s">
        <v>21</v>
      </c>
      <c r="C11" s="1170" t="s">
        <v>22</v>
      </c>
      <c r="D11" s="1170" t="s">
        <v>34</v>
      </c>
      <c r="E11" s="1171" t="s">
        <v>35</v>
      </c>
      <c r="F11" s="1172" t="s">
        <v>36</v>
      </c>
      <c r="G11" s="357"/>
      <c r="H11" s="358"/>
      <c r="I11" s="359">
        <v>304</v>
      </c>
      <c r="J11" s="148">
        <v>694.06999999999994</v>
      </c>
      <c r="K11" s="148">
        <v>480</v>
      </c>
      <c r="L11" s="148">
        <v>56.91</v>
      </c>
      <c r="M11" s="148">
        <v>0.28999999999999998</v>
      </c>
      <c r="N11" s="148">
        <v>156.87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353"/>
    </row>
    <row r="12" spans="1:20" ht="13.5" customHeight="1" outlineLevel="2" thickBot="1" x14ac:dyDescent="0.3">
      <c r="A12" s="1170" t="s">
        <v>21</v>
      </c>
      <c r="B12" s="1170" t="s">
        <v>21</v>
      </c>
      <c r="C12" s="1170" t="s">
        <v>26</v>
      </c>
      <c r="D12" s="1170" t="s">
        <v>34</v>
      </c>
      <c r="E12" s="1171" t="s">
        <v>35</v>
      </c>
      <c r="F12" s="1172" t="s">
        <v>36</v>
      </c>
      <c r="G12" s="350"/>
      <c r="H12" s="358"/>
      <c r="I12" s="359">
        <v>54</v>
      </c>
      <c r="J12" s="148">
        <v>128.03</v>
      </c>
      <c r="K12" s="148">
        <v>90</v>
      </c>
      <c r="L12" s="148">
        <v>10.11</v>
      </c>
      <c r="M12" s="148">
        <v>0.05</v>
      </c>
      <c r="N12" s="148">
        <v>27.87</v>
      </c>
      <c r="O12" s="148">
        <v>0</v>
      </c>
      <c r="P12" s="148">
        <v>0</v>
      </c>
      <c r="Q12" s="148">
        <v>0</v>
      </c>
      <c r="R12" s="148">
        <v>0</v>
      </c>
      <c r="S12" s="149">
        <v>0</v>
      </c>
      <c r="T12" s="353"/>
    </row>
    <row r="13" spans="1:20" ht="13.5" customHeight="1" outlineLevel="2" thickBot="1" x14ac:dyDescent="0.3">
      <c r="A13" s="1170" t="s">
        <v>21</v>
      </c>
      <c r="B13" s="1170" t="s">
        <v>21</v>
      </c>
      <c r="C13" s="1170" t="s">
        <v>22</v>
      </c>
      <c r="D13" s="1170" t="s">
        <v>37</v>
      </c>
      <c r="E13" s="1171" t="s">
        <v>38</v>
      </c>
      <c r="F13" s="1172" t="s">
        <v>39</v>
      </c>
      <c r="G13" s="350"/>
      <c r="H13" s="358"/>
      <c r="I13" s="359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9">
        <v>0</v>
      </c>
      <c r="T13" s="353"/>
    </row>
    <row r="14" spans="1:20" ht="13.5" customHeight="1" outlineLevel="2" thickBot="1" x14ac:dyDescent="0.3">
      <c r="A14" s="1170" t="s">
        <v>21</v>
      </c>
      <c r="B14" s="1170" t="s">
        <v>21</v>
      </c>
      <c r="C14" s="1170" t="s">
        <v>22</v>
      </c>
      <c r="D14" s="1170" t="s">
        <v>37</v>
      </c>
      <c r="E14" s="1171" t="s">
        <v>38</v>
      </c>
      <c r="F14" s="1172" t="s">
        <v>39</v>
      </c>
      <c r="G14" s="350"/>
      <c r="H14" s="358"/>
      <c r="I14" s="359">
        <v>9000238</v>
      </c>
      <c r="J14" s="148">
        <v>7447114.71</v>
      </c>
      <c r="K14" s="148">
        <v>835863.3</v>
      </c>
      <c r="L14" s="148">
        <v>1685022.82</v>
      </c>
      <c r="M14" s="148">
        <v>8637.64</v>
      </c>
      <c r="N14" s="148">
        <v>4646479.58</v>
      </c>
      <c r="O14" s="148">
        <v>271111.37</v>
      </c>
      <c r="P14" s="148">
        <v>0</v>
      </c>
      <c r="Q14" s="148">
        <v>0</v>
      </c>
      <c r="R14" s="148">
        <v>0</v>
      </c>
      <c r="S14" s="149">
        <v>1917.98</v>
      </c>
      <c r="T14" s="353"/>
    </row>
    <row r="15" spans="1:20" ht="13.5" customHeight="1" outlineLevel="2" thickBot="1" x14ac:dyDescent="0.3">
      <c r="A15" s="1170" t="s">
        <v>21</v>
      </c>
      <c r="B15" s="1170" t="s">
        <v>21</v>
      </c>
      <c r="C15" s="1170" t="s">
        <v>26</v>
      </c>
      <c r="D15" s="1170" t="s">
        <v>37</v>
      </c>
      <c r="E15" s="1171" t="s">
        <v>38</v>
      </c>
      <c r="F15" s="1172" t="s">
        <v>39</v>
      </c>
      <c r="G15" s="357"/>
      <c r="H15" s="358"/>
      <c r="I15" s="359">
        <v>1773198</v>
      </c>
      <c r="J15" s="148">
        <v>1385768.1099999999</v>
      </c>
      <c r="K15" s="148">
        <v>74531</v>
      </c>
      <c r="L15" s="148">
        <v>331978.13</v>
      </c>
      <c r="M15" s="148">
        <v>1702.21</v>
      </c>
      <c r="N15" s="148">
        <v>915737.82</v>
      </c>
      <c r="O15" s="148">
        <v>61818.95</v>
      </c>
      <c r="P15" s="148">
        <v>0</v>
      </c>
      <c r="Q15" s="148">
        <v>0</v>
      </c>
      <c r="R15" s="148">
        <v>0</v>
      </c>
      <c r="S15" s="149">
        <v>232.87</v>
      </c>
      <c r="T15" s="353"/>
    </row>
    <row r="16" spans="1:20" ht="13.5" customHeight="1" outlineLevel="2" thickBot="1" x14ac:dyDescent="0.3">
      <c r="A16" s="1170" t="s">
        <v>21</v>
      </c>
      <c r="B16" s="1170" t="s">
        <v>21</v>
      </c>
      <c r="C16" s="1170" t="s">
        <v>40</v>
      </c>
      <c r="D16" s="1170" t="s">
        <v>37</v>
      </c>
      <c r="E16" s="1171" t="s">
        <v>38</v>
      </c>
      <c r="F16" s="1172" t="s">
        <v>39</v>
      </c>
      <c r="G16" s="350"/>
      <c r="H16" s="358"/>
      <c r="I16" s="359">
        <v>2747</v>
      </c>
      <c r="J16" s="148">
        <v>2292.06</v>
      </c>
      <c r="K16" s="148">
        <v>320</v>
      </c>
      <c r="L16" s="148">
        <v>514.29</v>
      </c>
      <c r="M16" s="148">
        <v>2.65</v>
      </c>
      <c r="N16" s="148">
        <v>1417.52</v>
      </c>
      <c r="O16" s="148">
        <v>37.6</v>
      </c>
      <c r="P16" s="148">
        <v>0</v>
      </c>
      <c r="Q16" s="148">
        <v>0</v>
      </c>
      <c r="R16" s="148">
        <v>0</v>
      </c>
      <c r="S16" s="149">
        <v>0</v>
      </c>
      <c r="T16" s="353"/>
    </row>
    <row r="17" spans="1:21" ht="13.5" customHeight="1" outlineLevel="2" thickBot="1" x14ac:dyDescent="0.3">
      <c r="A17" s="1170" t="s">
        <v>21</v>
      </c>
      <c r="B17" s="1170" t="s">
        <v>21</v>
      </c>
      <c r="C17" s="1170" t="s">
        <v>22</v>
      </c>
      <c r="D17" s="1170" t="s">
        <v>41</v>
      </c>
      <c r="E17" s="1171" t="s">
        <v>42</v>
      </c>
      <c r="F17" s="1172" t="s">
        <v>43</v>
      </c>
      <c r="G17" s="350"/>
      <c r="H17" s="358"/>
      <c r="I17" s="359">
        <v>609</v>
      </c>
      <c r="J17" s="148">
        <v>18912.21</v>
      </c>
      <c r="K17" s="148">
        <v>18480</v>
      </c>
      <c r="L17" s="148">
        <v>115.62</v>
      </c>
      <c r="M17" s="148">
        <v>0</v>
      </c>
      <c r="N17" s="148">
        <v>316.58999999999997</v>
      </c>
      <c r="O17" s="148">
        <v>0</v>
      </c>
      <c r="P17" s="148">
        <v>0</v>
      </c>
      <c r="Q17" s="148">
        <v>0</v>
      </c>
      <c r="R17" s="148">
        <v>0</v>
      </c>
      <c r="S17" s="149">
        <v>1.84</v>
      </c>
      <c r="T17" s="353"/>
    </row>
    <row r="18" spans="1:21" s="356" customFormat="1" ht="13.5" customHeight="1" outlineLevel="1" thickBot="1" x14ac:dyDescent="0.3">
      <c r="A18" s="1173"/>
      <c r="B18" s="1173"/>
      <c r="C18" s="1173"/>
      <c r="D18" s="1173"/>
      <c r="E18" s="1174"/>
      <c r="F18" s="1175" t="s">
        <v>44</v>
      </c>
      <c r="G18" s="350"/>
      <c r="H18" s="354">
        <v>25433</v>
      </c>
      <c r="I18" s="355">
        <f t="shared" ref="I18:S18" si="1">SUBTOTAL(9,I11:I17)</f>
        <v>10777150</v>
      </c>
      <c r="J18" s="143">
        <f>SUBTOTAL(9,J11:J17)</f>
        <v>8854909.1900000013</v>
      </c>
      <c r="K18" s="143">
        <f t="shared" si="1"/>
        <v>929764.3</v>
      </c>
      <c r="L18" s="143">
        <f t="shared" si="1"/>
        <v>2017697.8800000004</v>
      </c>
      <c r="M18" s="143">
        <f t="shared" si="1"/>
        <v>10342.839999999998</v>
      </c>
      <c r="N18" s="143">
        <f t="shared" si="1"/>
        <v>5564136.25</v>
      </c>
      <c r="O18" s="143">
        <f t="shared" si="1"/>
        <v>332967.92</v>
      </c>
      <c r="P18" s="143">
        <f t="shared" si="1"/>
        <v>0</v>
      </c>
      <c r="Q18" s="143">
        <f t="shared" si="1"/>
        <v>0</v>
      </c>
      <c r="R18" s="143">
        <f t="shared" si="1"/>
        <v>0</v>
      </c>
      <c r="S18" s="144">
        <f t="shared" si="1"/>
        <v>2152.69</v>
      </c>
      <c r="T18" s="353">
        <f>ROUND(J18-SUM(K18:P18)-R18,2)</f>
        <v>0</v>
      </c>
    </row>
    <row r="19" spans="1:21" ht="13.5" customHeight="1" outlineLevel="2" thickBot="1" x14ac:dyDescent="0.3">
      <c r="A19" s="1170" t="s">
        <v>21</v>
      </c>
      <c r="B19" s="1170" t="s">
        <v>21</v>
      </c>
      <c r="C19" s="1170" t="s">
        <v>28</v>
      </c>
      <c r="D19" s="1170" t="s">
        <v>45</v>
      </c>
      <c r="E19" s="1171" t="s">
        <v>46</v>
      </c>
      <c r="F19" s="1172" t="s">
        <v>47</v>
      </c>
      <c r="G19" s="350"/>
      <c r="H19" s="358"/>
      <c r="I19" s="359">
        <v>782592</v>
      </c>
      <c r="J19" s="148">
        <v>571436.63</v>
      </c>
      <c r="K19" s="148">
        <v>18730</v>
      </c>
      <c r="L19" s="148">
        <v>148864.60999999999</v>
      </c>
      <c r="M19" s="271">
        <v>0</v>
      </c>
      <c r="N19" s="148">
        <v>403842.02</v>
      </c>
      <c r="O19" s="271">
        <v>0</v>
      </c>
      <c r="P19" s="148">
        <v>0</v>
      </c>
      <c r="Q19" s="271">
        <v>0</v>
      </c>
      <c r="R19" s="271">
        <v>0</v>
      </c>
      <c r="S19" s="149">
        <v>0</v>
      </c>
      <c r="T19" s="353"/>
    </row>
    <row r="20" spans="1:21" ht="13.5" customHeight="1" outlineLevel="2" thickBot="1" x14ac:dyDescent="0.3">
      <c r="A20" s="1176"/>
      <c r="B20" s="1176"/>
      <c r="C20" s="1176"/>
      <c r="D20" s="1170" t="s">
        <v>45</v>
      </c>
      <c r="E20" s="1171" t="s">
        <v>46</v>
      </c>
      <c r="F20" s="1172" t="s">
        <v>47</v>
      </c>
      <c r="G20" s="350"/>
      <c r="H20" s="358"/>
      <c r="I20" s="359">
        <v>5077</v>
      </c>
      <c r="J20" s="148">
        <v>3755.58</v>
      </c>
      <c r="K20" s="148">
        <v>170</v>
      </c>
      <c r="L20" s="148">
        <v>965.75</v>
      </c>
      <c r="M20" s="148">
        <v>0</v>
      </c>
      <c r="N20" s="148">
        <v>2619.83</v>
      </c>
      <c r="O20" s="148">
        <v>0</v>
      </c>
      <c r="P20" s="148">
        <v>0</v>
      </c>
      <c r="Q20" s="148">
        <v>0</v>
      </c>
      <c r="R20" s="148">
        <v>0</v>
      </c>
      <c r="S20" s="149">
        <v>0</v>
      </c>
      <c r="T20" s="353"/>
    </row>
    <row r="21" spans="1:21" ht="13.5" customHeight="1" outlineLevel="2" thickBot="1" x14ac:dyDescent="0.3">
      <c r="A21" s="1170" t="s">
        <v>21</v>
      </c>
      <c r="B21" s="1170" t="s">
        <v>21</v>
      </c>
      <c r="C21" s="1170" t="s">
        <v>26</v>
      </c>
      <c r="D21" s="1170" t="s">
        <v>45</v>
      </c>
      <c r="E21" s="1171" t="s">
        <v>46</v>
      </c>
      <c r="F21" s="1172" t="s">
        <v>47</v>
      </c>
      <c r="G21" s="350"/>
      <c r="H21" s="358"/>
      <c r="I21" s="359">
        <v>11773</v>
      </c>
      <c r="J21" s="148">
        <v>8604.56</v>
      </c>
      <c r="K21" s="148">
        <v>290</v>
      </c>
      <c r="L21" s="148">
        <v>2239.4499999999998</v>
      </c>
      <c r="M21" s="148">
        <v>0</v>
      </c>
      <c r="N21" s="148">
        <v>6075.11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353"/>
    </row>
    <row r="22" spans="1:21" s="356" customFormat="1" ht="13.5" customHeight="1" outlineLevel="1" thickBot="1" x14ac:dyDescent="0.3">
      <c r="A22" s="1173"/>
      <c r="B22" s="1173"/>
      <c r="C22" s="1173"/>
      <c r="D22" s="1173"/>
      <c r="E22" s="1174"/>
      <c r="F22" s="1175" t="s">
        <v>48</v>
      </c>
      <c r="G22" s="357"/>
      <c r="H22" s="354">
        <v>200</v>
      </c>
      <c r="I22" s="355">
        <f t="shared" ref="I22:S22" si="2">SUBTOTAL(9,I19:I21)</f>
        <v>799442</v>
      </c>
      <c r="J22" s="143">
        <f>SUBTOTAL(9,J19:J21)</f>
        <v>583796.77</v>
      </c>
      <c r="K22" s="143">
        <f t="shared" si="2"/>
        <v>19190</v>
      </c>
      <c r="L22" s="143">
        <f t="shared" si="2"/>
        <v>152069.81</v>
      </c>
      <c r="M22" s="143">
        <f t="shared" si="2"/>
        <v>0</v>
      </c>
      <c r="N22" s="143">
        <f t="shared" si="2"/>
        <v>412536.96</v>
      </c>
      <c r="O22" s="143">
        <f t="shared" si="2"/>
        <v>0</v>
      </c>
      <c r="P22" s="143">
        <f t="shared" si="2"/>
        <v>0</v>
      </c>
      <c r="Q22" s="143">
        <f t="shared" si="2"/>
        <v>0</v>
      </c>
      <c r="R22" s="143">
        <f t="shared" si="2"/>
        <v>0</v>
      </c>
      <c r="S22" s="144">
        <f t="shared" si="2"/>
        <v>0</v>
      </c>
      <c r="T22" s="353">
        <f>ROUND(J22-SUM(K22:P22)-R22,2)</f>
        <v>0</v>
      </c>
    </row>
    <row r="23" spans="1:21" ht="13.5" customHeight="1" outlineLevel="2" thickBot="1" x14ac:dyDescent="0.3">
      <c r="A23" s="1170" t="s">
        <v>21</v>
      </c>
      <c r="B23" s="1170" t="s">
        <v>21</v>
      </c>
      <c r="C23" s="1170" t="s">
        <v>40</v>
      </c>
      <c r="D23" s="1170" t="s">
        <v>49</v>
      </c>
      <c r="E23" s="1171" t="s">
        <v>50</v>
      </c>
      <c r="F23" s="1172" t="s">
        <v>51</v>
      </c>
      <c r="G23" s="350"/>
      <c r="H23" s="358"/>
      <c r="I23" s="359">
        <v>32</v>
      </c>
      <c r="J23" s="148">
        <v>49.28</v>
      </c>
      <c r="K23" s="148">
        <v>25</v>
      </c>
      <c r="L23" s="148">
        <v>7.17</v>
      </c>
      <c r="M23" s="148">
        <v>0.6</v>
      </c>
      <c r="N23" s="148">
        <v>16.510000000000002</v>
      </c>
      <c r="O23" s="148">
        <v>0</v>
      </c>
      <c r="P23" s="148">
        <v>0</v>
      </c>
      <c r="Q23" s="148">
        <v>0</v>
      </c>
      <c r="R23" s="148">
        <v>0</v>
      </c>
      <c r="S23" s="149">
        <v>0</v>
      </c>
      <c r="T23" s="353"/>
    </row>
    <row r="24" spans="1:21" ht="13.5" customHeight="1" outlineLevel="2" thickBot="1" x14ac:dyDescent="0.3">
      <c r="A24" s="1170" t="s">
        <v>21</v>
      </c>
      <c r="B24" s="1170" t="s">
        <v>21</v>
      </c>
      <c r="C24" s="1170" t="s">
        <v>40</v>
      </c>
      <c r="D24" s="1170" t="s">
        <v>52</v>
      </c>
      <c r="E24" s="1171" t="s">
        <v>53</v>
      </c>
      <c r="F24" s="1172" t="s">
        <v>54</v>
      </c>
      <c r="G24" s="357"/>
      <c r="H24" s="358"/>
      <c r="I24" s="359">
        <v>22995868</v>
      </c>
      <c r="J24" s="148">
        <v>22040543.659999996</v>
      </c>
      <c r="K24" s="148">
        <v>3645964.08</v>
      </c>
      <c r="L24" s="148">
        <v>5150130.43</v>
      </c>
      <c r="M24" s="148">
        <v>433867.86</v>
      </c>
      <c r="N24" s="148">
        <v>11868558</v>
      </c>
      <c r="O24" s="148">
        <v>942023.29</v>
      </c>
      <c r="P24" s="148">
        <v>0</v>
      </c>
      <c r="Q24" s="148">
        <v>44118.45</v>
      </c>
      <c r="R24" s="148">
        <v>0</v>
      </c>
      <c r="S24" s="149">
        <v>4755.6899999999996</v>
      </c>
      <c r="T24" s="353"/>
    </row>
    <row r="25" spans="1:21" ht="13.5" customHeight="1" outlineLevel="2" thickBot="1" x14ac:dyDescent="0.3">
      <c r="A25" s="1170" t="s">
        <v>21</v>
      </c>
      <c r="B25" s="1170" t="s">
        <v>21</v>
      </c>
      <c r="C25" s="1170" t="s">
        <v>26</v>
      </c>
      <c r="D25" s="1171" t="s">
        <v>52</v>
      </c>
      <c r="E25" s="1177" t="s">
        <v>53</v>
      </c>
      <c r="F25" s="1172" t="s">
        <v>54</v>
      </c>
      <c r="G25" s="350"/>
      <c r="H25" s="358"/>
      <c r="I25" s="359">
        <v>3423</v>
      </c>
      <c r="J25" s="148">
        <v>3488.54</v>
      </c>
      <c r="K25" s="148">
        <v>744.17</v>
      </c>
      <c r="L25" s="148">
        <v>766.63</v>
      </c>
      <c r="M25" s="148">
        <v>64.599999999999994</v>
      </c>
      <c r="N25" s="148">
        <v>1767.66</v>
      </c>
      <c r="O25" s="148">
        <v>145.47999999999999</v>
      </c>
      <c r="P25" s="148">
        <v>0</v>
      </c>
      <c r="Q25" s="148">
        <v>9.15</v>
      </c>
      <c r="R25" s="148">
        <v>0</v>
      </c>
      <c r="S25" s="149">
        <v>0</v>
      </c>
      <c r="T25" s="353"/>
    </row>
    <row r="26" spans="1:21" ht="13.5" customHeight="1" outlineLevel="2" thickBot="1" x14ac:dyDescent="0.3">
      <c r="A26" s="1176"/>
      <c r="B26" s="1176"/>
      <c r="C26" s="1176"/>
      <c r="D26" s="1171" t="s">
        <v>52</v>
      </c>
      <c r="E26" s="1177" t="s">
        <v>53</v>
      </c>
      <c r="F26" s="1172" t="s">
        <v>54</v>
      </c>
      <c r="G26" s="350"/>
      <c r="H26" s="358"/>
      <c r="I26" s="359">
        <v>485</v>
      </c>
      <c r="J26" s="148">
        <v>506.9</v>
      </c>
      <c r="K26" s="148">
        <v>118.33</v>
      </c>
      <c r="L26" s="148">
        <v>108.61</v>
      </c>
      <c r="M26" s="148">
        <v>9.15</v>
      </c>
      <c r="N26" s="148">
        <v>250.31</v>
      </c>
      <c r="O26" s="148">
        <v>20.5</v>
      </c>
      <c r="P26" s="148">
        <v>0</v>
      </c>
      <c r="Q26" s="148">
        <v>1.65</v>
      </c>
      <c r="R26" s="148">
        <v>0</v>
      </c>
      <c r="S26" s="149">
        <v>0</v>
      </c>
      <c r="T26" s="353"/>
    </row>
    <row r="27" spans="1:21" ht="13.5" customHeight="1" outlineLevel="2" thickBot="1" x14ac:dyDescent="0.3">
      <c r="A27" s="1170" t="s">
        <v>21</v>
      </c>
      <c r="B27" s="1170" t="s">
        <v>21</v>
      </c>
      <c r="C27" s="1170" t="s">
        <v>40</v>
      </c>
      <c r="D27" s="1170" t="s">
        <v>55</v>
      </c>
      <c r="E27" s="1171" t="s">
        <v>56</v>
      </c>
      <c r="F27" s="1172" t="s">
        <v>57</v>
      </c>
      <c r="G27" s="357"/>
      <c r="H27" s="358"/>
      <c r="I27" s="359">
        <v>2202</v>
      </c>
      <c r="J27" s="148">
        <v>1037.43</v>
      </c>
      <c r="K27" s="148">
        <v>0.5</v>
      </c>
      <c r="L27" s="148">
        <v>-99.35</v>
      </c>
      <c r="M27" s="148">
        <v>0</v>
      </c>
      <c r="N27" s="148">
        <v>1136.28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353"/>
    </row>
    <row r="28" spans="1:21" s="356" customFormat="1" ht="13.5" customHeight="1" outlineLevel="1" thickBot="1" x14ac:dyDescent="0.3">
      <c r="A28" s="1173"/>
      <c r="B28" s="1173"/>
      <c r="C28" s="1173"/>
      <c r="D28" s="1173"/>
      <c r="E28" s="1174"/>
      <c r="F28" s="1175" t="s">
        <v>58</v>
      </c>
      <c r="G28" s="357"/>
      <c r="H28" s="354">
        <v>290123</v>
      </c>
      <c r="I28" s="355">
        <f t="shared" ref="I28:S28" si="3">SUBTOTAL(9,I23:I27)</f>
        <v>23002010</v>
      </c>
      <c r="J28" s="143">
        <f>SUBTOTAL(9,J23:J27)</f>
        <v>22045625.809999995</v>
      </c>
      <c r="K28" s="143">
        <f t="shared" si="3"/>
        <v>3646852.08</v>
      </c>
      <c r="L28" s="143">
        <f t="shared" si="3"/>
        <v>5150913.49</v>
      </c>
      <c r="M28" s="143">
        <f t="shared" si="3"/>
        <v>433942.20999999996</v>
      </c>
      <c r="N28" s="143">
        <f t="shared" si="3"/>
        <v>11871728.76</v>
      </c>
      <c r="O28" s="143">
        <f t="shared" si="3"/>
        <v>942189.27</v>
      </c>
      <c r="P28" s="143">
        <f t="shared" si="3"/>
        <v>0</v>
      </c>
      <c r="Q28" s="143">
        <f t="shared" si="3"/>
        <v>44129.25</v>
      </c>
      <c r="R28" s="143">
        <f t="shared" si="3"/>
        <v>0</v>
      </c>
      <c r="S28" s="144">
        <f t="shared" si="3"/>
        <v>4755.6899999999996</v>
      </c>
      <c r="T28" s="353">
        <f>ROUND(J28-SUM(K28:P28)-R28,2)</f>
        <v>0</v>
      </c>
    </row>
    <row r="29" spans="1:21" ht="13.5" customHeight="1" outlineLevel="2" thickBot="1" x14ac:dyDescent="0.3">
      <c r="A29" s="1170" t="s">
        <v>21</v>
      </c>
      <c r="B29" s="1170" t="s">
        <v>21</v>
      </c>
      <c r="C29" s="1170" t="s">
        <v>40</v>
      </c>
      <c r="D29" s="1170" t="s">
        <v>59</v>
      </c>
      <c r="E29" s="1171" t="s">
        <v>60</v>
      </c>
      <c r="F29" s="1172" t="s">
        <v>61</v>
      </c>
      <c r="G29" s="350"/>
      <c r="H29" s="358"/>
      <c r="I29" s="359">
        <v>947</v>
      </c>
      <c r="J29" s="148">
        <v>786.46</v>
      </c>
      <c r="K29" s="148">
        <v>37.5</v>
      </c>
      <c r="L29" s="148">
        <v>212.08</v>
      </c>
      <c r="M29" s="148">
        <v>17.87</v>
      </c>
      <c r="N29" s="148">
        <v>488.66</v>
      </c>
      <c r="O29" s="148">
        <v>30.35</v>
      </c>
      <c r="P29" s="148">
        <v>0</v>
      </c>
      <c r="Q29" s="148">
        <v>0</v>
      </c>
      <c r="R29" s="148">
        <v>0</v>
      </c>
      <c r="S29" s="149">
        <v>0</v>
      </c>
      <c r="T29" s="353"/>
    </row>
    <row r="30" spans="1:21" ht="13.5" customHeight="1" outlineLevel="2" thickBot="1" x14ac:dyDescent="0.3">
      <c r="A30" s="1170" t="s">
        <v>21</v>
      </c>
      <c r="B30" s="1170" t="s">
        <v>21</v>
      </c>
      <c r="C30" s="1170" t="s">
        <v>26</v>
      </c>
      <c r="D30" s="1170" t="s">
        <v>59</v>
      </c>
      <c r="E30" s="1171" t="s">
        <v>60</v>
      </c>
      <c r="F30" s="1172" t="s">
        <v>61</v>
      </c>
      <c r="G30" s="350"/>
      <c r="H30" s="358"/>
      <c r="I30" s="359">
        <v>694</v>
      </c>
      <c r="J30" s="148">
        <v>567.91999999999996</v>
      </c>
      <c r="K30" s="148">
        <v>12.5</v>
      </c>
      <c r="L30" s="148">
        <v>155.43</v>
      </c>
      <c r="M30" s="148">
        <v>13.1</v>
      </c>
      <c r="N30" s="148">
        <v>358.12</v>
      </c>
      <c r="O30" s="148">
        <v>28.77</v>
      </c>
      <c r="P30" s="148">
        <v>0</v>
      </c>
      <c r="Q30" s="148">
        <v>0</v>
      </c>
      <c r="R30" s="148">
        <v>0</v>
      </c>
      <c r="S30" s="149">
        <v>0</v>
      </c>
      <c r="T30" s="353"/>
    </row>
    <row r="31" spans="1:21" s="356" customFormat="1" ht="13.5" customHeight="1" outlineLevel="1" thickBot="1" x14ac:dyDescent="0.3">
      <c r="A31" s="1178"/>
      <c r="B31" s="1178"/>
      <c r="C31" s="1178"/>
      <c r="D31" s="1178"/>
      <c r="E31" s="1178"/>
      <c r="F31" s="1179" t="s">
        <v>62</v>
      </c>
      <c r="G31" s="350"/>
      <c r="H31" s="354">
        <v>4</v>
      </c>
      <c r="I31" s="355">
        <f>SUBTOTAL(9,I29:I30)</f>
        <v>1641</v>
      </c>
      <c r="J31" s="143">
        <f>SUBTOTAL(9,J29:J30)</f>
        <v>1354.38</v>
      </c>
      <c r="K31" s="143">
        <f t="shared" ref="K31:S31" si="4">SUBTOTAL(9,K29:K30)</f>
        <v>50</v>
      </c>
      <c r="L31" s="143">
        <f t="shared" si="4"/>
        <v>367.51</v>
      </c>
      <c r="M31" s="143">
        <f t="shared" si="4"/>
        <v>30.97</v>
      </c>
      <c r="N31" s="143">
        <f t="shared" si="4"/>
        <v>846.78</v>
      </c>
      <c r="O31" s="143">
        <f t="shared" si="4"/>
        <v>59.120000000000005</v>
      </c>
      <c r="P31" s="143">
        <f t="shared" si="4"/>
        <v>0</v>
      </c>
      <c r="Q31" s="143">
        <f t="shared" si="4"/>
        <v>0</v>
      </c>
      <c r="R31" s="143">
        <f t="shared" si="4"/>
        <v>0</v>
      </c>
      <c r="S31" s="144">
        <f t="shared" si="4"/>
        <v>0</v>
      </c>
      <c r="T31" s="353">
        <f>ROUND(J31-SUM(K31:P31)-R31,2)</f>
        <v>0</v>
      </c>
    </row>
    <row r="32" spans="1:21" ht="23.25" outlineLevel="2" thickBot="1" x14ac:dyDescent="0.3">
      <c r="B32" s="1178"/>
      <c r="C32" s="1178"/>
      <c r="D32" s="1170" t="s">
        <v>63</v>
      </c>
      <c r="E32" s="1171" t="s">
        <v>64</v>
      </c>
      <c r="F32" s="1172" t="s">
        <v>65</v>
      </c>
      <c r="G32" s="350"/>
      <c r="H32" s="358"/>
      <c r="I32" s="359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/>
      <c r="P32" s="148"/>
      <c r="Q32" s="148"/>
      <c r="R32" s="148"/>
      <c r="S32" s="149"/>
      <c r="T32" s="353"/>
      <c r="U32" s="360"/>
    </row>
    <row r="33" spans="1:21" ht="23.25" outlineLevel="2" thickBot="1" x14ac:dyDescent="0.3">
      <c r="B33" s="1178"/>
      <c r="C33" s="1178"/>
      <c r="D33" s="1170" t="s">
        <v>66</v>
      </c>
      <c r="E33" s="1171" t="s">
        <v>67</v>
      </c>
      <c r="F33" s="1172" t="s">
        <v>68</v>
      </c>
      <c r="G33" s="357"/>
      <c r="H33" s="358"/>
      <c r="I33" s="359">
        <v>0</v>
      </c>
      <c r="J33" s="148">
        <v>340</v>
      </c>
      <c r="K33" s="148">
        <v>340</v>
      </c>
      <c r="L33" s="148">
        <v>0</v>
      </c>
      <c r="M33" s="148">
        <v>0</v>
      </c>
      <c r="N33" s="148">
        <v>0</v>
      </c>
      <c r="O33" s="148"/>
      <c r="P33" s="148"/>
      <c r="Q33" s="148"/>
      <c r="R33" s="148"/>
      <c r="S33" s="149"/>
      <c r="T33" s="353"/>
      <c r="U33" s="360"/>
    </row>
    <row r="34" spans="1:21" ht="14.25" outlineLevel="1" thickBot="1" x14ac:dyDescent="0.3">
      <c r="B34" s="1178"/>
      <c r="C34" s="1178"/>
      <c r="D34" s="1173"/>
      <c r="E34" s="1174"/>
      <c r="F34" s="1175" t="s">
        <v>69</v>
      </c>
      <c r="G34" s="350"/>
      <c r="H34" s="354">
        <v>2</v>
      </c>
      <c r="I34" s="355">
        <f t="shared" ref="I34:S34" si="5">SUBTOTAL(9,I32:I33)</f>
        <v>0</v>
      </c>
      <c r="J34" s="361">
        <f>SUBTOTAL(9,J32:J33)</f>
        <v>340</v>
      </c>
      <c r="K34" s="361">
        <f t="shared" si="5"/>
        <v>340</v>
      </c>
      <c r="L34" s="361">
        <f t="shared" si="5"/>
        <v>0</v>
      </c>
      <c r="M34" s="361">
        <f t="shared" si="5"/>
        <v>0</v>
      </c>
      <c r="N34" s="361">
        <f t="shared" si="5"/>
        <v>0</v>
      </c>
      <c r="O34" s="361">
        <f t="shared" si="5"/>
        <v>0</v>
      </c>
      <c r="P34" s="361">
        <f t="shared" si="5"/>
        <v>0</v>
      </c>
      <c r="Q34" s="361">
        <f t="shared" si="5"/>
        <v>0</v>
      </c>
      <c r="R34" s="361">
        <f t="shared" si="5"/>
        <v>0</v>
      </c>
      <c r="S34" s="362">
        <f t="shared" si="5"/>
        <v>0</v>
      </c>
      <c r="T34" s="353">
        <f>ROUND(J34-SUM(K34:P34)-R34,2)</f>
        <v>0</v>
      </c>
    </row>
    <row r="35" spans="1:21" s="356" customFormat="1" ht="13.5" customHeight="1" thickBot="1" x14ac:dyDescent="0.3">
      <c r="A35" s="1178"/>
      <c r="B35" s="1178"/>
      <c r="C35" s="1178"/>
      <c r="D35" s="1178"/>
      <c r="E35" s="1178"/>
      <c r="F35" s="1180"/>
      <c r="G35" s="350"/>
      <c r="H35" s="357"/>
      <c r="I35" s="357"/>
      <c r="J35" s="363"/>
      <c r="K35" s="363"/>
      <c r="L35" s="363"/>
      <c r="M35" s="363"/>
      <c r="N35" s="363"/>
      <c r="O35" s="363"/>
      <c r="P35" s="363"/>
      <c r="Q35" s="363"/>
      <c r="R35" s="363"/>
      <c r="S35" s="364"/>
      <c r="T35" s="353"/>
    </row>
    <row r="36" spans="1:21" s="356" customFormat="1" ht="13.5" customHeight="1" thickBot="1" x14ac:dyDescent="0.3">
      <c r="A36" s="1178"/>
      <c r="B36" s="1178"/>
      <c r="C36" s="1178"/>
      <c r="D36" s="1178"/>
      <c r="E36" s="1178"/>
      <c r="F36" s="1175" t="s">
        <v>70</v>
      </c>
      <c r="G36" s="357"/>
      <c r="H36" s="350"/>
      <c r="I36" s="357"/>
      <c r="J36" s="363"/>
      <c r="K36" s="357"/>
      <c r="L36" s="363"/>
      <c r="M36" s="363"/>
      <c r="N36" s="363"/>
      <c r="O36" s="363"/>
      <c r="P36" s="363"/>
      <c r="Q36" s="363"/>
      <c r="R36" s="363"/>
      <c r="S36" s="364"/>
      <c r="T36" s="353"/>
    </row>
    <row r="37" spans="1:21" s="356" customFormat="1" ht="13.5" customHeight="1" thickBot="1" x14ac:dyDescent="0.3">
      <c r="A37" s="1178"/>
      <c r="B37" s="1178"/>
      <c r="C37" s="1178"/>
      <c r="D37" s="1178"/>
      <c r="E37" s="1178"/>
      <c r="F37" s="1179"/>
      <c r="G37" s="365" t="s">
        <v>71</v>
      </c>
      <c r="H37" s="350"/>
      <c r="I37" s="354">
        <v>213</v>
      </c>
      <c r="J37" s="363">
        <f t="shared" ref="J37:J45" si="6">SUM(K37:O37)</f>
        <v>88.06</v>
      </c>
      <c r="K37" s="161"/>
      <c r="L37" s="161">
        <v>9.16</v>
      </c>
      <c r="M37" s="161">
        <v>0.2</v>
      </c>
      <c r="N37" s="161">
        <v>78.7</v>
      </c>
      <c r="O37" s="363"/>
      <c r="P37" s="363"/>
      <c r="Q37" s="363"/>
      <c r="R37" s="363"/>
      <c r="S37" s="364"/>
      <c r="T37" s="353"/>
    </row>
    <row r="38" spans="1:21" s="356" customFormat="1" ht="13.5" customHeight="1" thickBot="1" x14ac:dyDescent="0.3">
      <c r="A38" s="1178"/>
      <c r="B38" s="1178"/>
      <c r="C38" s="1178"/>
      <c r="D38" s="1178"/>
      <c r="E38" s="1178"/>
      <c r="F38" s="1179"/>
      <c r="G38" s="365" t="s">
        <v>71</v>
      </c>
      <c r="H38" s="350"/>
      <c r="I38" s="354">
        <v>5328</v>
      </c>
      <c r="J38" s="363">
        <f t="shared" si="6"/>
        <v>2197.8000000000002</v>
      </c>
      <c r="K38" s="161"/>
      <c r="L38" s="161">
        <v>229.1</v>
      </c>
      <c r="M38" s="161"/>
      <c r="N38" s="161">
        <v>1968.7</v>
      </c>
      <c r="O38" s="363"/>
      <c r="P38" s="363"/>
      <c r="Q38" s="363"/>
      <c r="R38" s="363"/>
      <c r="S38" s="364"/>
      <c r="T38" s="353"/>
    </row>
    <row r="39" spans="1:21" s="356" customFormat="1" ht="13.5" customHeight="1" thickBot="1" x14ac:dyDescent="0.3">
      <c r="A39" s="1178"/>
      <c r="B39" s="1178"/>
      <c r="C39" s="1178"/>
      <c r="D39" s="1178"/>
      <c r="E39" s="1181"/>
      <c r="F39" s="1179"/>
      <c r="G39" s="365" t="s">
        <v>71</v>
      </c>
      <c r="H39" s="357"/>
      <c r="I39" s="354">
        <v>0</v>
      </c>
      <c r="J39" s="363">
        <f t="shared" si="6"/>
        <v>22788.91</v>
      </c>
      <c r="K39" s="366"/>
      <c r="L39" s="366"/>
      <c r="M39" s="366"/>
      <c r="N39" s="367">
        <v>22788.91</v>
      </c>
      <c r="O39" s="363"/>
      <c r="P39" s="363"/>
      <c r="Q39" s="363"/>
      <c r="R39" s="363"/>
      <c r="S39" s="364"/>
      <c r="T39" s="353"/>
    </row>
    <row r="40" spans="1:21" s="356" customFormat="1" ht="13.5" customHeight="1" thickBot="1" x14ac:dyDescent="0.3">
      <c r="A40" s="1178"/>
      <c r="B40" s="1178"/>
      <c r="C40" s="1178"/>
      <c r="D40" s="1178"/>
      <c r="E40" s="1181"/>
      <c r="F40" s="1179"/>
      <c r="G40" s="365" t="s">
        <v>71</v>
      </c>
      <c r="H40" s="357"/>
      <c r="I40" s="354">
        <v>0</v>
      </c>
      <c r="J40" s="363">
        <f t="shared" si="6"/>
        <v>12766.22</v>
      </c>
      <c r="K40" s="366"/>
      <c r="L40" s="366"/>
      <c r="M40" s="366"/>
      <c r="N40" s="367">
        <v>12766.22</v>
      </c>
      <c r="O40" s="363"/>
      <c r="P40" s="363"/>
      <c r="Q40" s="363"/>
      <c r="R40" s="363"/>
      <c r="S40" s="364"/>
      <c r="T40" s="353"/>
    </row>
    <row r="41" spans="1:21" s="356" customFormat="1" ht="13.5" customHeight="1" thickBot="1" x14ac:dyDescent="0.3">
      <c r="A41" s="1178"/>
      <c r="B41" s="1178"/>
      <c r="C41" s="1178"/>
      <c r="D41" s="1178"/>
      <c r="E41" s="1181"/>
      <c r="F41" s="1179"/>
      <c r="G41" s="365" t="s">
        <v>71</v>
      </c>
      <c r="H41" s="357"/>
      <c r="I41" s="354">
        <v>1144</v>
      </c>
      <c r="J41" s="363">
        <f t="shared" si="6"/>
        <v>473</v>
      </c>
      <c r="K41" s="366"/>
      <c r="L41" s="367">
        <v>49.19</v>
      </c>
      <c r="M41" s="367">
        <v>1.1000000000000001</v>
      </c>
      <c r="N41" s="367">
        <v>422.71</v>
      </c>
      <c r="O41" s="363"/>
      <c r="P41" s="363"/>
      <c r="Q41" s="363"/>
      <c r="R41" s="363"/>
      <c r="S41" s="364"/>
      <c r="T41" s="353"/>
    </row>
    <row r="42" spans="1:21" s="356" customFormat="1" ht="13.5" customHeight="1" thickBot="1" x14ac:dyDescent="0.3">
      <c r="A42" s="1178"/>
      <c r="B42" s="1178"/>
      <c r="C42" s="1178"/>
      <c r="D42" s="1178"/>
      <c r="E42" s="1181"/>
      <c r="F42" s="1179"/>
      <c r="G42" s="365" t="s">
        <v>71</v>
      </c>
      <c r="H42" s="357"/>
      <c r="I42" s="354">
        <v>4745</v>
      </c>
      <c r="J42" s="363">
        <f>SUM(K42:O42)</f>
        <v>2078.06</v>
      </c>
      <c r="K42" s="367">
        <v>275</v>
      </c>
      <c r="L42" s="367">
        <v>49.78</v>
      </c>
      <c r="M42" s="367"/>
      <c r="N42" s="367">
        <v>1753.28</v>
      </c>
      <c r="O42" s="363"/>
      <c r="P42" s="363"/>
      <c r="Q42" s="363"/>
      <c r="R42" s="363"/>
      <c r="S42" s="364"/>
      <c r="T42" s="353"/>
    </row>
    <row r="43" spans="1:21" s="356" customFormat="1" ht="13.5" customHeight="1" thickBot="1" x14ac:dyDescent="0.3">
      <c r="A43" s="1178"/>
      <c r="B43" s="1178"/>
      <c r="C43" s="1178"/>
      <c r="D43" s="1178"/>
      <c r="E43" s="1181"/>
      <c r="F43" s="1179"/>
      <c r="G43" s="365" t="s">
        <v>71</v>
      </c>
      <c r="H43" s="357"/>
      <c r="I43" s="354">
        <v>3800</v>
      </c>
      <c r="J43" s="363">
        <f t="shared" si="6"/>
        <v>2203.6099999999997</v>
      </c>
      <c r="K43" s="367">
        <v>781</v>
      </c>
      <c r="L43" s="367">
        <v>18.510000000000002</v>
      </c>
      <c r="M43" s="366"/>
      <c r="N43" s="367">
        <v>1404.1</v>
      </c>
      <c r="O43" s="363"/>
      <c r="P43" s="363"/>
      <c r="Q43" s="363"/>
      <c r="R43" s="363"/>
      <c r="S43" s="364"/>
      <c r="T43" s="353"/>
    </row>
    <row r="44" spans="1:21" s="356" customFormat="1" ht="13.5" customHeight="1" thickBot="1" x14ac:dyDescent="0.3">
      <c r="A44" s="1178"/>
      <c r="B44" s="1178"/>
      <c r="C44" s="1178"/>
      <c r="D44" s="1178"/>
      <c r="E44" s="1181"/>
      <c r="F44" s="1179" t="s">
        <v>73</v>
      </c>
      <c r="G44" s="365" t="s">
        <v>74</v>
      </c>
      <c r="H44" s="357"/>
      <c r="I44" s="354">
        <v>0</v>
      </c>
      <c r="J44" s="160">
        <f t="shared" si="6"/>
        <v>0</v>
      </c>
      <c r="K44" s="367">
        <v>0</v>
      </c>
      <c r="L44" s="161">
        <v>0</v>
      </c>
      <c r="M44" s="366"/>
      <c r="N44" s="366">
        <v>0</v>
      </c>
      <c r="O44" s="363"/>
      <c r="P44" s="363"/>
      <c r="Q44" s="363"/>
      <c r="R44" s="363"/>
      <c r="S44" s="364"/>
      <c r="T44" s="353"/>
    </row>
    <row r="45" spans="1:21" s="356" customFormat="1" ht="13.5" customHeight="1" thickBot="1" x14ac:dyDescent="0.3">
      <c r="A45" s="1178"/>
      <c r="B45" s="1178"/>
      <c r="C45" s="1178"/>
      <c r="D45" s="1178"/>
      <c r="E45" s="1181"/>
      <c r="F45" s="1179" t="s">
        <v>75</v>
      </c>
      <c r="G45" s="365" t="s">
        <v>76</v>
      </c>
      <c r="H45" s="357"/>
      <c r="I45" s="354">
        <v>0</v>
      </c>
      <c r="J45" s="363">
        <f t="shared" si="6"/>
        <v>-2910.0100000000093</v>
      </c>
      <c r="K45" s="368">
        <v>0</v>
      </c>
      <c r="L45" s="363">
        <v>-2910.0100000000093</v>
      </c>
      <c r="M45" s="363">
        <v>0</v>
      </c>
      <c r="N45" s="363">
        <v>0</v>
      </c>
      <c r="O45" s="363"/>
      <c r="P45" s="363"/>
      <c r="Q45" s="363"/>
      <c r="R45" s="363"/>
      <c r="S45" s="364"/>
      <c r="T45" s="353"/>
    </row>
    <row r="46" spans="1:21" ht="13.5" customHeight="1" thickBot="1" x14ac:dyDescent="0.25">
      <c r="A46" s="1182"/>
      <c r="B46" s="1182"/>
      <c r="C46" s="1182"/>
      <c r="D46" s="1183" t="s">
        <v>77</v>
      </c>
      <c r="E46" s="1184"/>
      <c r="F46" s="1185" t="s">
        <v>77</v>
      </c>
      <c r="G46" s="370"/>
      <c r="H46" s="370">
        <f t="shared" ref="H46:O46" si="7">SUBTOTAL(9,H5:H45)</f>
        <v>315776</v>
      </c>
      <c r="I46" s="370">
        <f t="shared" si="7"/>
        <v>34967286</v>
      </c>
      <c r="J46" s="165">
        <f t="shared" si="7"/>
        <v>31742464.569999993</v>
      </c>
      <c r="K46" s="165">
        <f t="shared" si="7"/>
        <v>4601927.38</v>
      </c>
      <c r="L46" s="165">
        <f t="shared" si="7"/>
        <v>7338022.0300000012</v>
      </c>
      <c r="M46" s="165">
        <f t="shared" si="7"/>
        <v>444534.66</v>
      </c>
      <c r="N46" s="165">
        <f t="shared" si="7"/>
        <v>18082764.190000001</v>
      </c>
      <c r="O46" s="165">
        <f t="shared" si="7"/>
        <v>1275216.31</v>
      </c>
      <c r="P46" s="165">
        <f>SUBTOTAL(9,P5:P31)</f>
        <v>0</v>
      </c>
      <c r="Q46" s="165">
        <f>SUBTOTAL(9,Q5:Q31)</f>
        <v>44129.25</v>
      </c>
      <c r="R46" s="165">
        <f>SUBTOTAL(9,R5:R31)</f>
        <v>0</v>
      </c>
      <c r="S46" s="166">
        <f>SUBTOTAL(9,S5:S31)</f>
        <v>6908.3799999999992</v>
      </c>
    </row>
    <row r="47" spans="1:21" ht="13.5" customHeight="1" thickBot="1" x14ac:dyDescent="0.25">
      <c r="A47" s="1182"/>
      <c r="B47" s="1182"/>
      <c r="C47" s="1182"/>
      <c r="D47" s="1183" t="s">
        <v>77</v>
      </c>
      <c r="E47" s="1184"/>
      <c r="F47" s="1185" t="s">
        <v>78</v>
      </c>
      <c r="G47" s="370"/>
      <c r="H47" s="370"/>
      <c r="I47" s="371">
        <v>34967280</v>
      </c>
      <c r="J47" s="165">
        <f>SUM(K47:S47)</f>
        <v>31742464.57</v>
      </c>
      <c r="K47" s="168">
        <v>4601927.38</v>
      </c>
      <c r="L47" s="168">
        <v>7338022.0300000003</v>
      </c>
      <c r="M47" s="168">
        <v>444534.66</v>
      </c>
      <c r="N47" s="168">
        <v>18082764.190000001</v>
      </c>
      <c r="O47" s="168">
        <v>1275216.31</v>
      </c>
      <c r="P47" s="165"/>
      <c r="Q47" s="165"/>
      <c r="R47" s="165"/>
      <c r="S47" s="166"/>
    </row>
    <row r="48" spans="1:21" ht="13.5" customHeight="1" thickBot="1" x14ac:dyDescent="0.25">
      <c r="A48" s="1182"/>
      <c r="B48" s="1182"/>
      <c r="C48" s="1182"/>
      <c r="D48" s="1186"/>
      <c r="E48" s="1184"/>
      <c r="F48" s="1187" t="s">
        <v>79</v>
      </c>
      <c r="G48" s="373"/>
      <c r="H48" s="373"/>
      <c r="I48" s="171">
        <f t="shared" ref="I48:N48" si="8">I46-I47</f>
        <v>6</v>
      </c>
      <c r="J48" s="172">
        <f t="shared" si="8"/>
        <v>0</v>
      </c>
      <c r="K48" s="172">
        <f t="shared" si="8"/>
        <v>0</v>
      </c>
      <c r="L48" s="172">
        <f t="shared" si="8"/>
        <v>0</v>
      </c>
      <c r="M48" s="172">
        <f t="shared" si="8"/>
        <v>0</v>
      </c>
      <c r="N48" s="172">
        <f t="shared" si="8"/>
        <v>0</v>
      </c>
      <c r="O48" s="172">
        <f>O46-O47</f>
        <v>0</v>
      </c>
      <c r="P48" s="172"/>
      <c r="Q48" s="172"/>
      <c r="R48" s="172"/>
      <c r="S48" s="173"/>
    </row>
    <row r="49" spans="1:21" ht="13.5" thickBot="1" x14ac:dyDescent="0.25">
      <c r="G49" s="338"/>
      <c r="H49" s="338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</row>
    <row r="50" spans="1:21" ht="24.6" customHeight="1" thickBot="1" x14ac:dyDescent="0.25">
      <c r="A50" s="1162"/>
      <c r="B50" s="1163"/>
      <c r="C50" s="1163"/>
      <c r="D50" s="1400" t="s">
        <v>80</v>
      </c>
      <c r="E50" s="1401"/>
      <c r="F50" s="1188" t="s">
        <v>81</v>
      </c>
      <c r="G50" s="374"/>
      <c r="H50" s="342" t="s">
        <v>2</v>
      </c>
      <c r="I50" s="343" t="s">
        <v>3</v>
      </c>
      <c r="J50" s="343" t="s">
        <v>4</v>
      </c>
      <c r="K50" s="343" t="s">
        <v>5</v>
      </c>
      <c r="L50" s="343" t="s">
        <v>6</v>
      </c>
      <c r="M50" s="343" t="s">
        <v>7</v>
      </c>
      <c r="N50" s="343" t="s">
        <v>253</v>
      </c>
      <c r="O50" s="343" t="s">
        <v>9</v>
      </c>
      <c r="P50" s="343" t="s">
        <v>10</v>
      </c>
      <c r="Q50" s="343" t="s">
        <v>11</v>
      </c>
      <c r="R50" s="343" t="s">
        <v>12</v>
      </c>
      <c r="S50" s="344" t="s">
        <v>13</v>
      </c>
    </row>
    <row r="51" spans="1:21" ht="13.5" customHeight="1" thickBot="1" x14ac:dyDescent="0.25">
      <c r="A51" s="1167" t="s">
        <v>14</v>
      </c>
      <c r="B51" s="1168" t="s">
        <v>15</v>
      </c>
      <c r="C51" s="1168" t="s">
        <v>16</v>
      </c>
      <c r="D51" s="1168" t="s">
        <v>17</v>
      </c>
      <c r="E51" s="1165"/>
      <c r="F51" s="1189"/>
      <c r="G51" s="346"/>
      <c r="H51" s="346"/>
      <c r="I51" s="347" t="s">
        <v>19</v>
      </c>
      <c r="J51" s="345" t="s">
        <v>20</v>
      </c>
      <c r="K51" s="345" t="s">
        <v>20</v>
      </c>
      <c r="L51" s="345" t="s">
        <v>20</v>
      </c>
      <c r="M51" s="345" t="s">
        <v>20</v>
      </c>
      <c r="N51" s="345" t="s">
        <v>20</v>
      </c>
      <c r="O51" s="345" t="s">
        <v>20</v>
      </c>
      <c r="P51" s="345" t="s">
        <v>20</v>
      </c>
      <c r="Q51" s="345" t="s">
        <v>20</v>
      </c>
      <c r="R51" s="345" t="s">
        <v>20</v>
      </c>
      <c r="S51" s="348" t="s">
        <v>20</v>
      </c>
    </row>
    <row r="52" spans="1:21" ht="13.5" customHeight="1" outlineLevel="2" thickBot="1" x14ac:dyDescent="0.3">
      <c r="A52" s="1170" t="s">
        <v>21</v>
      </c>
      <c r="B52" s="1170" t="s">
        <v>21</v>
      </c>
      <c r="C52" s="1170" t="s">
        <v>28</v>
      </c>
      <c r="D52" s="1170" t="s">
        <v>82</v>
      </c>
      <c r="E52" s="1171" t="s">
        <v>83</v>
      </c>
      <c r="F52" s="1172" t="s">
        <v>84</v>
      </c>
      <c r="G52" s="350"/>
      <c r="H52" s="350"/>
      <c r="I52" s="350">
        <v>494453</v>
      </c>
      <c r="J52" s="351">
        <v>556544.14</v>
      </c>
      <c r="K52" s="137">
        <v>340</v>
      </c>
      <c r="L52" s="137">
        <v>14082.02</v>
      </c>
      <c r="M52" s="137">
        <v>0</v>
      </c>
      <c r="N52" s="137">
        <v>255147.64</v>
      </c>
      <c r="O52" s="137">
        <v>0</v>
      </c>
      <c r="P52" s="137">
        <v>0</v>
      </c>
      <c r="Q52" s="137">
        <v>0</v>
      </c>
      <c r="R52" s="137">
        <v>286974.48</v>
      </c>
      <c r="S52" s="177">
        <v>0</v>
      </c>
      <c r="T52" s="353"/>
    </row>
    <row r="53" spans="1:21" ht="13.5" customHeight="1" thickBot="1" x14ac:dyDescent="0.3">
      <c r="A53" s="1190"/>
      <c r="B53" s="1191"/>
      <c r="C53" s="1191"/>
      <c r="D53" s="1184"/>
      <c r="E53" s="1192"/>
      <c r="F53" s="1193" t="s">
        <v>85</v>
      </c>
      <c r="G53" s="350"/>
      <c r="H53" s="376">
        <v>2</v>
      </c>
      <c r="I53" s="350">
        <f t="shared" ref="I53:S53" si="9">SUBTOTAL(9,I52:I52)</f>
        <v>494453</v>
      </c>
      <c r="J53" s="137">
        <f>SUBTOTAL(9,J52:J52)</f>
        <v>556544.14</v>
      </c>
      <c r="K53" s="137">
        <f t="shared" si="9"/>
        <v>340</v>
      </c>
      <c r="L53" s="137">
        <f t="shared" si="9"/>
        <v>14082.02</v>
      </c>
      <c r="M53" s="137">
        <f t="shared" si="9"/>
        <v>0</v>
      </c>
      <c r="N53" s="137">
        <f t="shared" si="9"/>
        <v>255147.64</v>
      </c>
      <c r="O53" s="137">
        <f t="shared" si="9"/>
        <v>0</v>
      </c>
      <c r="P53" s="137">
        <f t="shared" si="9"/>
        <v>0</v>
      </c>
      <c r="Q53" s="137">
        <f t="shared" si="9"/>
        <v>0</v>
      </c>
      <c r="R53" s="137">
        <f t="shared" si="9"/>
        <v>286974.48</v>
      </c>
      <c r="S53" s="177">
        <f t="shared" si="9"/>
        <v>0</v>
      </c>
      <c r="T53" s="353">
        <f>ROUND(J53-SUM(K53:P53)-R53,2)</f>
        <v>0</v>
      </c>
    </row>
    <row r="54" spans="1:21" ht="13.5" customHeight="1" thickBot="1" x14ac:dyDescent="0.3">
      <c r="A54" s="1182"/>
      <c r="B54" s="1182"/>
      <c r="C54" s="1191"/>
      <c r="D54" s="1184"/>
      <c r="E54" s="1194"/>
      <c r="F54" s="1175" t="s">
        <v>86</v>
      </c>
      <c r="G54" s="350"/>
      <c r="H54" s="350"/>
      <c r="I54" s="350"/>
      <c r="J54" s="137"/>
      <c r="K54" s="137"/>
      <c r="L54" s="137">
        <f>-R54</f>
        <v>286974.48</v>
      </c>
      <c r="M54" s="137"/>
      <c r="N54" s="137"/>
      <c r="O54" s="137"/>
      <c r="P54" s="137"/>
      <c r="Q54" s="137"/>
      <c r="R54" s="137">
        <f>-R53</f>
        <v>-286974.48</v>
      </c>
      <c r="S54" s="177"/>
      <c r="T54" s="353"/>
    </row>
    <row r="55" spans="1:21" ht="13.5" customHeight="1" thickBot="1" x14ac:dyDescent="0.3">
      <c r="A55" s="1182"/>
      <c r="B55" s="1182"/>
      <c r="C55" s="1191"/>
      <c r="D55" s="1184"/>
      <c r="E55" s="1194"/>
      <c r="F55" s="1175" t="s">
        <v>87</v>
      </c>
      <c r="G55" s="350"/>
      <c r="H55" s="350"/>
      <c r="I55" s="377">
        <v>0</v>
      </c>
      <c r="J55" s="137">
        <f>SUM(K55:O55)</f>
        <v>0</v>
      </c>
      <c r="K55" s="137"/>
      <c r="L55" s="181">
        <v>0</v>
      </c>
      <c r="M55" s="137"/>
      <c r="N55" s="181">
        <v>0</v>
      </c>
      <c r="O55" s="137"/>
      <c r="P55" s="137"/>
      <c r="Q55" s="137"/>
      <c r="R55" s="181">
        <v>104976</v>
      </c>
      <c r="S55" s="177"/>
      <c r="T55" s="353"/>
    </row>
    <row r="56" spans="1:21" ht="13.5" customHeight="1" thickBot="1" x14ac:dyDescent="0.3">
      <c r="A56" s="1182"/>
      <c r="B56" s="1182"/>
      <c r="C56" s="1191"/>
      <c r="D56" s="1184"/>
      <c r="E56" s="1194"/>
      <c r="F56" s="1175" t="s">
        <v>254</v>
      </c>
      <c r="G56" s="350"/>
      <c r="H56" s="350"/>
      <c r="I56" s="350">
        <v>0</v>
      </c>
      <c r="J56" s="137">
        <f>SUM(K56:O56)</f>
        <v>105427.73</v>
      </c>
      <c r="K56" s="137"/>
      <c r="L56" s="137">
        <f>-R56</f>
        <v>104976</v>
      </c>
      <c r="M56" s="137"/>
      <c r="N56" s="137">
        <v>451.73</v>
      </c>
      <c r="O56" s="137"/>
      <c r="P56" s="137"/>
      <c r="Q56" s="137"/>
      <c r="R56" s="137">
        <f>-R55</f>
        <v>-104976</v>
      </c>
      <c r="S56" s="177"/>
      <c r="T56" s="353"/>
    </row>
    <row r="57" spans="1:21" ht="13.5" customHeight="1" thickBot="1" x14ac:dyDescent="0.3">
      <c r="A57" s="1182"/>
      <c r="B57" s="1182"/>
      <c r="C57" s="1191"/>
      <c r="D57" s="1184"/>
      <c r="E57" s="1194"/>
      <c r="F57" s="1175" t="s">
        <v>255</v>
      </c>
      <c r="G57" s="350"/>
      <c r="H57" s="350"/>
      <c r="I57" s="378">
        <v>12714</v>
      </c>
      <c r="J57" s="137">
        <f>SUM(K57:O57)</f>
        <v>7357.57</v>
      </c>
      <c r="K57" s="181">
        <v>781</v>
      </c>
      <c r="L57" s="181">
        <v>61.92</v>
      </c>
      <c r="M57" s="137"/>
      <c r="N57" s="181">
        <v>6514.65</v>
      </c>
      <c r="O57" s="137"/>
      <c r="P57" s="137"/>
      <c r="Q57" s="137"/>
      <c r="R57" s="137"/>
      <c r="S57" s="177"/>
      <c r="T57" s="353">
        <f>ROUND(J57-SUM(K57:P57)-R57,2)</f>
        <v>0</v>
      </c>
    </row>
    <row r="58" spans="1:21" ht="13.5" customHeight="1" thickBot="1" x14ac:dyDescent="0.25">
      <c r="A58" s="1182"/>
      <c r="B58" s="1182"/>
      <c r="C58" s="1186"/>
      <c r="D58" s="1195" t="s">
        <v>88</v>
      </c>
      <c r="E58" s="1184"/>
      <c r="F58" s="1196" t="s">
        <v>89</v>
      </c>
      <c r="G58" s="370"/>
      <c r="H58" s="370">
        <f>+H53</f>
        <v>2</v>
      </c>
      <c r="I58" s="184">
        <f t="shared" ref="I58:S58" si="10">SUBTOTAL(9,I52:I57)</f>
        <v>507167</v>
      </c>
      <c r="J58" s="165">
        <f t="shared" si="10"/>
        <v>669329.43999999994</v>
      </c>
      <c r="K58" s="165">
        <f t="shared" si="10"/>
        <v>1121</v>
      </c>
      <c r="L58" s="165">
        <f t="shared" si="10"/>
        <v>406094.42</v>
      </c>
      <c r="M58" s="165">
        <f t="shared" si="10"/>
        <v>0</v>
      </c>
      <c r="N58" s="165">
        <f t="shared" si="10"/>
        <v>262114.02000000002</v>
      </c>
      <c r="O58" s="165">
        <f t="shared" si="10"/>
        <v>0</v>
      </c>
      <c r="P58" s="165">
        <f t="shared" si="10"/>
        <v>0</v>
      </c>
      <c r="Q58" s="165">
        <f t="shared" si="10"/>
        <v>0</v>
      </c>
      <c r="R58" s="165">
        <f t="shared" si="10"/>
        <v>0</v>
      </c>
      <c r="S58" s="166">
        <f t="shared" si="10"/>
        <v>0</v>
      </c>
    </row>
    <row r="59" spans="1:21" ht="13.5" customHeight="1" thickBot="1" x14ac:dyDescent="0.25">
      <c r="A59" s="1182"/>
      <c r="B59" s="1182"/>
      <c r="C59" s="1182"/>
      <c r="D59" s="1183" t="s">
        <v>77</v>
      </c>
      <c r="E59" s="1184"/>
      <c r="F59" s="1196" t="s">
        <v>90</v>
      </c>
      <c r="G59" s="370"/>
      <c r="H59" s="370"/>
      <c r="I59" s="371">
        <v>507160</v>
      </c>
      <c r="J59" s="165">
        <f>SUM(K59:S59)</f>
        <v>669329.43999999994</v>
      </c>
      <c r="K59" s="168">
        <v>1121</v>
      </c>
      <c r="L59" s="168">
        <v>406094.42</v>
      </c>
      <c r="M59" s="168">
        <v>0</v>
      </c>
      <c r="N59" s="168">
        <v>262114.02</v>
      </c>
      <c r="O59" s="168">
        <v>0</v>
      </c>
      <c r="P59" s="185"/>
      <c r="Q59" s="185"/>
      <c r="R59" s="185"/>
      <c r="S59" s="186"/>
    </row>
    <row r="60" spans="1:21" ht="13.5" customHeight="1" thickBot="1" x14ac:dyDescent="0.25">
      <c r="A60" s="1182"/>
      <c r="B60" s="1182"/>
      <c r="C60" s="1182"/>
      <c r="D60" s="1186"/>
      <c r="E60" s="1184"/>
      <c r="F60" s="1187" t="s">
        <v>79</v>
      </c>
      <c r="G60" s="373"/>
      <c r="H60" s="373"/>
      <c r="I60" s="171">
        <f t="shared" ref="I60:N60" si="11">I58-I59</f>
        <v>7</v>
      </c>
      <c r="J60" s="172">
        <f t="shared" si="11"/>
        <v>0</v>
      </c>
      <c r="K60" s="172">
        <f t="shared" si="11"/>
        <v>0</v>
      </c>
      <c r="L60" s="172">
        <f t="shared" si="11"/>
        <v>0</v>
      </c>
      <c r="M60" s="172">
        <f t="shared" si="11"/>
        <v>0</v>
      </c>
      <c r="N60" s="172">
        <f t="shared" si="11"/>
        <v>0</v>
      </c>
      <c r="O60" s="172">
        <f>O58-O59</f>
        <v>0</v>
      </c>
      <c r="P60" s="172"/>
      <c r="Q60" s="172"/>
      <c r="R60" s="172"/>
      <c r="S60" s="173"/>
    </row>
    <row r="61" spans="1:21" ht="13.5" thickBot="1" x14ac:dyDescent="0.25">
      <c r="G61" s="338"/>
      <c r="H61" s="338"/>
      <c r="I61" s="380"/>
      <c r="K61" s="380"/>
      <c r="L61" s="380"/>
      <c r="M61" s="380"/>
      <c r="N61" s="54"/>
      <c r="O61" s="380"/>
      <c r="P61" s="380"/>
    </row>
    <row r="62" spans="1:21" ht="23.25" thickBot="1" x14ac:dyDescent="0.25">
      <c r="D62" s="1402" t="s">
        <v>91</v>
      </c>
      <c r="E62" s="1403"/>
      <c r="F62" s="1197" t="s">
        <v>92</v>
      </c>
      <c r="G62" s="341"/>
      <c r="H62" s="342" t="s">
        <v>2</v>
      </c>
      <c r="I62" s="343" t="s">
        <v>3</v>
      </c>
      <c r="J62" s="343" t="s">
        <v>4</v>
      </c>
      <c r="K62" s="343" t="s">
        <v>5</v>
      </c>
      <c r="L62" s="343" t="s">
        <v>6</v>
      </c>
      <c r="M62" s="343" t="s">
        <v>7</v>
      </c>
      <c r="N62" s="343" t="s">
        <v>93</v>
      </c>
      <c r="O62" s="343" t="s">
        <v>9</v>
      </c>
      <c r="P62" s="343" t="s">
        <v>10</v>
      </c>
      <c r="Q62" s="343" t="s">
        <v>11</v>
      </c>
      <c r="R62" s="343" t="s">
        <v>12</v>
      </c>
      <c r="S62" s="344" t="s">
        <v>13</v>
      </c>
    </row>
    <row r="63" spans="1:21" ht="13.5" thickBot="1" x14ac:dyDescent="0.25">
      <c r="D63" s="1173"/>
      <c r="E63" s="1174"/>
      <c r="F63" s="1198"/>
      <c r="G63" s="346"/>
      <c r="H63" s="346"/>
      <c r="I63" s="347" t="s">
        <v>19</v>
      </c>
      <c r="J63" s="345" t="s">
        <v>20</v>
      </c>
      <c r="K63" s="345" t="s">
        <v>20</v>
      </c>
      <c r="L63" s="345" t="s">
        <v>20</v>
      </c>
      <c r="M63" s="345" t="s">
        <v>20</v>
      </c>
      <c r="N63" s="345" t="s">
        <v>20</v>
      </c>
      <c r="O63" s="345" t="s">
        <v>20</v>
      </c>
      <c r="P63" s="345" t="s">
        <v>20</v>
      </c>
      <c r="Q63" s="345" t="s">
        <v>20</v>
      </c>
      <c r="R63" s="345" t="s">
        <v>20</v>
      </c>
      <c r="S63" s="348" t="s">
        <v>20</v>
      </c>
    </row>
    <row r="64" spans="1:21" ht="14.25" outlineLevel="2" thickBot="1" x14ac:dyDescent="0.3">
      <c r="D64" s="1170" t="s">
        <v>94</v>
      </c>
      <c r="E64" s="1171" t="s">
        <v>95</v>
      </c>
      <c r="F64" s="1172" t="s">
        <v>96</v>
      </c>
      <c r="G64" s="350"/>
      <c r="H64" s="350"/>
      <c r="I64" s="350">
        <v>0</v>
      </c>
      <c r="J64" s="351">
        <v>0</v>
      </c>
      <c r="K64" s="351">
        <v>0</v>
      </c>
      <c r="L64" s="351"/>
      <c r="M64" s="351"/>
      <c r="N64" s="351"/>
      <c r="O64" s="351"/>
      <c r="P64" s="351"/>
      <c r="Q64" s="351"/>
      <c r="R64" s="351"/>
      <c r="S64" s="352"/>
      <c r="U64" s="360"/>
    </row>
    <row r="65" spans="1:21" ht="34.5" outlineLevel="2" thickBot="1" x14ac:dyDescent="0.3">
      <c r="D65" s="1170" t="s">
        <v>97</v>
      </c>
      <c r="E65" s="1171" t="s">
        <v>98</v>
      </c>
      <c r="F65" s="1172" t="s">
        <v>96</v>
      </c>
      <c r="G65" s="350"/>
      <c r="H65" s="350"/>
      <c r="I65" s="350">
        <v>213</v>
      </c>
      <c r="J65" s="351">
        <v>88.06</v>
      </c>
      <c r="K65" s="351"/>
      <c r="L65" s="351">
        <v>9.16</v>
      </c>
      <c r="M65" s="351">
        <v>0.2</v>
      </c>
      <c r="N65" s="351">
        <v>78.7</v>
      </c>
      <c r="O65" s="351"/>
      <c r="P65" s="351"/>
      <c r="Q65" s="351"/>
      <c r="R65" s="351"/>
      <c r="S65" s="352"/>
      <c r="U65" s="360"/>
    </row>
    <row r="66" spans="1:21" ht="34.5" outlineLevel="2" thickBot="1" x14ac:dyDescent="0.3">
      <c r="D66" s="1170" t="s">
        <v>97</v>
      </c>
      <c r="E66" s="1171" t="s">
        <v>98</v>
      </c>
      <c r="F66" s="1172" t="s">
        <v>96</v>
      </c>
      <c r="G66" s="350"/>
      <c r="H66" s="350"/>
      <c r="I66" s="350">
        <v>1144</v>
      </c>
      <c r="J66" s="351">
        <v>473</v>
      </c>
      <c r="K66" s="137">
        <v>0</v>
      </c>
      <c r="L66" s="137">
        <v>49.19</v>
      </c>
      <c r="M66" s="137">
        <v>1.1000000000000001</v>
      </c>
      <c r="N66" s="351">
        <v>422.71</v>
      </c>
      <c r="O66" s="351"/>
      <c r="P66" s="351"/>
      <c r="Q66" s="351"/>
      <c r="R66" s="351"/>
      <c r="S66" s="352"/>
      <c r="U66" s="360"/>
    </row>
    <row r="67" spans="1:21" ht="23.25" outlineLevel="2" thickBot="1" x14ac:dyDescent="0.3">
      <c r="D67" s="1170" t="s">
        <v>99</v>
      </c>
      <c r="E67" s="1171" t="s">
        <v>100</v>
      </c>
      <c r="F67" s="1172" t="s">
        <v>96</v>
      </c>
      <c r="G67" s="350"/>
      <c r="H67" s="350"/>
      <c r="I67" s="350">
        <v>5328</v>
      </c>
      <c r="J67" s="351">
        <v>2197.8000000000002</v>
      </c>
      <c r="K67" s="351">
        <v>0</v>
      </c>
      <c r="L67" s="351">
        <v>229.1</v>
      </c>
      <c r="M67" s="351">
        <v>0</v>
      </c>
      <c r="N67" s="351">
        <v>1968.7</v>
      </c>
      <c r="O67" s="351"/>
      <c r="P67" s="351"/>
      <c r="Q67" s="351"/>
      <c r="R67" s="351"/>
      <c r="S67" s="352"/>
      <c r="U67" s="360"/>
    </row>
    <row r="68" spans="1:21" ht="23.25" outlineLevel="2" thickBot="1" x14ac:dyDescent="0.3">
      <c r="D68" s="1170" t="s">
        <v>99</v>
      </c>
      <c r="E68" s="1171" t="s">
        <v>100</v>
      </c>
      <c r="F68" s="1172" t="s">
        <v>96</v>
      </c>
      <c r="G68" s="350"/>
      <c r="H68" s="350"/>
      <c r="I68" s="350"/>
      <c r="J68" s="351"/>
      <c r="K68" s="351"/>
      <c r="L68" s="351"/>
      <c r="M68" s="351"/>
      <c r="N68" s="351"/>
      <c r="O68" s="351"/>
      <c r="P68" s="351"/>
      <c r="Q68" s="351"/>
      <c r="R68" s="351"/>
      <c r="S68" s="352"/>
      <c r="U68" s="360"/>
    </row>
    <row r="69" spans="1:21" ht="23.25" outlineLevel="2" thickBot="1" x14ac:dyDescent="0.3">
      <c r="D69" s="1170" t="s">
        <v>99</v>
      </c>
      <c r="E69" s="1171" t="s">
        <v>100</v>
      </c>
      <c r="F69" s="1172" t="s">
        <v>96</v>
      </c>
      <c r="G69" s="350"/>
      <c r="H69" s="350"/>
      <c r="I69" s="350">
        <v>0</v>
      </c>
      <c r="J69" s="351">
        <v>0</v>
      </c>
      <c r="K69" s="351"/>
      <c r="L69" s="351"/>
      <c r="M69" s="351"/>
      <c r="N69" s="351"/>
      <c r="O69" s="351"/>
      <c r="P69" s="351"/>
      <c r="Q69" s="351"/>
      <c r="R69" s="351"/>
      <c r="S69" s="352"/>
      <c r="U69" s="360"/>
    </row>
    <row r="70" spans="1:21" ht="14.25" thickBot="1" x14ac:dyDescent="0.3">
      <c r="D70" s="1173"/>
      <c r="E70" s="1174"/>
      <c r="F70" s="1175" t="s">
        <v>101</v>
      </c>
      <c r="G70" s="357"/>
      <c r="H70" s="354">
        <v>3</v>
      </c>
      <c r="I70" s="357">
        <v>6685</v>
      </c>
      <c r="J70" s="363">
        <v>2758.86</v>
      </c>
      <c r="K70" s="363">
        <v>0</v>
      </c>
      <c r="L70" s="363">
        <v>287.45</v>
      </c>
      <c r="M70" s="363">
        <v>1.3</v>
      </c>
      <c r="N70" s="363">
        <v>2470.11</v>
      </c>
      <c r="O70" s="363">
        <f>SUBTOTAL(9,O64:O69)</f>
        <v>0</v>
      </c>
      <c r="P70" s="363">
        <f>SUBTOTAL(9,P64:P69)</f>
        <v>0</v>
      </c>
      <c r="Q70" s="363">
        <f>SUBTOTAL(9,Q64:Q69)</f>
        <v>0</v>
      </c>
      <c r="R70" s="363">
        <f>SUBTOTAL(9,R64:R69)</f>
        <v>0</v>
      </c>
      <c r="S70" s="364">
        <f>SUBTOTAL(9,S64:S69)</f>
        <v>0</v>
      </c>
      <c r="T70" s="353">
        <f>ROUND(J70-SUM(K70:P70)-R70,2)</f>
        <v>0</v>
      </c>
    </row>
    <row r="71" spans="1:21" ht="34.5" outlineLevel="2" thickBot="1" x14ac:dyDescent="0.3">
      <c r="D71" s="1170" t="s">
        <v>102</v>
      </c>
      <c r="E71" s="1171" t="s">
        <v>103</v>
      </c>
      <c r="F71" s="1172" t="s">
        <v>104</v>
      </c>
      <c r="G71" s="350"/>
      <c r="H71" s="358"/>
      <c r="I71" s="350">
        <v>0</v>
      </c>
      <c r="J71" s="351">
        <v>35555.129999999997</v>
      </c>
      <c r="K71" s="351"/>
      <c r="L71" s="351"/>
      <c r="M71" s="351"/>
      <c r="N71" s="351">
        <v>35555.129999999997</v>
      </c>
      <c r="O71" s="351"/>
      <c r="P71" s="351"/>
      <c r="Q71" s="351"/>
      <c r="R71" s="351"/>
      <c r="S71" s="352"/>
      <c r="T71" s="381"/>
    </row>
    <row r="72" spans="1:21" ht="14.25" thickBot="1" x14ac:dyDescent="0.3">
      <c r="D72" s="1173"/>
      <c r="E72" s="1174"/>
      <c r="F72" s="1175" t="s">
        <v>105</v>
      </c>
      <c r="G72" s="357"/>
      <c r="H72" s="354">
        <v>2</v>
      </c>
      <c r="I72" s="357">
        <v>0</v>
      </c>
      <c r="J72" s="363">
        <v>35555.129999999997</v>
      </c>
      <c r="K72" s="363">
        <v>0</v>
      </c>
      <c r="L72" s="363">
        <v>0</v>
      </c>
      <c r="M72" s="363">
        <v>0</v>
      </c>
      <c r="N72" s="363">
        <v>35555.129999999997</v>
      </c>
      <c r="O72" s="363">
        <f>SUBTOTAL(9,O71:O71)</f>
        <v>0</v>
      </c>
      <c r="P72" s="363">
        <f>SUBTOTAL(9,P71:P71)</f>
        <v>0</v>
      </c>
      <c r="Q72" s="363">
        <f>SUBTOTAL(9,Q71:Q71)</f>
        <v>0</v>
      </c>
      <c r="R72" s="363">
        <f>SUBTOTAL(9,R71:R71)</f>
        <v>0</v>
      </c>
      <c r="S72" s="364">
        <f>SUBTOTAL(9,S71:S71)</f>
        <v>0</v>
      </c>
      <c r="T72" s="353">
        <f>ROUND(J72-SUM(K72:P72)-R72,2)</f>
        <v>0</v>
      </c>
    </row>
    <row r="73" spans="1:21" ht="23.25" outlineLevel="2" thickBot="1" x14ac:dyDescent="0.3">
      <c r="D73" s="1170" t="s">
        <v>106</v>
      </c>
      <c r="E73" s="1171" t="s">
        <v>107</v>
      </c>
      <c r="F73" s="1172" t="s">
        <v>72</v>
      </c>
      <c r="G73" s="357"/>
      <c r="H73" s="358"/>
      <c r="I73" s="350">
        <v>3800</v>
      </c>
      <c r="J73" s="351">
        <v>2203.61</v>
      </c>
      <c r="K73" s="351">
        <v>781</v>
      </c>
      <c r="L73" s="351">
        <v>18.510000000000002</v>
      </c>
      <c r="M73" s="351">
        <v>0</v>
      </c>
      <c r="N73" s="351">
        <v>1404.1</v>
      </c>
      <c r="O73" s="351"/>
      <c r="P73" s="351"/>
      <c r="Q73" s="351"/>
      <c r="R73" s="351"/>
      <c r="S73" s="352"/>
      <c r="T73" s="381"/>
    </row>
    <row r="74" spans="1:21" ht="14.25" thickBot="1" x14ac:dyDescent="0.3">
      <c r="D74" s="1173"/>
      <c r="E74" s="1192"/>
      <c r="F74" s="1193" t="s">
        <v>108</v>
      </c>
      <c r="G74" s="357"/>
      <c r="H74" s="354">
        <v>1</v>
      </c>
      <c r="I74" s="357">
        <v>3800</v>
      </c>
      <c r="J74" s="363">
        <v>2203.61</v>
      </c>
      <c r="K74" s="363">
        <v>781</v>
      </c>
      <c r="L74" s="363">
        <v>18.510000000000002</v>
      </c>
      <c r="M74" s="363">
        <v>0</v>
      </c>
      <c r="N74" s="363">
        <v>1404.1</v>
      </c>
      <c r="O74" s="363">
        <f>SUBTOTAL(9,O73:O73)</f>
        <v>0</v>
      </c>
      <c r="P74" s="363">
        <f>SUBTOTAL(9,P73:P73)</f>
        <v>0</v>
      </c>
      <c r="Q74" s="363">
        <f>SUBTOTAL(9,Q73:Q73)</f>
        <v>0</v>
      </c>
      <c r="R74" s="363">
        <f>SUBTOTAL(9,R73:R73)</f>
        <v>0</v>
      </c>
      <c r="S74" s="364">
        <f>SUBTOTAL(9,S73:S73)</f>
        <v>0</v>
      </c>
      <c r="T74" s="353">
        <f>ROUND(J74-SUM(K74:P74)-R74,2)</f>
        <v>0</v>
      </c>
    </row>
    <row r="75" spans="1:21" ht="23.25" outlineLevel="2" thickBot="1" x14ac:dyDescent="0.3">
      <c r="D75" s="1170" t="s">
        <v>109</v>
      </c>
      <c r="E75" s="1171" t="s">
        <v>110</v>
      </c>
      <c r="F75" s="1199" t="s">
        <v>111</v>
      </c>
      <c r="G75" s="350"/>
      <c r="H75" s="358"/>
      <c r="I75" s="350">
        <v>4745</v>
      </c>
      <c r="J75" s="351">
        <v>2078.06</v>
      </c>
      <c r="K75" s="351">
        <v>275</v>
      </c>
      <c r="L75" s="351">
        <v>49.78</v>
      </c>
      <c r="M75" s="351">
        <v>0</v>
      </c>
      <c r="N75" s="351">
        <v>1753.28</v>
      </c>
      <c r="O75" s="351"/>
      <c r="P75" s="351"/>
      <c r="Q75" s="351"/>
      <c r="R75" s="351"/>
      <c r="S75" s="352"/>
      <c r="T75" s="381"/>
    </row>
    <row r="76" spans="1:21" ht="14.25" thickBot="1" x14ac:dyDescent="0.3">
      <c r="D76" s="1173"/>
      <c r="E76" s="1192"/>
      <c r="F76" s="1193" t="s">
        <v>112</v>
      </c>
      <c r="G76" s="357"/>
      <c r="H76" s="354">
        <v>1</v>
      </c>
      <c r="I76" s="357">
        <v>4745</v>
      </c>
      <c r="J76" s="363">
        <v>2078.06</v>
      </c>
      <c r="K76" s="363">
        <v>275</v>
      </c>
      <c r="L76" s="363">
        <v>49.78</v>
      </c>
      <c r="M76" s="363">
        <v>0</v>
      </c>
      <c r="N76" s="363">
        <v>1753.28</v>
      </c>
      <c r="O76" s="363">
        <f>SUBTOTAL(9,O75:O75)</f>
        <v>0</v>
      </c>
      <c r="P76" s="363">
        <f>SUBTOTAL(9,P75:P75)</f>
        <v>0</v>
      </c>
      <c r="Q76" s="363">
        <f>SUBTOTAL(9,Q75:Q75)</f>
        <v>0</v>
      </c>
      <c r="R76" s="363">
        <f>SUBTOTAL(9,R75:R75)</f>
        <v>0</v>
      </c>
      <c r="S76" s="364">
        <f>SUBTOTAL(9,S75:S75)</f>
        <v>0</v>
      </c>
      <c r="T76" s="353">
        <f>ROUND(J76-SUM(K76:P76)-R76,2)</f>
        <v>0</v>
      </c>
    </row>
    <row r="77" spans="1:21" ht="23.25" outlineLevel="2" thickBot="1" x14ac:dyDescent="0.3">
      <c r="D77" s="1170" t="s">
        <v>113</v>
      </c>
      <c r="E77" s="1171" t="s">
        <v>114</v>
      </c>
      <c r="F77" s="1199" t="s">
        <v>115</v>
      </c>
      <c r="G77" s="350"/>
      <c r="H77" s="358"/>
      <c r="I77" s="350">
        <v>12714</v>
      </c>
      <c r="J77" s="351">
        <v>7357.57</v>
      </c>
      <c r="K77" s="351">
        <v>781</v>
      </c>
      <c r="L77" s="351">
        <v>61.92</v>
      </c>
      <c r="M77" s="351">
        <v>0</v>
      </c>
      <c r="N77" s="351">
        <v>6514.65</v>
      </c>
      <c r="O77" s="351"/>
      <c r="P77" s="351"/>
      <c r="Q77" s="351"/>
      <c r="R77" s="351"/>
      <c r="S77" s="352"/>
      <c r="T77" s="381"/>
    </row>
    <row r="78" spans="1:21" ht="14.25" thickBot="1" x14ac:dyDescent="0.3">
      <c r="D78" s="1184"/>
      <c r="E78" s="1192"/>
      <c r="F78" s="1193" t="s">
        <v>116</v>
      </c>
      <c r="G78" s="357"/>
      <c r="H78" s="354">
        <v>1</v>
      </c>
      <c r="I78" s="357">
        <v>12714</v>
      </c>
      <c r="J78" s="363">
        <v>7357.57</v>
      </c>
      <c r="K78" s="363">
        <v>781</v>
      </c>
      <c r="L78" s="363">
        <v>61.92</v>
      </c>
      <c r="M78" s="363">
        <v>0</v>
      </c>
      <c r="N78" s="363">
        <v>6514.65</v>
      </c>
      <c r="O78" s="363">
        <f>SUBTOTAL(9,O77:O77)</f>
        <v>0</v>
      </c>
      <c r="P78" s="363">
        <f>SUBTOTAL(9,P77:P77)</f>
        <v>0</v>
      </c>
      <c r="Q78" s="363">
        <f>SUBTOTAL(9,Q77:Q77)</f>
        <v>0</v>
      </c>
      <c r="R78" s="363">
        <f>SUBTOTAL(9,R77:R77)</f>
        <v>0</v>
      </c>
      <c r="S78" s="364">
        <f>SUBTOTAL(9,S77:S77)</f>
        <v>0</v>
      </c>
      <c r="T78" s="353">
        <f>ROUND(J78-SUM(K78:P78)-R78,2)</f>
        <v>0</v>
      </c>
    </row>
    <row r="79" spans="1:21" ht="14.25" thickBot="1" x14ac:dyDescent="0.3">
      <c r="A79" s="1158"/>
      <c r="B79" s="1158"/>
      <c r="C79" s="1158"/>
      <c r="D79" s="1396" t="s">
        <v>117</v>
      </c>
      <c r="E79" s="1396"/>
      <c r="F79" s="1200" t="s">
        <v>118</v>
      </c>
      <c r="G79" s="171"/>
      <c r="H79" s="171">
        <f>SUBTOTAL(9,H64:H78)</f>
        <v>8</v>
      </c>
      <c r="I79" s="171">
        <v>27944</v>
      </c>
      <c r="J79" s="172">
        <v>49953.229999999996</v>
      </c>
      <c r="K79" s="172">
        <v>1837</v>
      </c>
      <c r="L79" s="172">
        <v>417.66</v>
      </c>
      <c r="M79" s="172">
        <v>1.3</v>
      </c>
      <c r="N79" s="172">
        <v>47697.27</v>
      </c>
      <c r="O79" s="172">
        <f>SUBTOTAL(9,O64:O78)</f>
        <v>0</v>
      </c>
      <c r="P79" s="172">
        <f>SUBTOTAL(9,P64:P78)</f>
        <v>0</v>
      </c>
      <c r="Q79" s="172">
        <f>SUBTOTAL(9,Q64:Q78)</f>
        <v>0</v>
      </c>
      <c r="R79" s="172">
        <f>SUBTOTAL(9,R64:R78)</f>
        <v>0</v>
      </c>
      <c r="S79" s="173">
        <f>SUBTOTAL(9,S64:S78)</f>
        <v>0</v>
      </c>
      <c r="T79" s="353">
        <f>ROUND(J79-SUM(K79:P79)-R79,2)</f>
        <v>0</v>
      </c>
    </row>
    <row r="80" spans="1:21" ht="13.5" x14ac:dyDescent="0.25">
      <c r="G80" s="338"/>
      <c r="H80" s="338"/>
      <c r="I80" s="382"/>
      <c r="K80" s="383"/>
      <c r="L80" s="383"/>
      <c r="M80" s="383"/>
      <c r="N80" s="383"/>
      <c r="O80" s="383"/>
      <c r="P80" s="383"/>
    </row>
    <row r="81" spans="1:8" x14ac:dyDescent="0.2">
      <c r="G81" s="384" t="s">
        <v>76</v>
      </c>
      <c r="H81" s="385" t="s">
        <v>119</v>
      </c>
    </row>
    <row r="82" spans="1:8" s="386" customFormat="1" ht="11.25" x14ac:dyDescent="0.2">
      <c r="A82" s="1201"/>
      <c r="B82" s="1201"/>
      <c r="C82" s="1201"/>
      <c r="D82" s="1201"/>
      <c r="E82" s="1201"/>
      <c r="F82" s="1201"/>
      <c r="G82" s="384" t="s">
        <v>74</v>
      </c>
      <c r="H82" s="385" t="s">
        <v>120</v>
      </c>
    </row>
    <row r="83" spans="1:8" x14ac:dyDescent="0.2">
      <c r="G83" s="384" t="s">
        <v>71</v>
      </c>
      <c r="H83" s="385" t="s">
        <v>121</v>
      </c>
    </row>
    <row r="84" spans="1:8" x14ac:dyDescent="0.2">
      <c r="G84" s="387"/>
      <c r="H84" s="380"/>
    </row>
  </sheetData>
  <mergeCells count="5">
    <mergeCell ref="F1:K1"/>
    <mergeCell ref="D4:E4"/>
    <mergeCell ref="D50:E50"/>
    <mergeCell ref="D62:E62"/>
    <mergeCell ref="D79:E79"/>
  </mergeCells>
  <conditionalFormatting sqref="T52:T57 T5:T45">
    <cfRule type="cellIs" dxfId="21" priority="7" stopIfTrue="1" operator="notEqual">
      <formula>0</formula>
    </cfRule>
  </conditionalFormatting>
  <conditionalFormatting sqref="T70">
    <cfRule type="cellIs" dxfId="20" priority="6" stopIfTrue="1" operator="notEqual">
      <formula>0</formula>
    </cfRule>
  </conditionalFormatting>
  <conditionalFormatting sqref="T72">
    <cfRule type="cellIs" dxfId="19" priority="5" stopIfTrue="1" operator="notEqual">
      <formula>0</formula>
    </cfRule>
  </conditionalFormatting>
  <conditionalFormatting sqref="T74">
    <cfRule type="cellIs" dxfId="18" priority="4" stopIfTrue="1" operator="notEqual">
      <formula>0</formula>
    </cfRule>
  </conditionalFormatting>
  <conditionalFormatting sqref="T76">
    <cfRule type="cellIs" dxfId="17" priority="3" stopIfTrue="1" operator="notEqual">
      <formula>0</formula>
    </cfRule>
  </conditionalFormatting>
  <conditionalFormatting sqref="T78">
    <cfRule type="cellIs" dxfId="16" priority="2" stopIfTrue="1" operator="notEqual">
      <formula>0</formula>
    </cfRule>
  </conditionalFormatting>
  <conditionalFormatting sqref="T79">
    <cfRule type="cellIs" dxfId="15" priority="1" stopIfTrue="1" operator="notEqual">
      <formula>0</formula>
    </cfRule>
  </conditionalFormatting>
  <printOptions horizontalCentered="1"/>
  <pageMargins left="0.25" right="0" top="0.25" bottom="0.5" header="0.25" footer="0.25"/>
  <pageSetup scale="52" fitToHeight="2" orientation="landscape" r:id="rId1"/>
  <headerFooter alignWithMargins="0">
    <oddFooter>&amp;C&amp;P of &amp;N</oddFooter>
  </headerFooter>
  <rowBreaks count="1" manualBreakCount="1">
    <brk id="61" min="3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8" tint="0.39997558519241921"/>
    <pageSetUpPr fitToPage="1"/>
  </sheetPr>
  <dimension ref="A1:V81"/>
  <sheetViews>
    <sheetView showGridLines="0" topLeftCell="A10" zoomScaleNormal="100" workbookViewId="0"/>
  </sheetViews>
  <sheetFormatPr defaultRowHeight="12.75" outlineLevelRow="2" x14ac:dyDescent="0.2"/>
  <cols>
    <col min="1" max="1" width="14.85546875" style="1160" customWidth="1"/>
    <col min="2" max="2" width="8.5703125" style="1160" customWidth="1"/>
    <col min="3" max="3" width="31.5703125" style="1160" customWidth="1"/>
    <col min="4" max="4" width="19.28515625" style="1160" customWidth="1"/>
    <col min="5" max="5" width="18.42578125" style="1160" customWidth="1"/>
    <col min="6" max="6" width="30.140625" style="338" bestFit="1" customWidth="1"/>
    <col min="7" max="7" width="3.7109375" style="340" bestFit="1" customWidth="1"/>
    <col min="8" max="8" width="13.5703125" style="340" bestFit="1" customWidth="1"/>
    <col min="9" max="9" width="12" style="338" customWidth="1"/>
    <col min="10" max="10" width="14.85546875" style="338" bestFit="1" customWidth="1"/>
    <col min="11" max="11" width="13.85546875" style="338" bestFit="1" customWidth="1"/>
    <col min="12" max="12" width="14.85546875" style="338" bestFit="1" customWidth="1"/>
    <col min="13" max="13" width="12.28515625" style="338" bestFit="1" customWidth="1"/>
    <col min="14" max="14" width="15.140625" style="338" bestFit="1" customWidth="1"/>
    <col min="15" max="15" width="13.5703125" style="338" bestFit="1" customWidth="1"/>
    <col min="16" max="16" width="5.5703125" style="338" bestFit="1" customWidth="1"/>
    <col min="17" max="17" width="10.5703125" style="338" bestFit="1" customWidth="1"/>
    <col min="18" max="18" width="13.140625" style="338" bestFit="1" customWidth="1"/>
    <col min="19" max="19" width="10.7109375" style="338" customWidth="1"/>
    <col min="20" max="20" width="17.7109375" style="338" bestFit="1" customWidth="1"/>
    <col min="21" max="21" width="6.28515625" style="338" bestFit="1" customWidth="1"/>
    <col min="22" max="22" width="13.85546875" style="338" bestFit="1" customWidth="1"/>
    <col min="23" max="16384" width="9.140625" style="338"/>
  </cols>
  <sheetData>
    <row r="1" spans="1:22" ht="23.25" customHeight="1" x14ac:dyDescent="0.35">
      <c r="A1" s="1159"/>
      <c r="D1" s="1159"/>
      <c r="F1" s="1397" t="s">
        <v>799</v>
      </c>
      <c r="G1" s="1397"/>
      <c r="H1" s="1397"/>
      <c r="I1" s="1397"/>
      <c r="J1" s="1397"/>
      <c r="K1" s="1397"/>
      <c r="L1" s="339"/>
    </row>
    <row r="2" spans="1:22" ht="15.75" thickBot="1" x14ac:dyDescent="0.35">
      <c r="A2" s="1161"/>
      <c r="D2" s="1161"/>
    </row>
    <row r="3" spans="1:22" ht="23.25" thickBot="1" x14ac:dyDescent="0.25">
      <c r="A3" s="1162"/>
      <c r="B3" s="1163"/>
      <c r="C3" s="1163"/>
      <c r="D3" s="1164" t="s">
        <v>1</v>
      </c>
      <c r="E3" s="1165"/>
      <c r="F3" s="478" t="s">
        <v>1</v>
      </c>
      <c r="G3" s="479"/>
      <c r="H3" s="480" t="s">
        <v>2</v>
      </c>
      <c r="I3" s="481" t="s">
        <v>3</v>
      </c>
      <c r="J3" s="481" t="s">
        <v>4</v>
      </c>
      <c r="K3" s="481" t="s">
        <v>5</v>
      </c>
      <c r="L3" s="481" t="s">
        <v>6</v>
      </c>
      <c r="M3" s="481" t="s">
        <v>7</v>
      </c>
      <c r="N3" s="481" t="s">
        <v>8</v>
      </c>
      <c r="O3" s="481" t="s">
        <v>9</v>
      </c>
      <c r="P3" s="481" t="s">
        <v>10</v>
      </c>
      <c r="Q3" s="481" t="s">
        <v>11</v>
      </c>
      <c r="R3" s="481" t="s">
        <v>12</v>
      </c>
      <c r="S3" s="482" t="s">
        <v>13</v>
      </c>
    </row>
    <row r="4" spans="1:22" ht="13.5" customHeight="1" thickBot="1" x14ac:dyDescent="0.25">
      <c r="A4" s="1167" t="s">
        <v>14</v>
      </c>
      <c r="B4" s="1168" t="s">
        <v>15</v>
      </c>
      <c r="C4" s="1168" t="s">
        <v>16</v>
      </c>
      <c r="D4" s="1398" t="s">
        <v>17</v>
      </c>
      <c r="E4" s="1399"/>
      <c r="F4" s="483" t="s">
        <v>18</v>
      </c>
      <c r="G4" s="484"/>
      <c r="H4" s="484"/>
      <c r="I4" s="485" t="s">
        <v>19</v>
      </c>
      <c r="J4" s="486" t="s">
        <v>20</v>
      </c>
      <c r="K4" s="486" t="s">
        <v>20</v>
      </c>
      <c r="L4" s="486" t="s">
        <v>20</v>
      </c>
      <c r="M4" s="486" t="s">
        <v>20</v>
      </c>
      <c r="N4" s="486" t="s">
        <v>20</v>
      </c>
      <c r="O4" s="486" t="s">
        <v>20</v>
      </c>
      <c r="P4" s="486" t="s">
        <v>20</v>
      </c>
      <c r="Q4" s="486" t="s">
        <v>20</v>
      </c>
      <c r="R4" s="486" t="s">
        <v>20</v>
      </c>
      <c r="S4" s="487" t="s">
        <v>20</v>
      </c>
      <c r="T4" s="349" t="s">
        <v>257</v>
      </c>
    </row>
    <row r="5" spans="1:22" ht="13.5" customHeight="1" outlineLevel="2" thickBot="1" x14ac:dyDescent="0.3">
      <c r="A5" s="1170" t="s">
        <v>21</v>
      </c>
      <c r="B5" s="1170" t="s">
        <v>21</v>
      </c>
      <c r="C5" s="1170" t="s">
        <v>22</v>
      </c>
      <c r="D5" s="1170" t="s">
        <v>23</v>
      </c>
      <c r="E5" s="1171" t="s">
        <v>24</v>
      </c>
      <c r="F5" s="488" t="s">
        <v>25</v>
      </c>
      <c r="G5" s="350"/>
      <c r="H5" s="350"/>
      <c r="I5" s="350">
        <v>0</v>
      </c>
      <c r="J5" s="351">
        <v>0</v>
      </c>
      <c r="K5" s="351">
        <v>0</v>
      </c>
      <c r="L5" s="351">
        <v>0</v>
      </c>
      <c r="M5" s="137">
        <v>0</v>
      </c>
      <c r="N5" s="137">
        <v>0</v>
      </c>
      <c r="O5" s="270">
        <v>0</v>
      </c>
      <c r="P5" s="137">
        <v>0</v>
      </c>
      <c r="Q5" s="270">
        <v>0</v>
      </c>
      <c r="R5" s="270">
        <v>0</v>
      </c>
      <c r="S5" s="352">
        <v>0</v>
      </c>
      <c r="T5" s="353"/>
    </row>
    <row r="6" spans="1:22" ht="13.5" customHeight="1" outlineLevel="2" thickBot="1" x14ac:dyDescent="0.3">
      <c r="A6" s="1170" t="s">
        <v>21</v>
      </c>
      <c r="B6" s="1170" t="s">
        <v>21</v>
      </c>
      <c r="C6" s="1170" t="s">
        <v>26</v>
      </c>
      <c r="D6" s="1170" t="s">
        <v>23</v>
      </c>
      <c r="E6" s="1171" t="s">
        <v>24</v>
      </c>
      <c r="F6" s="488" t="s">
        <v>27</v>
      </c>
      <c r="G6" s="350"/>
      <c r="H6" s="350"/>
      <c r="I6" s="350">
        <v>90047</v>
      </c>
      <c r="J6" s="351">
        <v>51574.770000000004</v>
      </c>
      <c r="K6" s="351">
        <v>275</v>
      </c>
      <c r="L6" s="351">
        <v>4729.2700000000004</v>
      </c>
      <c r="M6" s="137">
        <v>104.45</v>
      </c>
      <c r="N6" s="137">
        <v>46466.05</v>
      </c>
      <c r="O6" s="137">
        <v>0</v>
      </c>
      <c r="P6" s="137">
        <v>0</v>
      </c>
      <c r="Q6" s="137">
        <v>0</v>
      </c>
      <c r="R6" s="137">
        <v>0</v>
      </c>
      <c r="S6" s="352">
        <v>0</v>
      </c>
      <c r="T6" s="353"/>
    </row>
    <row r="7" spans="1:22" ht="13.5" customHeight="1" outlineLevel="2" thickBot="1" x14ac:dyDescent="0.3">
      <c r="A7" s="1170" t="s">
        <v>21</v>
      </c>
      <c r="B7" s="1170" t="s">
        <v>21</v>
      </c>
      <c r="C7" s="1170" t="s">
        <v>28</v>
      </c>
      <c r="D7" s="1170" t="s">
        <v>29</v>
      </c>
      <c r="E7" s="1171" t="s">
        <v>30</v>
      </c>
      <c r="F7" s="488" t="s">
        <v>31</v>
      </c>
      <c r="G7" s="350"/>
      <c r="H7" s="350"/>
      <c r="I7" s="350">
        <v>172503</v>
      </c>
      <c r="J7" s="351">
        <v>100274.86</v>
      </c>
      <c r="K7" s="351">
        <v>2200</v>
      </c>
      <c r="L7" s="351">
        <v>9059.86</v>
      </c>
      <c r="M7" s="137">
        <v>0</v>
      </c>
      <c r="N7" s="137">
        <v>89015</v>
      </c>
      <c r="O7" s="137">
        <v>0</v>
      </c>
      <c r="P7" s="137">
        <v>0</v>
      </c>
      <c r="Q7" s="137">
        <v>0</v>
      </c>
      <c r="R7" s="137">
        <v>0</v>
      </c>
      <c r="S7" s="352">
        <v>0</v>
      </c>
      <c r="T7" s="353"/>
    </row>
    <row r="8" spans="1:22" ht="13.5" customHeight="1" outlineLevel="2" thickBot="1" x14ac:dyDescent="0.3">
      <c r="A8" s="1170" t="s">
        <v>21</v>
      </c>
      <c r="B8" s="1170" t="s">
        <v>21</v>
      </c>
      <c r="C8" s="1170" t="s">
        <v>28</v>
      </c>
      <c r="D8" s="1170" t="s">
        <v>29</v>
      </c>
      <c r="E8" s="1171" t="s">
        <v>30</v>
      </c>
      <c r="F8" s="488" t="s">
        <v>31</v>
      </c>
      <c r="G8" s="350"/>
      <c r="H8" s="350"/>
      <c r="I8" s="350">
        <v>14850</v>
      </c>
      <c r="J8" s="351">
        <v>8717.82</v>
      </c>
      <c r="K8" s="351">
        <v>275</v>
      </c>
      <c r="L8" s="351">
        <v>779.92</v>
      </c>
      <c r="M8" s="137">
        <v>0</v>
      </c>
      <c r="N8" s="137">
        <v>7662.9</v>
      </c>
      <c r="O8" s="137">
        <v>0</v>
      </c>
      <c r="P8" s="137">
        <v>0</v>
      </c>
      <c r="Q8" s="137">
        <v>0</v>
      </c>
      <c r="R8" s="137">
        <v>0</v>
      </c>
      <c r="S8" s="352">
        <v>0</v>
      </c>
      <c r="T8" s="353"/>
    </row>
    <row r="9" spans="1:22" ht="13.5" customHeight="1" outlineLevel="2" thickBot="1" x14ac:dyDescent="0.3">
      <c r="A9" s="1170" t="s">
        <v>21</v>
      </c>
      <c r="B9" s="1170" t="s">
        <v>21</v>
      </c>
      <c r="C9" s="1170" t="s">
        <v>26</v>
      </c>
      <c r="D9" s="1170" t="s">
        <v>23</v>
      </c>
      <c r="E9" s="1171" t="s">
        <v>30</v>
      </c>
      <c r="F9" s="488" t="s">
        <v>32</v>
      </c>
      <c r="G9" s="350"/>
      <c r="H9" s="350"/>
      <c r="I9" s="350">
        <v>13869</v>
      </c>
      <c r="J9" s="351">
        <v>8738.17</v>
      </c>
      <c r="K9" s="351">
        <v>825</v>
      </c>
      <c r="L9" s="351">
        <v>728.4</v>
      </c>
      <c r="M9" s="137">
        <v>28.08</v>
      </c>
      <c r="N9" s="137">
        <v>7156.69</v>
      </c>
      <c r="O9" s="137">
        <v>0</v>
      </c>
      <c r="P9" s="137">
        <v>0</v>
      </c>
      <c r="Q9" s="137">
        <v>0</v>
      </c>
      <c r="R9" s="137">
        <v>0</v>
      </c>
      <c r="S9" s="352">
        <v>0</v>
      </c>
      <c r="T9" s="353"/>
    </row>
    <row r="10" spans="1:22" s="356" customFormat="1" ht="13.5" customHeight="1" outlineLevel="1" thickBot="1" x14ac:dyDescent="0.3">
      <c r="A10" s="1173"/>
      <c r="B10" s="1173"/>
      <c r="C10" s="1173"/>
      <c r="D10" s="1173"/>
      <c r="E10" s="1174"/>
      <c r="F10" s="489" t="s">
        <v>33</v>
      </c>
      <c r="G10" s="350"/>
      <c r="H10" s="354">
        <f>9+5</f>
        <v>14</v>
      </c>
      <c r="I10" s="355">
        <f t="shared" ref="I10:S10" si="0">SUBTOTAL(9,I5:I9)</f>
        <v>291269</v>
      </c>
      <c r="J10" s="143">
        <f>SUBTOTAL(9,J5:J9)</f>
        <v>169305.62000000002</v>
      </c>
      <c r="K10" s="143">
        <f t="shared" si="0"/>
        <v>3575</v>
      </c>
      <c r="L10" s="143">
        <f t="shared" si="0"/>
        <v>15297.45</v>
      </c>
      <c r="M10" s="143">
        <f t="shared" si="0"/>
        <v>132.53</v>
      </c>
      <c r="N10" s="143">
        <f t="shared" si="0"/>
        <v>150300.63999999998</v>
      </c>
      <c r="O10" s="143">
        <f t="shared" si="0"/>
        <v>0</v>
      </c>
      <c r="P10" s="143">
        <f t="shared" si="0"/>
        <v>0</v>
      </c>
      <c r="Q10" s="143">
        <f t="shared" si="0"/>
        <v>0</v>
      </c>
      <c r="R10" s="143">
        <f t="shared" si="0"/>
        <v>0</v>
      </c>
      <c r="S10" s="144">
        <f t="shared" si="0"/>
        <v>0</v>
      </c>
      <c r="T10" s="353">
        <f>ROUND(J10-SUM(K10:P10)-R10,2)</f>
        <v>0</v>
      </c>
    </row>
    <row r="11" spans="1:22" ht="13.5" customHeight="1" outlineLevel="2" thickBot="1" x14ac:dyDescent="0.3">
      <c r="A11" s="1170" t="s">
        <v>21</v>
      </c>
      <c r="B11" s="1170" t="s">
        <v>21</v>
      </c>
      <c r="C11" s="1170" t="s">
        <v>22</v>
      </c>
      <c r="D11" s="1170" t="s">
        <v>34</v>
      </c>
      <c r="E11" s="1171" t="s">
        <v>35</v>
      </c>
      <c r="F11" s="488" t="s">
        <v>36</v>
      </c>
      <c r="G11" s="357"/>
      <c r="H11" s="358"/>
      <c r="I11" s="359">
        <v>304</v>
      </c>
      <c r="J11" s="148">
        <v>694.13</v>
      </c>
      <c r="K11" s="148">
        <v>480</v>
      </c>
      <c r="L11" s="148">
        <v>56.91</v>
      </c>
      <c r="M11" s="148">
        <v>0.35</v>
      </c>
      <c r="N11" s="148">
        <v>156.87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353"/>
      <c r="V11" s="356"/>
    </row>
    <row r="12" spans="1:22" ht="13.5" customHeight="1" outlineLevel="2" thickBot="1" x14ac:dyDescent="0.3">
      <c r="A12" s="1170" t="s">
        <v>21</v>
      </c>
      <c r="B12" s="1170" t="s">
        <v>21</v>
      </c>
      <c r="C12" s="1170" t="s">
        <v>26</v>
      </c>
      <c r="D12" s="1170" t="s">
        <v>34</v>
      </c>
      <c r="E12" s="1171" t="s">
        <v>35</v>
      </c>
      <c r="F12" s="488" t="s">
        <v>36</v>
      </c>
      <c r="G12" s="350"/>
      <c r="H12" s="358"/>
      <c r="I12" s="359">
        <v>54</v>
      </c>
      <c r="J12" s="148">
        <v>128.04</v>
      </c>
      <c r="K12" s="148">
        <v>90</v>
      </c>
      <c r="L12" s="148">
        <v>10.11</v>
      </c>
      <c r="M12" s="148">
        <v>0.06</v>
      </c>
      <c r="N12" s="148">
        <v>27.87</v>
      </c>
      <c r="O12" s="148">
        <v>0</v>
      </c>
      <c r="P12" s="148">
        <v>0</v>
      </c>
      <c r="Q12" s="148">
        <v>0</v>
      </c>
      <c r="R12" s="148">
        <v>0</v>
      </c>
      <c r="S12" s="149">
        <v>0</v>
      </c>
      <c r="T12" s="353"/>
      <c r="V12" s="356"/>
    </row>
    <row r="13" spans="1:22" ht="13.5" customHeight="1" outlineLevel="2" thickBot="1" x14ac:dyDescent="0.3">
      <c r="A13" s="1170" t="s">
        <v>21</v>
      </c>
      <c r="B13" s="1170" t="s">
        <v>21</v>
      </c>
      <c r="C13" s="1170" t="s">
        <v>22</v>
      </c>
      <c r="D13" s="1170" t="s">
        <v>37</v>
      </c>
      <c r="E13" s="1171" t="s">
        <v>38</v>
      </c>
      <c r="F13" s="488" t="s">
        <v>39</v>
      </c>
      <c r="G13" s="350"/>
      <c r="H13" s="358"/>
      <c r="I13" s="359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9">
        <v>0</v>
      </c>
      <c r="T13" s="353"/>
      <c r="V13" s="356"/>
    </row>
    <row r="14" spans="1:22" ht="13.5" customHeight="1" outlineLevel="2" thickBot="1" x14ac:dyDescent="0.3">
      <c r="A14" s="1170" t="s">
        <v>21</v>
      </c>
      <c r="B14" s="1170" t="s">
        <v>21</v>
      </c>
      <c r="C14" s="1170" t="s">
        <v>22</v>
      </c>
      <c r="D14" s="1170" t="s">
        <v>37</v>
      </c>
      <c r="E14" s="1171" t="s">
        <v>38</v>
      </c>
      <c r="F14" s="488" t="s">
        <v>39</v>
      </c>
      <c r="G14" s="350"/>
      <c r="H14" s="358"/>
      <c r="I14" s="359">
        <v>13881205</v>
      </c>
      <c r="J14" s="148">
        <v>11010300.759999998</v>
      </c>
      <c r="K14" s="148">
        <v>848107.8</v>
      </c>
      <c r="L14" s="148">
        <v>2598832.7599999998</v>
      </c>
      <c r="M14" s="148">
        <v>16026.73</v>
      </c>
      <c r="N14" s="148">
        <v>7162943.9299999997</v>
      </c>
      <c r="O14" s="148">
        <v>384389.54</v>
      </c>
      <c r="P14" s="148">
        <v>0</v>
      </c>
      <c r="Q14" s="148">
        <v>0</v>
      </c>
      <c r="R14" s="148">
        <v>0</v>
      </c>
      <c r="S14" s="149">
        <v>3031.92</v>
      </c>
      <c r="T14" s="353"/>
      <c r="V14" s="356"/>
    </row>
    <row r="15" spans="1:22" ht="13.5" customHeight="1" outlineLevel="2" thickBot="1" x14ac:dyDescent="0.3">
      <c r="A15" s="1170" t="s">
        <v>21</v>
      </c>
      <c r="B15" s="1170" t="s">
        <v>21</v>
      </c>
      <c r="C15" s="1170" t="s">
        <v>26</v>
      </c>
      <c r="D15" s="1170" t="s">
        <v>37</v>
      </c>
      <c r="E15" s="1171" t="s">
        <v>38</v>
      </c>
      <c r="F15" s="488" t="s">
        <v>39</v>
      </c>
      <c r="G15" s="357"/>
      <c r="H15" s="358"/>
      <c r="I15" s="359">
        <v>2348518</v>
      </c>
      <c r="J15" s="148">
        <v>1800902.1199999999</v>
      </c>
      <c r="K15" s="148">
        <v>74412</v>
      </c>
      <c r="L15" s="148">
        <v>439689.55</v>
      </c>
      <c r="M15" s="148">
        <v>2701.44</v>
      </c>
      <c r="N15" s="148">
        <v>1211885.77</v>
      </c>
      <c r="O15" s="148">
        <v>72213.36</v>
      </c>
      <c r="P15" s="148">
        <v>0</v>
      </c>
      <c r="Q15" s="148">
        <v>0</v>
      </c>
      <c r="R15" s="148">
        <v>0</v>
      </c>
      <c r="S15" s="149">
        <v>376.35</v>
      </c>
      <c r="T15" s="353"/>
      <c r="V15" s="356"/>
    </row>
    <row r="16" spans="1:22" ht="13.5" customHeight="1" outlineLevel="2" thickBot="1" x14ac:dyDescent="0.3">
      <c r="A16" s="1170" t="s">
        <v>21</v>
      </c>
      <c r="B16" s="1170" t="s">
        <v>21</v>
      </c>
      <c r="C16" s="1170" t="s">
        <v>40</v>
      </c>
      <c r="D16" s="1170" t="s">
        <v>37</v>
      </c>
      <c r="E16" s="1171" t="s">
        <v>38</v>
      </c>
      <c r="F16" s="488" t="s">
        <v>39</v>
      </c>
      <c r="G16" s="350"/>
      <c r="H16" s="358"/>
      <c r="I16" s="359">
        <v>3491</v>
      </c>
      <c r="J16" s="148">
        <v>2835.56</v>
      </c>
      <c r="K16" s="148">
        <v>320</v>
      </c>
      <c r="L16" s="148">
        <v>653.59</v>
      </c>
      <c r="M16" s="148">
        <v>4.05</v>
      </c>
      <c r="N16" s="148">
        <v>1801.42</v>
      </c>
      <c r="O16" s="148">
        <v>56.5</v>
      </c>
      <c r="P16" s="148">
        <v>0</v>
      </c>
      <c r="Q16" s="148">
        <v>0</v>
      </c>
      <c r="R16" s="148">
        <v>0</v>
      </c>
      <c r="S16" s="149">
        <v>0</v>
      </c>
      <c r="T16" s="353"/>
      <c r="V16" s="356"/>
    </row>
    <row r="17" spans="1:22" ht="13.5" customHeight="1" outlineLevel="2" thickBot="1" x14ac:dyDescent="0.3">
      <c r="A17" s="1170" t="s">
        <v>21</v>
      </c>
      <c r="B17" s="1170" t="s">
        <v>21</v>
      </c>
      <c r="C17" s="1170" t="s">
        <v>22</v>
      </c>
      <c r="D17" s="1170" t="s">
        <v>41</v>
      </c>
      <c r="E17" s="1171" t="s">
        <v>42</v>
      </c>
      <c r="F17" s="488" t="s">
        <v>43</v>
      </c>
      <c r="G17" s="350"/>
      <c r="H17" s="358"/>
      <c r="I17" s="359">
        <v>615</v>
      </c>
      <c r="J17" s="148">
        <v>19164.469999999998</v>
      </c>
      <c r="K17" s="148">
        <v>18728</v>
      </c>
      <c r="L17" s="148">
        <v>116.76</v>
      </c>
      <c r="M17" s="148">
        <v>0</v>
      </c>
      <c r="N17" s="148">
        <v>319.70999999999998</v>
      </c>
      <c r="O17" s="148">
        <v>0</v>
      </c>
      <c r="P17" s="148">
        <v>0</v>
      </c>
      <c r="Q17" s="148">
        <v>0</v>
      </c>
      <c r="R17" s="148">
        <v>0</v>
      </c>
      <c r="S17" s="149">
        <v>1.84</v>
      </c>
      <c r="T17" s="353"/>
      <c r="V17" s="356"/>
    </row>
    <row r="18" spans="1:22" s="356" customFormat="1" ht="13.5" customHeight="1" outlineLevel="1" thickBot="1" x14ac:dyDescent="0.3">
      <c r="A18" s="1173"/>
      <c r="B18" s="1173"/>
      <c r="C18" s="1173"/>
      <c r="D18" s="1173"/>
      <c r="E18" s="1174"/>
      <c r="F18" s="489" t="s">
        <v>44</v>
      </c>
      <c r="G18" s="350"/>
      <c r="H18" s="354">
        <f>25370+610+3</f>
        <v>25983</v>
      </c>
      <c r="I18" s="355">
        <f t="shared" ref="I18:S18" si="1">SUBTOTAL(9,I11:I17)</f>
        <v>16234187</v>
      </c>
      <c r="J18" s="143">
        <f>SUBTOTAL(9,J11:J17)</f>
        <v>12834025.079999998</v>
      </c>
      <c r="K18" s="143">
        <f t="shared" si="1"/>
        <v>942137.8</v>
      </c>
      <c r="L18" s="143">
        <f t="shared" si="1"/>
        <v>3039359.6799999992</v>
      </c>
      <c r="M18" s="143">
        <f t="shared" si="1"/>
        <v>18732.629999999997</v>
      </c>
      <c r="N18" s="143">
        <f t="shared" si="1"/>
        <v>8377135.5699999994</v>
      </c>
      <c r="O18" s="143">
        <f t="shared" si="1"/>
        <v>456659.39999999997</v>
      </c>
      <c r="P18" s="143">
        <f t="shared" si="1"/>
        <v>0</v>
      </c>
      <c r="Q18" s="143">
        <f t="shared" si="1"/>
        <v>0</v>
      </c>
      <c r="R18" s="143">
        <f t="shared" si="1"/>
        <v>0</v>
      </c>
      <c r="S18" s="144">
        <f t="shared" si="1"/>
        <v>3410.11</v>
      </c>
      <c r="T18" s="353">
        <f>ROUND(J18-SUM(K18:P18)-R18,2)</f>
        <v>0</v>
      </c>
    </row>
    <row r="19" spans="1:22" ht="13.5" customHeight="1" outlineLevel="2" thickBot="1" x14ac:dyDescent="0.3">
      <c r="A19" s="1170" t="s">
        <v>21</v>
      </c>
      <c r="B19" s="1170" t="s">
        <v>21</v>
      </c>
      <c r="C19" s="1170" t="s">
        <v>28</v>
      </c>
      <c r="D19" s="1170" t="s">
        <v>45</v>
      </c>
      <c r="E19" s="1171" t="s">
        <v>46</v>
      </c>
      <c r="F19" s="488" t="s">
        <v>47</v>
      </c>
      <c r="G19" s="350"/>
      <c r="H19" s="358"/>
      <c r="I19" s="359">
        <v>1085773</v>
      </c>
      <c r="J19" s="148">
        <v>787532.6399999999</v>
      </c>
      <c r="K19" s="148">
        <v>20716.32</v>
      </c>
      <c r="L19" s="148">
        <v>206535.75</v>
      </c>
      <c r="M19" s="271">
        <v>0</v>
      </c>
      <c r="N19" s="148">
        <v>560280.56999999995</v>
      </c>
      <c r="O19" s="271">
        <v>0</v>
      </c>
      <c r="P19" s="148">
        <v>0</v>
      </c>
      <c r="Q19" s="271">
        <v>0</v>
      </c>
      <c r="R19" s="271">
        <v>0</v>
      </c>
      <c r="S19" s="149">
        <v>0</v>
      </c>
      <c r="T19" s="353"/>
    </row>
    <row r="20" spans="1:22" ht="13.5" customHeight="1" outlineLevel="2" thickBot="1" x14ac:dyDescent="0.3">
      <c r="A20" s="1176"/>
      <c r="B20" s="1176"/>
      <c r="C20" s="1176"/>
      <c r="D20" s="1170" t="s">
        <v>45</v>
      </c>
      <c r="E20" s="1171" t="s">
        <v>46</v>
      </c>
      <c r="F20" s="488" t="s">
        <v>47</v>
      </c>
      <c r="G20" s="350"/>
      <c r="H20" s="358"/>
      <c r="I20" s="359">
        <v>5417</v>
      </c>
      <c r="J20" s="148">
        <v>3995.7000000000003</v>
      </c>
      <c r="K20" s="148">
        <v>170</v>
      </c>
      <c r="L20" s="148">
        <v>1030.42</v>
      </c>
      <c r="M20" s="148">
        <v>0</v>
      </c>
      <c r="N20" s="148">
        <v>2795.28</v>
      </c>
      <c r="O20" s="148">
        <v>0</v>
      </c>
      <c r="P20" s="148">
        <v>0</v>
      </c>
      <c r="Q20" s="148">
        <v>0</v>
      </c>
      <c r="R20" s="148">
        <v>0</v>
      </c>
      <c r="S20" s="149">
        <v>0</v>
      </c>
      <c r="T20" s="353"/>
    </row>
    <row r="21" spans="1:22" ht="13.5" customHeight="1" outlineLevel="2" thickBot="1" x14ac:dyDescent="0.3">
      <c r="A21" s="1170" t="s">
        <v>21</v>
      </c>
      <c r="B21" s="1170" t="s">
        <v>21</v>
      </c>
      <c r="C21" s="1170" t="s">
        <v>26</v>
      </c>
      <c r="D21" s="1170" t="s">
        <v>45</v>
      </c>
      <c r="E21" s="1171" t="s">
        <v>46</v>
      </c>
      <c r="F21" s="488" t="s">
        <v>47</v>
      </c>
      <c r="G21" s="350"/>
      <c r="H21" s="358"/>
      <c r="I21" s="359">
        <v>17733</v>
      </c>
      <c r="J21" s="148">
        <v>12813.74</v>
      </c>
      <c r="K21" s="148">
        <v>290</v>
      </c>
      <c r="L21" s="148">
        <v>3373.17</v>
      </c>
      <c r="M21" s="148">
        <v>0</v>
      </c>
      <c r="N21" s="148">
        <v>9150.57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353"/>
    </row>
    <row r="22" spans="1:22" s="356" customFormat="1" ht="13.5" customHeight="1" outlineLevel="1" thickBot="1" x14ac:dyDescent="0.3">
      <c r="A22" s="1173"/>
      <c r="B22" s="1173"/>
      <c r="C22" s="1173"/>
      <c r="D22" s="1173"/>
      <c r="E22" s="1174"/>
      <c r="F22" s="489" t="s">
        <v>48</v>
      </c>
      <c r="G22" s="357"/>
      <c r="H22" s="354">
        <f>213</f>
        <v>213</v>
      </c>
      <c r="I22" s="355">
        <f t="shared" ref="I22:S22" si="2">SUBTOTAL(9,I19:I21)</f>
        <v>1108923</v>
      </c>
      <c r="J22" s="143">
        <f>SUBTOTAL(9,J19:J21)</f>
        <v>804342.07999999984</v>
      </c>
      <c r="K22" s="143">
        <f t="shared" si="2"/>
        <v>21176.32</v>
      </c>
      <c r="L22" s="143">
        <f t="shared" si="2"/>
        <v>210939.34000000003</v>
      </c>
      <c r="M22" s="143">
        <f t="shared" si="2"/>
        <v>0</v>
      </c>
      <c r="N22" s="143">
        <f t="shared" si="2"/>
        <v>572226.41999999993</v>
      </c>
      <c r="O22" s="143">
        <f t="shared" si="2"/>
        <v>0</v>
      </c>
      <c r="P22" s="143">
        <f t="shared" si="2"/>
        <v>0</v>
      </c>
      <c r="Q22" s="143">
        <f t="shared" si="2"/>
        <v>0</v>
      </c>
      <c r="R22" s="143">
        <f t="shared" si="2"/>
        <v>0</v>
      </c>
      <c r="S22" s="144">
        <f t="shared" si="2"/>
        <v>0</v>
      </c>
      <c r="T22" s="353">
        <f>ROUND(J22-SUM(K22:P22)-R22,2)</f>
        <v>0</v>
      </c>
    </row>
    <row r="23" spans="1:22" ht="13.5" customHeight="1" outlineLevel="2" thickBot="1" x14ac:dyDescent="0.3">
      <c r="A23" s="1170" t="s">
        <v>21</v>
      </c>
      <c r="B23" s="1170" t="s">
        <v>21</v>
      </c>
      <c r="C23" s="1170" t="s">
        <v>40</v>
      </c>
      <c r="D23" s="1170" t="s">
        <v>49</v>
      </c>
      <c r="E23" s="1171" t="s">
        <v>50</v>
      </c>
      <c r="F23" s="488" t="s">
        <v>51</v>
      </c>
      <c r="G23" s="350"/>
      <c r="H23" s="358"/>
      <c r="I23" s="359">
        <v>32</v>
      </c>
      <c r="J23" s="148">
        <v>49.5</v>
      </c>
      <c r="K23" s="148">
        <v>25</v>
      </c>
      <c r="L23" s="148">
        <v>7.17</v>
      </c>
      <c r="M23" s="148">
        <v>0.82</v>
      </c>
      <c r="N23" s="148">
        <v>16.510000000000002</v>
      </c>
      <c r="O23" s="148">
        <v>0</v>
      </c>
      <c r="P23" s="148">
        <v>0</v>
      </c>
      <c r="Q23" s="148">
        <v>0</v>
      </c>
      <c r="R23" s="148">
        <v>0</v>
      </c>
      <c r="S23" s="149">
        <v>0</v>
      </c>
      <c r="T23" s="353"/>
    </row>
    <row r="24" spans="1:22" ht="13.5" customHeight="1" outlineLevel="2" thickBot="1" x14ac:dyDescent="0.3">
      <c r="A24" s="1170" t="s">
        <v>21</v>
      </c>
      <c r="B24" s="1170" t="s">
        <v>21</v>
      </c>
      <c r="C24" s="1170" t="s">
        <v>40</v>
      </c>
      <c r="D24" s="1170" t="s">
        <v>52</v>
      </c>
      <c r="E24" s="1171" t="s">
        <v>53</v>
      </c>
      <c r="F24" s="488" t="s">
        <v>54</v>
      </c>
      <c r="G24" s="357"/>
      <c r="H24" s="358"/>
      <c r="I24" s="359">
        <v>34457753</v>
      </c>
      <c r="J24" s="148">
        <v>31332365.720000003</v>
      </c>
      <c r="K24" s="148">
        <v>3671796.66</v>
      </c>
      <c r="L24" s="148">
        <v>7717106.6799999997</v>
      </c>
      <c r="M24" s="148">
        <v>882940.03</v>
      </c>
      <c r="N24" s="148">
        <v>17781743.91</v>
      </c>
      <c r="O24" s="148">
        <v>1278778.44</v>
      </c>
      <c r="P24" s="148">
        <v>0</v>
      </c>
      <c r="Q24" s="148">
        <v>47192.38</v>
      </c>
      <c r="R24" s="148">
        <v>0</v>
      </c>
      <c r="S24" s="149">
        <v>7305.58</v>
      </c>
      <c r="T24" s="353"/>
    </row>
    <row r="25" spans="1:22" ht="13.5" customHeight="1" outlineLevel="2" thickBot="1" x14ac:dyDescent="0.3">
      <c r="A25" s="1170" t="s">
        <v>21</v>
      </c>
      <c r="B25" s="1170" t="s">
        <v>21</v>
      </c>
      <c r="C25" s="1170" t="s">
        <v>26</v>
      </c>
      <c r="D25" s="1171" t="s">
        <v>52</v>
      </c>
      <c r="E25" s="1177" t="s">
        <v>53</v>
      </c>
      <c r="F25" s="488" t="s">
        <v>54</v>
      </c>
      <c r="G25" s="350"/>
      <c r="H25" s="358"/>
      <c r="I25" s="359">
        <v>2872</v>
      </c>
      <c r="J25" s="148">
        <v>2970.67</v>
      </c>
      <c r="K25" s="148">
        <v>660.84</v>
      </c>
      <c r="L25" s="148">
        <v>643.20000000000005</v>
      </c>
      <c r="M25" s="148">
        <v>81.2</v>
      </c>
      <c r="N25" s="148">
        <v>1482.01</v>
      </c>
      <c r="O25" s="148">
        <v>103.42</v>
      </c>
      <c r="P25" s="148">
        <v>0</v>
      </c>
      <c r="Q25" s="148">
        <v>8.56</v>
      </c>
      <c r="R25" s="148">
        <v>0</v>
      </c>
      <c r="S25" s="149">
        <v>0</v>
      </c>
      <c r="T25" s="353"/>
    </row>
    <row r="26" spans="1:22" ht="13.5" customHeight="1" outlineLevel="2" thickBot="1" x14ac:dyDescent="0.3">
      <c r="A26" s="1176"/>
      <c r="B26" s="1176"/>
      <c r="C26" s="1176"/>
      <c r="D26" s="1171" t="s">
        <v>52</v>
      </c>
      <c r="E26" s="1177" t="s">
        <v>53</v>
      </c>
      <c r="F26" s="488" t="s">
        <v>54</v>
      </c>
      <c r="G26" s="350"/>
      <c r="H26" s="358"/>
      <c r="I26" s="359">
        <v>651</v>
      </c>
      <c r="J26" s="148">
        <v>585.85</v>
      </c>
      <c r="K26" s="148">
        <v>62.5</v>
      </c>
      <c r="L26" s="148">
        <v>145.80000000000001</v>
      </c>
      <c r="M26" s="148">
        <v>16.7</v>
      </c>
      <c r="N26" s="148">
        <v>335.93</v>
      </c>
      <c r="O26" s="148">
        <v>24.92</v>
      </c>
      <c r="P26" s="148">
        <v>0</v>
      </c>
      <c r="Q26" s="148">
        <v>0.8</v>
      </c>
      <c r="R26" s="148">
        <v>0</v>
      </c>
      <c r="S26" s="149">
        <v>0</v>
      </c>
      <c r="T26" s="353"/>
    </row>
    <row r="27" spans="1:22" ht="13.5" customHeight="1" outlineLevel="2" thickBot="1" x14ac:dyDescent="0.3">
      <c r="A27" s="1170" t="s">
        <v>21</v>
      </c>
      <c r="B27" s="1170" t="s">
        <v>21</v>
      </c>
      <c r="C27" s="1170" t="s">
        <v>40</v>
      </c>
      <c r="D27" s="1170" t="s">
        <v>55</v>
      </c>
      <c r="E27" s="1171" t="s">
        <v>56</v>
      </c>
      <c r="F27" s="488" t="s">
        <v>57</v>
      </c>
      <c r="G27" s="357"/>
      <c r="H27" s="358"/>
      <c r="I27" s="359">
        <v>3504</v>
      </c>
      <c r="J27" s="148">
        <v>1650.5300000000002</v>
      </c>
      <c r="K27" s="148">
        <v>0.5</v>
      </c>
      <c r="L27" s="148">
        <v>-158.1</v>
      </c>
      <c r="M27" s="148">
        <v>0</v>
      </c>
      <c r="N27" s="148">
        <v>1808.13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353"/>
    </row>
    <row r="28" spans="1:22" s="356" customFormat="1" ht="13.5" customHeight="1" outlineLevel="1" thickBot="1" x14ac:dyDescent="0.3">
      <c r="A28" s="1173"/>
      <c r="B28" s="1173"/>
      <c r="C28" s="1173"/>
      <c r="D28" s="1173"/>
      <c r="E28" s="1174"/>
      <c r="F28" s="489" t="s">
        <v>58</v>
      </c>
      <c r="G28" s="357"/>
      <c r="H28" s="354">
        <v>292365</v>
      </c>
      <c r="I28" s="355">
        <f t="shared" ref="I28:S28" si="3">SUBTOTAL(9,I23:I27)</f>
        <v>34464812</v>
      </c>
      <c r="J28" s="143">
        <f>SUBTOTAL(9,J23:J27)</f>
        <v>31337622.270000007</v>
      </c>
      <c r="K28" s="143">
        <f t="shared" si="3"/>
        <v>3672545.5</v>
      </c>
      <c r="L28" s="143">
        <f t="shared" si="3"/>
        <v>7717744.75</v>
      </c>
      <c r="M28" s="143">
        <f t="shared" si="3"/>
        <v>883038.74999999988</v>
      </c>
      <c r="N28" s="143">
        <f t="shared" si="3"/>
        <v>17785386.490000002</v>
      </c>
      <c r="O28" s="143">
        <f t="shared" si="3"/>
        <v>1278906.7799999998</v>
      </c>
      <c r="P28" s="143">
        <f t="shared" si="3"/>
        <v>0</v>
      </c>
      <c r="Q28" s="143">
        <f t="shared" si="3"/>
        <v>47201.74</v>
      </c>
      <c r="R28" s="143">
        <f t="shared" si="3"/>
        <v>0</v>
      </c>
      <c r="S28" s="144">
        <f t="shared" si="3"/>
        <v>7305.58</v>
      </c>
      <c r="T28" s="353">
        <f>ROUND(J28-SUM(K28:P28)-R28,2)</f>
        <v>0</v>
      </c>
    </row>
    <row r="29" spans="1:22" ht="13.5" customHeight="1" outlineLevel="2" thickBot="1" x14ac:dyDescent="0.3">
      <c r="A29" s="1170" t="s">
        <v>21</v>
      </c>
      <c r="B29" s="1170" t="s">
        <v>21</v>
      </c>
      <c r="C29" s="1170" t="s">
        <v>40</v>
      </c>
      <c r="D29" s="1170" t="s">
        <v>59</v>
      </c>
      <c r="E29" s="1171" t="s">
        <v>60</v>
      </c>
      <c r="F29" s="488" t="s">
        <v>61</v>
      </c>
      <c r="G29" s="350"/>
      <c r="H29" s="358"/>
      <c r="I29" s="359">
        <v>1708</v>
      </c>
      <c r="J29" s="148">
        <v>1397.63</v>
      </c>
      <c r="K29" s="148">
        <v>37.5</v>
      </c>
      <c r="L29" s="148">
        <v>382.52</v>
      </c>
      <c r="M29" s="148">
        <v>43.83</v>
      </c>
      <c r="N29" s="148">
        <v>881.35</v>
      </c>
      <c r="O29" s="148">
        <v>52.43</v>
      </c>
      <c r="P29" s="148">
        <v>0</v>
      </c>
      <c r="Q29" s="148">
        <v>0</v>
      </c>
      <c r="R29" s="148">
        <v>0</v>
      </c>
      <c r="S29" s="149">
        <v>0</v>
      </c>
      <c r="T29" s="353"/>
    </row>
    <row r="30" spans="1:22" ht="13.5" customHeight="1" outlineLevel="2" thickBot="1" x14ac:dyDescent="0.3">
      <c r="A30" s="1170" t="s">
        <v>21</v>
      </c>
      <c r="B30" s="1170" t="s">
        <v>21</v>
      </c>
      <c r="C30" s="1170" t="s">
        <v>26</v>
      </c>
      <c r="D30" s="1170" t="s">
        <v>59</v>
      </c>
      <c r="E30" s="1171" t="s">
        <v>60</v>
      </c>
      <c r="F30" s="488" t="s">
        <v>61</v>
      </c>
      <c r="G30" s="350"/>
      <c r="H30" s="358"/>
      <c r="I30" s="359">
        <v>1116</v>
      </c>
      <c r="J30" s="148">
        <v>922.59</v>
      </c>
      <c r="K30" s="148">
        <v>12.5</v>
      </c>
      <c r="L30" s="148">
        <v>249.94</v>
      </c>
      <c r="M30" s="148">
        <v>28.64</v>
      </c>
      <c r="N30" s="148">
        <v>575.88</v>
      </c>
      <c r="O30" s="148">
        <v>55.63</v>
      </c>
      <c r="P30" s="148">
        <v>0</v>
      </c>
      <c r="Q30" s="148">
        <v>0</v>
      </c>
      <c r="R30" s="148">
        <v>0</v>
      </c>
      <c r="S30" s="149">
        <v>0</v>
      </c>
      <c r="T30" s="353"/>
    </row>
    <row r="31" spans="1:22" s="356" customFormat="1" ht="13.5" customHeight="1" outlineLevel="1" thickBot="1" x14ac:dyDescent="0.3">
      <c r="A31" s="1178"/>
      <c r="B31" s="1178"/>
      <c r="C31" s="1178"/>
      <c r="D31" s="1178"/>
      <c r="E31" s="1178"/>
      <c r="F31" s="490" t="s">
        <v>62</v>
      </c>
      <c r="G31" s="350"/>
      <c r="H31" s="354">
        <v>4</v>
      </c>
      <c r="I31" s="355">
        <f>SUBTOTAL(9,I29:I30)</f>
        <v>2824</v>
      </c>
      <c r="J31" s="143">
        <f>SUBTOTAL(9,J29:J30)</f>
        <v>2320.2200000000003</v>
      </c>
      <c r="K31" s="143">
        <f t="shared" ref="K31:S31" si="4">SUBTOTAL(9,K29:K30)</f>
        <v>50</v>
      </c>
      <c r="L31" s="143">
        <f t="shared" si="4"/>
        <v>632.46</v>
      </c>
      <c r="M31" s="143">
        <f t="shared" si="4"/>
        <v>72.47</v>
      </c>
      <c r="N31" s="143">
        <f t="shared" si="4"/>
        <v>1457.23</v>
      </c>
      <c r="O31" s="143">
        <f t="shared" si="4"/>
        <v>108.06</v>
      </c>
      <c r="P31" s="143">
        <f t="shared" si="4"/>
        <v>0</v>
      </c>
      <c r="Q31" s="143">
        <f t="shared" si="4"/>
        <v>0</v>
      </c>
      <c r="R31" s="143">
        <f t="shared" si="4"/>
        <v>0</v>
      </c>
      <c r="S31" s="144">
        <f t="shared" si="4"/>
        <v>0</v>
      </c>
      <c r="T31" s="353">
        <f>ROUND(J31-SUM(K31:P31)-R31,2)</f>
        <v>0</v>
      </c>
    </row>
    <row r="32" spans="1:22" ht="23.25" outlineLevel="2" thickBot="1" x14ac:dyDescent="0.3">
      <c r="B32" s="1178"/>
      <c r="C32" s="1178"/>
      <c r="D32" s="1170" t="s">
        <v>63</v>
      </c>
      <c r="E32" s="1171" t="s">
        <v>64</v>
      </c>
      <c r="F32" s="488" t="s">
        <v>65</v>
      </c>
      <c r="G32" s="350"/>
      <c r="H32" s="358"/>
      <c r="I32" s="359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/>
      <c r="P32" s="148"/>
      <c r="Q32" s="148"/>
      <c r="R32" s="148"/>
      <c r="S32" s="149"/>
      <c r="T32" s="353"/>
      <c r="U32" s="360"/>
    </row>
    <row r="33" spans="1:21" ht="23.25" outlineLevel="2" thickBot="1" x14ac:dyDescent="0.3">
      <c r="B33" s="1178"/>
      <c r="C33" s="1178"/>
      <c r="D33" s="1170" t="s">
        <v>66</v>
      </c>
      <c r="E33" s="1171" t="s">
        <v>67</v>
      </c>
      <c r="F33" s="488" t="s">
        <v>68</v>
      </c>
      <c r="G33" s="357"/>
      <c r="H33" s="358"/>
      <c r="I33" s="359">
        <v>5163</v>
      </c>
      <c r="J33" s="148">
        <v>3986.32</v>
      </c>
      <c r="K33" s="148">
        <v>340</v>
      </c>
      <c r="L33" s="148">
        <v>982.11</v>
      </c>
      <c r="M33" s="148">
        <v>0</v>
      </c>
      <c r="N33" s="148">
        <v>2664.21</v>
      </c>
      <c r="O33" s="148"/>
      <c r="P33" s="148"/>
      <c r="Q33" s="148"/>
      <c r="R33" s="148"/>
      <c r="S33" s="149"/>
      <c r="T33" s="353"/>
      <c r="U33" s="360"/>
    </row>
    <row r="34" spans="1:21" ht="14.25" outlineLevel="1" thickBot="1" x14ac:dyDescent="0.3">
      <c r="B34" s="1178"/>
      <c r="C34" s="1178"/>
      <c r="D34" s="1173"/>
      <c r="E34" s="1174"/>
      <c r="F34" s="489" t="s">
        <v>69</v>
      </c>
      <c r="G34" s="350"/>
      <c r="H34" s="354">
        <v>2</v>
      </c>
      <c r="I34" s="355">
        <f t="shared" ref="I34:S34" si="5">SUBTOTAL(9,I32:I33)</f>
        <v>5163</v>
      </c>
      <c r="J34" s="361">
        <f>SUBTOTAL(9,J32:J33)</f>
        <v>3986.32</v>
      </c>
      <c r="K34" s="361">
        <f t="shared" si="5"/>
        <v>340</v>
      </c>
      <c r="L34" s="361">
        <f t="shared" si="5"/>
        <v>982.11</v>
      </c>
      <c r="M34" s="361">
        <f t="shared" si="5"/>
        <v>0</v>
      </c>
      <c r="N34" s="361">
        <f t="shared" si="5"/>
        <v>2664.21</v>
      </c>
      <c r="O34" s="361">
        <f t="shared" si="5"/>
        <v>0</v>
      </c>
      <c r="P34" s="361">
        <f t="shared" si="5"/>
        <v>0</v>
      </c>
      <c r="Q34" s="361">
        <f t="shared" si="5"/>
        <v>0</v>
      </c>
      <c r="R34" s="361">
        <f t="shared" si="5"/>
        <v>0</v>
      </c>
      <c r="S34" s="362">
        <f t="shared" si="5"/>
        <v>0</v>
      </c>
      <c r="T34" s="353">
        <f>ROUND(J34-SUM(K34:P34)-R34,2)</f>
        <v>0</v>
      </c>
    </row>
    <row r="35" spans="1:21" s="356" customFormat="1" ht="13.5" customHeight="1" thickBot="1" x14ac:dyDescent="0.3">
      <c r="A35" s="1178"/>
      <c r="B35" s="1178"/>
      <c r="C35" s="1178"/>
      <c r="D35" s="1178"/>
      <c r="E35" s="1178"/>
      <c r="F35" s="491"/>
      <c r="G35" s="350"/>
      <c r="H35" s="357"/>
      <c r="I35" s="357"/>
      <c r="J35" s="363"/>
      <c r="K35" s="363"/>
      <c r="L35" s="363"/>
      <c r="M35" s="363"/>
      <c r="N35" s="363"/>
      <c r="O35" s="363"/>
      <c r="P35" s="363"/>
      <c r="Q35" s="363"/>
      <c r="R35" s="363"/>
      <c r="S35" s="364"/>
      <c r="T35" s="353"/>
    </row>
    <row r="36" spans="1:21" s="356" customFormat="1" ht="13.5" customHeight="1" thickBot="1" x14ac:dyDescent="0.3">
      <c r="A36" s="1178"/>
      <c r="B36" s="1178"/>
      <c r="C36" s="1178"/>
      <c r="D36" s="1178"/>
      <c r="E36" s="1178"/>
      <c r="F36" s="489" t="s">
        <v>70</v>
      </c>
      <c r="G36" s="357"/>
      <c r="H36" s="350"/>
      <c r="I36" s="357"/>
      <c r="J36" s="363"/>
      <c r="K36" s="357"/>
      <c r="L36" s="363"/>
      <c r="M36" s="363"/>
      <c r="N36" s="363"/>
      <c r="O36" s="363"/>
      <c r="P36" s="363"/>
      <c r="Q36" s="363"/>
      <c r="R36" s="363"/>
      <c r="S36" s="364"/>
      <c r="T36" s="353"/>
    </row>
    <row r="37" spans="1:21" s="356" customFormat="1" ht="13.5" customHeight="1" thickBot="1" x14ac:dyDescent="0.3">
      <c r="A37" s="1178"/>
      <c r="B37" s="1178"/>
      <c r="C37" s="1178"/>
      <c r="D37" s="1178"/>
      <c r="E37" s="1181"/>
      <c r="F37" s="490"/>
      <c r="G37" s="365" t="s">
        <v>71</v>
      </c>
      <c r="H37" s="357"/>
      <c r="I37" s="354">
        <v>0</v>
      </c>
      <c r="J37" s="363">
        <f t="shared" ref="J37:J42" si="6">SUM(K37:O37)</f>
        <v>23947.75</v>
      </c>
      <c r="K37" s="366"/>
      <c r="L37" s="366"/>
      <c r="M37" s="366"/>
      <c r="N37" s="367">
        <v>23947.75</v>
      </c>
      <c r="O37" s="363"/>
      <c r="P37" s="363"/>
      <c r="Q37" s="363"/>
      <c r="R37" s="363"/>
      <c r="S37" s="364"/>
      <c r="T37" s="353"/>
    </row>
    <row r="38" spans="1:21" s="356" customFormat="1" ht="13.5" customHeight="1" thickBot="1" x14ac:dyDescent="0.3">
      <c r="A38" s="1178"/>
      <c r="B38" s="1178"/>
      <c r="C38" s="1178"/>
      <c r="D38" s="1178"/>
      <c r="E38" s="1181"/>
      <c r="F38" s="490"/>
      <c r="G38" s="365" t="s">
        <v>71</v>
      </c>
      <c r="H38" s="357"/>
      <c r="I38" s="354">
        <v>0</v>
      </c>
      <c r="J38" s="363">
        <f t="shared" si="6"/>
        <v>11669.54</v>
      </c>
      <c r="K38" s="366"/>
      <c r="L38" s="366"/>
      <c r="M38" s="366"/>
      <c r="N38" s="367">
        <v>11669.54</v>
      </c>
      <c r="O38" s="363"/>
      <c r="P38" s="363"/>
      <c r="Q38" s="363"/>
      <c r="R38" s="363"/>
      <c r="S38" s="364"/>
      <c r="T38" s="353"/>
    </row>
    <row r="39" spans="1:21" s="356" customFormat="1" ht="13.5" customHeight="1" thickBot="1" x14ac:dyDescent="0.3">
      <c r="A39" s="1178"/>
      <c r="B39" s="1178"/>
      <c r="C39" s="1178"/>
      <c r="D39" s="1178"/>
      <c r="E39" s="1181"/>
      <c r="F39" s="490"/>
      <c r="G39" s="365" t="s">
        <v>71</v>
      </c>
      <c r="H39" s="357"/>
      <c r="I39" s="354">
        <v>0</v>
      </c>
      <c r="J39" s="363">
        <f>SUM(K39:O39)</f>
        <v>275</v>
      </c>
      <c r="K39" s="367">
        <v>275</v>
      </c>
      <c r="L39" s="367"/>
      <c r="M39" s="367"/>
      <c r="N39" s="367"/>
      <c r="O39" s="363"/>
      <c r="P39" s="363"/>
      <c r="Q39" s="363"/>
      <c r="R39" s="363"/>
      <c r="S39" s="364"/>
      <c r="T39" s="353"/>
    </row>
    <row r="40" spans="1:21" s="356" customFormat="1" ht="13.5" customHeight="1" thickBot="1" x14ac:dyDescent="0.3">
      <c r="A40" s="1178"/>
      <c r="B40" s="1178"/>
      <c r="C40" s="1178"/>
      <c r="D40" s="1178"/>
      <c r="E40" s="1181"/>
      <c r="F40" s="490"/>
      <c r="G40" s="365" t="s">
        <v>71</v>
      </c>
      <c r="H40" s="357"/>
      <c r="I40" s="354">
        <v>4281</v>
      </c>
      <c r="J40" s="363">
        <f t="shared" si="6"/>
        <v>2368.6999999999998</v>
      </c>
      <c r="K40" s="367">
        <v>781</v>
      </c>
      <c r="L40" s="367">
        <v>20.85</v>
      </c>
      <c r="M40" s="366"/>
      <c r="N40" s="367">
        <v>1566.85</v>
      </c>
      <c r="O40" s="363"/>
      <c r="P40" s="363"/>
      <c r="Q40" s="363"/>
      <c r="R40" s="363"/>
      <c r="S40" s="364"/>
      <c r="T40" s="353"/>
    </row>
    <row r="41" spans="1:21" s="356" customFormat="1" ht="13.5" customHeight="1" thickBot="1" x14ac:dyDescent="0.3">
      <c r="A41" s="1178"/>
      <c r="B41" s="1178"/>
      <c r="C41" s="1178"/>
      <c r="D41" s="1178"/>
      <c r="E41" s="1181"/>
      <c r="F41" s="490" t="s">
        <v>73</v>
      </c>
      <c r="G41" s="365" t="s">
        <v>74</v>
      </c>
      <c r="H41" s="357"/>
      <c r="I41" s="354">
        <v>0</v>
      </c>
      <c r="J41" s="160">
        <f t="shared" si="6"/>
        <v>0</v>
      </c>
      <c r="K41" s="367">
        <v>0</v>
      </c>
      <c r="L41" s="161">
        <v>0</v>
      </c>
      <c r="M41" s="366"/>
      <c r="N41" s="366">
        <v>0</v>
      </c>
      <c r="O41" s="363"/>
      <c r="P41" s="363"/>
      <c r="Q41" s="363"/>
      <c r="R41" s="363"/>
      <c r="S41" s="364"/>
      <c r="T41" s="353"/>
    </row>
    <row r="42" spans="1:21" s="356" customFormat="1" ht="13.5" customHeight="1" thickBot="1" x14ac:dyDescent="0.3">
      <c r="A42" s="1178"/>
      <c r="B42" s="1178"/>
      <c r="C42" s="1178"/>
      <c r="D42" s="1178"/>
      <c r="E42" s="1181"/>
      <c r="F42" s="490" t="s">
        <v>75</v>
      </c>
      <c r="G42" s="365" t="s">
        <v>76</v>
      </c>
      <c r="H42" s="357"/>
      <c r="I42" s="354">
        <v>0</v>
      </c>
      <c r="J42" s="363">
        <f t="shared" si="6"/>
        <v>-2901.8099999986589</v>
      </c>
      <c r="K42" s="368">
        <v>0</v>
      </c>
      <c r="L42" s="363">
        <v>-2901.8099999986589</v>
      </c>
      <c r="M42" s="363">
        <v>0</v>
      </c>
      <c r="N42" s="363">
        <v>0</v>
      </c>
      <c r="O42" s="363"/>
      <c r="P42" s="363"/>
      <c r="Q42" s="363"/>
      <c r="R42" s="363"/>
      <c r="S42" s="364"/>
      <c r="T42" s="353"/>
    </row>
    <row r="43" spans="1:21" ht="13.5" customHeight="1" thickBot="1" x14ac:dyDescent="0.25">
      <c r="A43" s="1182"/>
      <c r="B43" s="1182"/>
      <c r="C43" s="1182"/>
      <c r="D43" s="1183" t="s">
        <v>77</v>
      </c>
      <c r="E43" s="1184"/>
      <c r="F43" s="369" t="s">
        <v>77</v>
      </c>
      <c r="G43" s="370"/>
      <c r="H43" s="370">
        <f t="shared" ref="H43:O43" si="7">SUBTOTAL(9,H5:H42)</f>
        <v>318581</v>
      </c>
      <c r="I43" s="370">
        <f t="shared" si="7"/>
        <v>52111459</v>
      </c>
      <c r="J43" s="165">
        <f t="shared" si="7"/>
        <v>45186960.770000011</v>
      </c>
      <c r="K43" s="165">
        <f t="shared" si="7"/>
        <v>4640880.62</v>
      </c>
      <c r="L43" s="165">
        <f t="shared" si="7"/>
        <v>10982074.829999998</v>
      </c>
      <c r="M43" s="165">
        <f t="shared" si="7"/>
        <v>901976.37999999989</v>
      </c>
      <c r="N43" s="165">
        <f t="shared" si="7"/>
        <v>26926354.700000003</v>
      </c>
      <c r="O43" s="165">
        <f t="shared" si="7"/>
        <v>1735674.2399999995</v>
      </c>
      <c r="P43" s="165">
        <f>SUBTOTAL(9,P5:P31)</f>
        <v>0</v>
      </c>
      <c r="Q43" s="165">
        <f>SUBTOTAL(9,Q5:Q31)</f>
        <v>47201.74</v>
      </c>
      <c r="R43" s="165">
        <f>SUBTOTAL(9,R5:R31)</f>
        <v>0</v>
      </c>
      <c r="S43" s="166">
        <f>SUBTOTAL(9,S5:S31)</f>
        <v>10715.69</v>
      </c>
    </row>
    <row r="44" spans="1:21" ht="13.5" customHeight="1" thickBot="1" x14ac:dyDescent="0.25">
      <c r="A44" s="1182"/>
      <c r="B44" s="1182"/>
      <c r="C44" s="1182"/>
      <c r="D44" s="1183" t="s">
        <v>77</v>
      </c>
      <c r="E44" s="1184"/>
      <c r="F44" s="369" t="s">
        <v>78</v>
      </c>
      <c r="G44" s="370"/>
      <c r="H44" s="370"/>
      <c r="I44" s="371">
        <v>52111460</v>
      </c>
      <c r="J44" s="165">
        <f>SUM(K44:S44)</f>
        <v>45186960.770000003</v>
      </c>
      <c r="K44" s="168">
        <v>4640880.62</v>
      </c>
      <c r="L44" s="168">
        <v>10982074.83</v>
      </c>
      <c r="M44" s="168">
        <v>901976.38</v>
      </c>
      <c r="N44" s="168">
        <v>26926354.699999999</v>
      </c>
      <c r="O44" s="168">
        <v>1735674.24</v>
      </c>
      <c r="P44" s="165"/>
      <c r="Q44" s="165"/>
      <c r="R44" s="165"/>
      <c r="S44" s="166"/>
    </row>
    <row r="45" spans="1:21" ht="13.5" customHeight="1" thickBot="1" x14ac:dyDescent="0.25">
      <c r="A45" s="1182"/>
      <c r="B45" s="1182"/>
      <c r="C45" s="1182"/>
      <c r="D45" s="1186"/>
      <c r="E45" s="1184"/>
      <c r="F45" s="372" t="s">
        <v>79</v>
      </c>
      <c r="G45" s="373"/>
      <c r="H45" s="373"/>
      <c r="I45" s="171">
        <f t="shared" ref="I45:N45" si="8">I43-I44</f>
        <v>-1</v>
      </c>
      <c r="J45" s="172">
        <f t="shared" si="8"/>
        <v>0</v>
      </c>
      <c r="K45" s="172">
        <f t="shared" si="8"/>
        <v>0</v>
      </c>
      <c r="L45" s="172">
        <f t="shared" si="8"/>
        <v>0</v>
      </c>
      <c r="M45" s="172">
        <f t="shared" si="8"/>
        <v>0</v>
      </c>
      <c r="N45" s="172">
        <f t="shared" si="8"/>
        <v>0</v>
      </c>
      <c r="O45" s="172">
        <f>O43-O44</f>
        <v>0</v>
      </c>
      <c r="P45" s="172"/>
      <c r="Q45" s="172"/>
      <c r="R45" s="172"/>
      <c r="S45" s="173"/>
    </row>
    <row r="46" spans="1:21" ht="13.5" thickBot="1" x14ac:dyDescent="0.25">
      <c r="G46" s="338"/>
      <c r="H46" s="338"/>
      <c r="I46" s="340"/>
      <c r="J46" s="340"/>
      <c r="K46" s="340"/>
      <c r="L46" s="340"/>
      <c r="M46" s="340"/>
      <c r="N46" s="340"/>
      <c r="O46" s="340"/>
      <c r="P46" s="340"/>
      <c r="Q46" s="340"/>
      <c r="R46" s="340"/>
      <c r="S46" s="340"/>
    </row>
    <row r="47" spans="1:21" ht="24.6" customHeight="1" thickBot="1" x14ac:dyDescent="0.25">
      <c r="A47" s="1162"/>
      <c r="B47" s="1163"/>
      <c r="C47" s="1163"/>
      <c r="D47" s="1400" t="s">
        <v>80</v>
      </c>
      <c r="E47" s="1401"/>
      <c r="F47" s="492" t="s">
        <v>81</v>
      </c>
      <c r="G47" s="493"/>
      <c r="H47" s="480" t="s">
        <v>2</v>
      </c>
      <c r="I47" s="481" t="s">
        <v>3</v>
      </c>
      <c r="J47" s="481" t="s">
        <v>4</v>
      </c>
      <c r="K47" s="481" t="s">
        <v>5</v>
      </c>
      <c r="L47" s="481" t="s">
        <v>6</v>
      </c>
      <c r="M47" s="481" t="s">
        <v>7</v>
      </c>
      <c r="N47" s="481" t="s">
        <v>253</v>
      </c>
      <c r="O47" s="481" t="s">
        <v>9</v>
      </c>
      <c r="P47" s="481" t="s">
        <v>10</v>
      </c>
      <c r="Q47" s="481" t="s">
        <v>11</v>
      </c>
      <c r="R47" s="481" t="s">
        <v>12</v>
      </c>
      <c r="S47" s="482" t="s">
        <v>13</v>
      </c>
    </row>
    <row r="48" spans="1:21" ht="13.5" customHeight="1" thickBot="1" x14ac:dyDescent="0.25">
      <c r="A48" s="1167" t="s">
        <v>14</v>
      </c>
      <c r="B48" s="1168" t="s">
        <v>15</v>
      </c>
      <c r="C48" s="1168" t="s">
        <v>16</v>
      </c>
      <c r="D48" s="1168" t="s">
        <v>17</v>
      </c>
      <c r="E48" s="1165"/>
      <c r="F48" s="494"/>
      <c r="G48" s="484"/>
      <c r="H48" s="484"/>
      <c r="I48" s="485" t="s">
        <v>19</v>
      </c>
      <c r="J48" s="486" t="s">
        <v>20</v>
      </c>
      <c r="K48" s="486" t="s">
        <v>20</v>
      </c>
      <c r="L48" s="486" t="s">
        <v>20</v>
      </c>
      <c r="M48" s="486" t="s">
        <v>20</v>
      </c>
      <c r="N48" s="486" t="s">
        <v>20</v>
      </c>
      <c r="O48" s="486" t="s">
        <v>20</v>
      </c>
      <c r="P48" s="486" t="s">
        <v>20</v>
      </c>
      <c r="Q48" s="486" t="s">
        <v>20</v>
      </c>
      <c r="R48" s="486" t="s">
        <v>20</v>
      </c>
      <c r="S48" s="487" t="s">
        <v>20</v>
      </c>
    </row>
    <row r="49" spans="1:21" ht="13.5" customHeight="1" outlineLevel="2" thickBot="1" x14ac:dyDescent="0.3">
      <c r="A49" s="1170" t="s">
        <v>21</v>
      </c>
      <c r="B49" s="1170" t="s">
        <v>21</v>
      </c>
      <c r="C49" s="1170" t="s">
        <v>28</v>
      </c>
      <c r="D49" s="1170" t="s">
        <v>82</v>
      </c>
      <c r="E49" s="1171" t="s">
        <v>83</v>
      </c>
      <c r="F49" s="488" t="s">
        <v>84</v>
      </c>
      <c r="G49" s="350"/>
      <c r="H49" s="350"/>
      <c r="I49" s="350">
        <v>390284</v>
      </c>
      <c r="J49" s="351">
        <v>499824.11</v>
      </c>
      <c r="K49" s="137">
        <v>340</v>
      </c>
      <c r="L49" s="137">
        <v>11115.28</v>
      </c>
      <c r="M49" s="137">
        <v>0</v>
      </c>
      <c r="N49" s="137">
        <v>201394.35</v>
      </c>
      <c r="O49" s="137">
        <v>0</v>
      </c>
      <c r="P49" s="137">
        <v>0</v>
      </c>
      <c r="Q49" s="137">
        <v>0</v>
      </c>
      <c r="R49" s="137">
        <v>286974.48</v>
      </c>
      <c r="S49" s="177">
        <v>0</v>
      </c>
      <c r="T49" s="353"/>
    </row>
    <row r="50" spans="1:21" ht="13.5" customHeight="1" thickBot="1" x14ac:dyDescent="0.3">
      <c r="A50" s="1190"/>
      <c r="B50" s="1191"/>
      <c r="C50" s="1191"/>
      <c r="D50" s="1184"/>
      <c r="E50" s="1192"/>
      <c r="F50" s="495" t="s">
        <v>85</v>
      </c>
      <c r="G50" s="350"/>
      <c r="H50" s="376">
        <v>2</v>
      </c>
      <c r="I50" s="350">
        <f t="shared" ref="I50:S50" si="9">SUBTOTAL(9,I49:I49)</f>
        <v>390284</v>
      </c>
      <c r="J50" s="137">
        <f>SUBTOTAL(9,J49:J49)</f>
        <v>499824.11</v>
      </c>
      <c r="K50" s="137">
        <f t="shared" si="9"/>
        <v>340</v>
      </c>
      <c r="L50" s="137">
        <f t="shared" si="9"/>
        <v>11115.28</v>
      </c>
      <c r="M50" s="137">
        <f t="shared" si="9"/>
        <v>0</v>
      </c>
      <c r="N50" s="137">
        <f t="shared" si="9"/>
        <v>201394.35</v>
      </c>
      <c r="O50" s="137">
        <f t="shared" si="9"/>
        <v>0</v>
      </c>
      <c r="P50" s="137">
        <f t="shared" si="9"/>
        <v>0</v>
      </c>
      <c r="Q50" s="137">
        <f t="shared" si="9"/>
        <v>0</v>
      </c>
      <c r="R50" s="137">
        <f t="shared" si="9"/>
        <v>286974.48</v>
      </c>
      <c r="S50" s="177">
        <f t="shared" si="9"/>
        <v>0</v>
      </c>
      <c r="T50" s="353">
        <f>ROUND(J50-SUM(K50:P50)-R50,2)</f>
        <v>0</v>
      </c>
    </row>
    <row r="51" spans="1:21" ht="13.5" customHeight="1" thickBot="1" x14ac:dyDescent="0.3">
      <c r="A51" s="1182"/>
      <c r="B51" s="1182"/>
      <c r="C51" s="1191"/>
      <c r="D51" s="1184"/>
      <c r="E51" s="1194"/>
      <c r="F51" s="489" t="s">
        <v>86</v>
      </c>
      <c r="G51" s="350"/>
      <c r="H51" s="350"/>
      <c r="I51" s="350"/>
      <c r="J51" s="137"/>
      <c r="K51" s="137"/>
      <c r="L51" s="137">
        <f>-R51</f>
        <v>286974.48</v>
      </c>
      <c r="M51" s="137"/>
      <c r="N51" s="137"/>
      <c r="O51" s="137"/>
      <c r="P51" s="137"/>
      <c r="Q51" s="137"/>
      <c r="R51" s="137">
        <f>-R50</f>
        <v>-286974.48</v>
      </c>
      <c r="S51" s="177"/>
      <c r="T51" s="353"/>
    </row>
    <row r="52" spans="1:21" ht="13.5" customHeight="1" thickBot="1" x14ac:dyDescent="0.3">
      <c r="A52" s="1182"/>
      <c r="B52" s="1182"/>
      <c r="C52" s="1191"/>
      <c r="D52" s="1184"/>
      <c r="E52" s="1194"/>
      <c r="F52" s="489" t="s">
        <v>87</v>
      </c>
      <c r="G52" s="350"/>
      <c r="H52" s="350"/>
      <c r="I52" s="377">
        <v>0</v>
      </c>
      <c r="J52" s="137">
        <f>SUM(K52:O52)</f>
        <v>0</v>
      </c>
      <c r="K52" s="137"/>
      <c r="L52" s="181">
        <v>0</v>
      </c>
      <c r="M52" s="137"/>
      <c r="N52" s="181">
        <v>0</v>
      </c>
      <c r="O52" s="137"/>
      <c r="P52" s="137"/>
      <c r="Q52" s="137"/>
      <c r="R52" s="181">
        <v>104976</v>
      </c>
      <c r="S52" s="177"/>
      <c r="T52" s="353"/>
    </row>
    <row r="53" spans="1:21" ht="13.5" customHeight="1" thickBot="1" x14ac:dyDescent="0.3">
      <c r="A53" s="1182"/>
      <c r="B53" s="1182"/>
      <c r="C53" s="1191"/>
      <c r="D53" s="1184"/>
      <c r="E53" s="1194"/>
      <c r="F53" s="489" t="s">
        <v>254</v>
      </c>
      <c r="G53" s="350"/>
      <c r="H53" s="350"/>
      <c r="I53" s="350">
        <v>0</v>
      </c>
      <c r="J53" s="137">
        <f>SUM(K53:O53)</f>
        <v>105229.9</v>
      </c>
      <c r="K53" s="137"/>
      <c r="L53" s="137">
        <f>-R53</f>
        <v>104976</v>
      </c>
      <c r="M53" s="137"/>
      <c r="N53" s="137">
        <v>253.9</v>
      </c>
      <c r="O53" s="137"/>
      <c r="P53" s="137"/>
      <c r="Q53" s="137"/>
      <c r="R53" s="137">
        <f>-R52</f>
        <v>-104976</v>
      </c>
      <c r="S53" s="177"/>
      <c r="T53" s="353"/>
    </row>
    <row r="54" spans="1:21" ht="13.5" customHeight="1" thickBot="1" x14ac:dyDescent="0.3">
      <c r="A54" s="1182"/>
      <c r="B54" s="1182"/>
      <c r="C54" s="1191"/>
      <c r="D54" s="1184"/>
      <c r="E54" s="1194"/>
      <c r="F54" s="489" t="s">
        <v>255</v>
      </c>
      <c r="G54" s="350"/>
      <c r="H54" s="350"/>
      <c r="I54" s="378">
        <v>7146</v>
      </c>
      <c r="J54" s="137">
        <f>SUM(K54:O54)</f>
        <v>3792.1099999999997</v>
      </c>
      <c r="K54" s="181">
        <v>781</v>
      </c>
      <c r="L54" s="181">
        <v>34.799999999999997</v>
      </c>
      <c r="M54" s="137"/>
      <c r="N54" s="181">
        <v>2976.31</v>
      </c>
      <c r="O54" s="137"/>
      <c r="P54" s="137"/>
      <c r="Q54" s="137"/>
      <c r="R54" s="137"/>
      <c r="S54" s="177"/>
      <c r="T54" s="353">
        <f>ROUND(J54-SUM(K54:P54)-R54,2)</f>
        <v>0</v>
      </c>
    </row>
    <row r="55" spans="1:21" ht="13.5" customHeight="1" thickBot="1" x14ac:dyDescent="0.25">
      <c r="A55" s="1182"/>
      <c r="B55" s="1182"/>
      <c r="C55" s="1186"/>
      <c r="D55" s="1195" t="s">
        <v>88</v>
      </c>
      <c r="E55" s="1184"/>
      <c r="F55" s="379" t="s">
        <v>89</v>
      </c>
      <c r="G55" s="370"/>
      <c r="H55" s="370">
        <f>+H50</f>
        <v>2</v>
      </c>
      <c r="I55" s="184">
        <f t="shared" ref="I55:S55" si="10">SUBTOTAL(9,I49:I54)</f>
        <v>397430</v>
      </c>
      <c r="J55" s="165">
        <f t="shared" si="10"/>
        <v>608846.12</v>
      </c>
      <c r="K55" s="165">
        <f t="shared" si="10"/>
        <v>1121</v>
      </c>
      <c r="L55" s="165">
        <f t="shared" si="10"/>
        <v>403100.56</v>
      </c>
      <c r="M55" s="165">
        <f t="shared" si="10"/>
        <v>0</v>
      </c>
      <c r="N55" s="165">
        <f t="shared" si="10"/>
        <v>204624.56</v>
      </c>
      <c r="O55" s="165">
        <f t="shared" si="10"/>
        <v>0</v>
      </c>
      <c r="P55" s="165">
        <f t="shared" si="10"/>
        <v>0</v>
      </c>
      <c r="Q55" s="165">
        <f t="shared" si="10"/>
        <v>0</v>
      </c>
      <c r="R55" s="165">
        <f t="shared" si="10"/>
        <v>0</v>
      </c>
      <c r="S55" s="166">
        <f t="shared" si="10"/>
        <v>0</v>
      </c>
    </row>
    <row r="56" spans="1:21" ht="13.5" customHeight="1" thickBot="1" x14ac:dyDescent="0.25">
      <c r="A56" s="1182"/>
      <c r="B56" s="1182"/>
      <c r="C56" s="1182"/>
      <c r="D56" s="1183" t="s">
        <v>77</v>
      </c>
      <c r="E56" s="1184"/>
      <c r="F56" s="379" t="s">
        <v>90</v>
      </c>
      <c r="G56" s="370"/>
      <c r="H56" s="370"/>
      <c r="I56" s="371">
        <v>397430</v>
      </c>
      <c r="J56" s="165">
        <f>SUM(K56:S56)</f>
        <v>608846.12</v>
      </c>
      <c r="K56" s="168">
        <v>1121</v>
      </c>
      <c r="L56" s="168">
        <v>403100.56</v>
      </c>
      <c r="M56" s="168">
        <v>0</v>
      </c>
      <c r="N56" s="168">
        <v>204624.56</v>
      </c>
      <c r="O56" s="168">
        <v>0</v>
      </c>
      <c r="P56" s="185"/>
      <c r="Q56" s="185"/>
      <c r="R56" s="185"/>
      <c r="S56" s="186"/>
    </row>
    <row r="57" spans="1:21" ht="13.5" customHeight="1" thickBot="1" x14ac:dyDescent="0.25">
      <c r="A57" s="1182"/>
      <c r="B57" s="1182"/>
      <c r="C57" s="1182"/>
      <c r="D57" s="1186"/>
      <c r="E57" s="1184"/>
      <c r="F57" s="372" t="s">
        <v>79</v>
      </c>
      <c r="G57" s="373"/>
      <c r="H57" s="373"/>
      <c r="I57" s="171">
        <f t="shared" ref="I57:N57" si="11">I55-I56</f>
        <v>0</v>
      </c>
      <c r="J57" s="172">
        <f t="shared" si="11"/>
        <v>0</v>
      </c>
      <c r="K57" s="172">
        <f t="shared" si="11"/>
        <v>0</v>
      </c>
      <c r="L57" s="172">
        <f t="shared" si="11"/>
        <v>0</v>
      </c>
      <c r="M57" s="172">
        <f t="shared" si="11"/>
        <v>0</v>
      </c>
      <c r="N57" s="172">
        <f t="shared" si="11"/>
        <v>0</v>
      </c>
      <c r="O57" s="172">
        <f>O55-O56</f>
        <v>0</v>
      </c>
      <c r="P57" s="172"/>
      <c r="Q57" s="172"/>
      <c r="R57" s="172"/>
      <c r="S57" s="173"/>
    </row>
    <row r="58" spans="1:21" ht="13.5" thickBot="1" x14ac:dyDescent="0.25">
      <c r="G58" s="338"/>
      <c r="H58" s="338"/>
      <c r="I58" s="380"/>
      <c r="K58" s="380"/>
      <c r="L58" s="380"/>
      <c r="M58" s="380"/>
      <c r="N58" s="54"/>
      <c r="O58" s="380"/>
      <c r="P58" s="380"/>
    </row>
    <row r="59" spans="1:21" ht="23.25" thickBot="1" x14ac:dyDescent="0.25">
      <c r="D59" s="1402" t="s">
        <v>91</v>
      </c>
      <c r="E59" s="1403"/>
      <c r="F59" s="496" t="s">
        <v>92</v>
      </c>
      <c r="G59" s="479"/>
      <c r="H59" s="480" t="s">
        <v>2</v>
      </c>
      <c r="I59" s="481" t="s">
        <v>3</v>
      </c>
      <c r="J59" s="481" t="s">
        <v>4</v>
      </c>
      <c r="K59" s="481" t="s">
        <v>5</v>
      </c>
      <c r="L59" s="481" t="s">
        <v>6</v>
      </c>
      <c r="M59" s="481" t="s">
        <v>7</v>
      </c>
      <c r="N59" s="481" t="s">
        <v>93</v>
      </c>
      <c r="O59" s="481" t="s">
        <v>9</v>
      </c>
      <c r="P59" s="481" t="s">
        <v>10</v>
      </c>
      <c r="Q59" s="481" t="s">
        <v>11</v>
      </c>
      <c r="R59" s="481" t="s">
        <v>12</v>
      </c>
      <c r="S59" s="482" t="s">
        <v>13</v>
      </c>
    </row>
    <row r="60" spans="1:21" ht="13.5" thickBot="1" x14ac:dyDescent="0.25">
      <c r="D60" s="1173"/>
      <c r="E60" s="1174"/>
      <c r="F60" s="497"/>
      <c r="G60" s="484"/>
      <c r="H60" s="484"/>
      <c r="I60" s="485" t="s">
        <v>19</v>
      </c>
      <c r="J60" s="486" t="s">
        <v>20</v>
      </c>
      <c r="K60" s="486" t="s">
        <v>20</v>
      </c>
      <c r="L60" s="486" t="s">
        <v>20</v>
      </c>
      <c r="M60" s="486" t="s">
        <v>20</v>
      </c>
      <c r="N60" s="486" t="s">
        <v>20</v>
      </c>
      <c r="O60" s="486" t="s">
        <v>20</v>
      </c>
      <c r="P60" s="486" t="s">
        <v>20</v>
      </c>
      <c r="Q60" s="486" t="s">
        <v>20</v>
      </c>
      <c r="R60" s="486" t="s">
        <v>20</v>
      </c>
      <c r="S60" s="487" t="s">
        <v>20</v>
      </c>
    </row>
    <row r="61" spans="1:21" ht="14.25" outlineLevel="2" thickBot="1" x14ac:dyDescent="0.3">
      <c r="D61" s="1170" t="s">
        <v>94</v>
      </c>
      <c r="E61" s="1171" t="s">
        <v>95</v>
      </c>
      <c r="F61" s="488" t="s">
        <v>96</v>
      </c>
      <c r="G61" s="350"/>
      <c r="H61" s="350"/>
      <c r="I61" s="350">
        <v>0</v>
      </c>
      <c r="J61" s="351">
        <v>0</v>
      </c>
      <c r="K61" s="351">
        <v>0</v>
      </c>
      <c r="L61" s="351"/>
      <c r="M61" s="351"/>
      <c r="N61" s="351"/>
      <c r="O61" s="351"/>
      <c r="P61" s="351"/>
      <c r="Q61" s="351"/>
      <c r="R61" s="351"/>
      <c r="S61" s="352"/>
      <c r="U61" s="360"/>
    </row>
    <row r="62" spans="1:21" ht="23.25" outlineLevel="2" thickBot="1" x14ac:dyDescent="0.3">
      <c r="D62" s="1170" t="s">
        <v>97</v>
      </c>
      <c r="E62" s="1171" t="s">
        <v>98</v>
      </c>
      <c r="F62" s="488" t="s">
        <v>96</v>
      </c>
      <c r="G62" s="350"/>
      <c r="H62" s="350"/>
      <c r="I62" s="350">
        <v>0</v>
      </c>
      <c r="J62" s="351">
        <v>0</v>
      </c>
      <c r="K62" s="351"/>
      <c r="L62" s="351">
        <v>0</v>
      </c>
      <c r="M62" s="351">
        <v>0</v>
      </c>
      <c r="N62" s="351">
        <v>0</v>
      </c>
      <c r="O62" s="351"/>
      <c r="P62" s="351"/>
      <c r="Q62" s="351"/>
      <c r="R62" s="351"/>
      <c r="S62" s="352"/>
      <c r="U62" s="360"/>
    </row>
    <row r="63" spans="1:21" ht="23.25" outlineLevel="2" thickBot="1" x14ac:dyDescent="0.3">
      <c r="D63" s="1170" t="s">
        <v>97</v>
      </c>
      <c r="E63" s="1171" t="s">
        <v>98</v>
      </c>
      <c r="F63" s="488" t="s">
        <v>96</v>
      </c>
      <c r="G63" s="350"/>
      <c r="H63" s="350"/>
      <c r="I63" s="350">
        <v>0</v>
      </c>
      <c r="J63" s="351">
        <v>0</v>
      </c>
      <c r="K63" s="137">
        <v>0</v>
      </c>
      <c r="L63" s="137">
        <v>0</v>
      </c>
      <c r="M63" s="137">
        <v>0</v>
      </c>
      <c r="N63" s="351">
        <v>0</v>
      </c>
      <c r="O63" s="351"/>
      <c r="P63" s="351"/>
      <c r="Q63" s="351"/>
      <c r="R63" s="351"/>
      <c r="S63" s="352"/>
      <c r="U63" s="360"/>
    </row>
    <row r="64" spans="1:21" ht="23.25" outlineLevel="2" thickBot="1" x14ac:dyDescent="0.3">
      <c r="D64" s="1170" t="s">
        <v>99</v>
      </c>
      <c r="E64" s="1171" t="s">
        <v>100</v>
      </c>
      <c r="F64" s="488" t="s">
        <v>96</v>
      </c>
      <c r="G64" s="350"/>
      <c r="H64" s="350"/>
      <c r="I64" s="350">
        <v>0</v>
      </c>
      <c r="J64" s="351">
        <v>0</v>
      </c>
      <c r="K64" s="351">
        <v>0</v>
      </c>
      <c r="L64" s="351">
        <v>0</v>
      </c>
      <c r="M64" s="351">
        <v>0</v>
      </c>
      <c r="N64" s="351">
        <v>0</v>
      </c>
      <c r="O64" s="351"/>
      <c r="P64" s="351"/>
      <c r="Q64" s="351"/>
      <c r="R64" s="351"/>
      <c r="S64" s="352"/>
      <c r="U64" s="360"/>
    </row>
    <row r="65" spans="1:21" ht="23.25" outlineLevel="2" thickBot="1" x14ac:dyDescent="0.3">
      <c r="D65" s="1170" t="s">
        <v>99</v>
      </c>
      <c r="E65" s="1171" t="s">
        <v>100</v>
      </c>
      <c r="F65" s="488" t="s">
        <v>96</v>
      </c>
      <c r="G65" s="350"/>
      <c r="H65" s="350"/>
      <c r="I65" s="350"/>
      <c r="J65" s="351"/>
      <c r="K65" s="351"/>
      <c r="L65" s="351"/>
      <c r="M65" s="351"/>
      <c r="N65" s="351"/>
      <c r="O65" s="351"/>
      <c r="P65" s="351"/>
      <c r="Q65" s="351"/>
      <c r="R65" s="351"/>
      <c r="S65" s="352"/>
      <c r="U65" s="360"/>
    </row>
    <row r="66" spans="1:21" ht="23.25" outlineLevel="2" thickBot="1" x14ac:dyDescent="0.3">
      <c r="D66" s="1170" t="s">
        <v>99</v>
      </c>
      <c r="E66" s="1171" t="s">
        <v>100</v>
      </c>
      <c r="F66" s="488" t="s">
        <v>96</v>
      </c>
      <c r="G66" s="350"/>
      <c r="H66" s="350"/>
      <c r="I66" s="350">
        <v>0</v>
      </c>
      <c r="J66" s="351">
        <v>0</v>
      </c>
      <c r="K66" s="351"/>
      <c r="L66" s="351"/>
      <c r="M66" s="351"/>
      <c r="N66" s="351"/>
      <c r="O66" s="351"/>
      <c r="P66" s="351"/>
      <c r="Q66" s="351"/>
      <c r="R66" s="351"/>
      <c r="S66" s="352"/>
      <c r="U66" s="360"/>
    </row>
    <row r="67" spans="1:21" ht="14.25" thickBot="1" x14ac:dyDescent="0.3">
      <c r="D67" s="1173"/>
      <c r="E67" s="1174"/>
      <c r="F67" s="489" t="s">
        <v>101</v>
      </c>
      <c r="G67" s="357"/>
      <c r="H67" s="354">
        <v>3</v>
      </c>
      <c r="I67" s="357">
        <f t="shared" ref="I67:S67" si="12">SUBTOTAL(9,I61:I66)</f>
        <v>0</v>
      </c>
      <c r="J67" s="363">
        <f>SUBTOTAL(9,J61:J66)</f>
        <v>0</v>
      </c>
      <c r="K67" s="363">
        <f t="shared" si="12"/>
        <v>0</v>
      </c>
      <c r="L67" s="363">
        <f t="shared" si="12"/>
        <v>0</v>
      </c>
      <c r="M67" s="363">
        <f t="shared" si="12"/>
        <v>0</v>
      </c>
      <c r="N67" s="363">
        <f t="shared" si="12"/>
        <v>0</v>
      </c>
      <c r="O67" s="363">
        <f t="shared" si="12"/>
        <v>0</v>
      </c>
      <c r="P67" s="363">
        <f t="shared" si="12"/>
        <v>0</v>
      </c>
      <c r="Q67" s="363">
        <f t="shared" si="12"/>
        <v>0</v>
      </c>
      <c r="R67" s="363">
        <f t="shared" si="12"/>
        <v>0</v>
      </c>
      <c r="S67" s="364">
        <f t="shared" si="12"/>
        <v>0</v>
      </c>
      <c r="T67" s="353">
        <f>ROUND(J67-SUM(K67:P67)-R67,2)</f>
        <v>0</v>
      </c>
    </row>
    <row r="68" spans="1:21" ht="23.25" outlineLevel="2" thickBot="1" x14ac:dyDescent="0.3">
      <c r="D68" s="1170" t="s">
        <v>102</v>
      </c>
      <c r="E68" s="1171" t="s">
        <v>103</v>
      </c>
      <c r="F68" s="488" t="s">
        <v>104</v>
      </c>
      <c r="G68" s="350"/>
      <c r="H68" s="358"/>
      <c r="I68" s="350">
        <v>0</v>
      </c>
      <c r="J68" s="351">
        <v>35617.29</v>
      </c>
      <c r="K68" s="351"/>
      <c r="L68" s="351"/>
      <c r="M68" s="351"/>
      <c r="N68" s="351">
        <v>35617.29</v>
      </c>
      <c r="O68" s="351"/>
      <c r="P68" s="351"/>
      <c r="Q68" s="351"/>
      <c r="R68" s="351"/>
      <c r="S68" s="352"/>
      <c r="T68" s="381"/>
    </row>
    <row r="69" spans="1:21" ht="14.25" thickBot="1" x14ac:dyDescent="0.3">
      <c r="D69" s="1173"/>
      <c r="E69" s="1174"/>
      <c r="F69" s="489" t="s">
        <v>105</v>
      </c>
      <c r="G69" s="357"/>
      <c r="H69" s="354">
        <v>2</v>
      </c>
      <c r="I69" s="357">
        <f t="shared" ref="I69:S69" si="13">SUBTOTAL(9,I68:I68)</f>
        <v>0</v>
      </c>
      <c r="J69" s="363">
        <f t="shared" si="13"/>
        <v>35617.29</v>
      </c>
      <c r="K69" s="363">
        <f t="shared" si="13"/>
        <v>0</v>
      </c>
      <c r="L69" s="363">
        <f t="shared" si="13"/>
        <v>0</v>
      </c>
      <c r="M69" s="363">
        <f t="shared" si="13"/>
        <v>0</v>
      </c>
      <c r="N69" s="363">
        <f t="shared" si="13"/>
        <v>35617.29</v>
      </c>
      <c r="O69" s="363">
        <f t="shared" si="13"/>
        <v>0</v>
      </c>
      <c r="P69" s="363">
        <f t="shared" si="13"/>
        <v>0</v>
      </c>
      <c r="Q69" s="363">
        <f t="shared" si="13"/>
        <v>0</v>
      </c>
      <c r="R69" s="363">
        <f t="shared" si="13"/>
        <v>0</v>
      </c>
      <c r="S69" s="364">
        <f t="shared" si="13"/>
        <v>0</v>
      </c>
      <c r="T69" s="353">
        <f>ROUND(J69-SUM(K69:P69)-R69,2)</f>
        <v>0</v>
      </c>
    </row>
    <row r="70" spans="1:21" ht="23.25" outlineLevel="2" thickBot="1" x14ac:dyDescent="0.3">
      <c r="D70" s="1170" t="s">
        <v>106</v>
      </c>
      <c r="E70" s="1171" t="s">
        <v>107</v>
      </c>
      <c r="F70" s="488" t="s">
        <v>72</v>
      </c>
      <c r="G70" s="357"/>
      <c r="H70" s="358"/>
      <c r="I70" s="350">
        <v>4281</v>
      </c>
      <c r="J70" s="351">
        <v>2368.6999999999998</v>
      </c>
      <c r="K70" s="351">
        <v>781</v>
      </c>
      <c r="L70" s="351">
        <v>20.85</v>
      </c>
      <c r="M70" s="351">
        <v>0</v>
      </c>
      <c r="N70" s="351">
        <v>1566.85</v>
      </c>
      <c r="O70" s="351"/>
      <c r="P70" s="351"/>
      <c r="Q70" s="351"/>
      <c r="R70" s="351"/>
      <c r="S70" s="352"/>
      <c r="T70" s="381"/>
    </row>
    <row r="71" spans="1:21" ht="14.25" thickBot="1" x14ac:dyDescent="0.3">
      <c r="D71" s="1173"/>
      <c r="E71" s="1192"/>
      <c r="F71" s="495" t="s">
        <v>108</v>
      </c>
      <c r="G71" s="357"/>
      <c r="H71" s="354">
        <v>1</v>
      </c>
      <c r="I71" s="357">
        <f t="shared" ref="I71:S71" si="14">SUBTOTAL(9,I70:I70)</f>
        <v>4281</v>
      </c>
      <c r="J71" s="363">
        <f>SUBTOTAL(9,J70:J70)</f>
        <v>2368.6999999999998</v>
      </c>
      <c r="K71" s="363">
        <f t="shared" si="14"/>
        <v>781</v>
      </c>
      <c r="L71" s="363">
        <f t="shared" si="14"/>
        <v>20.85</v>
      </c>
      <c r="M71" s="363">
        <f t="shared" si="14"/>
        <v>0</v>
      </c>
      <c r="N71" s="363">
        <f t="shared" si="14"/>
        <v>1566.85</v>
      </c>
      <c r="O71" s="363">
        <f t="shared" si="14"/>
        <v>0</v>
      </c>
      <c r="P71" s="363">
        <f t="shared" si="14"/>
        <v>0</v>
      </c>
      <c r="Q71" s="363">
        <f t="shared" si="14"/>
        <v>0</v>
      </c>
      <c r="R71" s="363">
        <f t="shared" si="14"/>
        <v>0</v>
      </c>
      <c r="S71" s="364">
        <f t="shared" si="14"/>
        <v>0</v>
      </c>
      <c r="T71" s="353">
        <f>ROUND(J71-SUM(K71:P71)-R71,2)</f>
        <v>0</v>
      </c>
    </row>
    <row r="72" spans="1:21" ht="23.25" outlineLevel="2" thickBot="1" x14ac:dyDescent="0.3">
      <c r="D72" s="1170" t="s">
        <v>109</v>
      </c>
      <c r="E72" s="1171" t="s">
        <v>110</v>
      </c>
      <c r="F72" s="498" t="s">
        <v>111</v>
      </c>
      <c r="G72" s="350"/>
      <c r="H72" s="358"/>
      <c r="I72" s="350">
        <v>0</v>
      </c>
      <c r="J72" s="351">
        <v>275</v>
      </c>
      <c r="K72" s="351">
        <v>275</v>
      </c>
      <c r="L72" s="351">
        <v>0</v>
      </c>
      <c r="M72" s="351">
        <v>0</v>
      </c>
      <c r="N72" s="351">
        <v>0</v>
      </c>
      <c r="O72" s="351"/>
      <c r="P72" s="351"/>
      <c r="Q72" s="351"/>
      <c r="R72" s="351"/>
      <c r="S72" s="352"/>
      <c r="T72" s="381"/>
    </row>
    <row r="73" spans="1:21" ht="14.25" thickBot="1" x14ac:dyDescent="0.3">
      <c r="D73" s="1173"/>
      <c r="E73" s="1192"/>
      <c r="F73" s="495" t="s">
        <v>112</v>
      </c>
      <c r="G73" s="357"/>
      <c r="H73" s="354">
        <v>1</v>
      </c>
      <c r="I73" s="357">
        <f t="shared" ref="I73:S73" si="15">SUBTOTAL(9,I72:I72)</f>
        <v>0</v>
      </c>
      <c r="J73" s="363">
        <f>SUBTOTAL(9,J72:J72)</f>
        <v>275</v>
      </c>
      <c r="K73" s="363">
        <f t="shared" si="15"/>
        <v>275</v>
      </c>
      <c r="L73" s="363">
        <f t="shared" si="15"/>
        <v>0</v>
      </c>
      <c r="M73" s="363">
        <f t="shared" si="15"/>
        <v>0</v>
      </c>
      <c r="N73" s="363">
        <f t="shared" si="15"/>
        <v>0</v>
      </c>
      <c r="O73" s="363">
        <f t="shared" si="15"/>
        <v>0</v>
      </c>
      <c r="P73" s="363">
        <f t="shared" si="15"/>
        <v>0</v>
      </c>
      <c r="Q73" s="363">
        <f t="shared" si="15"/>
        <v>0</v>
      </c>
      <c r="R73" s="363">
        <f t="shared" si="15"/>
        <v>0</v>
      </c>
      <c r="S73" s="364">
        <f t="shared" si="15"/>
        <v>0</v>
      </c>
      <c r="T73" s="353">
        <f>ROUND(J73-SUM(K73:P73)-R73,2)</f>
        <v>0</v>
      </c>
    </row>
    <row r="74" spans="1:21" ht="23.25" outlineLevel="2" thickBot="1" x14ac:dyDescent="0.3">
      <c r="D74" s="1170" t="s">
        <v>113</v>
      </c>
      <c r="E74" s="1171" t="s">
        <v>114</v>
      </c>
      <c r="F74" s="498" t="s">
        <v>115</v>
      </c>
      <c r="G74" s="350"/>
      <c r="H74" s="358"/>
      <c r="I74" s="350">
        <v>7146</v>
      </c>
      <c r="J74" s="351">
        <v>3792.1099999999997</v>
      </c>
      <c r="K74" s="351">
        <v>781</v>
      </c>
      <c r="L74" s="351">
        <v>34.799999999999997</v>
      </c>
      <c r="M74" s="351">
        <v>0</v>
      </c>
      <c r="N74" s="351">
        <v>2976.31</v>
      </c>
      <c r="O74" s="351"/>
      <c r="P74" s="351"/>
      <c r="Q74" s="351"/>
      <c r="R74" s="351"/>
      <c r="S74" s="352"/>
      <c r="T74" s="381"/>
    </row>
    <row r="75" spans="1:21" ht="14.25" thickBot="1" x14ac:dyDescent="0.3">
      <c r="D75" s="1184"/>
      <c r="E75" s="1192"/>
      <c r="F75" s="495" t="s">
        <v>116</v>
      </c>
      <c r="G75" s="357"/>
      <c r="H75" s="354">
        <v>1</v>
      </c>
      <c r="I75" s="357">
        <f t="shared" ref="I75:S75" si="16">SUBTOTAL(9,I74:I74)</f>
        <v>7146</v>
      </c>
      <c r="J75" s="363">
        <f>SUBTOTAL(9,J74:J74)</f>
        <v>3792.1099999999997</v>
      </c>
      <c r="K75" s="363">
        <f t="shared" si="16"/>
        <v>781</v>
      </c>
      <c r="L75" s="363">
        <f t="shared" si="16"/>
        <v>34.799999999999997</v>
      </c>
      <c r="M75" s="363">
        <f t="shared" si="16"/>
        <v>0</v>
      </c>
      <c r="N75" s="363">
        <f t="shared" si="16"/>
        <v>2976.31</v>
      </c>
      <c r="O75" s="363">
        <f t="shared" si="16"/>
        <v>0</v>
      </c>
      <c r="P75" s="363">
        <f t="shared" si="16"/>
        <v>0</v>
      </c>
      <c r="Q75" s="363">
        <f t="shared" si="16"/>
        <v>0</v>
      </c>
      <c r="R75" s="363">
        <f t="shared" si="16"/>
        <v>0</v>
      </c>
      <c r="S75" s="364">
        <f t="shared" si="16"/>
        <v>0</v>
      </c>
      <c r="T75" s="353">
        <f>ROUND(J75-SUM(K75:P75)-R75,2)</f>
        <v>0</v>
      </c>
    </row>
    <row r="76" spans="1:21" ht="14.25" thickBot="1" x14ac:dyDescent="0.3">
      <c r="A76" s="1158"/>
      <c r="B76" s="1158"/>
      <c r="C76" s="1158"/>
      <c r="D76" s="1396" t="s">
        <v>117</v>
      </c>
      <c r="E76" s="1396"/>
      <c r="F76" s="192" t="s">
        <v>118</v>
      </c>
      <c r="G76" s="171"/>
      <c r="H76" s="171">
        <f>SUBTOTAL(9,H61:H75)</f>
        <v>8</v>
      </c>
      <c r="I76" s="171">
        <f t="shared" ref="I76:S76" si="17">SUBTOTAL(9,I61:I75)</f>
        <v>11427</v>
      </c>
      <c r="J76" s="172">
        <f>SUBTOTAL(9,J61:J75)</f>
        <v>42053.1</v>
      </c>
      <c r="K76" s="172">
        <f t="shared" si="17"/>
        <v>1837</v>
      </c>
      <c r="L76" s="172">
        <f>SUBTOTAL(9,L61:L75)</f>
        <v>55.65</v>
      </c>
      <c r="M76" s="172">
        <f t="shared" si="17"/>
        <v>0</v>
      </c>
      <c r="N76" s="172">
        <f t="shared" si="17"/>
        <v>40160.449999999997</v>
      </c>
      <c r="O76" s="172">
        <f t="shared" si="17"/>
        <v>0</v>
      </c>
      <c r="P76" s="172">
        <f t="shared" si="17"/>
        <v>0</v>
      </c>
      <c r="Q76" s="172">
        <f t="shared" si="17"/>
        <v>0</v>
      </c>
      <c r="R76" s="172">
        <f t="shared" si="17"/>
        <v>0</v>
      </c>
      <c r="S76" s="173">
        <f t="shared" si="17"/>
        <v>0</v>
      </c>
      <c r="T76" s="353">
        <f>ROUND(J76-SUM(K76:P76)-R76,2)</f>
        <v>0</v>
      </c>
    </row>
    <row r="77" spans="1:21" ht="13.5" x14ac:dyDescent="0.25">
      <c r="G77" s="338"/>
      <c r="H77" s="338"/>
      <c r="I77" s="382"/>
      <c r="K77" s="383"/>
      <c r="L77" s="383"/>
      <c r="M77" s="383"/>
      <c r="N77" s="383"/>
      <c r="O77" s="383"/>
      <c r="P77" s="383"/>
    </row>
    <row r="78" spans="1:21" x14ac:dyDescent="0.2">
      <c r="G78" s="384" t="s">
        <v>76</v>
      </c>
      <c r="H78" s="385" t="s">
        <v>119</v>
      </c>
    </row>
    <row r="79" spans="1:21" s="386" customFormat="1" ht="11.25" x14ac:dyDescent="0.2">
      <c r="A79" s="1201"/>
      <c r="B79" s="1201"/>
      <c r="C79" s="1201"/>
      <c r="D79" s="1201"/>
      <c r="E79" s="1201"/>
      <c r="G79" s="384" t="s">
        <v>74</v>
      </c>
      <c r="H79" s="385" t="s">
        <v>120</v>
      </c>
    </row>
    <row r="80" spans="1:21" x14ac:dyDescent="0.2">
      <c r="G80" s="384" t="s">
        <v>71</v>
      </c>
      <c r="H80" s="385" t="s">
        <v>121</v>
      </c>
    </row>
    <row r="81" spans="7:8" x14ac:dyDescent="0.2">
      <c r="G81" s="387"/>
      <c r="H81" s="380"/>
    </row>
  </sheetData>
  <mergeCells count="5">
    <mergeCell ref="F1:K1"/>
    <mergeCell ref="D4:E4"/>
    <mergeCell ref="D47:E47"/>
    <mergeCell ref="D59:E59"/>
    <mergeCell ref="D76:E76"/>
  </mergeCells>
  <conditionalFormatting sqref="T49:T54 T5:T42">
    <cfRule type="cellIs" dxfId="14" priority="7" stopIfTrue="1" operator="notEqual">
      <formula>0</formula>
    </cfRule>
  </conditionalFormatting>
  <conditionalFormatting sqref="T67">
    <cfRule type="cellIs" dxfId="13" priority="6" stopIfTrue="1" operator="notEqual">
      <formula>0</formula>
    </cfRule>
  </conditionalFormatting>
  <conditionalFormatting sqref="T69">
    <cfRule type="cellIs" dxfId="12" priority="5" stopIfTrue="1" operator="notEqual">
      <formula>0</formula>
    </cfRule>
  </conditionalFormatting>
  <conditionalFormatting sqref="T71">
    <cfRule type="cellIs" dxfId="11" priority="4" stopIfTrue="1" operator="notEqual">
      <formula>0</formula>
    </cfRule>
  </conditionalFormatting>
  <conditionalFormatting sqref="T73">
    <cfRule type="cellIs" dxfId="10" priority="3" stopIfTrue="1" operator="notEqual">
      <formula>0</formula>
    </cfRule>
  </conditionalFormatting>
  <conditionalFormatting sqref="T75">
    <cfRule type="cellIs" dxfId="9" priority="2" stopIfTrue="1" operator="notEqual">
      <formula>0</formula>
    </cfRule>
  </conditionalFormatting>
  <conditionalFormatting sqref="T76">
    <cfRule type="cellIs" dxfId="8" priority="1" stopIfTrue="1" operator="notEqual">
      <formula>0</formula>
    </cfRule>
  </conditionalFormatting>
  <printOptions horizontalCentered="1"/>
  <pageMargins left="0.25" right="0" top="0.25" bottom="0.5" header="0.25" footer="0.25"/>
  <pageSetup scale="44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8" tint="0.39997558519241921"/>
    <pageSetUpPr fitToPage="1"/>
  </sheetPr>
  <dimension ref="A1:U83"/>
  <sheetViews>
    <sheetView showGridLines="0" zoomScale="80" zoomScaleNormal="80" workbookViewId="0"/>
  </sheetViews>
  <sheetFormatPr defaultRowHeight="12.75" outlineLevelRow="2" x14ac:dyDescent="0.2"/>
  <cols>
    <col min="1" max="1" width="8" style="1160" customWidth="1"/>
    <col min="2" max="2" width="7" style="1160" customWidth="1"/>
    <col min="3" max="3" width="24.140625" style="1160" bestFit="1" customWidth="1"/>
    <col min="4" max="4" width="15.42578125" style="1160" customWidth="1"/>
    <col min="5" max="5" width="18.7109375" style="1160" customWidth="1"/>
    <col min="6" max="6" width="30.140625" style="338" bestFit="1" customWidth="1"/>
    <col min="7" max="7" width="3.7109375" style="340" bestFit="1" customWidth="1"/>
    <col min="8" max="8" width="13.5703125" style="340" bestFit="1" customWidth="1"/>
    <col min="9" max="9" width="12.5703125" style="338" bestFit="1" customWidth="1"/>
    <col min="10" max="10" width="15.28515625" style="338" bestFit="1" customWidth="1"/>
    <col min="11" max="11" width="14.28515625" style="338" bestFit="1" customWidth="1"/>
    <col min="12" max="12" width="15.28515625" style="338" bestFit="1" customWidth="1"/>
    <col min="13" max="13" width="13.5703125" style="338" bestFit="1" customWidth="1"/>
    <col min="14" max="14" width="15.5703125" style="338" bestFit="1" customWidth="1"/>
    <col min="15" max="15" width="13.5703125" style="338" bestFit="1" customWidth="1"/>
    <col min="16" max="16" width="8.7109375" style="338" customWidth="1"/>
    <col min="17" max="17" width="10.5703125" style="338" bestFit="1" customWidth="1"/>
    <col min="18" max="18" width="13.140625" style="338" bestFit="1" customWidth="1"/>
    <col min="19" max="19" width="10.7109375" style="338" customWidth="1"/>
    <col min="20" max="20" width="17.7109375" style="338" bestFit="1" customWidth="1"/>
    <col min="21" max="21" width="6.28515625" style="338" bestFit="1" customWidth="1"/>
    <col min="22" max="16384" width="9.140625" style="338"/>
  </cols>
  <sheetData>
    <row r="1" spans="1:20" ht="23.25" customHeight="1" x14ac:dyDescent="0.35">
      <c r="A1" s="1159"/>
      <c r="D1" s="1159"/>
      <c r="F1" s="1397" t="s">
        <v>800</v>
      </c>
      <c r="G1" s="1397"/>
      <c r="H1" s="1397"/>
      <c r="I1" s="1397"/>
      <c r="J1" s="1397"/>
      <c r="K1" s="1397"/>
      <c r="L1" s="339"/>
    </row>
    <row r="2" spans="1:20" ht="15.75" thickBot="1" x14ac:dyDescent="0.35">
      <c r="A2" s="1161"/>
      <c r="D2" s="1161"/>
    </row>
    <row r="3" spans="1:20" ht="23.25" thickBot="1" x14ac:dyDescent="0.25">
      <c r="A3" s="1162"/>
      <c r="B3" s="1163"/>
      <c r="C3" s="1163"/>
      <c r="D3" s="1164" t="s">
        <v>1</v>
      </c>
      <c r="E3" s="1165"/>
      <c r="F3" s="478" t="s">
        <v>1</v>
      </c>
      <c r="G3" s="479"/>
      <c r="H3" s="480" t="s">
        <v>2</v>
      </c>
      <c r="I3" s="481" t="s">
        <v>3</v>
      </c>
      <c r="J3" s="481" t="s">
        <v>4</v>
      </c>
      <c r="K3" s="481" t="s">
        <v>5</v>
      </c>
      <c r="L3" s="481" t="s">
        <v>6</v>
      </c>
      <c r="M3" s="481" t="s">
        <v>7</v>
      </c>
      <c r="N3" s="481" t="s">
        <v>8</v>
      </c>
      <c r="O3" s="481" t="s">
        <v>9</v>
      </c>
      <c r="P3" s="481" t="s">
        <v>10</v>
      </c>
      <c r="Q3" s="481" t="s">
        <v>11</v>
      </c>
      <c r="R3" s="481" t="s">
        <v>12</v>
      </c>
      <c r="S3" s="482" t="s">
        <v>13</v>
      </c>
    </row>
    <row r="4" spans="1:20" ht="13.5" customHeight="1" thickBot="1" x14ac:dyDescent="0.25">
      <c r="A4" s="1167" t="s">
        <v>14</v>
      </c>
      <c r="B4" s="1168" t="s">
        <v>15</v>
      </c>
      <c r="C4" s="1168" t="s">
        <v>16</v>
      </c>
      <c r="D4" s="1398" t="s">
        <v>17</v>
      </c>
      <c r="E4" s="1399"/>
      <c r="F4" s="483" t="s">
        <v>18</v>
      </c>
      <c r="G4" s="484"/>
      <c r="H4" s="484"/>
      <c r="I4" s="485" t="s">
        <v>19</v>
      </c>
      <c r="J4" s="486" t="s">
        <v>20</v>
      </c>
      <c r="K4" s="486" t="s">
        <v>20</v>
      </c>
      <c r="L4" s="486" t="s">
        <v>20</v>
      </c>
      <c r="M4" s="486" t="s">
        <v>20</v>
      </c>
      <c r="N4" s="486" t="s">
        <v>20</v>
      </c>
      <c r="O4" s="486" t="s">
        <v>20</v>
      </c>
      <c r="P4" s="486" t="s">
        <v>20</v>
      </c>
      <c r="Q4" s="486" t="s">
        <v>20</v>
      </c>
      <c r="R4" s="486" t="s">
        <v>20</v>
      </c>
      <c r="S4" s="487" t="s">
        <v>20</v>
      </c>
      <c r="T4" s="349" t="s">
        <v>257</v>
      </c>
    </row>
    <row r="5" spans="1:20" ht="13.5" customHeight="1" outlineLevel="2" thickBot="1" x14ac:dyDescent="0.3">
      <c r="A5" s="1170" t="s">
        <v>21</v>
      </c>
      <c r="B5" s="1170" t="s">
        <v>21</v>
      </c>
      <c r="C5" s="1170" t="s">
        <v>22</v>
      </c>
      <c r="D5" s="1170" t="s">
        <v>23</v>
      </c>
      <c r="E5" s="1171" t="s">
        <v>24</v>
      </c>
      <c r="F5" s="488" t="s">
        <v>25</v>
      </c>
      <c r="G5" s="350"/>
      <c r="H5" s="350"/>
      <c r="I5" s="350">
        <v>0</v>
      </c>
      <c r="J5" s="351">
        <v>0</v>
      </c>
      <c r="K5" s="351">
        <v>0</v>
      </c>
      <c r="L5" s="351">
        <v>0</v>
      </c>
      <c r="M5" s="137">
        <v>0</v>
      </c>
      <c r="N5" s="137">
        <v>0</v>
      </c>
      <c r="O5" s="270">
        <v>0</v>
      </c>
      <c r="P5" s="137">
        <v>0</v>
      </c>
      <c r="Q5" s="270">
        <v>0</v>
      </c>
      <c r="R5" s="270">
        <v>0</v>
      </c>
      <c r="S5" s="352">
        <v>0</v>
      </c>
      <c r="T5" s="353"/>
    </row>
    <row r="6" spans="1:20" ht="13.5" customHeight="1" outlineLevel="2" thickBot="1" x14ac:dyDescent="0.3">
      <c r="A6" s="1170" t="s">
        <v>21</v>
      </c>
      <c r="B6" s="1170" t="s">
        <v>21</v>
      </c>
      <c r="C6" s="1170" t="s">
        <v>26</v>
      </c>
      <c r="D6" s="1170" t="s">
        <v>23</v>
      </c>
      <c r="E6" s="1171" t="s">
        <v>24</v>
      </c>
      <c r="F6" s="488" t="s">
        <v>27</v>
      </c>
      <c r="G6" s="350"/>
      <c r="H6" s="350"/>
      <c r="I6" s="350">
        <v>68631</v>
      </c>
      <c r="J6" s="351">
        <v>37051.520000000004</v>
      </c>
      <c r="K6" s="351">
        <v>275</v>
      </c>
      <c r="L6" s="351">
        <v>3604.5</v>
      </c>
      <c r="M6" s="137">
        <v>79.61</v>
      </c>
      <c r="N6" s="137">
        <v>33092.410000000003</v>
      </c>
      <c r="O6" s="137">
        <v>0</v>
      </c>
      <c r="P6" s="137">
        <v>0</v>
      </c>
      <c r="Q6" s="137">
        <v>0</v>
      </c>
      <c r="R6" s="137">
        <v>0</v>
      </c>
      <c r="S6" s="352">
        <v>0</v>
      </c>
      <c r="T6" s="353"/>
    </row>
    <row r="7" spans="1:20" ht="13.5" customHeight="1" outlineLevel="2" thickBot="1" x14ac:dyDescent="0.3">
      <c r="A7" s="1170" t="s">
        <v>21</v>
      </c>
      <c r="B7" s="1170" t="s">
        <v>21</v>
      </c>
      <c r="C7" s="1170" t="s">
        <v>28</v>
      </c>
      <c r="D7" s="1170" t="s">
        <v>29</v>
      </c>
      <c r="E7" s="1171" t="s">
        <v>30</v>
      </c>
      <c r="F7" s="488" t="s">
        <v>31</v>
      </c>
      <c r="G7" s="350"/>
      <c r="H7" s="350"/>
      <c r="I7" s="350">
        <v>173809</v>
      </c>
      <c r="J7" s="351">
        <v>95242.62</v>
      </c>
      <c r="K7" s="351">
        <v>2200</v>
      </c>
      <c r="L7" s="351">
        <v>9128.4500000000007</v>
      </c>
      <c r="M7" s="137">
        <v>0</v>
      </c>
      <c r="N7" s="137">
        <v>83914.17</v>
      </c>
      <c r="O7" s="137">
        <v>0</v>
      </c>
      <c r="P7" s="137">
        <v>0</v>
      </c>
      <c r="Q7" s="137">
        <v>0</v>
      </c>
      <c r="R7" s="137">
        <v>0</v>
      </c>
      <c r="S7" s="352">
        <v>0</v>
      </c>
      <c r="T7" s="353"/>
    </row>
    <row r="8" spans="1:20" ht="13.5" customHeight="1" outlineLevel="2" thickBot="1" x14ac:dyDescent="0.3">
      <c r="A8" s="1170" t="s">
        <v>21</v>
      </c>
      <c r="B8" s="1170" t="s">
        <v>21</v>
      </c>
      <c r="C8" s="1170" t="s">
        <v>28</v>
      </c>
      <c r="D8" s="1170" t="s">
        <v>29</v>
      </c>
      <c r="E8" s="1171" t="s">
        <v>30</v>
      </c>
      <c r="F8" s="488" t="s">
        <v>31</v>
      </c>
      <c r="G8" s="350"/>
      <c r="H8" s="350"/>
      <c r="I8" s="350">
        <v>13052</v>
      </c>
      <c r="J8" s="351">
        <v>7253.86</v>
      </c>
      <c r="K8" s="351">
        <v>275</v>
      </c>
      <c r="L8" s="351">
        <v>685.49</v>
      </c>
      <c r="M8" s="137">
        <v>0</v>
      </c>
      <c r="N8" s="137">
        <v>6293.37</v>
      </c>
      <c r="O8" s="137">
        <v>0</v>
      </c>
      <c r="P8" s="137">
        <v>0</v>
      </c>
      <c r="Q8" s="137">
        <v>0</v>
      </c>
      <c r="R8" s="137">
        <v>0</v>
      </c>
      <c r="S8" s="352">
        <v>0</v>
      </c>
      <c r="T8" s="353"/>
    </row>
    <row r="9" spans="1:20" ht="13.5" customHeight="1" outlineLevel="2" thickBot="1" x14ac:dyDescent="0.3">
      <c r="A9" s="1170" t="s">
        <v>21</v>
      </c>
      <c r="B9" s="1170" t="s">
        <v>21</v>
      </c>
      <c r="C9" s="1170" t="s">
        <v>26</v>
      </c>
      <c r="D9" s="1170" t="s">
        <v>23</v>
      </c>
      <c r="E9" s="1171" t="s">
        <v>30</v>
      </c>
      <c r="F9" s="488" t="s">
        <v>32</v>
      </c>
      <c r="G9" s="350"/>
      <c r="H9" s="350"/>
      <c r="I9" s="350">
        <v>62630</v>
      </c>
      <c r="J9" s="351">
        <v>35880.550000000003</v>
      </c>
      <c r="K9" s="351">
        <v>1100</v>
      </c>
      <c r="L9" s="351">
        <v>3289.32</v>
      </c>
      <c r="M9" s="137">
        <v>72.650000000000006</v>
      </c>
      <c r="N9" s="137">
        <v>31418.58</v>
      </c>
      <c r="O9" s="137">
        <v>0</v>
      </c>
      <c r="P9" s="137">
        <v>0</v>
      </c>
      <c r="Q9" s="137">
        <v>0</v>
      </c>
      <c r="R9" s="137">
        <v>0</v>
      </c>
      <c r="S9" s="352">
        <v>0</v>
      </c>
      <c r="T9" s="353"/>
    </row>
    <row r="10" spans="1:20" s="356" customFormat="1" ht="13.5" customHeight="1" outlineLevel="1" thickBot="1" x14ac:dyDescent="0.3">
      <c r="A10" s="1173"/>
      <c r="B10" s="1173"/>
      <c r="C10" s="1173"/>
      <c r="D10" s="1173"/>
      <c r="E10" s="1174"/>
      <c r="F10" s="489" t="s">
        <v>33</v>
      </c>
      <c r="G10" s="350"/>
      <c r="H10" s="354">
        <f>9+5</f>
        <v>14</v>
      </c>
      <c r="I10" s="355">
        <f t="shared" ref="I10:S10" si="0">SUBTOTAL(9,I5:I9)</f>
        <v>318122</v>
      </c>
      <c r="J10" s="143">
        <f>SUBTOTAL(9,J5:J9)</f>
        <v>175428.55</v>
      </c>
      <c r="K10" s="143">
        <f t="shared" si="0"/>
        <v>3850</v>
      </c>
      <c r="L10" s="143">
        <f t="shared" si="0"/>
        <v>16707.760000000002</v>
      </c>
      <c r="M10" s="143">
        <f t="shared" si="0"/>
        <v>152.26</v>
      </c>
      <c r="N10" s="143">
        <f t="shared" si="0"/>
        <v>154718.53</v>
      </c>
      <c r="O10" s="143">
        <f t="shared" si="0"/>
        <v>0</v>
      </c>
      <c r="P10" s="143">
        <f t="shared" si="0"/>
        <v>0</v>
      </c>
      <c r="Q10" s="143">
        <f t="shared" si="0"/>
        <v>0</v>
      </c>
      <c r="R10" s="143">
        <f t="shared" si="0"/>
        <v>0</v>
      </c>
      <c r="S10" s="144">
        <f t="shared" si="0"/>
        <v>0</v>
      </c>
      <c r="T10" s="353">
        <f>ROUND(J10-SUM(K10:P10)-R10,2)</f>
        <v>0</v>
      </c>
    </row>
    <row r="11" spans="1:20" ht="13.5" customHeight="1" outlineLevel="2" thickBot="1" x14ac:dyDescent="0.3">
      <c r="A11" s="1170" t="s">
        <v>21</v>
      </c>
      <c r="B11" s="1170" t="s">
        <v>21</v>
      </c>
      <c r="C11" s="1170" t="s">
        <v>22</v>
      </c>
      <c r="D11" s="1170" t="s">
        <v>34</v>
      </c>
      <c r="E11" s="1171" t="s">
        <v>35</v>
      </c>
      <c r="F11" s="488" t="s">
        <v>36</v>
      </c>
      <c r="G11" s="357"/>
      <c r="H11" s="358"/>
      <c r="I11" s="359">
        <v>304</v>
      </c>
      <c r="J11" s="148">
        <v>684.31</v>
      </c>
      <c r="K11" s="148">
        <v>480</v>
      </c>
      <c r="L11" s="148">
        <v>56.91</v>
      </c>
      <c r="M11" s="148">
        <v>0.35</v>
      </c>
      <c r="N11" s="148">
        <v>147.05000000000001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353"/>
    </row>
    <row r="12" spans="1:20" ht="13.5" customHeight="1" outlineLevel="2" thickBot="1" x14ac:dyDescent="0.3">
      <c r="A12" s="1170" t="s">
        <v>21</v>
      </c>
      <c r="B12" s="1170" t="s">
        <v>21</v>
      </c>
      <c r="C12" s="1170" t="s">
        <v>26</v>
      </c>
      <c r="D12" s="1170" t="s">
        <v>34</v>
      </c>
      <c r="E12" s="1171" t="s">
        <v>35</v>
      </c>
      <c r="F12" s="488" t="s">
        <v>36</v>
      </c>
      <c r="G12" s="350"/>
      <c r="H12" s="358"/>
      <c r="I12" s="359">
        <v>54</v>
      </c>
      <c r="J12" s="148">
        <v>126.53</v>
      </c>
      <c r="K12" s="148">
        <v>90</v>
      </c>
      <c r="L12" s="148">
        <v>10.11</v>
      </c>
      <c r="M12" s="148">
        <v>0.06</v>
      </c>
      <c r="N12" s="148">
        <v>26.36</v>
      </c>
      <c r="O12" s="148">
        <v>0</v>
      </c>
      <c r="P12" s="148">
        <v>0</v>
      </c>
      <c r="Q12" s="148">
        <v>0</v>
      </c>
      <c r="R12" s="148">
        <v>0</v>
      </c>
      <c r="S12" s="149">
        <v>0</v>
      </c>
      <c r="T12" s="353"/>
    </row>
    <row r="13" spans="1:20" ht="13.5" customHeight="1" outlineLevel="2" thickBot="1" x14ac:dyDescent="0.3">
      <c r="A13" s="1170" t="s">
        <v>21</v>
      </c>
      <c r="B13" s="1170" t="s">
        <v>21</v>
      </c>
      <c r="C13" s="1170" t="s">
        <v>22</v>
      </c>
      <c r="D13" s="1170" t="s">
        <v>37</v>
      </c>
      <c r="E13" s="1171" t="s">
        <v>38</v>
      </c>
      <c r="F13" s="488" t="s">
        <v>39</v>
      </c>
      <c r="G13" s="350"/>
      <c r="H13" s="358"/>
      <c r="I13" s="359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9">
        <v>0</v>
      </c>
      <c r="T13" s="353"/>
    </row>
    <row r="14" spans="1:20" ht="13.5" customHeight="1" outlineLevel="2" thickBot="1" x14ac:dyDescent="0.3">
      <c r="A14" s="1170" t="s">
        <v>21</v>
      </c>
      <c r="B14" s="1170" t="s">
        <v>21</v>
      </c>
      <c r="C14" s="1170" t="s">
        <v>22</v>
      </c>
      <c r="D14" s="1170" t="s">
        <v>37</v>
      </c>
      <c r="E14" s="1171" t="s">
        <v>38</v>
      </c>
      <c r="F14" s="488" t="s">
        <v>39</v>
      </c>
      <c r="G14" s="350"/>
      <c r="H14" s="358"/>
      <c r="I14" s="359">
        <v>13136468</v>
      </c>
      <c r="J14" s="148">
        <v>10122759.93</v>
      </c>
      <c r="K14" s="148">
        <v>832538.12</v>
      </c>
      <c r="L14" s="148">
        <v>2459378.63</v>
      </c>
      <c r="M14" s="148">
        <v>15234.4</v>
      </c>
      <c r="N14" s="148">
        <v>6519231.4400000004</v>
      </c>
      <c r="O14" s="148">
        <v>296377.34000000003</v>
      </c>
      <c r="P14" s="148">
        <v>0</v>
      </c>
      <c r="Q14" s="148">
        <v>0</v>
      </c>
      <c r="R14" s="148">
        <v>0</v>
      </c>
      <c r="S14" s="149">
        <v>3081.96</v>
      </c>
      <c r="T14" s="353"/>
    </row>
    <row r="15" spans="1:20" ht="13.5" customHeight="1" outlineLevel="2" thickBot="1" x14ac:dyDescent="0.3">
      <c r="A15" s="1170" t="s">
        <v>21</v>
      </c>
      <c r="B15" s="1170" t="s">
        <v>21</v>
      </c>
      <c r="C15" s="1170" t="s">
        <v>26</v>
      </c>
      <c r="D15" s="1170" t="s">
        <v>37</v>
      </c>
      <c r="E15" s="1171" t="s">
        <v>38</v>
      </c>
      <c r="F15" s="488" t="s">
        <v>39</v>
      </c>
      <c r="G15" s="357"/>
      <c r="H15" s="358"/>
      <c r="I15" s="359">
        <v>2046180</v>
      </c>
      <c r="J15" s="148">
        <v>1530142.5399999998</v>
      </c>
      <c r="K15" s="148">
        <v>72676</v>
      </c>
      <c r="L15" s="148">
        <v>383045.29</v>
      </c>
      <c r="M15" s="148">
        <v>2371.29</v>
      </c>
      <c r="N15" s="148">
        <v>1020816.98</v>
      </c>
      <c r="O15" s="148">
        <v>51232.98</v>
      </c>
      <c r="P15" s="148">
        <v>0</v>
      </c>
      <c r="Q15" s="148">
        <v>0</v>
      </c>
      <c r="R15" s="148">
        <v>0</v>
      </c>
      <c r="S15" s="149">
        <v>395.58</v>
      </c>
      <c r="T15" s="353"/>
    </row>
    <row r="16" spans="1:20" ht="13.5" customHeight="1" outlineLevel="2" thickBot="1" x14ac:dyDescent="0.3">
      <c r="A16" s="1170" t="s">
        <v>21</v>
      </c>
      <c r="B16" s="1170" t="s">
        <v>21</v>
      </c>
      <c r="C16" s="1170" t="s">
        <v>40</v>
      </c>
      <c r="D16" s="1170" t="s">
        <v>37</v>
      </c>
      <c r="E16" s="1171" t="s">
        <v>38</v>
      </c>
      <c r="F16" s="488" t="s">
        <v>39</v>
      </c>
      <c r="G16" s="350"/>
      <c r="H16" s="358"/>
      <c r="I16" s="359">
        <v>3500</v>
      </c>
      <c r="J16" s="148">
        <v>2767.1499999999996</v>
      </c>
      <c r="K16" s="148">
        <v>320</v>
      </c>
      <c r="L16" s="148">
        <v>655.26</v>
      </c>
      <c r="M16" s="148">
        <v>4.0599999999999996</v>
      </c>
      <c r="N16" s="148">
        <v>1745.17</v>
      </c>
      <c r="O16" s="148">
        <v>42.66</v>
      </c>
      <c r="P16" s="148">
        <v>0</v>
      </c>
      <c r="Q16" s="148">
        <v>0</v>
      </c>
      <c r="R16" s="148">
        <v>0</v>
      </c>
      <c r="S16" s="149">
        <v>0</v>
      </c>
      <c r="T16" s="353"/>
    </row>
    <row r="17" spans="1:21" ht="13.5" customHeight="1" outlineLevel="2" thickBot="1" x14ac:dyDescent="0.3">
      <c r="A17" s="1170" t="s">
        <v>21</v>
      </c>
      <c r="B17" s="1170" t="s">
        <v>21</v>
      </c>
      <c r="C17" s="1170" t="s">
        <v>22</v>
      </c>
      <c r="D17" s="1170" t="s">
        <v>41</v>
      </c>
      <c r="E17" s="1171" t="s">
        <v>42</v>
      </c>
      <c r="F17" s="488" t="s">
        <v>43</v>
      </c>
      <c r="G17" s="350"/>
      <c r="H17" s="358"/>
      <c r="I17" s="359">
        <v>613</v>
      </c>
      <c r="J17" s="148">
        <v>19021.45</v>
      </c>
      <c r="K17" s="148">
        <v>18600</v>
      </c>
      <c r="L17" s="148">
        <v>116.38</v>
      </c>
      <c r="M17" s="148">
        <v>0</v>
      </c>
      <c r="N17" s="148">
        <v>305.07</v>
      </c>
      <c r="O17" s="148">
        <v>0</v>
      </c>
      <c r="P17" s="148">
        <v>0</v>
      </c>
      <c r="Q17" s="148">
        <v>0</v>
      </c>
      <c r="R17" s="148">
        <v>0</v>
      </c>
      <c r="S17" s="149">
        <v>1.84</v>
      </c>
      <c r="T17" s="353"/>
    </row>
    <row r="18" spans="1:21" s="356" customFormat="1" ht="13.5" customHeight="1" outlineLevel="1" thickBot="1" x14ac:dyDescent="0.3">
      <c r="A18" s="1173"/>
      <c r="B18" s="1173"/>
      <c r="C18" s="1173"/>
      <c r="D18" s="1173"/>
      <c r="E18" s="1174"/>
      <c r="F18" s="489" t="s">
        <v>44</v>
      </c>
      <c r="G18" s="350"/>
      <c r="H18" s="354">
        <v>25935</v>
      </c>
      <c r="I18" s="355">
        <f t="shared" ref="I18:S18" si="1">SUBTOTAL(9,I11:I17)</f>
        <v>15187119</v>
      </c>
      <c r="J18" s="143">
        <f>SUBTOTAL(9,J11:J17)</f>
        <v>11675501.909999998</v>
      </c>
      <c r="K18" s="143">
        <f t="shared" si="1"/>
        <v>924704.12</v>
      </c>
      <c r="L18" s="143">
        <f t="shared" si="1"/>
        <v>2843262.5799999996</v>
      </c>
      <c r="M18" s="143">
        <f t="shared" si="1"/>
        <v>17610.16</v>
      </c>
      <c r="N18" s="143">
        <f t="shared" si="1"/>
        <v>7542272.0700000003</v>
      </c>
      <c r="O18" s="143">
        <f t="shared" si="1"/>
        <v>347652.98</v>
      </c>
      <c r="P18" s="143">
        <f t="shared" si="1"/>
        <v>0</v>
      </c>
      <c r="Q18" s="143">
        <f t="shared" si="1"/>
        <v>0</v>
      </c>
      <c r="R18" s="143">
        <f t="shared" si="1"/>
        <v>0</v>
      </c>
      <c r="S18" s="144">
        <f t="shared" si="1"/>
        <v>3479.38</v>
      </c>
      <c r="T18" s="353">
        <f>ROUND(J18-SUM(K18:P18)-R18,2)</f>
        <v>0</v>
      </c>
    </row>
    <row r="19" spans="1:21" ht="13.5" customHeight="1" outlineLevel="2" thickBot="1" x14ac:dyDescent="0.3">
      <c r="A19" s="1170" t="s">
        <v>21</v>
      </c>
      <c r="B19" s="1170" t="s">
        <v>21</v>
      </c>
      <c r="C19" s="1170" t="s">
        <v>28</v>
      </c>
      <c r="D19" s="1170" t="s">
        <v>45</v>
      </c>
      <c r="E19" s="1171" t="s">
        <v>46</v>
      </c>
      <c r="F19" s="488" t="s">
        <v>47</v>
      </c>
      <c r="G19" s="350"/>
      <c r="H19" s="358"/>
      <c r="I19" s="359">
        <v>1054114</v>
      </c>
      <c r="J19" s="148">
        <v>736895.8</v>
      </c>
      <c r="K19" s="148">
        <v>19010.330000000002</v>
      </c>
      <c r="L19" s="148">
        <v>200513.5</v>
      </c>
      <c r="M19" s="271">
        <v>0</v>
      </c>
      <c r="N19" s="148">
        <v>517371.97</v>
      </c>
      <c r="O19" s="271">
        <v>0</v>
      </c>
      <c r="P19" s="148">
        <v>0</v>
      </c>
      <c r="Q19" s="271">
        <v>0</v>
      </c>
      <c r="R19" s="271">
        <v>0</v>
      </c>
      <c r="S19" s="149">
        <v>0</v>
      </c>
      <c r="T19" s="353"/>
    </row>
    <row r="20" spans="1:21" ht="13.5" customHeight="1" outlineLevel="2" thickBot="1" x14ac:dyDescent="0.3">
      <c r="A20" s="1176"/>
      <c r="B20" s="1176"/>
      <c r="C20" s="1176"/>
      <c r="D20" s="1170" t="s">
        <v>45</v>
      </c>
      <c r="E20" s="1171" t="s">
        <v>46</v>
      </c>
      <c r="F20" s="488" t="s">
        <v>47</v>
      </c>
      <c r="G20" s="350"/>
      <c r="H20" s="358"/>
      <c r="I20" s="359">
        <v>5726</v>
      </c>
      <c r="J20" s="148">
        <v>4078.41</v>
      </c>
      <c r="K20" s="148">
        <v>170</v>
      </c>
      <c r="L20" s="148">
        <v>1089.2</v>
      </c>
      <c r="M20" s="148">
        <v>0</v>
      </c>
      <c r="N20" s="148">
        <v>2819.21</v>
      </c>
      <c r="O20" s="148">
        <v>0</v>
      </c>
      <c r="P20" s="148">
        <v>0</v>
      </c>
      <c r="Q20" s="148">
        <v>0</v>
      </c>
      <c r="R20" s="148">
        <v>0</v>
      </c>
      <c r="S20" s="149">
        <v>0</v>
      </c>
      <c r="T20" s="353"/>
    </row>
    <row r="21" spans="1:21" ht="13.5" customHeight="1" outlineLevel="2" thickBot="1" x14ac:dyDescent="0.3">
      <c r="A21" s="1170" t="s">
        <v>21</v>
      </c>
      <c r="B21" s="1170" t="s">
        <v>21</v>
      </c>
      <c r="C21" s="1170" t="s">
        <v>26</v>
      </c>
      <c r="D21" s="1170" t="s">
        <v>45</v>
      </c>
      <c r="E21" s="1171" t="s">
        <v>46</v>
      </c>
      <c r="F21" s="488" t="s">
        <v>47</v>
      </c>
      <c r="G21" s="350"/>
      <c r="H21" s="358"/>
      <c r="I21" s="359">
        <v>23923</v>
      </c>
      <c r="J21" s="148">
        <v>16671.04</v>
      </c>
      <c r="K21" s="148">
        <v>290</v>
      </c>
      <c r="L21" s="148">
        <v>4550.6400000000003</v>
      </c>
      <c r="M21" s="148">
        <v>0</v>
      </c>
      <c r="N21" s="148">
        <v>11830.4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353"/>
    </row>
    <row r="22" spans="1:21" s="356" customFormat="1" ht="13.5" customHeight="1" outlineLevel="1" thickBot="1" x14ac:dyDescent="0.3">
      <c r="A22" s="1173"/>
      <c r="B22" s="1173"/>
      <c r="C22" s="1173"/>
      <c r="D22" s="1173"/>
      <c r="E22" s="1174"/>
      <c r="F22" s="489" t="s">
        <v>48</v>
      </c>
      <c r="G22" s="357"/>
      <c r="H22" s="354">
        <v>209</v>
      </c>
      <c r="I22" s="355">
        <f t="shared" ref="I22:S22" si="2">SUBTOTAL(9,I19:I21)</f>
        <v>1083763</v>
      </c>
      <c r="J22" s="143">
        <f>SUBTOTAL(9,J19:J21)</f>
        <v>757645.25000000012</v>
      </c>
      <c r="K22" s="143">
        <f t="shared" si="2"/>
        <v>19470.330000000002</v>
      </c>
      <c r="L22" s="143">
        <f t="shared" si="2"/>
        <v>206153.34000000003</v>
      </c>
      <c r="M22" s="143">
        <f t="shared" si="2"/>
        <v>0</v>
      </c>
      <c r="N22" s="143">
        <f t="shared" si="2"/>
        <v>532021.57999999996</v>
      </c>
      <c r="O22" s="143">
        <f t="shared" si="2"/>
        <v>0</v>
      </c>
      <c r="P22" s="143">
        <f t="shared" si="2"/>
        <v>0</v>
      </c>
      <c r="Q22" s="143">
        <f t="shared" si="2"/>
        <v>0</v>
      </c>
      <c r="R22" s="143">
        <f t="shared" si="2"/>
        <v>0</v>
      </c>
      <c r="S22" s="144">
        <f t="shared" si="2"/>
        <v>0</v>
      </c>
      <c r="T22" s="353">
        <f>ROUND(J22-SUM(K22:P22)-R22,2)</f>
        <v>0</v>
      </c>
    </row>
    <row r="23" spans="1:21" ht="13.5" customHeight="1" outlineLevel="2" thickBot="1" x14ac:dyDescent="0.3">
      <c r="A23" s="1170" t="s">
        <v>21</v>
      </c>
      <c r="B23" s="1170" t="s">
        <v>21</v>
      </c>
      <c r="C23" s="1170" t="s">
        <v>40</v>
      </c>
      <c r="D23" s="1170" t="s">
        <v>49</v>
      </c>
      <c r="E23" s="1171" t="s">
        <v>50</v>
      </c>
      <c r="F23" s="488" t="s">
        <v>51</v>
      </c>
      <c r="G23" s="350"/>
      <c r="H23" s="358"/>
      <c r="I23" s="359">
        <v>32</v>
      </c>
      <c r="J23" s="148">
        <v>48.5</v>
      </c>
      <c r="K23" s="148">
        <v>25</v>
      </c>
      <c r="L23" s="148">
        <v>7.17</v>
      </c>
      <c r="M23" s="148">
        <v>0.82</v>
      </c>
      <c r="N23" s="148">
        <v>15.51</v>
      </c>
      <c r="O23" s="148">
        <v>0</v>
      </c>
      <c r="P23" s="148">
        <v>0</v>
      </c>
      <c r="Q23" s="148">
        <v>0</v>
      </c>
      <c r="R23" s="148">
        <v>0</v>
      </c>
      <c r="S23" s="149">
        <v>0</v>
      </c>
      <c r="T23" s="353"/>
    </row>
    <row r="24" spans="1:21" ht="13.5" customHeight="1" outlineLevel="2" thickBot="1" x14ac:dyDescent="0.3">
      <c r="A24" s="1170" t="s">
        <v>21</v>
      </c>
      <c r="B24" s="1170" t="s">
        <v>21</v>
      </c>
      <c r="C24" s="1170" t="s">
        <v>40</v>
      </c>
      <c r="D24" s="1170" t="s">
        <v>52</v>
      </c>
      <c r="E24" s="1171" t="s">
        <v>53</v>
      </c>
      <c r="F24" s="488" t="s">
        <v>54</v>
      </c>
      <c r="G24" s="357"/>
      <c r="H24" s="358"/>
      <c r="I24" s="359">
        <v>32947741</v>
      </c>
      <c r="J24" s="148">
        <v>29167349.549999997</v>
      </c>
      <c r="K24" s="148">
        <v>3645551.84</v>
      </c>
      <c r="L24" s="148">
        <v>7378985.7199999997</v>
      </c>
      <c r="M24" s="148">
        <v>845279.6</v>
      </c>
      <c r="N24" s="148">
        <v>16347585.83</v>
      </c>
      <c r="O24" s="148">
        <v>949946.56</v>
      </c>
      <c r="P24" s="148">
        <v>0</v>
      </c>
      <c r="Q24" s="148">
        <v>47109.09</v>
      </c>
      <c r="R24" s="148">
        <v>0</v>
      </c>
      <c r="S24" s="149">
        <v>7002.57</v>
      </c>
      <c r="T24" s="353"/>
    </row>
    <row r="25" spans="1:21" ht="13.5" customHeight="1" outlineLevel="2" thickBot="1" x14ac:dyDescent="0.3">
      <c r="A25" s="1170" t="s">
        <v>21</v>
      </c>
      <c r="B25" s="1170" t="s">
        <v>21</v>
      </c>
      <c r="C25" s="1170" t="s">
        <v>26</v>
      </c>
      <c r="D25" s="1170" t="s">
        <v>52</v>
      </c>
      <c r="E25" s="1171" t="s">
        <v>53</v>
      </c>
      <c r="F25" s="488" t="s">
        <v>54</v>
      </c>
      <c r="G25" s="350"/>
      <c r="H25" s="358"/>
      <c r="I25" s="359">
        <v>4085</v>
      </c>
      <c r="J25" s="148">
        <v>3873.73</v>
      </c>
      <c r="K25" s="148">
        <v>694.58</v>
      </c>
      <c r="L25" s="148">
        <v>914.86</v>
      </c>
      <c r="M25" s="148">
        <v>104.84</v>
      </c>
      <c r="N25" s="148">
        <v>2032.03</v>
      </c>
      <c r="O25" s="148">
        <v>127.42</v>
      </c>
      <c r="P25" s="148">
        <v>0</v>
      </c>
      <c r="Q25" s="148">
        <v>8.9600000000000009</v>
      </c>
      <c r="R25" s="148">
        <v>0</v>
      </c>
      <c r="S25" s="149">
        <v>0</v>
      </c>
      <c r="T25" s="353"/>
    </row>
    <row r="26" spans="1:21" ht="13.5" customHeight="1" outlineLevel="2" thickBot="1" x14ac:dyDescent="0.3">
      <c r="A26" s="1176"/>
      <c r="B26" s="1176"/>
      <c r="C26" s="1176"/>
      <c r="D26" s="1170" t="s">
        <v>52</v>
      </c>
      <c r="E26" s="1171" t="s">
        <v>53</v>
      </c>
      <c r="F26" s="488" t="s">
        <v>54</v>
      </c>
      <c r="G26" s="350"/>
      <c r="H26" s="358"/>
      <c r="I26" s="359">
        <v>513</v>
      </c>
      <c r="J26" s="148">
        <v>455.66</v>
      </c>
      <c r="K26" s="148">
        <v>62.92</v>
      </c>
      <c r="L26" s="148">
        <v>114.89</v>
      </c>
      <c r="M26" s="148">
        <v>13.16</v>
      </c>
      <c r="N26" s="148">
        <v>250.58</v>
      </c>
      <c r="O26" s="148">
        <v>14.11</v>
      </c>
      <c r="P26" s="148">
        <v>0</v>
      </c>
      <c r="Q26" s="148">
        <v>0.96</v>
      </c>
      <c r="R26" s="148">
        <v>0</v>
      </c>
      <c r="S26" s="149">
        <v>0</v>
      </c>
      <c r="T26" s="353"/>
    </row>
    <row r="27" spans="1:21" ht="13.5" customHeight="1" outlineLevel="2" thickBot="1" x14ac:dyDescent="0.3">
      <c r="A27" s="1170" t="s">
        <v>21</v>
      </c>
      <c r="B27" s="1170" t="s">
        <v>21</v>
      </c>
      <c r="C27" s="1170" t="s">
        <v>40</v>
      </c>
      <c r="D27" s="1170" t="s">
        <v>55</v>
      </c>
      <c r="E27" s="1171" t="s">
        <v>56</v>
      </c>
      <c r="F27" s="488" t="s">
        <v>57</v>
      </c>
      <c r="G27" s="357"/>
      <c r="H27" s="358"/>
      <c r="I27" s="359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353"/>
    </row>
    <row r="28" spans="1:21" s="356" customFormat="1" ht="13.5" customHeight="1" outlineLevel="1" thickBot="1" x14ac:dyDescent="0.3">
      <c r="A28" s="1173"/>
      <c r="B28" s="1173"/>
      <c r="C28" s="1173"/>
      <c r="D28" s="1173"/>
      <c r="E28" s="1174"/>
      <c r="F28" s="489" t="s">
        <v>58</v>
      </c>
      <c r="G28" s="357"/>
      <c r="H28" s="354">
        <v>292417</v>
      </c>
      <c r="I28" s="355">
        <f t="shared" ref="I28:S28" si="3">SUBTOTAL(9,I23:I27)</f>
        <v>32952371</v>
      </c>
      <c r="J28" s="143">
        <f>SUBTOTAL(9,J23:J27)</f>
        <v>29171727.439999998</v>
      </c>
      <c r="K28" s="143">
        <f t="shared" si="3"/>
        <v>3646334.34</v>
      </c>
      <c r="L28" s="143">
        <f t="shared" si="3"/>
        <v>7380022.6399999997</v>
      </c>
      <c r="M28" s="143">
        <f t="shared" si="3"/>
        <v>845398.41999999993</v>
      </c>
      <c r="N28" s="143">
        <f t="shared" si="3"/>
        <v>16349883.949999999</v>
      </c>
      <c r="O28" s="143">
        <f t="shared" si="3"/>
        <v>950088.09000000008</v>
      </c>
      <c r="P28" s="143">
        <f t="shared" si="3"/>
        <v>0</v>
      </c>
      <c r="Q28" s="143">
        <f t="shared" si="3"/>
        <v>47119.009999999995</v>
      </c>
      <c r="R28" s="143">
        <f t="shared" si="3"/>
        <v>0</v>
      </c>
      <c r="S28" s="144">
        <f t="shared" si="3"/>
        <v>7002.57</v>
      </c>
      <c r="T28" s="353">
        <f>ROUND(J28-SUM(K28:P28)-R28,2)</f>
        <v>0</v>
      </c>
    </row>
    <row r="29" spans="1:21" ht="13.5" customHeight="1" outlineLevel="2" thickBot="1" x14ac:dyDescent="0.3">
      <c r="A29" s="1170" t="s">
        <v>21</v>
      </c>
      <c r="B29" s="1170" t="s">
        <v>21</v>
      </c>
      <c r="C29" s="1170" t="s">
        <v>40</v>
      </c>
      <c r="D29" s="1170" t="s">
        <v>59</v>
      </c>
      <c r="E29" s="1171" t="s">
        <v>60</v>
      </c>
      <c r="F29" s="488" t="s">
        <v>61</v>
      </c>
      <c r="G29" s="350"/>
      <c r="H29" s="358"/>
      <c r="I29" s="359">
        <v>1573</v>
      </c>
      <c r="J29" s="148">
        <v>1238.46</v>
      </c>
      <c r="K29" s="148">
        <v>37.5</v>
      </c>
      <c r="L29" s="148">
        <v>352.29</v>
      </c>
      <c r="M29" s="148">
        <v>40.36</v>
      </c>
      <c r="N29" s="148">
        <v>767.05</v>
      </c>
      <c r="O29" s="148">
        <v>41.26</v>
      </c>
      <c r="P29" s="148">
        <v>0</v>
      </c>
      <c r="Q29" s="148">
        <v>0</v>
      </c>
      <c r="R29" s="148">
        <v>0</v>
      </c>
      <c r="S29" s="149">
        <v>0</v>
      </c>
      <c r="T29" s="353"/>
    </row>
    <row r="30" spans="1:21" ht="13.5" customHeight="1" outlineLevel="2" thickBot="1" x14ac:dyDescent="0.3">
      <c r="A30" s="1170" t="s">
        <v>21</v>
      </c>
      <c r="B30" s="1170" t="s">
        <v>21</v>
      </c>
      <c r="C30" s="1170" t="s">
        <v>26</v>
      </c>
      <c r="D30" s="1170" t="s">
        <v>59</v>
      </c>
      <c r="E30" s="1171" t="s">
        <v>60</v>
      </c>
      <c r="F30" s="488" t="s">
        <v>61</v>
      </c>
      <c r="G30" s="350"/>
      <c r="H30" s="358"/>
      <c r="I30" s="359">
        <v>1086</v>
      </c>
      <c r="J30" s="148">
        <v>859.69</v>
      </c>
      <c r="K30" s="148">
        <v>12.5</v>
      </c>
      <c r="L30" s="148">
        <v>243.22</v>
      </c>
      <c r="M30" s="148">
        <v>27.87</v>
      </c>
      <c r="N30" s="148">
        <v>544.85</v>
      </c>
      <c r="O30" s="148">
        <v>31.25</v>
      </c>
      <c r="P30" s="148">
        <v>0</v>
      </c>
      <c r="Q30" s="148">
        <v>0</v>
      </c>
      <c r="R30" s="148">
        <v>0</v>
      </c>
      <c r="S30" s="149">
        <v>0</v>
      </c>
      <c r="T30" s="353"/>
    </row>
    <row r="31" spans="1:21" s="356" customFormat="1" ht="13.5" customHeight="1" outlineLevel="1" thickBot="1" x14ac:dyDescent="0.3">
      <c r="A31" s="1178"/>
      <c r="B31" s="1178"/>
      <c r="C31" s="1178"/>
      <c r="D31" s="1178"/>
      <c r="E31" s="1178"/>
      <c r="F31" s="490" t="s">
        <v>62</v>
      </c>
      <c r="G31" s="350"/>
      <c r="H31" s="354">
        <v>4</v>
      </c>
      <c r="I31" s="355">
        <f>SUBTOTAL(9,I29:I30)</f>
        <v>2659</v>
      </c>
      <c r="J31" s="143">
        <f>SUBTOTAL(9,J29:J30)</f>
        <v>2098.15</v>
      </c>
      <c r="K31" s="143">
        <f t="shared" ref="K31:S31" si="4">SUBTOTAL(9,K29:K30)</f>
        <v>50</v>
      </c>
      <c r="L31" s="143">
        <f t="shared" si="4"/>
        <v>595.51</v>
      </c>
      <c r="M31" s="143">
        <f t="shared" si="4"/>
        <v>68.23</v>
      </c>
      <c r="N31" s="143">
        <f t="shared" si="4"/>
        <v>1311.9</v>
      </c>
      <c r="O31" s="143">
        <f t="shared" si="4"/>
        <v>72.509999999999991</v>
      </c>
      <c r="P31" s="143">
        <f t="shared" si="4"/>
        <v>0</v>
      </c>
      <c r="Q31" s="143">
        <f t="shared" si="4"/>
        <v>0</v>
      </c>
      <c r="R31" s="143">
        <f t="shared" si="4"/>
        <v>0</v>
      </c>
      <c r="S31" s="144">
        <f t="shared" si="4"/>
        <v>0</v>
      </c>
      <c r="T31" s="353">
        <f>ROUND(J31-SUM(K31:P31)-R31,2)</f>
        <v>0</v>
      </c>
    </row>
    <row r="32" spans="1:21" ht="23.25" outlineLevel="2" thickBot="1" x14ac:dyDescent="0.3">
      <c r="B32" s="1178"/>
      <c r="C32" s="1178"/>
      <c r="D32" s="1170" t="s">
        <v>63</v>
      </c>
      <c r="E32" s="1171" t="s">
        <v>64</v>
      </c>
      <c r="F32" s="488" t="s">
        <v>65</v>
      </c>
      <c r="G32" s="350"/>
      <c r="H32" s="358"/>
      <c r="I32" s="359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/>
      <c r="P32" s="148"/>
      <c r="Q32" s="148"/>
      <c r="R32" s="148"/>
      <c r="S32" s="149"/>
      <c r="T32" s="353"/>
      <c r="U32" s="360"/>
    </row>
    <row r="33" spans="1:21" ht="23.25" outlineLevel="2" thickBot="1" x14ac:dyDescent="0.3">
      <c r="B33" s="1178"/>
      <c r="C33" s="1178"/>
      <c r="D33" s="1170" t="s">
        <v>66</v>
      </c>
      <c r="E33" s="1171" t="s">
        <v>67</v>
      </c>
      <c r="F33" s="488" t="s">
        <v>68</v>
      </c>
      <c r="G33" s="357"/>
      <c r="H33" s="358"/>
      <c r="I33" s="359">
        <v>1131</v>
      </c>
      <c r="J33" s="148">
        <v>1091.49</v>
      </c>
      <c r="K33" s="148">
        <v>340</v>
      </c>
      <c r="L33" s="148">
        <v>215.14</v>
      </c>
      <c r="M33" s="148">
        <v>0</v>
      </c>
      <c r="N33" s="148">
        <v>536.35</v>
      </c>
      <c r="O33" s="148"/>
      <c r="P33" s="148"/>
      <c r="Q33" s="148"/>
      <c r="R33" s="148"/>
      <c r="S33" s="149"/>
      <c r="T33" s="353"/>
      <c r="U33" s="360"/>
    </row>
    <row r="34" spans="1:21" ht="14.25" outlineLevel="1" thickBot="1" x14ac:dyDescent="0.3">
      <c r="B34" s="1178"/>
      <c r="C34" s="1178"/>
      <c r="D34" s="1173"/>
      <c r="E34" s="1174"/>
      <c r="F34" s="489" t="s">
        <v>69</v>
      </c>
      <c r="G34" s="350"/>
      <c r="H34" s="354">
        <v>2</v>
      </c>
      <c r="I34" s="355">
        <f t="shared" ref="I34:S34" si="5">SUBTOTAL(9,I32:I33)</f>
        <v>1131</v>
      </c>
      <c r="J34" s="361">
        <f>SUBTOTAL(9,J32:J33)</f>
        <v>1091.49</v>
      </c>
      <c r="K34" s="361">
        <f t="shared" si="5"/>
        <v>340</v>
      </c>
      <c r="L34" s="361">
        <f t="shared" si="5"/>
        <v>215.14</v>
      </c>
      <c r="M34" s="361">
        <f t="shared" si="5"/>
        <v>0</v>
      </c>
      <c r="N34" s="361">
        <f t="shared" si="5"/>
        <v>536.35</v>
      </c>
      <c r="O34" s="361">
        <f t="shared" si="5"/>
        <v>0</v>
      </c>
      <c r="P34" s="361">
        <f t="shared" si="5"/>
        <v>0</v>
      </c>
      <c r="Q34" s="361">
        <f t="shared" si="5"/>
        <v>0</v>
      </c>
      <c r="R34" s="361">
        <f t="shared" si="5"/>
        <v>0</v>
      </c>
      <c r="S34" s="362">
        <f t="shared" si="5"/>
        <v>0</v>
      </c>
      <c r="T34" s="353">
        <f>ROUND(J34-SUM(K34:P34)-R34,2)</f>
        <v>0</v>
      </c>
    </row>
    <row r="35" spans="1:21" s="356" customFormat="1" ht="13.5" customHeight="1" thickBot="1" x14ac:dyDescent="0.3">
      <c r="A35" s="1178"/>
      <c r="B35" s="1178"/>
      <c r="C35" s="1178"/>
      <c r="D35" s="1178"/>
      <c r="E35" s="1178"/>
      <c r="F35" s="491"/>
      <c r="G35" s="350"/>
      <c r="H35" s="357"/>
      <c r="I35" s="357"/>
      <c r="J35" s="363"/>
      <c r="K35" s="363"/>
      <c r="L35" s="363"/>
      <c r="M35" s="363"/>
      <c r="N35" s="363"/>
      <c r="O35" s="363"/>
      <c r="P35" s="363"/>
      <c r="Q35" s="363"/>
      <c r="R35" s="363"/>
      <c r="S35" s="364"/>
      <c r="T35" s="353"/>
    </row>
    <row r="36" spans="1:21" s="356" customFormat="1" ht="13.5" customHeight="1" thickBot="1" x14ac:dyDescent="0.3">
      <c r="A36" s="1178"/>
      <c r="B36" s="1178"/>
      <c r="C36" s="1178"/>
      <c r="D36" s="1178"/>
      <c r="E36" s="1178"/>
      <c r="F36" s="489" t="s">
        <v>70</v>
      </c>
      <c r="G36" s="357"/>
      <c r="H36" s="350"/>
      <c r="I36" s="357"/>
      <c r="J36" s="363"/>
      <c r="K36" s="357"/>
      <c r="L36" s="363"/>
      <c r="M36" s="363"/>
      <c r="N36" s="363"/>
      <c r="O36" s="363"/>
      <c r="P36" s="363"/>
      <c r="Q36" s="363"/>
      <c r="R36" s="363"/>
      <c r="S36" s="364"/>
      <c r="T36" s="353"/>
    </row>
    <row r="37" spans="1:21" s="356" customFormat="1" ht="13.5" customHeight="1" thickBot="1" x14ac:dyDescent="0.3">
      <c r="A37" s="1178"/>
      <c r="B37" s="1178"/>
      <c r="C37" s="1178"/>
      <c r="D37" s="1178"/>
      <c r="E37" s="1178"/>
      <c r="F37" s="490"/>
      <c r="G37" s="365" t="s">
        <v>71</v>
      </c>
      <c r="H37" s="350"/>
      <c r="I37" s="354">
        <v>0</v>
      </c>
      <c r="J37" s="363">
        <f t="shared" ref="J37:J43" si="6">SUM(K37:O37)</f>
        <v>1072.79</v>
      </c>
      <c r="K37" s="367"/>
      <c r="L37" s="367"/>
      <c r="M37" s="367"/>
      <c r="N37" s="367">
        <v>1072.79</v>
      </c>
      <c r="O37" s="363"/>
      <c r="P37" s="363"/>
      <c r="Q37" s="363"/>
      <c r="R37" s="363"/>
      <c r="S37" s="364"/>
      <c r="T37" s="353"/>
    </row>
    <row r="38" spans="1:21" s="356" customFormat="1" ht="13.5" customHeight="1" thickBot="1" x14ac:dyDescent="0.3">
      <c r="A38" s="1178"/>
      <c r="B38" s="1178"/>
      <c r="C38" s="1178"/>
      <c r="D38" s="1178"/>
      <c r="E38" s="1181"/>
      <c r="F38" s="490"/>
      <c r="G38" s="365" t="s">
        <v>71</v>
      </c>
      <c r="H38" s="357"/>
      <c r="I38" s="354">
        <v>0</v>
      </c>
      <c r="J38" s="363">
        <f t="shared" si="6"/>
        <v>0</v>
      </c>
      <c r="K38" s="366"/>
      <c r="L38" s="366"/>
      <c r="M38" s="366"/>
      <c r="N38" s="367"/>
      <c r="O38" s="363"/>
      <c r="P38" s="363"/>
      <c r="Q38" s="363"/>
      <c r="R38" s="363"/>
      <c r="S38" s="364"/>
      <c r="T38" s="353"/>
    </row>
    <row r="39" spans="1:21" s="356" customFormat="1" ht="13.5" customHeight="1" thickBot="1" x14ac:dyDescent="0.3">
      <c r="A39" s="1178"/>
      <c r="B39" s="1178"/>
      <c r="C39" s="1178"/>
      <c r="D39" s="1178"/>
      <c r="E39" s="1181"/>
      <c r="F39" s="490"/>
      <c r="G39" s="365" t="s">
        <v>71</v>
      </c>
      <c r="H39" s="357"/>
      <c r="I39" s="354">
        <v>0</v>
      </c>
      <c r="J39" s="363">
        <f t="shared" si="6"/>
        <v>0</v>
      </c>
      <c r="K39" s="366"/>
      <c r="L39" s="366"/>
      <c r="M39" s="366"/>
      <c r="N39" s="367"/>
      <c r="O39" s="363"/>
      <c r="P39" s="363"/>
      <c r="Q39" s="363"/>
      <c r="R39" s="363"/>
      <c r="S39" s="364"/>
      <c r="T39" s="353"/>
    </row>
    <row r="40" spans="1:21" s="356" customFormat="1" ht="13.5" customHeight="1" thickBot="1" x14ac:dyDescent="0.3">
      <c r="A40" s="1178"/>
      <c r="B40" s="1178"/>
      <c r="C40" s="1178"/>
      <c r="D40" s="1178"/>
      <c r="E40" s="1181"/>
      <c r="F40" s="490"/>
      <c r="G40" s="365" t="s">
        <v>71</v>
      </c>
      <c r="H40" s="357"/>
      <c r="I40" s="354">
        <v>0</v>
      </c>
      <c r="J40" s="363">
        <f>SUM(K40:O40)</f>
        <v>275</v>
      </c>
      <c r="K40" s="367">
        <v>275</v>
      </c>
      <c r="L40" s="367"/>
      <c r="M40" s="367"/>
      <c r="N40" s="367"/>
      <c r="O40" s="363"/>
      <c r="P40" s="363"/>
      <c r="Q40" s="363"/>
      <c r="R40" s="363"/>
      <c r="S40" s="364"/>
      <c r="T40" s="353"/>
    </row>
    <row r="41" spans="1:21" s="356" customFormat="1" ht="13.5" customHeight="1" thickBot="1" x14ac:dyDescent="0.3">
      <c r="A41" s="1178"/>
      <c r="B41" s="1178"/>
      <c r="C41" s="1178"/>
      <c r="D41" s="1178"/>
      <c r="E41" s="1181"/>
      <c r="F41" s="490"/>
      <c r="G41" s="365" t="s">
        <v>71</v>
      </c>
      <c r="H41" s="357"/>
      <c r="I41" s="354">
        <v>14314</v>
      </c>
      <c r="J41" s="363">
        <f t="shared" si="6"/>
        <v>5109.13</v>
      </c>
      <c r="K41" s="367">
        <v>781</v>
      </c>
      <c r="L41" s="367">
        <v>69.709999999999994</v>
      </c>
      <c r="M41" s="366"/>
      <c r="N41" s="367">
        <v>4258.42</v>
      </c>
      <c r="O41" s="363"/>
      <c r="P41" s="363"/>
      <c r="Q41" s="363"/>
      <c r="R41" s="363"/>
      <c r="S41" s="364"/>
      <c r="T41" s="353"/>
    </row>
    <row r="42" spans="1:21" s="356" customFormat="1" ht="13.5" customHeight="1" thickBot="1" x14ac:dyDescent="0.3">
      <c r="A42" s="1178"/>
      <c r="B42" s="1178"/>
      <c r="C42" s="1178"/>
      <c r="D42" s="1178"/>
      <c r="E42" s="1181"/>
      <c r="F42" s="490" t="s">
        <v>73</v>
      </c>
      <c r="G42" s="365" t="s">
        <v>74</v>
      </c>
      <c r="H42" s="357"/>
      <c r="I42" s="354">
        <v>0</v>
      </c>
      <c r="J42" s="160">
        <f t="shared" si="6"/>
        <v>0</v>
      </c>
      <c r="K42" s="367">
        <v>0</v>
      </c>
      <c r="L42" s="161">
        <v>0</v>
      </c>
      <c r="M42" s="366"/>
      <c r="N42" s="366">
        <v>0</v>
      </c>
      <c r="O42" s="363"/>
      <c r="P42" s="363"/>
      <c r="Q42" s="363"/>
      <c r="R42" s="363"/>
      <c r="S42" s="364"/>
      <c r="T42" s="353"/>
    </row>
    <row r="43" spans="1:21" s="356" customFormat="1" ht="13.5" customHeight="1" thickBot="1" x14ac:dyDescent="0.3">
      <c r="A43" s="1178"/>
      <c r="B43" s="1178"/>
      <c r="C43" s="1178"/>
      <c r="D43" s="1178"/>
      <c r="E43" s="1181"/>
      <c r="F43" s="490" t="s">
        <v>75</v>
      </c>
      <c r="G43" s="365" t="s">
        <v>76</v>
      </c>
      <c r="H43" s="357"/>
      <c r="I43" s="354">
        <v>0</v>
      </c>
      <c r="J43" s="363">
        <f t="shared" si="6"/>
        <v>-2496.6499999994412</v>
      </c>
      <c r="K43" s="368">
        <v>0</v>
      </c>
      <c r="L43" s="363">
        <v>-2496.6499999994412</v>
      </c>
      <c r="M43" s="363">
        <v>0</v>
      </c>
      <c r="N43" s="363">
        <v>0</v>
      </c>
      <c r="O43" s="363"/>
      <c r="P43" s="363"/>
      <c r="Q43" s="363"/>
      <c r="R43" s="363"/>
      <c r="S43" s="364"/>
      <c r="T43" s="353"/>
    </row>
    <row r="44" spans="1:21" ht="13.5" customHeight="1" thickBot="1" x14ac:dyDescent="0.25">
      <c r="A44" s="1182"/>
      <c r="B44" s="1182"/>
      <c r="C44" s="1182"/>
      <c r="D44" s="1183" t="s">
        <v>77</v>
      </c>
      <c r="E44" s="1184"/>
      <c r="F44" s="369" t="s">
        <v>77</v>
      </c>
      <c r="G44" s="370"/>
      <c r="H44" s="370">
        <f t="shared" ref="H44:O44" si="7">SUBTOTAL(9,H5:H43)</f>
        <v>318581</v>
      </c>
      <c r="I44" s="370">
        <f t="shared" si="7"/>
        <v>49559479</v>
      </c>
      <c r="J44" s="165">
        <f t="shared" si="7"/>
        <v>41787453.059999995</v>
      </c>
      <c r="K44" s="165">
        <f t="shared" si="7"/>
        <v>4595804.79</v>
      </c>
      <c r="L44" s="165">
        <f t="shared" si="7"/>
        <v>10444530.030000001</v>
      </c>
      <c r="M44" s="165">
        <f t="shared" si="7"/>
        <v>863229.07</v>
      </c>
      <c r="N44" s="165">
        <f t="shared" si="7"/>
        <v>24586075.590000007</v>
      </c>
      <c r="O44" s="165">
        <f t="shared" si="7"/>
        <v>1297813.58</v>
      </c>
      <c r="P44" s="165">
        <f>SUBTOTAL(9,P5:P31)</f>
        <v>0</v>
      </c>
      <c r="Q44" s="165">
        <f>SUBTOTAL(9,Q5:Q31)</f>
        <v>47119.009999999995</v>
      </c>
      <c r="R44" s="165">
        <f>SUBTOTAL(9,R5:R31)</f>
        <v>0</v>
      </c>
      <c r="S44" s="166">
        <f>SUBTOTAL(9,S5:S31)</f>
        <v>10481.950000000001</v>
      </c>
    </row>
    <row r="45" spans="1:21" ht="13.5" customHeight="1" thickBot="1" x14ac:dyDescent="0.25">
      <c r="A45" s="1182"/>
      <c r="B45" s="1182"/>
      <c r="C45" s="1182"/>
      <c r="D45" s="1183" t="s">
        <v>77</v>
      </c>
      <c r="E45" s="1184"/>
      <c r="F45" s="369" t="s">
        <v>78</v>
      </c>
      <c r="G45" s="370"/>
      <c r="H45" s="370"/>
      <c r="I45" s="371">
        <v>49559470</v>
      </c>
      <c r="J45" s="165">
        <f>SUM(K45:S45)</f>
        <v>41787453.060000002</v>
      </c>
      <c r="K45" s="168">
        <v>4595804.79</v>
      </c>
      <c r="L45" s="168">
        <v>10444530.029999999</v>
      </c>
      <c r="M45" s="168">
        <v>863229.07</v>
      </c>
      <c r="N45" s="168">
        <v>24586075.59</v>
      </c>
      <c r="O45" s="168">
        <v>1297813.58</v>
      </c>
      <c r="P45" s="165"/>
      <c r="Q45" s="165"/>
      <c r="R45" s="165"/>
      <c r="S45" s="166"/>
    </row>
    <row r="46" spans="1:21" ht="13.5" customHeight="1" thickBot="1" x14ac:dyDescent="0.25">
      <c r="A46" s="1182"/>
      <c r="B46" s="1182"/>
      <c r="C46" s="1182"/>
      <c r="D46" s="1186"/>
      <c r="E46" s="1184"/>
      <c r="F46" s="372" t="s">
        <v>79</v>
      </c>
      <c r="G46" s="373"/>
      <c r="H46" s="373"/>
      <c r="I46" s="171">
        <f t="shared" ref="I46:N46" si="8">I44-I45</f>
        <v>9</v>
      </c>
      <c r="J46" s="172">
        <f t="shared" si="8"/>
        <v>0</v>
      </c>
      <c r="K46" s="172">
        <f t="shared" si="8"/>
        <v>0</v>
      </c>
      <c r="L46" s="172">
        <f t="shared" si="8"/>
        <v>0</v>
      </c>
      <c r="M46" s="172">
        <f t="shared" si="8"/>
        <v>0</v>
      </c>
      <c r="N46" s="172">
        <f t="shared" si="8"/>
        <v>0</v>
      </c>
      <c r="O46" s="172">
        <f>O44-O45</f>
        <v>0</v>
      </c>
      <c r="P46" s="172"/>
      <c r="Q46" s="172"/>
      <c r="R46" s="172"/>
      <c r="S46" s="173"/>
    </row>
    <row r="47" spans="1:21" ht="13.5" thickBot="1" x14ac:dyDescent="0.25">
      <c r="G47" s="338"/>
      <c r="H47" s="338"/>
      <c r="I47" s="340"/>
      <c r="J47" s="340"/>
      <c r="K47" s="340"/>
      <c r="L47" s="340"/>
      <c r="M47" s="340"/>
      <c r="N47" s="340"/>
      <c r="O47" s="340"/>
      <c r="P47" s="340"/>
      <c r="Q47" s="340"/>
      <c r="R47" s="340"/>
      <c r="S47" s="340"/>
    </row>
    <row r="48" spans="1:21" ht="24.6" customHeight="1" thickBot="1" x14ac:dyDescent="0.25">
      <c r="A48" s="1162"/>
      <c r="B48" s="1163"/>
      <c r="C48" s="1163"/>
      <c r="D48" s="1400" t="s">
        <v>80</v>
      </c>
      <c r="E48" s="1401"/>
      <c r="F48" s="492" t="s">
        <v>81</v>
      </c>
      <c r="G48" s="493"/>
      <c r="H48" s="480" t="s">
        <v>2</v>
      </c>
      <c r="I48" s="481" t="s">
        <v>3</v>
      </c>
      <c r="J48" s="481" t="s">
        <v>4</v>
      </c>
      <c r="K48" s="481" t="s">
        <v>5</v>
      </c>
      <c r="L48" s="481" t="s">
        <v>6</v>
      </c>
      <c r="M48" s="481" t="s">
        <v>7</v>
      </c>
      <c r="N48" s="481" t="s">
        <v>253</v>
      </c>
      <c r="O48" s="481" t="s">
        <v>9</v>
      </c>
      <c r="P48" s="481" t="s">
        <v>10</v>
      </c>
      <c r="Q48" s="481" t="s">
        <v>11</v>
      </c>
      <c r="R48" s="481" t="s">
        <v>12</v>
      </c>
      <c r="S48" s="482" t="s">
        <v>13</v>
      </c>
    </row>
    <row r="49" spans="1:21" ht="13.5" customHeight="1" thickBot="1" x14ac:dyDescent="0.25">
      <c r="A49" s="1167" t="s">
        <v>14</v>
      </c>
      <c r="B49" s="1168" t="s">
        <v>15</v>
      </c>
      <c r="C49" s="1168" t="s">
        <v>16</v>
      </c>
      <c r="D49" s="1168" t="s">
        <v>17</v>
      </c>
      <c r="E49" s="1165"/>
      <c r="F49" s="494"/>
      <c r="G49" s="484"/>
      <c r="H49" s="484"/>
      <c r="I49" s="485" t="s">
        <v>19</v>
      </c>
      <c r="J49" s="486" t="s">
        <v>20</v>
      </c>
      <c r="K49" s="486" t="s">
        <v>20</v>
      </c>
      <c r="L49" s="486" t="s">
        <v>20</v>
      </c>
      <c r="M49" s="486" t="s">
        <v>20</v>
      </c>
      <c r="N49" s="486" t="s">
        <v>20</v>
      </c>
      <c r="O49" s="486" t="s">
        <v>20</v>
      </c>
      <c r="P49" s="486" t="s">
        <v>20</v>
      </c>
      <c r="Q49" s="486" t="s">
        <v>20</v>
      </c>
      <c r="R49" s="486" t="s">
        <v>20</v>
      </c>
      <c r="S49" s="487" t="s">
        <v>20</v>
      </c>
    </row>
    <row r="50" spans="1:21" ht="13.5" customHeight="1" outlineLevel="2" thickBot="1" x14ac:dyDescent="0.3">
      <c r="A50" s="1170" t="s">
        <v>21</v>
      </c>
      <c r="B50" s="1170" t="s">
        <v>21</v>
      </c>
      <c r="C50" s="1170" t="s">
        <v>28</v>
      </c>
      <c r="D50" s="1170" t="s">
        <v>82</v>
      </c>
      <c r="E50" s="1171" t="s">
        <v>83</v>
      </c>
      <c r="F50" s="488" t="s">
        <v>84</v>
      </c>
      <c r="G50" s="350"/>
      <c r="H50" s="350"/>
      <c r="I50" s="350">
        <v>298558</v>
      </c>
      <c r="J50" s="351">
        <v>437402.56999999995</v>
      </c>
      <c r="K50" s="137">
        <v>340</v>
      </c>
      <c r="L50" s="137">
        <v>8502.93</v>
      </c>
      <c r="M50" s="137">
        <v>0</v>
      </c>
      <c r="N50" s="137">
        <v>141585.16</v>
      </c>
      <c r="O50" s="137">
        <v>0</v>
      </c>
      <c r="P50" s="137">
        <v>0</v>
      </c>
      <c r="Q50" s="137">
        <v>0</v>
      </c>
      <c r="R50" s="137">
        <v>286974.48</v>
      </c>
      <c r="S50" s="177">
        <v>0</v>
      </c>
      <c r="T50" s="353"/>
    </row>
    <row r="51" spans="1:21" ht="13.5" customHeight="1" thickBot="1" x14ac:dyDescent="0.3">
      <c r="A51" s="1190"/>
      <c r="B51" s="1191"/>
      <c r="C51" s="1191"/>
      <c r="D51" s="1184"/>
      <c r="E51" s="1192"/>
      <c r="F51" s="495" t="s">
        <v>85</v>
      </c>
      <c r="G51" s="350"/>
      <c r="H51" s="376">
        <v>2</v>
      </c>
      <c r="I51" s="350">
        <f t="shared" ref="I51:S51" si="9">SUBTOTAL(9,I50:I50)</f>
        <v>298558</v>
      </c>
      <c r="J51" s="137">
        <f>SUBTOTAL(9,J50:J50)</f>
        <v>437402.56999999995</v>
      </c>
      <c r="K51" s="137">
        <f t="shared" si="9"/>
        <v>340</v>
      </c>
      <c r="L51" s="137">
        <f t="shared" si="9"/>
        <v>8502.93</v>
      </c>
      <c r="M51" s="137">
        <f t="shared" si="9"/>
        <v>0</v>
      </c>
      <c r="N51" s="137">
        <f t="shared" si="9"/>
        <v>141585.16</v>
      </c>
      <c r="O51" s="137">
        <f t="shared" si="9"/>
        <v>0</v>
      </c>
      <c r="P51" s="137">
        <f t="shared" si="9"/>
        <v>0</v>
      </c>
      <c r="Q51" s="137">
        <f t="shared" si="9"/>
        <v>0</v>
      </c>
      <c r="R51" s="137">
        <f t="shared" si="9"/>
        <v>286974.48</v>
      </c>
      <c r="S51" s="177">
        <f t="shared" si="9"/>
        <v>0</v>
      </c>
      <c r="T51" s="353">
        <f>ROUND(J51-SUM(K51:P51)-R51,2)</f>
        <v>0</v>
      </c>
    </row>
    <row r="52" spans="1:21" ht="13.5" customHeight="1" thickBot="1" x14ac:dyDescent="0.3">
      <c r="A52" s="1182"/>
      <c r="B52" s="1182"/>
      <c r="C52" s="1191"/>
      <c r="D52" s="1184"/>
      <c r="E52" s="1194"/>
      <c r="F52" s="489" t="s">
        <v>86</v>
      </c>
      <c r="G52" s="350"/>
      <c r="H52" s="350"/>
      <c r="I52" s="350"/>
      <c r="J52" s="137"/>
      <c r="K52" s="137"/>
      <c r="L52" s="137">
        <f>-R52</f>
        <v>286974.48</v>
      </c>
      <c r="M52" s="137"/>
      <c r="N52" s="137"/>
      <c r="O52" s="137"/>
      <c r="P52" s="137"/>
      <c r="Q52" s="137"/>
      <c r="R52" s="137">
        <f>-R51</f>
        <v>-286974.48</v>
      </c>
      <c r="S52" s="177"/>
      <c r="T52" s="353"/>
    </row>
    <row r="53" spans="1:21" ht="13.5" customHeight="1" thickBot="1" x14ac:dyDescent="0.3">
      <c r="A53" s="1182"/>
      <c r="B53" s="1182"/>
      <c r="C53" s="1191"/>
      <c r="D53" s="1184"/>
      <c r="E53" s="1194"/>
      <c r="F53" s="489" t="s">
        <v>87</v>
      </c>
      <c r="G53" s="350"/>
      <c r="H53" s="350"/>
      <c r="I53" s="377">
        <v>0</v>
      </c>
      <c r="J53" s="137">
        <f>SUM(K53:O53)</f>
        <v>0</v>
      </c>
      <c r="K53" s="137"/>
      <c r="L53" s="181">
        <v>0</v>
      </c>
      <c r="M53" s="137"/>
      <c r="N53" s="181">
        <v>0</v>
      </c>
      <c r="O53" s="137"/>
      <c r="P53" s="137"/>
      <c r="Q53" s="137"/>
      <c r="R53" s="181">
        <v>104976</v>
      </c>
      <c r="S53" s="177"/>
      <c r="T53" s="353"/>
    </row>
    <row r="54" spans="1:21" ht="13.5" customHeight="1" thickBot="1" x14ac:dyDescent="0.3">
      <c r="A54" s="1182"/>
      <c r="B54" s="1182"/>
      <c r="C54" s="1191"/>
      <c r="D54" s="1184"/>
      <c r="E54" s="1194"/>
      <c r="F54" s="489" t="s">
        <v>254</v>
      </c>
      <c r="G54" s="350"/>
      <c r="H54" s="350"/>
      <c r="I54" s="378">
        <v>45660</v>
      </c>
      <c r="J54" s="137">
        <f>SUM(K54:O54)</f>
        <v>105202.09</v>
      </c>
      <c r="K54" s="137"/>
      <c r="L54" s="181">
        <f>104976+222.36</f>
        <v>105198.36</v>
      </c>
      <c r="M54" s="137"/>
      <c r="N54" s="181">
        <f>3.73</f>
        <v>3.73</v>
      </c>
      <c r="O54" s="137"/>
      <c r="P54" s="137"/>
      <c r="Q54" s="137"/>
      <c r="R54" s="137">
        <f>-R53</f>
        <v>-104976</v>
      </c>
      <c r="S54" s="177"/>
      <c r="T54" s="353"/>
    </row>
    <row r="55" spans="1:21" ht="13.5" customHeight="1" thickBot="1" x14ac:dyDescent="0.3">
      <c r="A55" s="1182"/>
      <c r="B55" s="1182"/>
      <c r="C55" s="1191"/>
      <c r="D55" s="1184"/>
      <c r="E55" s="1194"/>
      <c r="F55" s="489" t="s">
        <v>255</v>
      </c>
      <c r="G55" s="350"/>
      <c r="H55" s="350"/>
      <c r="I55" s="378">
        <v>838</v>
      </c>
      <c r="J55" s="137">
        <f>SUM(K55:O55)</f>
        <v>1015.53</v>
      </c>
      <c r="K55" s="181">
        <v>781</v>
      </c>
      <c r="L55" s="181">
        <v>4.08</v>
      </c>
      <c r="M55" s="137"/>
      <c r="N55" s="181">
        <f>230.45</f>
        <v>230.45</v>
      </c>
      <c r="O55" s="137"/>
      <c r="P55" s="137"/>
      <c r="Q55" s="137"/>
      <c r="R55" s="137"/>
      <c r="S55" s="177"/>
      <c r="T55" s="353">
        <f>ROUND(J55-SUM(K55:P55)-R55,2)</f>
        <v>0</v>
      </c>
    </row>
    <row r="56" spans="1:21" ht="34.5" thickBot="1" x14ac:dyDescent="0.3">
      <c r="A56" s="1182"/>
      <c r="B56" s="1182"/>
      <c r="C56" s="1191"/>
      <c r="D56" s="1184"/>
      <c r="E56" s="1194"/>
      <c r="F56" s="495" t="s">
        <v>801</v>
      </c>
      <c r="G56" s="350"/>
      <c r="H56" s="350"/>
      <c r="I56" s="378"/>
      <c r="J56" s="137">
        <f>SUM(K56:O56)</f>
        <v>0</v>
      </c>
      <c r="K56" s="181"/>
      <c r="L56" s="181">
        <v>364.04</v>
      </c>
      <c r="M56" s="137"/>
      <c r="N56" s="181">
        <v>-364.04</v>
      </c>
      <c r="O56" s="137"/>
      <c r="P56" s="137"/>
      <c r="Q56" s="137"/>
      <c r="R56" s="137"/>
      <c r="S56" s="177"/>
      <c r="T56" s="353"/>
    </row>
    <row r="57" spans="1:21" ht="13.5" customHeight="1" thickBot="1" x14ac:dyDescent="0.25">
      <c r="A57" s="1182"/>
      <c r="B57" s="1182"/>
      <c r="C57" s="1186"/>
      <c r="D57" s="1195" t="s">
        <v>88</v>
      </c>
      <c r="E57" s="1184"/>
      <c r="F57" s="379" t="s">
        <v>89</v>
      </c>
      <c r="G57" s="370"/>
      <c r="H57" s="370">
        <f>+H51</f>
        <v>2</v>
      </c>
      <c r="I57" s="184">
        <f t="shared" ref="I57:S57" si="10">SUBTOTAL(9,I50:I56)</f>
        <v>345056</v>
      </c>
      <c r="J57" s="165">
        <f t="shared" si="10"/>
        <v>543620.18999999994</v>
      </c>
      <c r="K57" s="165">
        <f t="shared" si="10"/>
        <v>1121</v>
      </c>
      <c r="L57" s="165">
        <f t="shared" si="10"/>
        <v>401043.88999999996</v>
      </c>
      <c r="M57" s="165">
        <f t="shared" si="10"/>
        <v>0</v>
      </c>
      <c r="N57" s="165">
        <f t="shared" si="10"/>
        <v>141455.30000000002</v>
      </c>
      <c r="O57" s="165">
        <f t="shared" si="10"/>
        <v>0</v>
      </c>
      <c r="P57" s="165">
        <f t="shared" si="10"/>
        <v>0</v>
      </c>
      <c r="Q57" s="165">
        <f t="shared" si="10"/>
        <v>0</v>
      </c>
      <c r="R57" s="165">
        <f t="shared" si="10"/>
        <v>0</v>
      </c>
      <c r="S57" s="166">
        <f t="shared" si="10"/>
        <v>0</v>
      </c>
    </row>
    <row r="58" spans="1:21" ht="13.5" customHeight="1" thickBot="1" x14ac:dyDescent="0.25">
      <c r="A58" s="1182"/>
      <c r="B58" s="1182"/>
      <c r="C58" s="1182"/>
      <c r="D58" s="1183" t="s">
        <v>77</v>
      </c>
      <c r="E58" s="1184"/>
      <c r="F58" s="379" t="s">
        <v>90</v>
      </c>
      <c r="G58" s="370"/>
      <c r="H58" s="370"/>
      <c r="I58" s="371">
        <v>345060</v>
      </c>
      <c r="J58" s="165">
        <f>SUM(K58:S58)</f>
        <v>543620.18999999994</v>
      </c>
      <c r="K58" s="168">
        <v>1121</v>
      </c>
      <c r="L58" s="168">
        <v>401043.89</v>
      </c>
      <c r="M58" s="168">
        <v>0</v>
      </c>
      <c r="N58" s="168">
        <v>141455.29999999999</v>
      </c>
      <c r="O58" s="168">
        <v>0</v>
      </c>
      <c r="P58" s="185"/>
      <c r="Q58" s="185"/>
      <c r="R58" s="185"/>
      <c r="S58" s="186"/>
    </row>
    <row r="59" spans="1:21" ht="13.5" customHeight="1" thickBot="1" x14ac:dyDescent="0.25">
      <c r="A59" s="1182"/>
      <c r="B59" s="1182"/>
      <c r="C59" s="1182"/>
      <c r="D59" s="1186"/>
      <c r="E59" s="1184"/>
      <c r="F59" s="372" t="s">
        <v>79</v>
      </c>
      <c r="G59" s="373"/>
      <c r="H59" s="373"/>
      <c r="I59" s="171">
        <f t="shared" ref="I59:N59" si="11">I57-I58</f>
        <v>-4</v>
      </c>
      <c r="J59" s="172">
        <f t="shared" si="11"/>
        <v>0</v>
      </c>
      <c r="K59" s="172">
        <f t="shared" si="11"/>
        <v>0</v>
      </c>
      <c r="L59" s="172">
        <f t="shared" si="11"/>
        <v>0</v>
      </c>
      <c r="M59" s="172">
        <f t="shared" si="11"/>
        <v>0</v>
      </c>
      <c r="N59" s="172">
        <f t="shared" si="11"/>
        <v>0</v>
      </c>
      <c r="O59" s="172">
        <f>O57-O58</f>
        <v>0</v>
      </c>
      <c r="P59" s="172"/>
      <c r="Q59" s="172"/>
      <c r="R59" s="172"/>
      <c r="S59" s="173"/>
    </row>
    <row r="60" spans="1:21" ht="13.5" thickBot="1" x14ac:dyDescent="0.25">
      <c r="G60" s="338"/>
      <c r="H60" s="338"/>
      <c r="I60" s="380"/>
      <c r="K60" s="380"/>
      <c r="L60" s="380"/>
      <c r="M60" s="380"/>
      <c r="N60" s="54"/>
      <c r="O60" s="380"/>
      <c r="P60" s="380"/>
    </row>
    <row r="61" spans="1:21" ht="23.25" thickBot="1" x14ac:dyDescent="0.25">
      <c r="D61" s="1402" t="s">
        <v>91</v>
      </c>
      <c r="E61" s="1403"/>
      <c r="F61" s="496" t="s">
        <v>92</v>
      </c>
      <c r="G61" s="479"/>
      <c r="H61" s="480" t="s">
        <v>2</v>
      </c>
      <c r="I61" s="481" t="s">
        <v>3</v>
      </c>
      <c r="J61" s="481" t="s">
        <v>4</v>
      </c>
      <c r="K61" s="481" t="s">
        <v>5</v>
      </c>
      <c r="L61" s="481" t="s">
        <v>6</v>
      </c>
      <c r="M61" s="481" t="s">
        <v>7</v>
      </c>
      <c r="N61" s="481" t="s">
        <v>93</v>
      </c>
      <c r="O61" s="481" t="s">
        <v>9</v>
      </c>
      <c r="P61" s="481" t="s">
        <v>10</v>
      </c>
      <c r="Q61" s="481" t="s">
        <v>11</v>
      </c>
      <c r="R61" s="481" t="s">
        <v>12</v>
      </c>
      <c r="S61" s="482" t="s">
        <v>13</v>
      </c>
    </row>
    <row r="62" spans="1:21" ht="13.5" thickBot="1" x14ac:dyDescent="0.25">
      <c r="D62" s="1173"/>
      <c r="E62" s="1174"/>
      <c r="F62" s="497"/>
      <c r="G62" s="484"/>
      <c r="H62" s="484"/>
      <c r="I62" s="485" t="s">
        <v>19</v>
      </c>
      <c r="J62" s="486" t="s">
        <v>20</v>
      </c>
      <c r="K62" s="486" t="s">
        <v>20</v>
      </c>
      <c r="L62" s="486" t="s">
        <v>20</v>
      </c>
      <c r="M62" s="486" t="s">
        <v>20</v>
      </c>
      <c r="N62" s="486" t="s">
        <v>20</v>
      </c>
      <c r="O62" s="486" t="s">
        <v>20</v>
      </c>
      <c r="P62" s="486" t="s">
        <v>20</v>
      </c>
      <c r="Q62" s="486" t="s">
        <v>20</v>
      </c>
      <c r="R62" s="486" t="s">
        <v>20</v>
      </c>
      <c r="S62" s="487" t="s">
        <v>20</v>
      </c>
    </row>
    <row r="63" spans="1:21" ht="14.25" outlineLevel="2" thickBot="1" x14ac:dyDescent="0.3">
      <c r="D63" s="1170" t="s">
        <v>94</v>
      </c>
      <c r="E63" s="1171" t="s">
        <v>95</v>
      </c>
      <c r="F63" s="488" t="s">
        <v>96</v>
      </c>
      <c r="G63" s="350"/>
      <c r="H63" s="350"/>
      <c r="I63" s="350">
        <v>0</v>
      </c>
      <c r="J63" s="351">
        <v>0</v>
      </c>
      <c r="K63" s="351">
        <v>0</v>
      </c>
      <c r="L63" s="351"/>
      <c r="M63" s="351"/>
      <c r="N63" s="351"/>
      <c r="O63" s="351"/>
      <c r="P63" s="351"/>
      <c r="Q63" s="351"/>
      <c r="R63" s="351"/>
      <c r="S63" s="352"/>
      <c r="U63" s="360"/>
    </row>
    <row r="64" spans="1:21" ht="23.25" outlineLevel="2" thickBot="1" x14ac:dyDescent="0.3">
      <c r="D64" s="1170" t="s">
        <v>97</v>
      </c>
      <c r="E64" s="1171" t="s">
        <v>98</v>
      </c>
      <c r="F64" s="488" t="s">
        <v>96</v>
      </c>
      <c r="G64" s="350"/>
      <c r="H64" s="350"/>
      <c r="I64" s="350">
        <v>0</v>
      </c>
      <c r="J64" s="351">
        <v>0</v>
      </c>
      <c r="K64" s="351"/>
      <c r="L64" s="351">
        <v>0</v>
      </c>
      <c r="M64" s="351">
        <v>0</v>
      </c>
      <c r="N64" s="351">
        <v>0</v>
      </c>
      <c r="O64" s="351"/>
      <c r="P64" s="351"/>
      <c r="Q64" s="351"/>
      <c r="R64" s="351"/>
      <c r="S64" s="352"/>
      <c r="U64" s="360"/>
    </row>
    <row r="65" spans="1:21" ht="23.25" outlineLevel="2" thickBot="1" x14ac:dyDescent="0.3">
      <c r="D65" s="1170" t="s">
        <v>97</v>
      </c>
      <c r="E65" s="1171" t="s">
        <v>98</v>
      </c>
      <c r="F65" s="488" t="s">
        <v>96</v>
      </c>
      <c r="G65" s="350"/>
      <c r="H65" s="350"/>
      <c r="I65" s="350">
        <v>0</v>
      </c>
      <c r="J65" s="351">
        <v>0</v>
      </c>
      <c r="K65" s="137">
        <v>0</v>
      </c>
      <c r="L65" s="137">
        <v>0</v>
      </c>
      <c r="M65" s="137">
        <v>0</v>
      </c>
      <c r="N65" s="351">
        <v>0</v>
      </c>
      <c r="O65" s="351"/>
      <c r="P65" s="351"/>
      <c r="Q65" s="351"/>
      <c r="R65" s="351"/>
      <c r="S65" s="352"/>
      <c r="U65" s="360"/>
    </row>
    <row r="66" spans="1:21" ht="23.25" outlineLevel="2" thickBot="1" x14ac:dyDescent="0.3">
      <c r="D66" s="1170" t="s">
        <v>99</v>
      </c>
      <c r="E66" s="1171" t="s">
        <v>100</v>
      </c>
      <c r="F66" s="488" t="s">
        <v>96</v>
      </c>
      <c r="G66" s="350"/>
      <c r="H66" s="350"/>
      <c r="I66" s="350">
        <v>0</v>
      </c>
      <c r="J66" s="351">
        <v>0</v>
      </c>
      <c r="K66" s="351">
        <v>0</v>
      </c>
      <c r="L66" s="351">
        <v>0</v>
      </c>
      <c r="M66" s="351">
        <v>0</v>
      </c>
      <c r="N66" s="351">
        <v>0</v>
      </c>
      <c r="O66" s="351"/>
      <c r="P66" s="351"/>
      <c r="Q66" s="351"/>
      <c r="R66" s="351"/>
      <c r="S66" s="352"/>
      <c r="U66" s="360"/>
    </row>
    <row r="67" spans="1:21" ht="23.25" outlineLevel="2" thickBot="1" x14ac:dyDescent="0.3">
      <c r="D67" s="1170" t="s">
        <v>99</v>
      </c>
      <c r="E67" s="1171" t="s">
        <v>100</v>
      </c>
      <c r="F67" s="488" t="s">
        <v>96</v>
      </c>
      <c r="G67" s="350"/>
      <c r="H67" s="350"/>
      <c r="I67" s="350"/>
      <c r="J67" s="351"/>
      <c r="K67" s="351"/>
      <c r="L67" s="351"/>
      <c r="M67" s="351"/>
      <c r="N67" s="351"/>
      <c r="O67" s="351"/>
      <c r="P67" s="351"/>
      <c r="Q67" s="351"/>
      <c r="R67" s="351"/>
      <c r="S67" s="352"/>
      <c r="U67" s="360"/>
    </row>
    <row r="68" spans="1:21" ht="23.25" outlineLevel="2" thickBot="1" x14ac:dyDescent="0.3">
      <c r="D68" s="1170" t="s">
        <v>99</v>
      </c>
      <c r="E68" s="1171" t="s">
        <v>100</v>
      </c>
      <c r="F68" s="488" t="s">
        <v>96</v>
      </c>
      <c r="G68" s="350"/>
      <c r="H68" s="350"/>
      <c r="I68" s="350">
        <v>0</v>
      </c>
      <c r="J68" s="351">
        <v>0</v>
      </c>
      <c r="K68" s="351"/>
      <c r="L68" s="351"/>
      <c r="M68" s="351"/>
      <c r="N68" s="351"/>
      <c r="O68" s="351"/>
      <c r="P68" s="351"/>
      <c r="Q68" s="351"/>
      <c r="R68" s="351"/>
      <c r="S68" s="352"/>
      <c r="U68" s="360"/>
    </row>
    <row r="69" spans="1:21" ht="14.25" thickBot="1" x14ac:dyDescent="0.3">
      <c r="D69" s="1173"/>
      <c r="E69" s="1174"/>
      <c r="F69" s="489" t="s">
        <v>101</v>
      </c>
      <c r="G69" s="357"/>
      <c r="H69" s="354">
        <v>0</v>
      </c>
      <c r="I69" s="357">
        <f t="shared" ref="I69:S69" si="12">SUBTOTAL(9,I63:I68)</f>
        <v>0</v>
      </c>
      <c r="J69" s="363">
        <f>SUBTOTAL(9,J63:J68)</f>
        <v>0</v>
      </c>
      <c r="K69" s="363">
        <f t="shared" si="12"/>
        <v>0</v>
      </c>
      <c r="L69" s="363">
        <f t="shared" si="12"/>
        <v>0</v>
      </c>
      <c r="M69" s="363">
        <f t="shared" si="12"/>
        <v>0</v>
      </c>
      <c r="N69" s="363">
        <f t="shared" si="12"/>
        <v>0</v>
      </c>
      <c r="O69" s="363">
        <f t="shared" si="12"/>
        <v>0</v>
      </c>
      <c r="P69" s="363">
        <f t="shared" si="12"/>
        <v>0</v>
      </c>
      <c r="Q69" s="363">
        <f t="shared" si="12"/>
        <v>0</v>
      </c>
      <c r="R69" s="363">
        <f t="shared" si="12"/>
        <v>0</v>
      </c>
      <c r="S69" s="364">
        <f t="shared" si="12"/>
        <v>0</v>
      </c>
      <c r="T69" s="353">
        <f>ROUND(J69-SUM(K69:P69)-R69,2)</f>
        <v>0</v>
      </c>
    </row>
    <row r="70" spans="1:21" ht="23.25" outlineLevel="2" thickBot="1" x14ac:dyDescent="0.3">
      <c r="D70" s="1170" t="s">
        <v>102</v>
      </c>
      <c r="E70" s="1171" t="s">
        <v>103</v>
      </c>
      <c r="F70" s="488" t="s">
        <v>104</v>
      </c>
      <c r="G70" s="350"/>
      <c r="H70" s="358"/>
      <c r="I70" s="350">
        <v>0</v>
      </c>
      <c r="J70" s="351">
        <v>1072.79</v>
      </c>
      <c r="K70" s="351"/>
      <c r="L70" s="351"/>
      <c r="M70" s="351"/>
      <c r="N70" s="351">
        <v>1072.79</v>
      </c>
      <c r="O70" s="351"/>
      <c r="P70" s="351"/>
      <c r="Q70" s="351"/>
      <c r="R70" s="351"/>
      <c r="S70" s="352"/>
      <c r="T70" s="381"/>
    </row>
    <row r="71" spans="1:21" ht="14.25" thickBot="1" x14ac:dyDescent="0.3">
      <c r="D71" s="1173"/>
      <c r="E71" s="1174"/>
      <c r="F71" s="489" t="s">
        <v>105</v>
      </c>
      <c r="G71" s="357"/>
      <c r="H71" s="354">
        <v>1</v>
      </c>
      <c r="I71" s="357">
        <f t="shared" ref="I71:S71" si="13">SUBTOTAL(9,I70:I70)</f>
        <v>0</v>
      </c>
      <c r="J71" s="363">
        <f t="shared" si="13"/>
        <v>1072.79</v>
      </c>
      <c r="K71" s="363">
        <f t="shared" si="13"/>
        <v>0</v>
      </c>
      <c r="L71" s="363">
        <f t="shared" si="13"/>
        <v>0</v>
      </c>
      <c r="M71" s="363">
        <f t="shared" si="13"/>
        <v>0</v>
      </c>
      <c r="N71" s="363">
        <f t="shared" si="13"/>
        <v>1072.79</v>
      </c>
      <c r="O71" s="363">
        <f t="shared" si="13"/>
        <v>0</v>
      </c>
      <c r="P71" s="363">
        <f t="shared" si="13"/>
        <v>0</v>
      </c>
      <c r="Q71" s="363">
        <f t="shared" si="13"/>
        <v>0</v>
      </c>
      <c r="R71" s="363">
        <f t="shared" si="13"/>
        <v>0</v>
      </c>
      <c r="S71" s="364">
        <f t="shared" si="13"/>
        <v>0</v>
      </c>
      <c r="T71" s="353">
        <f>ROUND(J71-SUM(K71:P71)-R71,2)</f>
        <v>0</v>
      </c>
    </row>
    <row r="72" spans="1:21" ht="23.25" outlineLevel="2" thickBot="1" x14ac:dyDescent="0.3">
      <c r="D72" s="1170" t="s">
        <v>106</v>
      </c>
      <c r="E72" s="1171" t="s">
        <v>107</v>
      </c>
      <c r="F72" s="488" t="s">
        <v>72</v>
      </c>
      <c r="G72" s="357"/>
      <c r="H72" s="358"/>
      <c r="I72" s="350">
        <v>14314</v>
      </c>
      <c r="J72" s="351">
        <v>5109.13</v>
      </c>
      <c r="K72" s="351">
        <v>781</v>
      </c>
      <c r="L72" s="351">
        <v>69.709999999999994</v>
      </c>
      <c r="M72" s="351">
        <v>0</v>
      </c>
      <c r="N72" s="351">
        <v>4258.42</v>
      </c>
      <c r="O72" s="351"/>
      <c r="P72" s="351"/>
      <c r="Q72" s="351"/>
      <c r="R72" s="351"/>
      <c r="S72" s="352"/>
      <c r="T72" s="381"/>
    </row>
    <row r="73" spans="1:21" ht="14.25" thickBot="1" x14ac:dyDescent="0.3">
      <c r="D73" s="1173"/>
      <c r="E73" s="1192"/>
      <c r="F73" s="495" t="s">
        <v>108</v>
      </c>
      <c r="G73" s="357"/>
      <c r="H73" s="354">
        <v>1</v>
      </c>
      <c r="I73" s="357">
        <f t="shared" ref="I73:S73" si="14">SUBTOTAL(9,I72:I72)</f>
        <v>14314</v>
      </c>
      <c r="J73" s="363">
        <f>SUBTOTAL(9,J72:J72)</f>
        <v>5109.13</v>
      </c>
      <c r="K73" s="363">
        <f t="shared" si="14"/>
        <v>781</v>
      </c>
      <c r="L73" s="363">
        <f t="shared" si="14"/>
        <v>69.709999999999994</v>
      </c>
      <c r="M73" s="363">
        <f t="shared" si="14"/>
        <v>0</v>
      </c>
      <c r="N73" s="363">
        <f t="shared" si="14"/>
        <v>4258.42</v>
      </c>
      <c r="O73" s="363">
        <f t="shared" si="14"/>
        <v>0</v>
      </c>
      <c r="P73" s="363">
        <f t="shared" si="14"/>
        <v>0</v>
      </c>
      <c r="Q73" s="363">
        <f t="shared" si="14"/>
        <v>0</v>
      </c>
      <c r="R73" s="363">
        <f t="shared" si="14"/>
        <v>0</v>
      </c>
      <c r="S73" s="364">
        <f t="shared" si="14"/>
        <v>0</v>
      </c>
      <c r="T73" s="353">
        <f>ROUND(J73-SUM(K73:P73)-R73,2)</f>
        <v>0</v>
      </c>
    </row>
    <row r="74" spans="1:21" ht="23.25" outlineLevel="2" thickBot="1" x14ac:dyDescent="0.3">
      <c r="D74" s="1170" t="s">
        <v>109</v>
      </c>
      <c r="E74" s="1171" t="s">
        <v>110</v>
      </c>
      <c r="F74" s="498" t="s">
        <v>111</v>
      </c>
      <c r="G74" s="350"/>
      <c r="H74" s="358"/>
      <c r="I74" s="350">
        <v>0</v>
      </c>
      <c r="J74" s="351">
        <v>275</v>
      </c>
      <c r="K74" s="351">
        <v>275</v>
      </c>
      <c r="L74" s="351">
        <v>0</v>
      </c>
      <c r="M74" s="351">
        <v>0</v>
      </c>
      <c r="N74" s="351">
        <v>0</v>
      </c>
      <c r="O74" s="351"/>
      <c r="P74" s="351"/>
      <c r="Q74" s="351"/>
      <c r="R74" s="351"/>
      <c r="S74" s="352"/>
      <c r="T74" s="381"/>
    </row>
    <row r="75" spans="1:21" ht="14.25" thickBot="1" x14ac:dyDescent="0.3">
      <c r="D75" s="1173"/>
      <c r="E75" s="1192"/>
      <c r="F75" s="495" t="s">
        <v>112</v>
      </c>
      <c r="G75" s="357"/>
      <c r="H75" s="354">
        <v>1</v>
      </c>
      <c r="I75" s="357">
        <f t="shared" ref="I75:S75" si="15">SUBTOTAL(9,I74:I74)</f>
        <v>0</v>
      </c>
      <c r="J75" s="363">
        <f>SUBTOTAL(9,J74:J74)</f>
        <v>275</v>
      </c>
      <c r="K75" s="363">
        <f t="shared" si="15"/>
        <v>275</v>
      </c>
      <c r="L75" s="363">
        <f t="shared" si="15"/>
        <v>0</v>
      </c>
      <c r="M75" s="363">
        <f t="shared" si="15"/>
        <v>0</v>
      </c>
      <c r="N75" s="363">
        <f t="shared" si="15"/>
        <v>0</v>
      </c>
      <c r="O75" s="363">
        <f t="shared" si="15"/>
        <v>0</v>
      </c>
      <c r="P75" s="363">
        <f t="shared" si="15"/>
        <v>0</v>
      </c>
      <c r="Q75" s="363">
        <f t="shared" si="15"/>
        <v>0</v>
      </c>
      <c r="R75" s="363">
        <f t="shared" si="15"/>
        <v>0</v>
      </c>
      <c r="S75" s="364">
        <f t="shared" si="15"/>
        <v>0</v>
      </c>
      <c r="T75" s="353">
        <f>ROUND(J75-SUM(K75:P75)-R75,2)</f>
        <v>0</v>
      </c>
    </row>
    <row r="76" spans="1:21" ht="23.25" outlineLevel="2" thickBot="1" x14ac:dyDescent="0.3">
      <c r="D76" s="1170" t="s">
        <v>113</v>
      </c>
      <c r="E76" s="1171" t="s">
        <v>114</v>
      </c>
      <c r="F76" s="498" t="s">
        <v>115</v>
      </c>
      <c r="G76" s="350"/>
      <c r="H76" s="358"/>
      <c r="I76" s="350">
        <v>838</v>
      </c>
      <c r="J76" s="351">
        <v>1015.53</v>
      </c>
      <c r="K76" s="351">
        <v>781</v>
      </c>
      <c r="L76" s="351">
        <v>4.08</v>
      </c>
      <c r="M76" s="351">
        <v>0</v>
      </c>
      <c r="N76" s="351">
        <v>230.45</v>
      </c>
      <c r="O76" s="351"/>
      <c r="P76" s="351"/>
      <c r="Q76" s="351"/>
      <c r="R76" s="351"/>
      <c r="S76" s="352"/>
      <c r="T76" s="381"/>
    </row>
    <row r="77" spans="1:21" ht="14.25" thickBot="1" x14ac:dyDescent="0.3">
      <c r="D77" s="1184"/>
      <c r="E77" s="1192"/>
      <c r="F77" s="495" t="s">
        <v>116</v>
      </c>
      <c r="G77" s="357"/>
      <c r="H77" s="354">
        <v>1</v>
      </c>
      <c r="I77" s="357">
        <f t="shared" ref="I77:S77" si="16">SUBTOTAL(9,I76:I76)</f>
        <v>838</v>
      </c>
      <c r="J77" s="363">
        <f>SUBTOTAL(9,J76:J76)</f>
        <v>1015.53</v>
      </c>
      <c r="K77" s="363">
        <f t="shared" si="16"/>
        <v>781</v>
      </c>
      <c r="L77" s="363">
        <f t="shared" si="16"/>
        <v>4.08</v>
      </c>
      <c r="M77" s="363">
        <f t="shared" si="16"/>
        <v>0</v>
      </c>
      <c r="N77" s="363">
        <f t="shared" si="16"/>
        <v>230.45</v>
      </c>
      <c r="O77" s="363">
        <f t="shared" si="16"/>
        <v>0</v>
      </c>
      <c r="P77" s="363">
        <f t="shared" si="16"/>
        <v>0</v>
      </c>
      <c r="Q77" s="363">
        <f t="shared" si="16"/>
        <v>0</v>
      </c>
      <c r="R77" s="363">
        <f t="shared" si="16"/>
        <v>0</v>
      </c>
      <c r="S77" s="364">
        <f t="shared" si="16"/>
        <v>0</v>
      </c>
      <c r="T77" s="353">
        <f>ROUND(J77-SUM(K77:P77)-R77,2)</f>
        <v>0</v>
      </c>
    </row>
    <row r="78" spans="1:21" ht="14.25" thickBot="1" x14ac:dyDescent="0.3">
      <c r="A78" s="1158"/>
      <c r="B78" s="1158"/>
      <c r="C78" s="1158"/>
      <c r="D78" s="1396" t="s">
        <v>117</v>
      </c>
      <c r="E78" s="1396"/>
      <c r="F78" s="192" t="s">
        <v>118</v>
      </c>
      <c r="G78" s="171"/>
      <c r="H78" s="171">
        <f>SUBTOTAL(9,H63:H77)</f>
        <v>4</v>
      </c>
      <c r="I78" s="171">
        <f t="shared" ref="I78:S78" si="17">SUBTOTAL(9,I63:I77)</f>
        <v>15152</v>
      </c>
      <c r="J78" s="172">
        <f>SUBTOTAL(9,J63:J77)</f>
        <v>7472.45</v>
      </c>
      <c r="K78" s="172">
        <f t="shared" si="17"/>
        <v>1837</v>
      </c>
      <c r="L78" s="172">
        <f>SUBTOTAL(9,L63:L77)</f>
        <v>73.789999999999992</v>
      </c>
      <c r="M78" s="172">
        <f t="shared" si="17"/>
        <v>0</v>
      </c>
      <c r="N78" s="172">
        <f t="shared" si="17"/>
        <v>5561.66</v>
      </c>
      <c r="O78" s="172">
        <f t="shared" si="17"/>
        <v>0</v>
      </c>
      <c r="P78" s="172">
        <f t="shared" si="17"/>
        <v>0</v>
      </c>
      <c r="Q78" s="172">
        <f t="shared" si="17"/>
        <v>0</v>
      </c>
      <c r="R78" s="172">
        <f t="shared" si="17"/>
        <v>0</v>
      </c>
      <c r="S78" s="173">
        <f t="shared" si="17"/>
        <v>0</v>
      </c>
      <c r="T78" s="353">
        <f>ROUND(J78-SUM(K78:P78)-R78,2)</f>
        <v>0</v>
      </c>
    </row>
    <row r="79" spans="1:21" ht="13.5" x14ac:dyDescent="0.25">
      <c r="G79" s="338"/>
      <c r="H79" s="338"/>
      <c r="I79" s="382"/>
      <c r="K79" s="383"/>
      <c r="L79" s="383"/>
      <c r="M79" s="383"/>
      <c r="N79" s="383"/>
      <c r="O79" s="383"/>
      <c r="P79" s="383"/>
    </row>
    <row r="80" spans="1:21" x14ac:dyDescent="0.2">
      <c r="G80" s="384" t="s">
        <v>76</v>
      </c>
      <c r="H80" s="385" t="s">
        <v>119</v>
      </c>
    </row>
    <row r="81" spans="1:8" s="386" customFormat="1" ht="11.25" x14ac:dyDescent="0.2">
      <c r="A81" s="1201"/>
      <c r="B81" s="1201"/>
      <c r="C81" s="1201"/>
      <c r="D81" s="1201"/>
      <c r="E81" s="1201"/>
      <c r="G81" s="384" t="s">
        <v>74</v>
      </c>
      <c r="H81" s="385" t="s">
        <v>120</v>
      </c>
    </row>
    <row r="82" spans="1:8" x14ac:dyDescent="0.2">
      <c r="G82" s="384" t="s">
        <v>71</v>
      </c>
      <c r="H82" s="385" t="s">
        <v>121</v>
      </c>
    </row>
    <row r="83" spans="1:8" x14ac:dyDescent="0.2">
      <c r="G83" s="387"/>
      <c r="H83" s="380"/>
    </row>
  </sheetData>
  <mergeCells count="5">
    <mergeCell ref="F1:K1"/>
    <mergeCell ref="D4:E4"/>
    <mergeCell ref="D48:E48"/>
    <mergeCell ref="D61:E61"/>
    <mergeCell ref="D78:E78"/>
  </mergeCells>
  <conditionalFormatting sqref="T50:T56 T5:T43">
    <cfRule type="cellIs" dxfId="7" priority="7" stopIfTrue="1" operator="notEqual">
      <formula>0</formula>
    </cfRule>
  </conditionalFormatting>
  <conditionalFormatting sqref="T69">
    <cfRule type="cellIs" dxfId="6" priority="6" stopIfTrue="1" operator="notEqual">
      <formula>0</formula>
    </cfRule>
  </conditionalFormatting>
  <conditionalFormatting sqref="T71">
    <cfRule type="cellIs" dxfId="5" priority="5" stopIfTrue="1" operator="notEqual">
      <formula>0</formula>
    </cfRule>
  </conditionalFormatting>
  <conditionalFormatting sqref="T73">
    <cfRule type="cellIs" dxfId="4" priority="4" stopIfTrue="1" operator="notEqual">
      <formula>0</formula>
    </cfRule>
  </conditionalFormatting>
  <conditionalFormatting sqref="T75">
    <cfRule type="cellIs" dxfId="3" priority="3" stopIfTrue="1" operator="notEqual">
      <formula>0</formula>
    </cfRule>
  </conditionalFormatting>
  <conditionalFormatting sqref="T77">
    <cfRule type="cellIs" dxfId="2" priority="2" stopIfTrue="1" operator="notEqual">
      <formula>0</formula>
    </cfRule>
  </conditionalFormatting>
  <conditionalFormatting sqref="T78">
    <cfRule type="cellIs" dxfId="1" priority="1" stopIfTrue="1" operator="notEqual">
      <formula>0</formula>
    </cfRule>
  </conditionalFormatting>
  <printOptions horizontalCentered="1"/>
  <pageMargins left="0.25" right="0" top="0.25" bottom="0.5" header="0.25" footer="0.25"/>
  <pageSetup scale="44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39997558519241921"/>
    <pageSetUpPr fitToPage="1"/>
  </sheetPr>
  <dimension ref="A1:V79"/>
  <sheetViews>
    <sheetView showGridLines="0" topLeftCell="C1" zoomScaleNormal="100" workbookViewId="0">
      <selection activeCell="W1" sqref="W1"/>
    </sheetView>
  </sheetViews>
  <sheetFormatPr defaultColWidth="8.5703125" defaultRowHeight="12.75" outlineLevelRow="2" x14ac:dyDescent="0.2"/>
  <cols>
    <col min="1" max="3" width="8.5703125" style="1160"/>
    <col min="4" max="4" width="17" style="1160" bestFit="1" customWidth="1"/>
    <col min="5" max="5" width="8.5703125" style="1160"/>
    <col min="6" max="6" width="30.140625" style="338" bestFit="1" customWidth="1"/>
    <col min="7" max="8" width="8.5703125" style="340"/>
    <col min="9" max="9" width="9.5703125" style="338" bestFit="1" customWidth="1"/>
    <col min="10" max="10" width="11.7109375" style="191" bestFit="1" customWidth="1"/>
    <col min="11" max="12" width="10.85546875" style="191" bestFit="1" customWidth="1"/>
    <col min="13" max="13" width="9.5703125" style="191" bestFit="1" customWidth="1"/>
    <col min="14" max="14" width="11.7109375" style="191" bestFit="1" customWidth="1"/>
    <col min="15" max="15" width="8" style="191" bestFit="1" customWidth="1"/>
    <col min="16" max="16" width="10.85546875" style="191" bestFit="1" customWidth="1"/>
    <col min="17" max="17" width="4.5703125" style="191" bestFit="1" customWidth="1"/>
    <col min="18" max="18" width="8.7109375" style="191" bestFit="1" customWidth="1"/>
    <col min="19" max="19" width="10.28515625" style="191" bestFit="1" customWidth="1"/>
    <col min="20" max="20" width="9.5703125" style="191" bestFit="1" customWidth="1"/>
    <col min="21" max="16384" width="8.5703125" style="338"/>
  </cols>
  <sheetData>
    <row r="1" spans="1:21" ht="23.25" customHeight="1" x14ac:dyDescent="0.35">
      <c r="A1" s="1159"/>
      <c r="D1" s="1159"/>
      <c r="F1" s="1397" t="s">
        <v>956</v>
      </c>
      <c r="G1" s="1397"/>
      <c r="H1" s="1397"/>
      <c r="I1" s="1397"/>
      <c r="J1" s="1397"/>
      <c r="K1" s="1397"/>
      <c r="L1" s="600"/>
    </row>
    <row r="2" spans="1:21" ht="15.75" thickBot="1" x14ac:dyDescent="0.35">
      <c r="A2" s="1161"/>
      <c r="D2" s="1161"/>
    </row>
    <row r="3" spans="1:21" ht="34.5" thickBot="1" x14ac:dyDescent="0.25">
      <c r="A3" s="1162"/>
      <c r="B3" s="1163"/>
      <c r="C3" s="1163"/>
      <c r="D3" s="1164" t="s">
        <v>1</v>
      </c>
      <c r="E3" s="1165"/>
      <c r="F3" s="478" t="s">
        <v>1</v>
      </c>
      <c r="G3" s="479"/>
      <c r="H3" s="480" t="s">
        <v>2</v>
      </c>
      <c r="I3" s="481" t="s">
        <v>3</v>
      </c>
      <c r="J3" s="601" t="s">
        <v>4</v>
      </c>
      <c r="K3" s="601" t="s">
        <v>5</v>
      </c>
      <c r="L3" s="601" t="s">
        <v>6</v>
      </c>
      <c r="M3" s="601" t="s">
        <v>7</v>
      </c>
      <c r="N3" s="601" t="s">
        <v>8</v>
      </c>
      <c r="O3" s="601" t="s">
        <v>957</v>
      </c>
      <c r="P3" s="601" t="s">
        <v>9</v>
      </c>
      <c r="Q3" s="601" t="s">
        <v>10</v>
      </c>
      <c r="R3" s="601" t="s">
        <v>11</v>
      </c>
      <c r="S3" s="601" t="s">
        <v>12</v>
      </c>
      <c r="T3" s="602" t="s">
        <v>13</v>
      </c>
    </row>
    <row r="4" spans="1:21" ht="13.5" customHeight="1" thickBot="1" x14ac:dyDescent="0.25">
      <c r="A4" s="1167" t="s">
        <v>14</v>
      </c>
      <c r="B4" s="1168" t="s">
        <v>15</v>
      </c>
      <c r="C4" s="1168" t="s">
        <v>16</v>
      </c>
      <c r="D4" s="1398" t="s">
        <v>17</v>
      </c>
      <c r="E4" s="1399"/>
      <c r="F4" s="483" t="s">
        <v>18</v>
      </c>
      <c r="G4" s="484"/>
      <c r="H4" s="484"/>
      <c r="I4" s="485" t="s">
        <v>19</v>
      </c>
      <c r="J4" s="603" t="s">
        <v>20</v>
      </c>
      <c r="K4" s="603" t="s">
        <v>20</v>
      </c>
      <c r="L4" s="603" t="s">
        <v>20</v>
      </c>
      <c r="M4" s="603" t="s">
        <v>20</v>
      </c>
      <c r="N4" s="603" t="s">
        <v>20</v>
      </c>
      <c r="O4" s="603" t="s">
        <v>20</v>
      </c>
      <c r="P4" s="603" t="s">
        <v>20</v>
      </c>
      <c r="Q4" s="603" t="s">
        <v>20</v>
      </c>
      <c r="R4" s="603" t="s">
        <v>20</v>
      </c>
      <c r="S4" s="603" t="s">
        <v>20</v>
      </c>
      <c r="T4" s="604" t="s">
        <v>20</v>
      </c>
      <c r="U4" s="349" t="s">
        <v>257</v>
      </c>
    </row>
    <row r="5" spans="1:21" ht="13.5" customHeight="1" outlineLevel="2" thickBot="1" x14ac:dyDescent="0.3">
      <c r="A5" s="1170" t="s">
        <v>21</v>
      </c>
      <c r="B5" s="1170" t="s">
        <v>21</v>
      </c>
      <c r="C5" s="1170" t="s">
        <v>28</v>
      </c>
      <c r="D5" s="1170" t="s">
        <v>29</v>
      </c>
      <c r="E5" s="1171" t="s">
        <v>30</v>
      </c>
      <c r="F5" s="488" t="s">
        <v>25</v>
      </c>
      <c r="G5" s="350"/>
      <c r="H5" s="350"/>
      <c r="I5" s="350">
        <v>177836</v>
      </c>
      <c r="J5" s="137">
        <v>95875.1</v>
      </c>
      <c r="K5" s="137">
        <v>2200</v>
      </c>
      <c r="L5" s="137">
        <v>9339.94</v>
      </c>
      <c r="M5" s="137">
        <v>0</v>
      </c>
      <c r="N5" s="137">
        <v>84335.16</v>
      </c>
      <c r="O5" s="137"/>
      <c r="P5" s="137">
        <v>0</v>
      </c>
      <c r="Q5" s="137">
        <v>0</v>
      </c>
      <c r="R5" s="137">
        <v>0</v>
      </c>
      <c r="S5" s="137">
        <v>0</v>
      </c>
      <c r="T5" s="177">
        <v>0</v>
      </c>
      <c r="U5" s="353"/>
    </row>
    <row r="6" spans="1:21" ht="13.5" customHeight="1" outlineLevel="2" thickBot="1" x14ac:dyDescent="0.3">
      <c r="A6" s="1170" t="s">
        <v>21</v>
      </c>
      <c r="B6" s="1170" t="s">
        <v>21</v>
      </c>
      <c r="C6" s="1170" t="s">
        <v>28</v>
      </c>
      <c r="D6" s="1170" t="s">
        <v>23</v>
      </c>
      <c r="E6" s="1171" t="s">
        <v>24</v>
      </c>
      <c r="F6" s="488" t="s">
        <v>27</v>
      </c>
      <c r="G6" s="350"/>
      <c r="H6" s="350"/>
      <c r="I6" s="350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137"/>
      <c r="P6" s="137">
        <v>0</v>
      </c>
      <c r="Q6" s="137">
        <v>0</v>
      </c>
      <c r="R6" s="137">
        <v>0</v>
      </c>
      <c r="S6" s="137">
        <v>0</v>
      </c>
      <c r="T6" s="177">
        <v>0</v>
      </c>
      <c r="U6" s="353"/>
    </row>
    <row r="7" spans="1:21" ht="13.5" customHeight="1" outlineLevel="2" thickBot="1" x14ac:dyDescent="0.3">
      <c r="A7" s="1170" t="s">
        <v>21</v>
      </c>
      <c r="B7" s="1170" t="s">
        <v>21</v>
      </c>
      <c r="C7" s="1170" t="s">
        <v>26</v>
      </c>
      <c r="D7" s="1170" t="s">
        <v>29</v>
      </c>
      <c r="E7" s="1171" t="s">
        <v>30</v>
      </c>
      <c r="F7" s="488" t="s">
        <v>31</v>
      </c>
      <c r="G7" s="350"/>
      <c r="H7" s="350"/>
      <c r="I7" s="350">
        <v>12004</v>
      </c>
      <c r="J7" s="137">
        <v>6598.11</v>
      </c>
      <c r="K7" s="137">
        <v>275</v>
      </c>
      <c r="L7" s="137">
        <v>630.45000000000005</v>
      </c>
      <c r="M7" s="137">
        <v>0</v>
      </c>
      <c r="N7" s="137">
        <v>5692.66</v>
      </c>
      <c r="O7" s="137"/>
      <c r="P7" s="137">
        <v>0</v>
      </c>
      <c r="Q7" s="137">
        <v>0</v>
      </c>
      <c r="R7" s="137">
        <v>0</v>
      </c>
      <c r="S7" s="137">
        <v>0</v>
      </c>
      <c r="T7" s="177">
        <v>0</v>
      </c>
      <c r="U7" s="353"/>
    </row>
    <row r="8" spans="1:21" ht="13.5" customHeight="1" outlineLevel="2" thickBot="1" x14ac:dyDescent="0.3">
      <c r="A8" s="1170" t="s">
        <v>21</v>
      </c>
      <c r="B8" s="1170" t="s">
        <v>21</v>
      </c>
      <c r="C8" s="1170" t="s">
        <v>22</v>
      </c>
      <c r="D8" s="1170" t="s">
        <v>23</v>
      </c>
      <c r="E8" s="1171" t="s">
        <v>24</v>
      </c>
      <c r="F8" s="488" t="s">
        <v>958</v>
      </c>
      <c r="G8" s="350"/>
      <c r="H8" s="350"/>
      <c r="I8" s="350">
        <v>58648</v>
      </c>
      <c r="J8" s="137">
        <v>32060.86</v>
      </c>
      <c r="K8" s="137">
        <v>1100</v>
      </c>
      <c r="L8" s="137">
        <v>3080.19</v>
      </c>
      <c r="M8" s="137">
        <v>68.03</v>
      </c>
      <c r="N8" s="137">
        <v>27812.639999999999</v>
      </c>
      <c r="O8" s="137"/>
      <c r="P8" s="137">
        <v>0</v>
      </c>
      <c r="Q8" s="137">
        <v>0</v>
      </c>
      <c r="R8" s="137">
        <v>0</v>
      </c>
      <c r="S8" s="137">
        <v>0</v>
      </c>
      <c r="T8" s="177">
        <v>0</v>
      </c>
      <c r="U8" s="353"/>
    </row>
    <row r="9" spans="1:21" ht="13.5" customHeight="1" outlineLevel="2" thickBot="1" x14ac:dyDescent="0.3">
      <c r="A9" s="1170" t="s">
        <v>21</v>
      </c>
      <c r="B9" s="1170" t="s">
        <v>21</v>
      </c>
      <c r="C9" s="1170" t="s">
        <v>26</v>
      </c>
      <c r="D9" s="1170" t="s">
        <v>23</v>
      </c>
      <c r="E9" s="1171" t="s">
        <v>24</v>
      </c>
      <c r="F9" s="488" t="s">
        <v>958</v>
      </c>
      <c r="G9" s="350"/>
      <c r="H9" s="350"/>
      <c r="I9" s="350">
        <v>45708</v>
      </c>
      <c r="J9" s="137">
        <v>24404.699999999997</v>
      </c>
      <c r="K9" s="137">
        <v>275</v>
      </c>
      <c r="L9" s="137">
        <v>2400.58</v>
      </c>
      <c r="M9" s="137">
        <v>53.02</v>
      </c>
      <c r="N9" s="137">
        <v>21676.1</v>
      </c>
      <c r="O9" s="137"/>
      <c r="P9" s="137">
        <v>0</v>
      </c>
      <c r="Q9" s="137">
        <v>0</v>
      </c>
      <c r="R9" s="137">
        <v>0</v>
      </c>
      <c r="S9" s="137">
        <v>0</v>
      </c>
      <c r="T9" s="177">
        <v>0</v>
      </c>
      <c r="U9" s="353"/>
    </row>
    <row r="10" spans="1:21" s="356" customFormat="1" ht="13.5" customHeight="1" outlineLevel="1" thickBot="1" x14ac:dyDescent="0.3">
      <c r="A10" s="1173"/>
      <c r="B10" s="1173"/>
      <c r="C10" s="1173"/>
      <c r="D10" s="1173"/>
      <c r="E10" s="1174"/>
      <c r="F10" s="489" t="s">
        <v>33</v>
      </c>
      <c r="G10" s="350"/>
      <c r="H10" s="354">
        <f>9+5</f>
        <v>14</v>
      </c>
      <c r="I10" s="355">
        <f t="shared" ref="I10:T10" si="0">SUBTOTAL(9,I5:I9)</f>
        <v>294196</v>
      </c>
      <c r="J10" s="143">
        <f>SUBTOTAL(9,J5:J9)</f>
        <v>158938.77000000002</v>
      </c>
      <c r="K10" s="143">
        <f t="shared" si="0"/>
        <v>3850</v>
      </c>
      <c r="L10" s="143">
        <f t="shared" si="0"/>
        <v>15451.160000000002</v>
      </c>
      <c r="M10" s="143">
        <f t="shared" si="0"/>
        <v>121.05000000000001</v>
      </c>
      <c r="N10" s="143">
        <f t="shared" si="0"/>
        <v>139516.56</v>
      </c>
      <c r="O10" s="143"/>
      <c r="P10" s="143">
        <f t="shared" si="0"/>
        <v>0</v>
      </c>
      <c r="Q10" s="143">
        <f t="shared" si="0"/>
        <v>0</v>
      </c>
      <c r="R10" s="143">
        <f t="shared" si="0"/>
        <v>0</v>
      </c>
      <c r="S10" s="143">
        <f t="shared" si="0"/>
        <v>0</v>
      </c>
      <c r="T10" s="144">
        <f t="shared" si="0"/>
        <v>0</v>
      </c>
      <c r="U10" s="353">
        <f>ROUND(J10-SUM(K10:Q10)-S10,2)</f>
        <v>0</v>
      </c>
    </row>
    <row r="11" spans="1:21" ht="13.5" customHeight="1" outlineLevel="2" thickBot="1" x14ac:dyDescent="0.3">
      <c r="A11" s="1170" t="s">
        <v>21</v>
      </c>
      <c r="B11" s="1170" t="s">
        <v>21</v>
      </c>
      <c r="C11" s="1170" t="s">
        <v>22</v>
      </c>
      <c r="D11" s="1170" t="s">
        <v>34</v>
      </c>
      <c r="E11" s="1171" t="s">
        <v>35</v>
      </c>
      <c r="F11" s="488" t="s">
        <v>36</v>
      </c>
      <c r="G11" s="357"/>
      <c r="H11" s="358"/>
      <c r="I11" s="359">
        <v>304</v>
      </c>
      <c r="J11" s="148">
        <v>681.43</v>
      </c>
      <c r="K11" s="148">
        <v>480</v>
      </c>
      <c r="L11" s="148">
        <v>56.91</v>
      </c>
      <c r="M11" s="148">
        <v>0.35</v>
      </c>
      <c r="N11" s="148">
        <v>144.16999999999999</v>
      </c>
      <c r="O11" s="148"/>
      <c r="P11" s="148">
        <v>0</v>
      </c>
      <c r="Q11" s="148">
        <v>0</v>
      </c>
      <c r="R11" s="148">
        <v>0</v>
      </c>
      <c r="S11" s="148">
        <v>0</v>
      </c>
      <c r="T11" s="149">
        <v>0</v>
      </c>
      <c r="U11" s="353"/>
    </row>
    <row r="12" spans="1:21" ht="13.5" customHeight="1" outlineLevel="2" thickBot="1" x14ac:dyDescent="0.3">
      <c r="A12" s="1170" t="s">
        <v>21</v>
      </c>
      <c r="B12" s="1170" t="s">
        <v>21</v>
      </c>
      <c r="C12" s="1170" t="s">
        <v>26</v>
      </c>
      <c r="D12" s="1170" t="s">
        <v>34</v>
      </c>
      <c r="E12" s="1171" t="s">
        <v>35</v>
      </c>
      <c r="F12" s="488" t="s">
        <v>36</v>
      </c>
      <c r="G12" s="350"/>
      <c r="H12" s="358"/>
      <c r="I12" s="359">
        <v>54</v>
      </c>
      <c r="J12" s="148">
        <v>125.78</v>
      </c>
      <c r="K12" s="148">
        <v>90</v>
      </c>
      <c r="L12" s="148">
        <v>10.11</v>
      </c>
      <c r="M12" s="148">
        <v>0.06</v>
      </c>
      <c r="N12" s="148">
        <v>25.61</v>
      </c>
      <c r="O12" s="148"/>
      <c r="P12" s="148">
        <v>0</v>
      </c>
      <c r="Q12" s="148">
        <v>0</v>
      </c>
      <c r="R12" s="148">
        <v>0</v>
      </c>
      <c r="S12" s="148">
        <v>0</v>
      </c>
      <c r="T12" s="149">
        <v>0</v>
      </c>
      <c r="U12" s="353"/>
    </row>
    <row r="13" spans="1:21" ht="13.5" customHeight="1" outlineLevel="2" thickBot="1" x14ac:dyDescent="0.3">
      <c r="A13" s="1170" t="s">
        <v>21</v>
      </c>
      <c r="B13" s="1170" t="s">
        <v>21</v>
      </c>
      <c r="C13" s="1170" t="s">
        <v>22</v>
      </c>
      <c r="D13" s="1170" t="s">
        <v>37</v>
      </c>
      <c r="E13" s="1171" t="s">
        <v>38</v>
      </c>
      <c r="F13" s="488" t="s">
        <v>39</v>
      </c>
      <c r="G13" s="350"/>
      <c r="H13" s="358"/>
      <c r="I13" s="359">
        <v>9316346</v>
      </c>
      <c r="J13" s="148">
        <v>7437601.8599999994</v>
      </c>
      <c r="K13" s="148">
        <v>831596.54</v>
      </c>
      <c r="L13" s="148">
        <v>1744210.1</v>
      </c>
      <c r="M13" s="148">
        <v>10805.03</v>
      </c>
      <c r="N13" s="148">
        <v>4420117.42</v>
      </c>
      <c r="O13" s="148"/>
      <c r="P13" s="148">
        <v>430872.77</v>
      </c>
      <c r="Q13" s="148">
        <v>0</v>
      </c>
      <c r="R13" s="148">
        <v>0</v>
      </c>
      <c r="S13" s="148">
        <v>0</v>
      </c>
      <c r="T13" s="149">
        <v>2489.35</v>
      </c>
      <c r="U13" s="353"/>
    </row>
    <row r="14" spans="1:21" ht="13.5" customHeight="1" outlineLevel="2" thickBot="1" x14ac:dyDescent="0.3">
      <c r="A14" s="1170"/>
      <c r="B14" s="1170"/>
      <c r="C14" s="1170"/>
      <c r="D14" s="1170"/>
      <c r="E14" s="1171"/>
      <c r="F14" s="488"/>
      <c r="G14" s="350"/>
      <c r="H14" s="358"/>
      <c r="I14" s="359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9"/>
      <c r="U14" s="353"/>
    </row>
    <row r="15" spans="1:21" ht="13.5" customHeight="1" outlineLevel="2" thickBot="1" x14ac:dyDescent="0.3">
      <c r="A15" s="1170" t="s">
        <v>21</v>
      </c>
      <c r="B15" s="1170" t="s">
        <v>21</v>
      </c>
      <c r="C15" s="1170" t="s">
        <v>26</v>
      </c>
      <c r="D15" s="1170" t="s">
        <v>37</v>
      </c>
      <c r="E15" s="1171" t="s">
        <v>38</v>
      </c>
      <c r="F15" s="488" t="s">
        <v>39</v>
      </c>
      <c r="G15" s="357"/>
      <c r="H15" s="358"/>
      <c r="I15" s="359">
        <v>1858615</v>
      </c>
      <c r="J15" s="148">
        <v>1406767.3199999998</v>
      </c>
      <c r="K15" s="148">
        <v>74663</v>
      </c>
      <c r="L15" s="148">
        <v>347969.72</v>
      </c>
      <c r="M15" s="148">
        <v>2155.96</v>
      </c>
      <c r="N15" s="148">
        <v>883673.22</v>
      </c>
      <c r="O15" s="148"/>
      <c r="P15" s="148">
        <v>98305.42</v>
      </c>
      <c r="Q15" s="148">
        <v>0</v>
      </c>
      <c r="R15" s="148">
        <v>0</v>
      </c>
      <c r="S15" s="148">
        <v>0</v>
      </c>
      <c r="T15" s="149">
        <v>334.79</v>
      </c>
      <c r="U15" s="353"/>
    </row>
    <row r="16" spans="1:21" ht="13.5" customHeight="1" outlineLevel="2" thickBot="1" x14ac:dyDescent="0.3">
      <c r="A16" s="1170" t="s">
        <v>21</v>
      </c>
      <c r="B16" s="1170" t="s">
        <v>21</v>
      </c>
      <c r="C16" s="1170" t="s">
        <v>40</v>
      </c>
      <c r="D16" s="1170" t="s">
        <v>37</v>
      </c>
      <c r="E16" s="1171" t="s">
        <v>38</v>
      </c>
      <c r="F16" s="488" t="s">
        <v>39</v>
      </c>
      <c r="G16" s="350"/>
      <c r="H16" s="358"/>
      <c r="I16" s="359">
        <v>2983</v>
      </c>
      <c r="J16" s="148">
        <v>2344.4</v>
      </c>
      <c r="K16" s="148">
        <v>321</v>
      </c>
      <c r="L16" s="148">
        <v>558.47</v>
      </c>
      <c r="M16" s="148">
        <v>3.46</v>
      </c>
      <c r="N16" s="148">
        <v>1414.62</v>
      </c>
      <c r="O16" s="148"/>
      <c r="P16" s="148">
        <v>46.85</v>
      </c>
      <c r="Q16" s="148">
        <v>0</v>
      </c>
      <c r="R16" s="148">
        <v>0</v>
      </c>
      <c r="S16" s="148">
        <v>0</v>
      </c>
      <c r="T16" s="149">
        <v>0</v>
      </c>
      <c r="U16" s="353"/>
    </row>
    <row r="17" spans="1:21" ht="13.5" customHeight="1" outlineLevel="2" thickBot="1" x14ac:dyDescent="0.3">
      <c r="A17" s="1170" t="s">
        <v>21</v>
      </c>
      <c r="B17" s="1170" t="s">
        <v>21</v>
      </c>
      <c r="C17" s="1170" t="s">
        <v>22</v>
      </c>
      <c r="D17" s="1170" t="s">
        <v>41</v>
      </c>
      <c r="E17" s="1171" t="s">
        <v>42</v>
      </c>
      <c r="F17" s="488" t="s">
        <v>43</v>
      </c>
      <c r="G17" s="350"/>
      <c r="H17" s="358"/>
      <c r="I17" s="359">
        <v>613</v>
      </c>
      <c r="J17" s="148">
        <v>19004.580000000002</v>
      </c>
      <c r="K17" s="148">
        <v>18600</v>
      </c>
      <c r="L17" s="148">
        <v>116.38</v>
      </c>
      <c r="M17" s="148">
        <v>0</v>
      </c>
      <c r="N17" s="148">
        <v>288.2</v>
      </c>
      <c r="O17" s="148"/>
      <c r="P17" s="148">
        <v>0</v>
      </c>
      <c r="Q17" s="148">
        <v>0</v>
      </c>
      <c r="R17" s="148">
        <v>0</v>
      </c>
      <c r="S17" s="148">
        <v>0</v>
      </c>
      <c r="T17" s="149">
        <v>1.84</v>
      </c>
      <c r="U17" s="353"/>
    </row>
    <row r="18" spans="1:21" ht="13.5" customHeight="1" outlineLevel="2" thickBot="1" x14ac:dyDescent="0.3">
      <c r="A18" s="1170" t="s">
        <v>21</v>
      </c>
      <c r="B18" s="1170" t="s">
        <v>21</v>
      </c>
      <c r="C18" s="1170" t="s">
        <v>22</v>
      </c>
      <c r="D18" s="1170" t="s">
        <v>135</v>
      </c>
      <c r="E18" s="1171" t="s">
        <v>136</v>
      </c>
      <c r="F18" s="488" t="s">
        <v>959</v>
      </c>
      <c r="G18" s="350"/>
      <c r="H18" s="358"/>
      <c r="I18" s="359">
        <v>2</v>
      </c>
      <c r="J18" s="148">
        <v>5.04</v>
      </c>
      <c r="K18" s="148">
        <v>0</v>
      </c>
      <c r="L18" s="148">
        <v>0.05</v>
      </c>
      <c r="M18" s="148">
        <v>0</v>
      </c>
      <c r="N18" s="148">
        <v>0.95</v>
      </c>
      <c r="O18" s="148"/>
      <c r="P18" s="148">
        <v>0</v>
      </c>
      <c r="Q18" s="148">
        <v>0</v>
      </c>
      <c r="R18" s="148">
        <v>0</v>
      </c>
      <c r="S18" s="148">
        <v>4.04</v>
      </c>
      <c r="T18" s="149">
        <v>0</v>
      </c>
      <c r="U18" s="353"/>
    </row>
    <row r="19" spans="1:21" ht="13.5" customHeight="1" outlineLevel="2" thickBot="1" x14ac:dyDescent="0.3">
      <c r="A19" s="1170"/>
      <c r="B19" s="1170"/>
      <c r="C19" s="1170"/>
      <c r="D19" s="1170"/>
      <c r="E19" s="1171"/>
      <c r="F19" s="488" t="s">
        <v>449</v>
      </c>
      <c r="G19" s="350"/>
      <c r="H19" s="358"/>
      <c r="I19" s="359"/>
      <c r="J19" s="148"/>
      <c r="K19" s="148"/>
      <c r="L19" s="148">
        <f>-S19</f>
        <v>4.04</v>
      </c>
      <c r="M19" s="148"/>
      <c r="N19" s="148"/>
      <c r="O19" s="148"/>
      <c r="P19" s="148"/>
      <c r="Q19" s="148"/>
      <c r="R19" s="148"/>
      <c r="S19" s="148">
        <f>-S18</f>
        <v>-4.04</v>
      </c>
      <c r="T19" s="149"/>
      <c r="U19" s="353"/>
    </row>
    <row r="20" spans="1:21" s="356" customFormat="1" ht="13.5" customHeight="1" outlineLevel="1" thickBot="1" x14ac:dyDescent="0.3">
      <c r="A20" s="1173"/>
      <c r="B20" s="1173"/>
      <c r="C20" s="1173"/>
      <c r="D20" s="1173"/>
      <c r="E20" s="1174"/>
      <c r="F20" s="489" t="s">
        <v>44</v>
      </c>
      <c r="G20" s="350"/>
      <c r="H20" s="354">
        <v>25951</v>
      </c>
      <c r="I20" s="355">
        <f t="shared" ref="I20:T20" si="1">SUBTOTAL(9,I11:I19)</f>
        <v>11178917</v>
      </c>
      <c r="J20" s="143">
        <f t="shared" si="1"/>
        <v>8866530.4099999983</v>
      </c>
      <c r="K20" s="143">
        <f t="shared" si="1"/>
        <v>925750.54</v>
      </c>
      <c r="L20" s="143">
        <f t="shared" si="1"/>
        <v>2092925.78</v>
      </c>
      <c r="M20" s="143">
        <f t="shared" si="1"/>
        <v>12964.86</v>
      </c>
      <c r="N20" s="143">
        <f t="shared" si="1"/>
        <v>5305664.1900000004</v>
      </c>
      <c r="O20" s="143">
        <f t="shared" si="1"/>
        <v>0</v>
      </c>
      <c r="P20" s="143">
        <f t="shared" si="1"/>
        <v>529225.04</v>
      </c>
      <c r="Q20" s="143">
        <f t="shared" si="1"/>
        <v>0</v>
      </c>
      <c r="R20" s="143">
        <f t="shared" si="1"/>
        <v>0</v>
      </c>
      <c r="S20" s="143">
        <f t="shared" si="1"/>
        <v>0</v>
      </c>
      <c r="T20" s="144">
        <f t="shared" si="1"/>
        <v>2825.98</v>
      </c>
      <c r="U20" s="353">
        <f>ROUND(J20-SUM(K20:Q20)-S20,2)</f>
        <v>0</v>
      </c>
    </row>
    <row r="21" spans="1:21" ht="13.5" customHeight="1" outlineLevel="2" thickBot="1" x14ac:dyDescent="0.3">
      <c r="A21" s="1170" t="s">
        <v>21</v>
      </c>
      <c r="B21" s="1170" t="s">
        <v>21</v>
      </c>
      <c r="C21" s="1170" t="s">
        <v>28</v>
      </c>
      <c r="D21" s="1170" t="s">
        <v>45</v>
      </c>
      <c r="E21" s="1171" t="s">
        <v>46</v>
      </c>
      <c r="F21" s="488" t="s">
        <v>47</v>
      </c>
      <c r="G21" s="350"/>
      <c r="H21" s="358"/>
      <c r="I21" s="359">
        <v>783467</v>
      </c>
      <c r="J21" s="148">
        <v>540132.59000000008</v>
      </c>
      <c r="K21" s="148">
        <v>20002</v>
      </c>
      <c r="L21" s="148">
        <v>149031.06</v>
      </c>
      <c r="M21" s="148">
        <v>0</v>
      </c>
      <c r="N21" s="148">
        <v>371099.53</v>
      </c>
      <c r="O21" s="148"/>
      <c r="P21" s="148">
        <v>0</v>
      </c>
      <c r="Q21" s="148">
        <v>0</v>
      </c>
      <c r="R21" s="148">
        <v>0</v>
      </c>
      <c r="S21" s="148">
        <v>0</v>
      </c>
      <c r="T21" s="149">
        <v>0</v>
      </c>
      <c r="U21" s="353"/>
    </row>
    <row r="22" spans="1:21" ht="13.5" customHeight="1" outlineLevel="2" thickBot="1" x14ac:dyDescent="0.3">
      <c r="A22" s="1176"/>
      <c r="B22" s="1176"/>
      <c r="C22" s="1170" t="s">
        <v>22</v>
      </c>
      <c r="D22" s="1170" t="s">
        <v>45</v>
      </c>
      <c r="E22" s="1171" t="s">
        <v>46</v>
      </c>
      <c r="F22" s="488" t="s">
        <v>47</v>
      </c>
      <c r="G22" s="350"/>
      <c r="H22" s="358"/>
      <c r="I22" s="359">
        <v>5059</v>
      </c>
      <c r="J22" s="148">
        <v>3531.4500000000003</v>
      </c>
      <c r="K22" s="148">
        <v>170</v>
      </c>
      <c r="L22" s="148">
        <v>962.32</v>
      </c>
      <c r="M22" s="148">
        <v>0</v>
      </c>
      <c r="N22" s="148">
        <v>2399.13</v>
      </c>
      <c r="O22" s="148"/>
      <c r="P22" s="148">
        <v>0</v>
      </c>
      <c r="Q22" s="148">
        <v>0</v>
      </c>
      <c r="R22" s="148">
        <v>0</v>
      </c>
      <c r="S22" s="148">
        <v>0</v>
      </c>
      <c r="T22" s="149">
        <v>0</v>
      </c>
      <c r="U22" s="353"/>
    </row>
    <row r="23" spans="1:21" ht="13.5" customHeight="1" outlineLevel="2" thickBot="1" x14ac:dyDescent="0.3">
      <c r="A23" s="1170" t="s">
        <v>21</v>
      </c>
      <c r="B23" s="1170" t="s">
        <v>21</v>
      </c>
      <c r="C23" s="1170" t="s">
        <v>26</v>
      </c>
      <c r="D23" s="1170" t="s">
        <v>45</v>
      </c>
      <c r="E23" s="1171" t="s">
        <v>46</v>
      </c>
      <c r="F23" s="488" t="s">
        <v>47</v>
      </c>
      <c r="G23" s="350"/>
      <c r="H23" s="358"/>
      <c r="I23" s="359">
        <v>15736</v>
      </c>
      <c r="J23" s="148">
        <v>10715.79</v>
      </c>
      <c r="K23" s="148">
        <v>260</v>
      </c>
      <c r="L23" s="148">
        <v>2993.3</v>
      </c>
      <c r="M23" s="148">
        <v>0</v>
      </c>
      <c r="N23" s="148">
        <v>7462.49</v>
      </c>
      <c r="O23" s="148"/>
      <c r="P23" s="148">
        <v>0</v>
      </c>
      <c r="Q23" s="148">
        <v>0</v>
      </c>
      <c r="R23" s="148">
        <v>0</v>
      </c>
      <c r="S23" s="148">
        <v>0</v>
      </c>
      <c r="T23" s="149">
        <v>0</v>
      </c>
      <c r="U23" s="353"/>
    </row>
    <row r="24" spans="1:21" s="356" customFormat="1" ht="13.5" customHeight="1" outlineLevel="1" thickBot="1" x14ac:dyDescent="0.3">
      <c r="A24" s="1173"/>
      <c r="B24" s="1173"/>
      <c r="C24" s="1173"/>
      <c r="D24" s="1173"/>
      <c r="E24" s="1174"/>
      <c r="F24" s="489" t="s">
        <v>48</v>
      </c>
      <c r="G24" s="357"/>
      <c r="H24" s="354">
        <v>209</v>
      </c>
      <c r="I24" s="355">
        <f t="shared" ref="I24:T24" si="2">SUBTOTAL(9,I21:I23)</f>
        <v>804262</v>
      </c>
      <c r="J24" s="143">
        <f>SUBTOTAL(9,J21:J23)</f>
        <v>554379.83000000007</v>
      </c>
      <c r="K24" s="143">
        <f t="shared" si="2"/>
        <v>20432</v>
      </c>
      <c r="L24" s="143">
        <f t="shared" si="2"/>
        <v>152986.68</v>
      </c>
      <c r="M24" s="143">
        <f t="shared" si="2"/>
        <v>0</v>
      </c>
      <c r="N24" s="143">
        <f t="shared" si="2"/>
        <v>380961.15</v>
      </c>
      <c r="O24" s="143"/>
      <c r="P24" s="143">
        <f t="shared" si="2"/>
        <v>0</v>
      </c>
      <c r="Q24" s="143">
        <f t="shared" si="2"/>
        <v>0</v>
      </c>
      <c r="R24" s="143">
        <f t="shared" si="2"/>
        <v>0</v>
      </c>
      <c r="S24" s="143">
        <f t="shared" si="2"/>
        <v>0</v>
      </c>
      <c r="T24" s="144">
        <f t="shared" si="2"/>
        <v>0</v>
      </c>
      <c r="U24" s="353">
        <f>ROUND(J24-SUM(K24:Q24)-S24,2)</f>
        <v>0</v>
      </c>
    </row>
    <row r="25" spans="1:21" ht="13.5" customHeight="1" outlineLevel="2" thickBot="1" x14ac:dyDescent="0.3">
      <c r="A25" s="1170" t="s">
        <v>21</v>
      </c>
      <c r="B25" s="1170" t="s">
        <v>21</v>
      </c>
      <c r="C25" s="1170" t="s">
        <v>40</v>
      </c>
      <c r="D25" s="1170" t="s">
        <v>49</v>
      </c>
      <c r="E25" s="1171" t="s">
        <v>50</v>
      </c>
      <c r="F25" s="488" t="s">
        <v>51</v>
      </c>
      <c r="G25" s="350"/>
      <c r="H25" s="358"/>
      <c r="I25" s="359">
        <v>32</v>
      </c>
      <c r="J25" s="148">
        <v>48.17</v>
      </c>
      <c r="K25" s="148">
        <v>25</v>
      </c>
      <c r="L25" s="148">
        <v>7.17</v>
      </c>
      <c r="M25" s="148">
        <v>0.82</v>
      </c>
      <c r="N25" s="148">
        <v>15.18</v>
      </c>
      <c r="O25" s="148"/>
      <c r="P25" s="148">
        <v>0</v>
      </c>
      <c r="Q25" s="148">
        <v>0</v>
      </c>
      <c r="R25" s="148">
        <v>0</v>
      </c>
      <c r="S25" s="148">
        <v>0</v>
      </c>
      <c r="T25" s="149">
        <v>0</v>
      </c>
      <c r="U25" s="353"/>
    </row>
    <row r="26" spans="1:21" ht="13.5" customHeight="1" outlineLevel="2" thickBot="1" x14ac:dyDescent="0.3">
      <c r="A26" s="1170" t="s">
        <v>21</v>
      </c>
      <c r="B26" s="1170" t="s">
        <v>21</v>
      </c>
      <c r="C26" s="1170" t="s">
        <v>40</v>
      </c>
      <c r="D26" s="1170" t="s">
        <v>52</v>
      </c>
      <c r="E26" s="1171" t="s">
        <v>53</v>
      </c>
      <c r="F26" s="488" t="s">
        <v>54</v>
      </c>
      <c r="G26" s="357"/>
      <c r="H26" s="358"/>
      <c r="I26" s="359">
        <v>22362359</v>
      </c>
      <c r="J26" s="148">
        <v>21140210.990000002</v>
      </c>
      <c r="K26" s="148">
        <v>3650335.27</v>
      </c>
      <c r="L26" s="148">
        <v>5008276.13</v>
      </c>
      <c r="M26" s="148">
        <v>573766.41</v>
      </c>
      <c r="N26" s="148">
        <v>10605181.539999999</v>
      </c>
      <c r="O26" s="148"/>
      <c r="P26" s="148">
        <v>1302651.6399999999</v>
      </c>
      <c r="Q26" s="148">
        <v>0</v>
      </c>
      <c r="R26" s="148">
        <v>47179.61</v>
      </c>
      <c r="S26" s="148">
        <v>0</v>
      </c>
      <c r="T26" s="149">
        <v>5650.72</v>
      </c>
      <c r="U26" s="353"/>
    </row>
    <row r="27" spans="1:21" ht="13.5" customHeight="1" outlineLevel="2" thickBot="1" x14ac:dyDescent="0.3">
      <c r="A27" s="1170" t="s">
        <v>21</v>
      </c>
      <c r="B27" s="1170" t="s">
        <v>21</v>
      </c>
      <c r="C27" s="1170" t="s">
        <v>26</v>
      </c>
      <c r="D27" s="1171" t="s">
        <v>52</v>
      </c>
      <c r="E27" s="1177" t="s">
        <v>53</v>
      </c>
      <c r="F27" s="488" t="s">
        <v>54</v>
      </c>
      <c r="G27" s="350"/>
      <c r="H27" s="358"/>
      <c r="I27" s="359">
        <v>2820</v>
      </c>
      <c r="J27" s="148">
        <v>2918.54</v>
      </c>
      <c r="K27" s="148">
        <v>700</v>
      </c>
      <c r="L27" s="148">
        <v>631.59</v>
      </c>
      <c r="M27" s="148">
        <v>72.34</v>
      </c>
      <c r="N27" s="148">
        <v>1337.31</v>
      </c>
      <c r="O27" s="148"/>
      <c r="P27" s="148">
        <v>177.3</v>
      </c>
      <c r="Q27" s="148">
        <v>0</v>
      </c>
      <c r="R27" s="148">
        <v>8.9600000000000009</v>
      </c>
      <c r="S27" s="148">
        <v>0</v>
      </c>
      <c r="T27" s="149">
        <v>0</v>
      </c>
      <c r="U27" s="353"/>
    </row>
    <row r="28" spans="1:21" ht="13.5" customHeight="1" outlineLevel="2" thickBot="1" x14ac:dyDescent="0.3">
      <c r="A28" s="1176"/>
      <c r="B28" s="1176"/>
      <c r="C28" s="1170" t="s">
        <v>22</v>
      </c>
      <c r="D28" s="1171" t="s">
        <v>52</v>
      </c>
      <c r="E28" s="1177" t="s">
        <v>53</v>
      </c>
      <c r="F28" s="488" t="s">
        <v>54</v>
      </c>
      <c r="G28" s="350"/>
      <c r="H28" s="358"/>
      <c r="I28" s="359">
        <v>335</v>
      </c>
      <c r="J28" s="148">
        <v>332.69</v>
      </c>
      <c r="K28" s="148">
        <v>62.5</v>
      </c>
      <c r="L28" s="148">
        <v>75.02</v>
      </c>
      <c r="M28" s="148">
        <v>8.6</v>
      </c>
      <c r="N28" s="148">
        <v>158.87</v>
      </c>
      <c r="O28" s="148"/>
      <c r="P28" s="148">
        <v>27.7</v>
      </c>
      <c r="Q28" s="148">
        <v>0</v>
      </c>
      <c r="R28" s="148">
        <v>0.8</v>
      </c>
      <c r="S28" s="148">
        <v>0</v>
      </c>
      <c r="T28" s="149">
        <v>0</v>
      </c>
      <c r="U28" s="353"/>
    </row>
    <row r="29" spans="1:21" ht="13.5" customHeight="1" outlineLevel="2" thickBot="1" x14ac:dyDescent="0.3">
      <c r="A29" s="1170" t="s">
        <v>21</v>
      </c>
      <c r="B29" s="1170" t="s">
        <v>21</v>
      </c>
      <c r="C29" s="1170" t="s">
        <v>40</v>
      </c>
      <c r="D29" s="1170" t="s">
        <v>55</v>
      </c>
      <c r="E29" s="1171" t="s">
        <v>56</v>
      </c>
      <c r="F29" s="488" t="s">
        <v>57</v>
      </c>
      <c r="G29" s="357"/>
      <c r="H29" s="358"/>
      <c r="I29" s="359">
        <v>0</v>
      </c>
      <c r="J29" s="148">
        <v>0</v>
      </c>
      <c r="K29" s="148">
        <v>0</v>
      </c>
      <c r="L29" s="148">
        <v>0</v>
      </c>
      <c r="M29" s="148">
        <v>0</v>
      </c>
      <c r="N29" s="148">
        <v>0</v>
      </c>
      <c r="O29" s="148"/>
      <c r="P29" s="148">
        <v>0</v>
      </c>
      <c r="Q29" s="148">
        <v>0</v>
      </c>
      <c r="R29" s="148">
        <v>0</v>
      </c>
      <c r="S29" s="148">
        <v>0</v>
      </c>
      <c r="T29" s="149">
        <v>0</v>
      </c>
      <c r="U29" s="353"/>
    </row>
    <row r="30" spans="1:21" s="356" customFormat="1" ht="13.5" customHeight="1" outlineLevel="1" thickBot="1" x14ac:dyDescent="0.3">
      <c r="A30" s="1173"/>
      <c r="B30" s="1173"/>
      <c r="C30" s="1173"/>
      <c r="D30" s="1173"/>
      <c r="E30" s="1174"/>
      <c r="F30" s="489" t="s">
        <v>58</v>
      </c>
      <c r="G30" s="357"/>
      <c r="H30" s="354">
        <v>292624</v>
      </c>
      <c r="I30" s="355">
        <f t="shared" ref="I30:T30" si="3">SUBTOTAL(9,I25:I29)</f>
        <v>22365546</v>
      </c>
      <c r="J30" s="143">
        <f>SUBTOTAL(9,J25:J29)</f>
        <v>21143510.390000004</v>
      </c>
      <c r="K30" s="143">
        <f t="shared" si="3"/>
        <v>3651122.77</v>
      </c>
      <c r="L30" s="143">
        <f t="shared" si="3"/>
        <v>5008989.9099999992</v>
      </c>
      <c r="M30" s="143">
        <f t="shared" si="3"/>
        <v>573848.16999999993</v>
      </c>
      <c r="N30" s="143">
        <f t="shared" si="3"/>
        <v>10606692.899999999</v>
      </c>
      <c r="O30" s="143"/>
      <c r="P30" s="143">
        <f t="shared" si="3"/>
        <v>1302856.6399999999</v>
      </c>
      <c r="Q30" s="143">
        <f t="shared" si="3"/>
        <v>0</v>
      </c>
      <c r="R30" s="143">
        <f t="shared" si="3"/>
        <v>47189.37</v>
      </c>
      <c r="S30" s="143">
        <f t="shared" si="3"/>
        <v>0</v>
      </c>
      <c r="T30" s="144">
        <f t="shared" si="3"/>
        <v>5650.72</v>
      </c>
      <c r="U30" s="353">
        <f>ROUND(J30-SUM(K30:Q30)-S30,2)</f>
        <v>0</v>
      </c>
    </row>
    <row r="31" spans="1:21" ht="13.5" customHeight="1" outlineLevel="2" thickBot="1" x14ac:dyDescent="0.3">
      <c r="A31" s="1170" t="s">
        <v>21</v>
      </c>
      <c r="B31" s="1170" t="s">
        <v>21</v>
      </c>
      <c r="C31" s="1170" t="s">
        <v>40</v>
      </c>
      <c r="D31" s="1170" t="s">
        <v>59</v>
      </c>
      <c r="E31" s="1171" t="s">
        <v>60</v>
      </c>
      <c r="F31" s="488" t="s">
        <v>61</v>
      </c>
      <c r="G31" s="350"/>
      <c r="H31" s="358"/>
      <c r="I31" s="359">
        <v>741</v>
      </c>
      <c r="J31" s="148">
        <v>634.96999999999991</v>
      </c>
      <c r="K31" s="148">
        <v>36.93</v>
      </c>
      <c r="L31" s="148">
        <v>165.95</v>
      </c>
      <c r="M31" s="148">
        <v>19.010000000000002</v>
      </c>
      <c r="N31" s="148">
        <v>351.41</v>
      </c>
      <c r="O31" s="148"/>
      <c r="P31" s="148">
        <v>61.67</v>
      </c>
      <c r="Q31" s="148">
        <v>0</v>
      </c>
      <c r="R31" s="148">
        <v>0</v>
      </c>
      <c r="S31" s="148">
        <v>0</v>
      </c>
      <c r="T31" s="149">
        <v>0</v>
      </c>
      <c r="U31" s="353"/>
    </row>
    <row r="32" spans="1:21" ht="13.5" customHeight="1" outlineLevel="2" thickBot="1" x14ac:dyDescent="0.3">
      <c r="A32" s="1170" t="s">
        <v>21</v>
      </c>
      <c r="B32" s="1170" t="s">
        <v>21</v>
      </c>
      <c r="C32" s="1170" t="s">
        <v>26</v>
      </c>
      <c r="D32" s="1170" t="s">
        <v>59</v>
      </c>
      <c r="E32" s="1171" t="s">
        <v>60</v>
      </c>
      <c r="F32" s="488" t="s">
        <v>61</v>
      </c>
      <c r="G32" s="350"/>
      <c r="H32" s="358"/>
      <c r="I32" s="359">
        <v>825</v>
      </c>
      <c r="J32" s="148">
        <v>625.19000000000005</v>
      </c>
      <c r="K32" s="148">
        <v>12.5</v>
      </c>
      <c r="L32" s="148">
        <v>184.77</v>
      </c>
      <c r="M32" s="148">
        <v>21.17</v>
      </c>
      <c r="N32" s="148">
        <v>391.24</v>
      </c>
      <c r="O32" s="148"/>
      <c r="P32" s="148">
        <v>15.51</v>
      </c>
      <c r="Q32" s="148">
        <v>0</v>
      </c>
      <c r="R32" s="148">
        <v>0</v>
      </c>
      <c r="S32" s="148">
        <v>0</v>
      </c>
      <c r="T32" s="149">
        <v>0</v>
      </c>
      <c r="U32" s="353"/>
    </row>
    <row r="33" spans="1:22" s="356" customFormat="1" ht="13.5" customHeight="1" outlineLevel="1" thickBot="1" x14ac:dyDescent="0.3">
      <c r="A33" s="1178"/>
      <c r="B33" s="1178"/>
      <c r="C33" s="1178"/>
      <c r="D33" s="1178"/>
      <c r="E33" s="1178"/>
      <c r="F33" s="490" t="s">
        <v>62</v>
      </c>
      <c r="G33" s="350"/>
      <c r="H33" s="354">
        <v>4</v>
      </c>
      <c r="I33" s="355">
        <f>SUBTOTAL(9,I31:I32)</f>
        <v>1566</v>
      </c>
      <c r="J33" s="143">
        <f>SUBTOTAL(9,J31:J32)</f>
        <v>1260.1599999999999</v>
      </c>
      <c r="K33" s="143">
        <f t="shared" ref="K33:T33" si="4">SUBTOTAL(9,K31:K32)</f>
        <v>49.43</v>
      </c>
      <c r="L33" s="143">
        <f t="shared" si="4"/>
        <v>350.72</v>
      </c>
      <c r="M33" s="143">
        <f t="shared" si="4"/>
        <v>40.180000000000007</v>
      </c>
      <c r="N33" s="143">
        <f t="shared" si="4"/>
        <v>742.65000000000009</v>
      </c>
      <c r="O33" s="143"/>
      <c r="P33" s="143">
        <f t="shared" si="4"/>
        <v>77.180000000000007</v>
      </c>
      <c r="Q33" s="143">
        <f t="shared" si="4"/>
        <v>0</v>
      </c>
      <c r="R33" s="143">
        <f t="shared" si="4"/>
        <v>0</v>
      </c>
      <c r="S33" s="143">
        <f t="shared" si="4"/>
        <v>0</v>
      </c>
      <c r="T33" s="144">
        <f t="shared" si="4"/>
        <v>0</v>
      </c>
      <c r="U33" s="353">
        <f>ROUND(J33-SUM(K33:Q33)-S33,2)</f>
        <v>0</v>
      </c>
    </row>
    <row r="34" spans="1:22" ht="45.75" outlineLevel="2" thickBot="1" x14ac:dyDescent="0.3">
      <c r="B34" s="1178"/>
      <c r="C34" s="1178"/>
      <c r="D34" s="1170" t="s">
        <v>63</v>
      </c>
      <c r="E34" s="1171" t="s">
        <v>64</v>
      </c>
      <c r="F34" s="488" t="s">
        <v>65</v>
      </c>
      <c r="G34" s="350"/>
      <c r="H34" s="358"/>
      <c r="I34" s="359">
        <v>0</v>
      </c>
      <c r="J34" s="148">
        <v>0</v>
      </c>
      <c r="K34" s="148">
        <v>0</v>
      </c>
      <c r="L34" s="148">
        <v>0</v>
      </c>
      <c r="M34" s="148">
        <v>0</v>
      </c>
      <c r="N34" s="148">
        <v>0</v>
      </c>
      <c r="O34" s="148"/>
      <c r="P34" s="148"/>
      <c r="Q34" s="148"/>
      <c r="R34" s="148"/>
      <c r="S34" s="148"/>
      <c r="T34" s="149"/>
      <c r="U34" s="353"/>
      <c r="V34" s="360"/>
    </row>
    <row r="35" spans="1:22" ht="45.75" outlineLevel="2" thickBot="1" x14ac:dyDescent="0.3">
      <c r="B35" s="1178"/>
      <c r="C35" s="1178"/>
      <c r="D35" s="1170" t="s">
        <v>66</v>
      </c>
      <c r="E35" s="1171" t="s">
        <v>67</v>
      </c>
      <c r="F35" s="488" t="s">
        <v>68</v>
      </c>
      <c r="G35" s="357"/>
      <c r="H35" s="358"/>
      <c r="I35" s="359">
        <v>27451</v>
      </c>
      <c r="J35" s="148">
        <v>18579.809999999998</v>
      </c>
      <c r="K35" s="148">
        <v>340</v>
      </c>
      <c r="L35" s="148">
        <v>5221.7299999999996</v>
      </c>
      <c r="M35" s="148">
        <v>0</v>
      </c>
      <c r="N35" s="148">
        <v>13018.08</v>
      </c>
      <c r="O35" s="148"/>
      <c r="P35" s="148"/>
      <c r="Q35" s="148"/>
      <c r="R35" s="148"/>
      <c r="S35" s="148"/>
      <c r="T35" s="149"/>
      <c r="U35" s="353"/>
      <c r="V35" s="360"/>
    </row>
    <row r="36" spans="1:22" ht="14.25" outlineLevel="1" thickBot="1" x14ac:dyDescent="0.3">
      <c r="B36" s="1178"/>
      <c r="C36" s="1178"/>
      <c r="D36" s="1173"/>
      <c r="E36" s="1174"/>
      <c r="F36" s="489" t="s">
        <v>69</v>
      </c>
      <c r="G36" s="350"/>
      <c r="H36" s="354">
        <v>2</v>
      </c>
      <c r="I36" s="355">
        <f t="shared" ref="I36:T36" si="5">SUBTOTAL(9,I34:I35)</f>
        <v>27451</v>
      </c>
      <c r="J36" s="143">
        <f>SUBTOTAL(9,J34:J35)</f>
        <v>18579.809999999998</v>
      </c>
      <c r="K36" s="143">
        <f t="shared" si="5"/>
        <v>340</v>
      </c>
      <c r="L36" s="143">
        <f t="shared" si="5"/>
        <v>5221.7299999999996</v>
      </c>
      <c r="M36" s="143">
        <f t="shared" si="5"/>
        <v>0</v>
      </c>
      <c r="N36" s="143">
        <f t="shared" si="5"/>
        <v>13018.08</v>
      </c>
      <c r="O36" s="143"/>
      <c r="P36" s="143">
        <f t="shared" si="5"/>
        <v>0</v>
      </c>
      <c r="Q36" s="143">
        <f t="shared" si="5"/>
        <v>0</v>
      </c>
      <c r="R36" s="143">
        <f t="shared" si="5"/>
        <v>0</v>
      </c>
      <c r="S36" s="143">
        <f t="shared" si="5"/>
        <v>0</v>
      </c>
      <c r="T36" s="144">
        <f t="shared" si="5"/>
        <v>0</v>
      </c>
      <c r="U36" s="353">
        <f>ROUND(J36-SUM(K36:Q36)-S36,2)</f>
        <v>0</v>
      </c>
    </row>
    <row r="37" spans="1:22" s="356" customFormat="1" ht="13.5" customHeight="1" thickBot="1" x14ac:dyDescent="0.3">
      <c r="A37" s="1178"/>
      <c r="B37" s="1178"/>
      <c r="C37" s="1178"/>
      <c r="D37" s="1178"/>
      <c r="E37" s="1178"/>
      <c r="F37" s="491"/>
      <c r="G37" s="350"/>
      <c r="H37" s="357"/>
      <c r="I37" s="357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605"/>
      <c r="U37" s="353"/>
    </row>
    <row r="38" spans="1:22" s="356" customFormat="1" ht="13.5" customHeight="1" thickBot="1" x14ac:dyDescent="0.3">
      <c r="A38" s="1178"/>
      <c r="B38" s="1178"/>
      <c r="C38" s="1178"/>
      <c r="D38" s="1178"/>
      <c r="E38" s="1178"/>
      <c r="F38" s="489" t="s">
        <v>960</v>
      </c>
      <c r="G38" s="357"/>
      <c r="H38" s="350"/>
      <c r="I38" s="357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605"/>
      <c r="U38" s="353"/>
    </row>
    <row r="39" spans="1:22" ht="23.25" outlineLevel="2" thickBot="1" x14ac:dyDescent="0.3">
      <c r="D39" s="1170" t="s">
        <v>94</v>
      </c>
      <c r="E39" s="1171" t="s">
        <v>95</v>
      </c>
      <c r="F39" s="488" t="s">
        <v>96</v>
      </c>
      <c r="G39" s="350"/>
      <c r="H39" s="350"/>
      <c r="I39" s="350">
        <v>0</v>
      </c>
      <c r="J39" s="137">
        <v>0</v>
      </c>
      <c r="K39" s="137">
        <v>0</v>
      </c>
      <c r="L39" s="137"/>
      <c r="M39" s="137"/>
      <c r="N39" s="137"/>
      <c r="O39" s="137"/>
      <c r="P39" s="137"/>
      <c r="Q39" s="137"/>
      <c r="R39" s="137"/>
      <c r="S39" s="137"/>
      <c r="T39" s="177"/>
      <c r="V39" s="360"/>
    </row>
    <row r="40" spans="1:22" ht="68.25" outlineLevel="2" thickBot="1" x14ac:dyDescent="0.3">
      <c r="D40" s="1170" t="s">
        <v>97</v>
      </c>
      <c r="E40" s="1171" t="s">
        <v>98</v>
      </c>
      <c r="F40" s="488" t="s">
        <v>96</v>
      </c>
      <c r="G40" s="350"/>
      <c r="H40" s="350"/>
      <c r="I40" s="350">
        <v>0</v>
      </c>
      <c r="J40" s="137">
        <v>0</v>
      </c>
      <c r="K40" s="137"/>
      <c r="L40" s="137">
        <v>0</v>
      </c>
      <c r="M40" s="137">
        <v>0</v>
      </c>
      <c r="N40" s="137"/>
      <c r="O40" s="137">
        <v>0</v>
      </c>
      <c r="P40" s="137"/>
      <c r="Q40" s="137"/>
      <c r="R40" s="137"/>
      <c r="S40" s="137"/>
      <c r="T40" s="177"/>
      <c r="V40" s="360"/>
    </row>
    <row r="41" spans="1:22" ht="68.25" outlineLevel="2" thickBot="1" x14ac:dyDescent="0.3">
      <c r="D41" s="1170" t="s">
        <v>97</v>
      </c>
      <c r="E41" s="1171" t="s">
        <v>98</v>
      </c>
      <c r="F41" s="488" t="s">
        <v>96</v>
      </c>
      <c r="G41" s="350"/>
      <c r="H41" s="350"/>
      <c r="I41" s="350">
        <v>0</v>
      </c>
      <c r="J41" s="137">
        <v>0</v>
      </c>
      <c r="K41" s="137">
        <v>0</v>
      </c>
      <c r="L41" s="137">
        <v>0</v>
      </c>
      <c r="M41" s="137">
        <v>0</v>
      </c>
      <c r="N41" s="137"/>
      <c r="O41" s="137">
        <v>0</v>
      </c>
      <c r="P41" s="137"/>
      <c r="Q41" s="137"/>
      <c r="R41" s="137"/>
      <c r="S41" s="137"/>
      <c r="T41" s="177"/>
      <c r="V41" s="360"/>
    </row>
    <row r="42" spans="1:22" ht="57" outlineLevel="2" thickBot="1" x14ac:dyDescent="0.3">
      <c r="D42" s="1170" t="s">
        <v>99</v>
      </c>
      <c r="E42" s="1171" t="s">
        <v>100</v>
      </c>
      <c r="F42" s="488" t="s">
        <v>96</v>
      </c>
      <c r="G42" s="350"/>
      <c r="H42" s="350"/>
      <c r="I42" s="350">
        <v>0</v>
      </c>
      <c r="J42" s="137">
        <v>0</v>
      </c>
      <c r="K42" s="137">
        <v>0</v>
      </c>
      <c r="L42" s="137">
        <v>0</v>
      </c>
      <c r="M42" s="137">
        <v>0</v>
      </c>
      <c r="N42" s="137"/>
      <c r="O42" s="137">
        <v>0</v>
      </c>
      <c r="P42" s="137"/>
      <c r="Q42" s="137"/>
      <c r="R42" s="137"/>
      <c r="S42" s="137"/>
      <c r="T42" s="177"/>
      <c r="V42" s="360"/>
    </row>
    <row r="43" spans="1:22" ht="57" outlineLevel="2" thickBot="1" x14ac:dyDescent="0.3">
      <c r="D43" s="1170" t="s">
        <v>99</v>
      </c>
      <c r="E43" s="1171" t="s">
        <v>100</v>
      </c>
      <c r="F43" s="488" t="s">
        <v>96</v>
      </c>
      <c r="G43" s="350"/>
      <c r="H43" s="350"/>
      <c r="I43" s="350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77"/>
      <c r="V43" s="360"/>
    </row>
    <row r="44" spans="1:22" ht="57" outlineLevel="2" thickBot="1" x14ac:dyDescent="0.3">
      <c r="D44" s="1170" t="s">
        <v>99</v>
      </c>
      <c r="E44" s="1171" t="s">
        <v>100</v>
      </c>
      <c r="F44" s="488" t="s">
        <v>96</v>
      </c>
      <c r="G44" s="350"/>
      <c r="H44" s="350"/>
      <c r="I44" s="350">
        <v>0</v>
      </c>
      <c r="J44" s="137">
        <v>0</v>
      </c>
      <c r="K44" s="137"/>
      <c r="L44" s="137"/>
      <c r="M44" s="137"/>
      <c r="N44" s="137"/>
      <c r="O44" s="137"/>
      <c r="P44" s="137"/>
      <c r="Q44" s="137"/>
      <c r="R44" s="137"/>
      <c r="S44" s="137"/>
      <c r="T44" s="177"/>
      <c r="V44" s="360"/>
    </row>
    <row r="45" spans="1:22" ht="14.25" thickBot="1" x14ac:dyDescent="0.3">
      <c r="D45" s="1173"/>
      <c r="E45" s="1174"/>
      <c r="F45" s="489" t="s">
        <v>101</v>
      </c>
      <c r="G45" s="365" t="s">
        <v>71</v>
      </c>
      <c r="H45" s="354">
        <v>0</v>
      </c>
      <c r="I45" s="357">
        <f t="shared" ref="I45:T45" si="6">SUBTOTAL(9,I39:I44)</f>
        <v>0</v>
      </c>
      <c r="J45" s="160">
        <f>SUBTOTAL(9,J39:J44)</f>
        <v>0</v>
      </c>
      <c r="K45" s="160">
        <f t="shared" si="6"/>
        <v>0</v>
      </c>
      <c r="L45" s="160">
        <f t="shared" si="6"/>
        <v>0</v>
      </c>
      <c r="M45" s="160">
        <f t="shared" si="6"/>
        <v>0</v>
      </c>
      <c r="N45" s="160">
        <f t="shared" si="6"/>
        <v>0</v>
      </c>
      <c r="O45" s="160">
        <f t="shared" si="6"/>
        <v>0</v>
      </c>
      <c r="P45" s="160">
        <f t="shared" si="6"/>
        <v>0</v>
      </c>
      <c r="Q45" s="160">
        <f t="shared" si="6"/>
        <v>0</v>
      </c>
      <c r="R45" s="160">
        <f t="shared" si="6"/>
        <v>0</v>
      </c>
      <c r="S45" s="160">
        <f t="shared" si="6"/>
        <v>0</v>
      </c>
      <c r="T45" s="605">
        <f t="shared" si="6"/>
        <v>0</v>
      </c>
      <c r="U45" s="353">
        <f>ROUND(J45-SUM(K45:Q45)-S45,2)</f>
        <v>0</v>
      </c>
    </row>
    <row r="46" spans="1:22" ht="57" outlineLevel="2" thickBot="1" x14ac:dyDescent="0.3">
      <c r="D46" s="1170" t="s">
        <v>102</v>
      </c>
      <c r="E46" s="1171" t="s">
        <v>103</v>
      </c>
      <c r="F46" s="488" t="s">
        <v>104</v>
      </c>
      <c r="G46" s="350"/>
      <c r="H46" s="358"/>
      <c r="I46" s="350">
        <v>0</v>
      </c>
      <c r="J46" s="137">
        <v>2776.7</v>
      </c>
      <c r="K46" s="137"/>
      <c r="L46" s="137"/>
      <c r="M46" s="137"/>
      <c r="N46" s="137"/>
      <c r="O46" s="137">
        <v>2776.7</v>
      </c>
      <c r="P46" s="137"/>
      <c r="Q46" s="137"/>
      <c r="R46" s="137"/>
      <c r="S46" s="137"/>
      <c r="T46" s="177"/>
      <c r="U46" s="381"/>
    </row>
    <row r="47" spans="1:22" ht="14.25" thickBot="1" x14ac:dyDescent="0.3">
      <c r="D47" s="1173"/>
      <c r="E47" s="1174"/>
      <c r="F47" s="489" t="s">
        <v>105</v>
      </c>
      <c r="G47" s="365" t="s">
        <v>71</v>
      </c>
      <c r="H47" s="354">
        <v>3</v>
      </c>
      <c r="I47" s="357">
        <f t="shared" ref="I47:T47" si="7">SUBTOTAL(9,I46:I46)</f>
        <v>0</v>
      </c>
      <c r="J47" s="160">
        <f t="shared" si="7"/>
        <v>2776.7</v>
      </c>
      <c r="K47" s="160">
        <f t="shared" si="7"/>
        <v>0</v>
      </c>
      <c r="L47" s="160">
        <f t="shared" si="7"/>
        <v>0</v>
      </c>
      <c r="M47" s="160">
        <f t="shared" si="7"/>
        <v>0</v>
      </c>
      <c r="N47" s="160">
        <f t="shared" si="7"/>
        <v>0</v>
      </c>
      <c r="O47" s="160">
        <f t="shared" si="7"/>
        <v>2776.7</v>
      </c>
      <c r="P47" s="160">
        <f t="shared" si="7"/>
        <v>0</v>
      </c>
      <c r="Q47" s="160">
        <f t="shared" si="7"/>
        <v>0</v>
      </c>
      <c r="R47" s="160">
        <f t="shared" si="7"/>
        <v>0</v>
      </c>
      <c r="S47" s="160">
        <f t="shared" si="7"/>
        <v>0</v>
      </c>
      <c r="T47" s="605">
        <f t="shared" si="7"/>
        <v>0</v>
      </c>
      <c r="U47" s="353">
        <f>ROUND(J47-SUM(K47:Q47)-S47,2)</f>
        <v>0</v>
      </c>
    </row>
    <row r="48" spans="1:22" ht="34.5" outlineLevel="2" thickBot="1" x14ac:dyDescent="0.3">
      <c r="D48" s="1170" t="s">
        <v>106</v>
      </c>
      <c r="E48" s="1171" t="s">
        <v>107</v>
      </c>
      <c r="F48" s="488" t="s">
        <v>72</v>
      </c>
      <c r="G48" s="357"/>
      <c r="H48" s="358"/>
      <c r="I48" s="350">
        <v>9986</v>
      </c>
      <c r="J48" s="137">
        <v>3575.78</v>
      </c>
      <c r="K48" s="137">
        <v>781</v>
      </c>
      <c r="L48" s="137">
        <v>48.63</v>
      </c>
      <c r="M48" s="137">
        <v>0</v>
      </c>
      <c r="N48" s="137"/>
      <c r="O48" s="137">
        <v>2746.15</v>
      </c>
      <c r="P48" s="137"/>
      <c r="Q48" s="137"/>
      <c r="R48" s="137"/>
      <c r="S48" s="137"/>
      <c r="T48" s="177"/>
      <c r="U48" s="381"/>
    </row>
    <row r="49" spans="1:21" ht="14.25" thickBot="1" x14ac:dyDescent="0.3">
      <c r="D49" s="1173"/>
      <c r="E49" s="1192"/>
      <c r="F49" s="495" t="s">
        <v>108</v>
      </c>
      <c r="G49" s="365" t="s">
        <v>71</v>
      </c>
      <c r="H49" s="354">
        <v>1</v>
      </c>
      <c r="I49" s="357">
        <f t="shared" ref="I49:T49" si="8">SUBTOTAL(9,I48:I48)</f>
        <v>9986</v>
      </c>
      <c r="J49" s="160">
        <f>SUBTOTAL(9,J48:J48)</f>
        <v>3575.78</v>
      </c>
      <c r="K49" s="160">
        <f t="shared" si="8"/>
        <v>781</v>
      </c>
      <c r="L49" s="160">
        <f t="shared" si="8"/>
        <v>48.63</v>
      </c>
      <c r="M49" s="160">
        <f t="shared" si="8"/>
        <v>0</v>
      </c>
      <c r="N49" s="160">
        <f t="shared" si="8"/>
        <v>0</v>
      </c>
      <c r="O49" s="160">
        <f t="shared" si="8"/>
        <v>2746.15</v>
      </c>
      <c r="P49" s="160">
        <f t="shared" si="8"/>
        <v>0</v>
      </c>
      <c r="Q49" s="160">
        <f t="shared" si="8"/>
        <v>0</v>
      </c>
      <c r="R49" s="160">
        <f t="shared" si="8"/>
        <v>0</v>
      </c>
      <c r="S49" s="160">
        <f t="shared" si="8"/>
        <v>0</v>
      </c>
      <c r="T49" s="605">
        <f t="shared" si="8"/>
        <v>0</v>
      </c>
      <c r="U49" s="353">
        <f>ROUND(J49-SUM(K49:Q49)-S49,2)</f>
        <v>0</v>
      </c>
    </row>
    <row r="50" spans="1:21" ht="34.5" outlineLevel="2" thickBot="1" x14ac:dyDescent="0.3">
      <c r="D50" s="1170" t="s">
        <v>109</v>
      </c>
      <c r="E50" s="1171" t="s">
        <v>110</v>
      </c>
      <c r="F50" s="498" t="s">
        <v>111</v>
      </c>
      <c r="G50" s="350"/>
      <c r="H50" s="358"/>
      <c r="I50" s="350">
        <v>0</v>
      </c>
      <c r="J50" s="137">
        <v>275</v>
      </c>
      <c r="K50" s="137">
        <v>275</v>
      </c>
      <c r="L50" s="137">
        <v>0</v>
      </c>
      <c r="M50" s="137">
        <v>0</v>
      </c>
      <c r="N50" s="137">
        <v>0</v>
      </c>
      <c r="O50" s="137"/>
      <c r="P50" s="137"/>
      <c r="Q50" s="137"/>
      <c r="R50" s="137"/>
      <c r="S50" s="137"/>
      <c r="T50" s="177"/>
      <c r="U50" s="381"/>
    </row>
    <row r="51" spans="1:21" ht="14.25" thickBot="1" x14ac:dyDescent="0.3">
      <c r="D51" s="1173"/>
      <c r="E51" s="1192"/>
      <c r="F51" s="495" t="s">
        <v>112</v>
      </c>
      <c r="G51" s="365" t="s">
        <v>71</v>
      </c>
      <c r="H51" s="354">
        <v>1</v>
      </c>
      <c r="I51" s="357">
        <f t="shared" ref="I51:T51" si="9">SUBTOTAL(9,I50:I50)</f>
        <v>0</v>
      </c>
      <c r="J51" s="160">
        <f>SUBTOTAL(9,J50:J50)</f>
        <v>275</v>
      </c>
      <c r="K51" s="160">
        <f t="shared" si="9"/>
        <v>275</v>
      </c>
      <c r="L51" s="160">
        <f t="shared" si="9"/>
        <v>0</v>
      </c>
      <c r="M51" s="160">
        <f t="shared" si="9"/>
        <v>0</v>
      </c>
      <c r="N51" s="160">
        <f t="shared" si="9"/>
        <v>0</v>
      </c>
      <c r="O51" s="160">
        <f t="shared" si="9"/>
        <v>0</v>
      </c>
      <c r="P51" s="160">
        <f t="shared" si="9"/>
        <v>0</v>
      </c>
      <c r="Q51" s="160">
        <f t="shared" si="9"/>
        <v>0</v>
      </c>
      <c r="R51" s="160">
        <f t="shared" si="9"/>
        <v>0</v>
      </c>
      <c r="S51" s="160">
        <f t="shared" si="9"/>
        <v>0</v>
      </c>
      <c r="T51" s="605">
        <f t="shared" si="9"/>
        <v>0</v>
      </c>
      <c r="U51" s="353">
        <f>ROUND(J51-SUM(K51:Q51)-S51,2)</f>
        <v>0</v>
      </c>
    </row>
    <row r="52" spans="1:21" s="356" customFormat="1" ht="13.5" customHeight="1" thickBot="1" x14ac:dyDescent="0.3">
      <c r="A52" s="1178"/>
      <c r="B52" s="1178"/>
      <c r="C52" s="1178"/>
      <c r="D52" s="1178"/>
      <c r="E52" s="1181"/>
      <c r="F52" s="490"/>
      <c r="G52" s="365"/>
      <c r="H52" s="357"/>
      <c r="I52" s="354"/>
      <c r="J52" s="160"/>
      <c r="K52" s="161"/>
      <c r="L52" s="161"/>
      <c r="M52" s="606"/>
      <c r="N52" s="161"/>
      <c r="O52" s="161"/>
      <c r="P52" s="160"/>
      <c r="Q52" s="160"/>
      <c r="R52" s="160"/>
      <c r="S52" s="160"/>
      <c r="T52" s="605"/>
      <c r="U52" s="353"/>
    </row>
    <row r="53" spans="1:21" s="356" customFormat="1" ht="13.5" customHeight="1" thickBot="1" x14ac:dyDescent="0.3">
      <c r="A53" s="1178"/>
      <c r="B53" s="1178"/>
      <c r="C53" s="1178"/>
      <c r="D53" s="1178"/>
      <c r="E53" s="1181"/>
      <c r="F53" s="490" t="s">
        <v>961</v>
      </c>
      <c r="G53" s="365"/>
      <c r="H53" s="357"/>
      <c r="I53" s="354"/>
      <c r="J53" s="160"/>
      <c r="K53" s="161"/>
      <c r="L53" s="161"/>
      <c r="M53" s="606"/>
      <c r="N53" s="161"/>
      <c r="O53" s="161"/>
      <c r="P53" s="160"/>
      <c r="Q53" s="160"/>
      <c r="R53" s="160"/>
      <c r="S53" s="160"/>
      <c r="T53" s="605"/>
      <c r="U53" s="353"/>
    </row>
    <row r="54" spans="1:21" s="356" customFormat="1" ht="13.5" customHeight="1" thickBot="1" x14ac:dyDescent="0.3">
      <c r="A54" s="1178"/>
      <c r="B54" s="1178"/>
      <c r="C54" s="1178"/>
      <c r="D54" s="1178"/>
      <c r="E54" s="1181"/>
      <c r="F54" s="490" t="s">
        <v>73</v>
      </c>
      <c r="G54" s="365" t="s">
        <v>74</v>
      </c>
      <c r="H54" s="357"/>
      <c r="I54" s="354">
        <v>0</v>
      </c>
      <c r="J54" s="160">
        <f>SUM(K54:P54)</f>
        <v>0</v>
      </c>
      <c r="K54" s="161">
        <v>0</v>
      </c>
      <c r="L54" s="161">
        <v>0</v>
      </c>
      <c r="M54" s="606"/>
      <c r="N54" s="606">
        <v>0</v>
      </c>
      <c r="O54" s="606"/>
      <c r="P54" s="160"/>
      <c r="Q54" s="160"/>
      <c r="R54" s="160"/>
      <c r="S54" s="160"/>
      <c r="T54" s="605"/>
      <c r="U54" s="353"/>
    </row>
    <row r="55" spans="1:21" s="356" customFormat="1" ht="13.5" customHeight="1" thickBot="1" x14ac:dyDescent="0.3">
      <c r="A55" s="1178"/>
      <c r="B55" s="1178"/>
      <c r="C55" s="1178"/>
      <c r="D55" s="1178"/>
      <c r="E55" s="1181"/>
      <c r="F55" s="490" t="s">
        <v>75</v>
      </c>
      <c r="G55" s="365" t="s">
        <v>76</v>
      </c>
      <c r="H55" s="357"/>
      <c r="I55" s="354">
        <v>0</v>
      </c>
      <c r="J55" s="160">
        <f>SUM(K55:P55)</f>
        <v>-3488.7100000000792</v>
      </c>
      <c r="K55" s="607">
        <v>0</v>
      </c>
      <c r="L55" s="160">
        <v>-3488.7100000000792</v>
      </c>
      <c r="M55" s="160">
        <v>0</v>
      </c>
      <c r="N55" s="160">
        <v>0</v>
      </c>
      <c r="O55" s="160"/>
      <c r="P55" s="160"/>
      <c r="Q55" s="160"/>
      <c r="R55" s="160"/>
      <c r="S55" s="160"/>
      <c r="T55" s="605"/>
      <c r="U55" s="353"/>
    </row>
    <row r="56" spans="1:21" ht="13.5" customHeight="1" thickBot="1" x14ac:dyDescent="0.25">
      <c r="A56" s="1182"/>
      <c r="B56" s="1182"/>
      <c r="C56" s="1182"/>
      <c r="D56" s="1183" t="s">
        <v>77</v>
      </c>
      <c r="E56" s="1184"/>
      <c r="F56" s="369" t="s">
        <v>77</v>
      </c>
      <c r="G56" s="370"/>
      <c r="H56" s="370">
        <f t="shared" ref="H56:P56" si="10">SUBTOTAL(9,H5:H55)</f>
        <v>318809</v>
      </c>
      <c r="I56" s="370">
        <f t="shared" si="10"/>
        <v>34681924</v>
      </c>
      <c r="J56" s="165">
        <f t="shared" si="10"/>
        <v>30746338.140000001</v>
      </c>
      <c r="K56" s="165">
        <f t="shared" si="10"/>
        <v>4602600.74</v>
      </c>
      <c r="L56" s="165">
        <f t="shared" si="10"/>
        <v>7272485.8999999994</v>
      </c>
      <c r="M56" s="165">
        <f t="shared" si="10"/>
        <v>586974.26</v>
      </c>
      <c r="N56" s="165">
        <f t="shared" si="10"/>
        <v>16446595.529999999</v>
      </c>
      <c r="O56" s="165">
        <f t="shared" si="10"/>
        <v>5522.85</v>
      </c>
      <c r="P56" s="165">
        <f t="shared" si="10"/>
        <v>1832158.8599999999</v>
      </c>
      <c r="Q56" s="165">
        <f>SUBTOTAL(9,Q5:Q33)</f>
        <v>0</v>
      </c>
      <c r="R56" s="165">
        <f>SUBTOTAL(9,R5:R33)</f>
        <v>47189.37</v>
      </c>
      <c r="S56" s="165">
        <f>SUBTOTAL(9,S5:S33)</f>
        <v>0</v>
      </c>
      <c r="T56" s="166">
        <f>SUBTOTAL(9,T5:T33)</f>
        <v>8476.7000000000007</v>
      </c>
    </row>
    <row r="57" spans="1:21" ht="13.5" customHeight="1" thickBot="1" x14ac:dyDescent="0.25">
      <c r="A57" s="1182"/>
      <c r="B57" s="1182"/>
      <c r="C57" s="1182"/>
      <c r="D57" s="1183" t="s">
        <v>77</v>
      </c>
      <c r="E57" s="1184"/>
      <c r="F57" s="369" t="s">
        <v>78</v>
      </c>
      <c r="G57" s="370"/>
      <c r="H57" s="370"/>
      <c r="I57" s="371">
        <v>34681930</v>
      </c>
      <c r="J57" s="165">
        <f>SUM(K57:T57)</f>
        <v>30746338.140000001</v>
      </c>
      <c r="K57" s="168">
        <v>4602600.74</v>
      </c>
      <c r="L57" s="168">
        <v>7272485.9000000004</v>
      </c>
      <c r="M57" s="168">
        <v>586974.26</v>
      </c>
      <c r="N57" s="168">
        <v>16446595.529999999</v>
      </c>
      <c r="O57" s="168">
        <v>5522.85</v>
      </c>
      <c r="P57" s="168">
        <v>1832158.86</v>
      </c>
      <c r="Q57" s="165"/>
      <c r="R57" s="165"/>
      <c r="S57" s="165"/>
      <c r="T57" s="166"/>
    </row>
    <row r="58" spans="1:21" ht="13.5" customHeight="1" thickBot="1" x14ac:dyDescent="0.25">
      <c r="A58" s="1182"/>
      <c r="B58" s="1182"/>
      <c r="C58" s="1182"/>
      <c r="D58" s="1183"/>
      <c r="E58" s="1184"/>
      <c r="F58" s="608" t="s">
        <v>957</v>
      </c>
      <c r="G58" s="609"/>
      <c r="H58" s="609"/>
      <c r="I58" s="610"/>
      <c r="J58" s="611"/>
      <c r="K58" s="612"/>
      <c r="L58" s="612"/>
      <c r="M58" s="612"/>
      <c r="N58" s="612"/>
      <c r="O58" s="612"/>
      <c r="P58" s="612"/>
      <c r="Q58" s="611"/>
      <c r="R58" s="611"/>
      <c r="S58" s="611"/>
      <c r="T58" s="613"/>
    </row>
    <row r="59" spans="1:21" ht="13.5" customHeight="1" thickBot="1" x14ac:dyDescent="0.25">
      <c r="A59" s="1182"/>
      <c r="B59" s="1182"/>
      <c r="C59" s="1182"/>
      <c r="D59" s="1186"/>
      <c r="E59" s="1184"/>
      <c r="F59" s="372" t="s">
        <v>79</v>
      </c>
      <c r="G59" s="373"/>
      <c r="H59" s="373"/>
      <c r="I59" s="171">
        <f>I56-I57</f>
        <v>-6</v>
      </c>
      <c r="J59" s="172">
        <f>J56-J57</f>
        <v>0</v>
      </c>
      <c r="K59" s="172">
        <f>K56-K57</f>
        <v>0</v>
      </c>
      <c r="L59" s="172">
        <f>L56-L57</f>
        <v>0</v>
      </c>
      <c r="M59" s="172">
        <f>M56-M57</f>
        <v>0</v>
      </c>
      <c r="N59" s="172">
        <f>N56-N57-N58</f>
        <v>0</v>
      </c>
      <c r="O59" s="172">
        <f>O56-O57-O58</f>
        <v>0</v>
      </c>
      <c r="P59" s="172">
        <f>P56-P57</f>
        <v>0</v>
      </c>
      <c r="Q59" s="172"/>
      <c r="R59" s="172"/>
      <c r="S59" s="172"/>
      <c r="T59" s="173"/>
    </row>
    <row r="60" spans="1:21" ht="13.5" thickBot="1" x14ac:dyDescent="0.25">
      <c r="G60" s="338"/>
      <c r="H60" s="338"/>
      <c r="I60" s="340"/>
    </row>
    <row r="61" spans="1:21" ht="24.6" customHeight="1" thickBot="1" x14ac:dyDescent="0.25">
      <c r="A61" s="1162"/>
      <c r="B61" s="1163"/>
      <c r="C61" s="1163"/>
      <c r="D61" s="1400" t="s">
        <v>80</v>
      </c>
      <c r="E61" s="1401"/>
      <c r="F61" s="492" t="s">
        <v>81</v>
      </c>
      <c r="G61" s="493"/>
      <c r="H61" s="480" t="s">
        <v>2</v>
      </c>
      <c r="I61" s="481" t="s">
        <v>3</v>
      </c>
      <c r="J61" s="601" t="s">
        <v>4</v>
      </c>
      <c r="K61" s="601" t="s">
        <v>5</v>
      </c>
      <c r="L61" s="601" t="s">
        <v>6</v>
      </c>
      <c r="M61" s="601" t="s">
        <v>7</v>
      </c>
      <c r="N61" s="601" t="s">
        <v>253</v>
      </c>
      <c r="O61" s="601" t="s">
        <v>957</v>
      </c>
      <c r="P61" s="601" t="s">
        <v>9</v>
      </c>
      <c r="Q61" s="601" t="s">
        <v>10</v>
      </c>
      <c r="R61" s="601" t="s">
        <v>11</v>
      </c>
      <c r="S61" s="601" t="s">
        <v>12</v>
      </c>
      <c r="T61" s="602" t="s">
        <v>13</v>
      </c>
    </row>
    <row r="62" spans="1:21" ht="13.5" customHeight="1" thickBot="1" x14ac:dyDescent="0.25">
      <c r="A62" s="1167" t="s">
        <v>14</v>
      </c>
      <c r="B62" s="1168" t="s">
        <v>15</v>
      </c>
      <c r="C62" s="1168" t="s">
        <v>16</v>
      </c>
      <c r="D62" s="1168" t="s">
        <v>17</v>
      </c>
      <c r="E62" s="1165"/>
      <c r="F62" s="494"/>
      <c r="G62" s="484"/>
      <c r="H62" s="484"/>
      <c r="I62" s="485" t="s">
        <v>19</v>
      </c>
      <c r="J62" s="603" t="s">
        <v>20</v>
      </c>
      <c r="K62" s="603" t="s">
        <v>20</v>
      </c>
      <c r="L62" s="603" t="s">
        <v>20</v>
      </c>
      <c r="M62" s="603" t="s">
        <v>20</v>
      </c>
      <c r="N62" s="603" t="s">
        <v>20</v>
      </c>
      <c r="O62" s="603" t="s">
        <v>20</v>
      </c>
      <c r="P62" s="603" t="s">
        <v>20</v>
      </c>
      <c r="Q62" s="603" t="s">
        <v>20</v>
      </c>
      <c r="R62" s="603" t="s">
        <v>20</v>
      </c>
      <c r="S62" s="603" t="s">
        <v>20</v>
      </c>
      <c r="T62" s="604" t="s">
        <v>20</v>
      </c>
    </row>
    <row r="63" spans="1:21" ht="13.5" customHeight="1" outlineLevel="2" thickBot="1" x14ac:dyDescent="0.3">
      <c r="A63" s="1170" t="s">
        <v>21</v>
      </c>
      <c r="B63" s="1170" t="s">
        <v>21</v>
      </c>
      <c r="C63" s="1170" t="s">
        <v>28</v>
      </c>
      <c r="D63" s="1170" t="s">
        <v>82</v>
      </c>
      <c r="E63" s="1171" t="s">
        <v>83</v>
      </c>
      <c r="F63" s="488" t="s">
        <v>84</v>
      </c>
      <c r="G63" s="350"/>
      <c r="H63" s="350"/>
      <c r="I63" s="350">
        <v>574372</v>
      </c>
      <c r="J63" s="137">
        <v>576057.02</v>
      </c>
      <c r="K63" s="137">
        <v>340</v>
      </c>
      <c r="L63" s="137">
        <v>16358.11</v>
      </c>
      <c r="M63" s="137">
        <v>0</v>
      </c>
      <c r="N63" s="137">
        <v>272384.43</v>
      </c>
      <c r="O63" s="137"/>
      <c r="P63" s="137">
        <v>0</v>
      </c>
      <c r="Q63" s="137">
        <v>0</v>
      </c>
      <c r="R63" s="137">
        <v>0</v>
      </c>
      <c r="S63" s="137">
        <v>286974.48</v>
      </c>
      <c r="T63" s="177">
        <v>0</v>
      </c>
      <c r="U63" s="353"/>
    </row>
    <row r="64" spans="1:21" ht="13.5" customHeight="1" thickBot="1" x14ac:dyDescent="0.3">
      <c r="A64" s="1190"/>
      <c r="B64" s="1191"/>
      <c r="C64" s="1191"/>
      <c r="D64" s="1184"/>
      <c r="E64" s="1192"/>
      <c r="F64" s="495" t="s">
        <v>85</v>
      </c>
      <c r="G64" s="350"/>
      <c r="H64" s="376">
        <v>2</v>
      </c>
      <c r="I64" s="350">
        <f t="shared" ref="I64:T64" si="11">SUBTOTAL(9,I63:I63)</f>
        <v>574372</v>
      </c>
      <c r="J64" s="137">
        <f>SUBTOTAL(9,J63:J63)</f>
        <v>576057.02</v>
      </c>
      <c r="K64" s="137">
        <f t="shared" si="11"/>
        <v>340</v>
      </c>
      <c r="L64" s="137">
        <f t="shared" si="11"/>
        <v>16358.11</v>
      </c>
      <c r="M64" s="137">
        <f t="shared" si="11"/>
        <v>0</v>
      </c>
      <c r="N64" s="137">
        <f t="shared" si="11"/>
        <v>272384.43</v>
      </c>
      <c r="O64" s="137"/>
      <c r="P64" s="137">
        <f t="shared" si="11"/>
        <v>0</v>
      </c>
      <c r="Q64" s="137">
        <f t="shared" si="11"/>
        <v>0</v>
      </c>
      <c r="R64" s="137">
        <f t="shared" si="11"/>
        <v>0</v>
      </c>
      <c r="S64" s="137">
        <f t="shared" si="11"/>
        <v>286974.48</v>
      </c>
      <c r="T64" s="177">
        <f t="shared" si="11"/>
        <v>0</v>
      </c>
      <c r="U64" s="353">
        <f>ROUND(J64-SUM(K64:Q64)-S64,2)</f>
        <v>0</v>
      </c>
    </row>
    <row r="65" spans="1:21" ht="13.5" customHeight="1" thickBot="1" x14ac:dyDescent="0.3">
      <c r="A65" s="1182"/>
      <c r="B65" s="1182"/>
      <c r="C65" s="1191"/>
      <c r="D65" s="1184"/>
      <c r="E65" s="1194"/>
      <c r="F65" s="489" t="s">
        <v>86</v>
      </c>
      <c r="G65" s="350"/>
      <c r="H65" s="350"/>
      <c r="I65" s="350"/>
      <c r="J65" s="137"/>
      <c r="K65" s="137"/>
      <c r="L65" s="137">
        <f>-S65</f>
        <v>286974.48</v>
      </c>
      <c r="M65" s="137"/>
      <c r="N65" s="137"/>
      <c r="O65" s="137"/>
      <c r="P65" s="137"/>
      <c r="Q65" s="137"/>
      <c r="R65" s="137"/>
      <c r="S65" s="137">
        <f>-S64</f>
        <v>-286974.48</v>
      </c>
      <c r="T65" s="177"/>
      <c r="U65" s="353"/>
    </row>
    <row r="66" spans="1:21" ht="13.5" customHeight="1" thickBot="1" x14ac:dyDescent="0.3">
      <c r="A66" s="1182"/>
      <c r="B66" s="1182"/>
      <c r="C66" s="1191"/>
      <c r="D66" s="1184"/>
      <c r="E66" s="1194"/>
      <c r="F66" s="489" t="s">
        <v>87</v>
      </c>
      <c r="G66" s="350"/>
      <c r="H66" s="350"/>
      <c r="I66" s="377">
        <v>0</v>
      </c>
      <c r="J66" s="137">
        <f>SUM(K66:P66)</f>
        <v>0</v>
      </c>
      <c r="K66" s="137"/>
      <c r="L66" s="181">
        <v>0</v>
      </c>
      <c r="M66" s="137"/>
      <c r="N66" s="181">
        <v>0</v>
      </c>
      <c r="O66" s="181"/>
      <c r="P66" s="137"/>
      <c r="Q66" s="137"/>
      <c r="R66" s="137"/>
      <c r="S66" s="181">
        <v>104976</v>
      </c>
      <c r="T66" s="177"/>
      <c r="U66" s="353"/>
    </row>
    <row r="67" spans="1:21" ht="13.5" customHeight="1" thickBot="1" x14ac:dyDescent="0.3">
      <c r="A67" s="1182"/>
      <c r="B67" s="1182"/>
      <c r="C67" s="1191"/>
      <c r="D67" s="1184"/>
      <c r="E67" s="1194"/>
      <c r="F67" s="489" t="s">
        <v>254</v>
      </c>
      <c r="G67" s="350"/>
      <c r="H67" s="350"/>
      <c r="I67" s="378">
        <v>0</v>
      </c>
      <c r="J67" s="137">
        <f>SUM(K67:P67)</f>
        <v>104976</v>
      </c>
      <c r="K67" s="137"/>
      <c r="L67" s="181">
        <f>104976+0</f>
        <v>104976</v>
      </c>
      <c r="M67" s="137"/>
      <c r="N67" s="181">
        <v>0</v>
      </c>
      <c r="O67" s="181"/>
      <c r="P67" s="137"/>
      <c r="Q67" s="137"/>
      <c r="R67" s="137"/>
      <c r="S67" s="137">
        <f>-S66</f>
        <v>-104976</v>
      </c>
      <c r="T67" s="177"/>
      <c r="U67" s="353"/>
    </row>
    <row r="68" spans="1:21" ht="13.5" customHeight="1" thickBot="1" x14ac:dyDescent="0.3">
      <c r="A68" s="1182"/>
      <c r="B68" s="1182"/>
      <c r="C68" s="1191"/>
      <c r="D68" s="1184"/>
      <c r="E68" s="1194"/>
      <c r="F68" s="489" t="s">
        <v>255</v>
      </c>
      <c r="G68" s="350"/>
      <c r="H68" s="354">
        <v>1</v>
      </c>
      <c r="I68" s="350">
        <v>0</v>
      </c>
      <c r="J68" s="137">
        <f>SUM(K68:P68)</f>
        <v>781</v>
      </c>
      <c r="K68" s="137">
        <v>781</v>
      </c>
      <c r="L68" s="137">
        <v>0</v>
      </c>
      <c r="M68" s="137">
        <v>0</v>
      </c>
      <c r="N68" s="137"/>
      <c r="O68" s="137">
        <v>0</v>
      </c>
      <c r="P68" s="137"/>
      <c r="Q68" s="137"/>
      <c r="R68" s="137"/>
      <c r="S68" s="137"/>
      <c r="T68" s="177"/>
      <c r="U68" s="353">
        <f>ROUND(J68-SUM(K68:Q68)-S68,2)</f>
        <v>0</v>
      </c>
    </row>
    <row r="69" spans="1:21" ht="14.25" thickBot="1" x14ac:dyDescent="0.3">
      <c r="A69" s="1182"/>
      <c r="B69" s="1182"/>
      <c r="C69" s="1191"/>
      <c r="D69" s="1184"/>
      <c r="E69" s="1194"/>
      <c r="F69" s="375"/>
      <c r="G69" s="350"/>
      <c r="H69" s="350"/>
      <c r="I69" s="378"/>
      <c r="J69" s="137"/>
      <c r="K69" s="181"/>
      <c r="L69" s="181"/>
      <c r="M69" s="137"/>
      <c r="N69" s="181"/>
      <c r="O69" s="181"/>
      <c r="P69" s="137"/>
      <c r="Q69" s="137"/>
      <c r="R69" s="137"/>
      <c r="S69" s="137"/>
      <c r="T69" s="177"/>
      <c r="U69" s="353"/>
    </row>
    <row r="70" spans="1:21" ht="13.5" customHeight="1" thickBot="1" x14ac:dyDescent="0.25">
      <c r="A70" s="1182"/>
      <c r="B70" s="1182"/>
      <c r="C70" s="1186"/>
      <c r="D70" s="1195" t="s">
        <v>88</v>
      </c>
      <c r="E70" s="1184"/>
      <c r="F70" s="379" t="s">
        <v>89</v>
      </c>
      <c r="G70" s="370"/>
      <c r="H70" s="184">
        <f t="shared" ref="H70:T70" si="12">SUBTOTAL(9,H63:H69)</f>
        <v>3</v>
      </c>
      <c r="I70" s="184">
        <f t="shared" si="12"/>
        <v>574372</v>
      </c>
      <c r="J70" s="165">
        <f t="shared" si="12"/>
        <v>681814.02</v>
      </c>
      <c r="K70" s="165">
        <f t="shared" si="12"/>
        <v>1121</v>
      </c>
      <c r="L70" s="165">
        <f t="shared" si="12"/>
        <v>408308.58999999997</v>
      </c>
      <c r="M70" s="165">
        <f t="shared" si="12"/>
        <v>0</v>
      </c>
      <c r="N70" s="165">
        <f t="shared" si="12"/>
        <v>272384.43</v>
      </c>
      <c r="O70" s="165">
        <f t="shared" si="12"/>
        <v>0</v>
      </c>
      <c r="P70" s="165">
        <f t="shared" si="12"/>
        <v>0</v>
      </c>
      <c r="Q70" s="165">
        <f t="shared" si="12"/>
        <v>0</v>
      </c>
      <c r="R70" s="165">
        <f t="shared" si="12"/>
        <v>0</v>
      </c>
      <c r="S70" s="165">
        <f t="shared" si="12"/>
        <v>0</v>
      </c>
      <c r="T70" s="166">
        <f t="shared" si="12"/>
        <v>0</v>
      </c>
    </row>
    <row r="71" spans="1:21" ht="13.5" customHeight="1" thickBot="1" x14ac:dyDescent="0.25">
      <c r="A71" s="1182"/>
      <c r="B71" s="1182"/>
      <c r="C71" s="1182"/>
      <c r="D71" s="1183" t="s">
        <v>77</v>
      </c>
      <c r="E71" s="1184"/>
      <c r="F71" s="379" t="s">
        <v>90</v>
      </c>
      <c r="G71" s="370"/>
      <c r="H71" s="370"/>
      <c r="I71" s="371">
        <v>574370</v>
      </c>
      <c r="J71" s="165">
        <f>SUM(K71:T71)</f>
        <v>681814.02</v>
      </c>
      <c r="K71" s="168">
        <v>1121</v>
      </c>
      <c r="L71" s="168">
        <v>408308.59</v>
      </c>
      <c r="M71" s="168">
        <v>0</v>
      </c>
      <c r="N71" s="168">
        <v>272384.43</v>
      </c>
      <c r="O71" s="168"/>
      <c r="P71" s="168">
        <v>0</v>
      </c>
      <c r="Q71" s="185"/>
      <c r="R71" s="185"/>
      <c r="S71" s="185"/>
      <c r="T71" s="186"/>
    </row>
    <row r="72" spans="1:21" ht="13.5" customHeight="1" thickBot="1" x14ac:dyDescent="0.25">
      <c r="A72" s="1182"/>
      <c r="B72" s="1182"/>
      <c r="C72" s="1182"/>
      <c r="D72" s="1183"/>
      <c r="E72" s="1184"/>
      <c r="F72" s="608" t="s">
        <v>957</v>
      </c>
      <c r="G72" s="609"/>
      <c r="H72" s="609"/>
      <c r="I72" s="610"/>
      <c r="J72" s="611"/>
      <c r="K72" s="612"/>
      <c r="L72" s="612"/>
      <c r="M72" s="612"/>
      <c r="N72" s="612">
        <f>-O70</f>
        <v>0</v>
      </c>
      <c r="O72" s="612">
        <f>O70</f>
        <v>0</v>
      </c>
      <c r="P72" s="612"/>
      <c r="Q72" s="611"/>
      <c r="R72" s="611"/>
      <c r="S72" s="611"/>
      <c r="T72" s="613"/>
    </row>
    <row r="73" spans="1:21" ht="13.5" customHeight="1" thickBot="1" x14ac:dyDescent="0.25">
      <c r="A73" s="1182"/>
      <c r="B73" s="1182"/>
      <c r="C73" s="1182"/>
      <c r="D73" s="1186"/>
      <c r="E73" s="1184"/>
      <c r="F73" s="372" t="s">
        <v>79</v>
      </c>
      <c r="G73" s="373"/>
      <c r="H73" s="373"/>
      <c r="I73" s="171">
        <f>I70-I71</f>
        <v>2</v>
      </c>
      <c r="J73" s="172">
        <f>J70-J71</f>
        <v>0</v>
      </c>
      <c r="K73" s="172">
        <f>K70-K71</f>
        <v>0</v>
      </c>
      <c r="L73" s="172">
        <f>L70-L71</f>
        <v>0</v>
      </c>
      <c r="M73" s="172">
        <f>M70-M71</f>
        <v>0</v>
      </c>
      <c r="N73" s="172">
        <f>N70-N71-N72</f>
        <v>0</v>
      </c>
      <c r="O73" s="172">
        <f>O70-O71-O72</f>
        <v>0</v>
      </c>
      <c r="P73" s="172">
        <f>P70-P71</f>
        <v>0</v>
      </c>
      <c r="Q73" s="172"/>
      <c r="R73" s="172"/>
      <c r="S73" s="172"/>
      <c r="T73" s="173"/>
    </row>
    <row r="74" spans="1:21" x14ac:dyDescent="0.2">
      <c r="G74" s="338"/>
      <c r="H74" s="338"/>
      <c r="I74" s="380"/>
      <c r="K74" s="54"/>
      <c r="L74" s="54"/>
      <c r="M74" s="54"/>
      <c r="N74" s="54"/>
      <c r="O74" s="54"/>
      <c r="P74" s="54"/>
      <c r="Q74" s="54"/>
    </row>
    <row r="75" spans="1:21" ht="13.5" x14ac:dyDescent="0.25">
      <c r="G75" s="338"/>
      <c r="H75" s="338"/>
      <c r="I75" s="382"/>
      <c r="K75" s="614"/>
      <c r="L75" s="614"/>
      <c r="M75" s="614"/>
      <c r="N75" s="614"/>
      <c r="O75" s="614"/>
      <c r="P75" s="614"/>
      <c r="Q75" s="614"/>
    </row>
    <row r="76" spans="1:21" x14ac:dyDescent="0.2">
      <c r="G76" s="384" t="s">
        <v>76</v>
      </c>
      <c r="H76" s="385" t="s">
        <v>119</v>
      </c>
    </row>
    <row r="77" spans="1:21" s="386" customFormat="1" ht="11.25" x14ac:dyDescent="0.2">
      <c r="A77" s="1201"/>
      <c r="B77" s="1201"/>
      <c r="C77" s="1201"/>
      <c r="D77" s="1201"/>
      <c r="E77" s="1201"/>
      <c r="G77" s="384" t="s">
        <v>74</v>
      </c>
      <c r="H77" s="385" t="s">
        <v>120</v>
      </c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</row>
    <row r="78" spans="1:21" x14ac:dyDescent="0.2">
      <c r="G78" s="384" t="s">
        <v>71</v>
      </c>
      <c r="H78" s="385" t="s">
        <v>962</v>
      </c>
    </row>
    <row r="79" spans="1:21" x14ac:dyDescent="0.2">
      <c r="G79" s="387"/>
      <c r="H79" s="380"/>
    </row>
  </sheetData>
  <mergeCells count="3">
    <mergeCell ref="F1:K1"/>
    <mergeCell ref="D4:E4"/>
    <mergeCell ref="D61:E61"/>
  </mergeCells>
  <conditionalFormatting sqref="U63:U69 U5:U38 U45 U47 U49 U51:U55">
    <cfRule type="cellIs" dxfId="0" priority="1" stopIfTrue="1" operator="notEqual">
      <formula>0</formula>
    </cfRule>
  </conditionalFormatting>
  <printOptions horizontalCentered="1"/>
  <pageMargins left="0.25" right="0" top="0.25" bottom="0.5" header="0.25" footer="0.25"/>
  <pageSetup scale="41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6" tint="0.39997558519241921"/>
  </sheetPr>
  <dimension ref="A1:T286"/>
  <sheetViews>
    <sheetView zoomScale="80" zoomScaleNormal="80" zoomScaleSheetLayoutView="70" zoomScalePageLayoutView="50" workbookViewId="0"/>
  </sheetViews>
  <sheetFormatPr defaultRowHeight="15.75" x14ac:dyDescent="0.25"/>
  <cols>
    <col min="1" max="2" width="9.140625" style="419"/>
    <col min="3" max="3" width="5.85546875" style="661" customWidth="1"/>
    <col min="4" max="4" width="30.85546875" style="661" customWidth="1"/>
    <col min="5" max="5" width="10.42578125" style="661" customWidth="1"/>
    <col min="6" max="6" width="23.28515625" style="661" customWidth="1"/>
    <col min="7" max="7" width="20.85546875" style="661" customWidth="1"/>
    <col min="8" max="8" width="19.42578125" style="661" customWidth="1"/>
    <col min="9" max="9" width="18.85546875" style="661" customWidth="1"/>
    <col min="10" max="10" width="21" style="661" customWidth="1"/>
    <col min="11" max="11" width="3" style="661" customWidth="1"/>
    <col min="12" max="14" width="21" style="661" customWidth="1"/>
    <col min="15" max="15" width="18.42578125" style="419" bestFit="1" customWidth="1"/>
    <col min="16" max="16" width="18.28515625" style="419" bestFit="1" customWidth="1"/>
    <col min="17" max="17" width="16.85546875" style="419" customWidth="1"/>
    <col min="18" max="18" width="16" style="419" customWidth="1"/>
    <col min="19" max="20" width="15.42578125" style="419" customWidth="1"/>
    <col min="21" max="16384" width="9.140625" style="419"/>
  </cols>
  <sheetData>
    <row r="1" spans="1:20" ht="16.5" thickBot="1" x14ac:dyDescent="0.3">
      <c r="J1" s="662" t="s">
        <v>594</v>
      </c>
      <c r="K1" s="662"/>
      <c r="L1" s="1357" t="s">
        <v>1032</v>
      </c>
      <c r="M1" s="1357"/>
      <c r="N1" s="662"/>
      <c r="O1" s="662"/>
      <c r="P1" s="662"/>
      <c r="Q1" s="662"/>
      <c r="R1" s="662"/>
      <c r="S1" s="662"/>
      <c r="T1" s="662"/>
    </row>
    <row r="2" spans="1:20" x14ac:dyDescent="0.25">
      <c r="J2" s="662" t="s">
        <v>244</v>
      </c>
      <c r="K2" s="662"/>
      <c r="L2" s="663"/>
      <c r="M2" s="663"/>
      <c r="N2" s="662"/>
      <c r="O2" s="662" t="s">
        <v>766</v>
      </c>
      <c r="P2" s="662"/>
      <c r="Q2" s="662"/>
      <c r="R2" s="662"/>
      <c r="S2" s="662"/>
      <c r="T2" s="662"/>
    </row>
    <row r="3" spans="1:20" x14ac:dyDescent="0.25">
      <c r="F3" s="964"/>
      <c r="G3" s="664"/>
      <c r="H3" s="664" t="s">
        <v>762</v>
      </c>
      <c r="I3" s="662" t="s">
        <v>646</v>
      </c>
      <c r="J3" s="665" t="s">
        <v>647</v>
      </c>
      <c r="K3" s="665"/>
      <c r="L3" s="664" t="s">
        <v>1033</v>
      </c>
      <c r="M3" s="666" t="s">
        <v>594</v>
      </c>
      <c r="N3" s="665"/>
      <c r="O3" s="662" t="s">
        <v>767</v>
      </c>
      <c r="P3" s="665"/>
      <c r="Q3" s="662"/>
      <c r="R3" s="662"/>
      <c r="S3" s="662"/>
      <c r="T3" s="662"/>
    </row>
    <row r="4" spans="1:20" ht="16.5" thickBot="1" x14ac:dyDescent="0.3">
      <c r="C4" s="667" t="s">
        <v>260</v>
      </c>
      <c r="D4" s="667"/>
      <c r="E4" s="667"/>
      <c r="F4" s="668" t="s">
        <v>407</v>
      </c>
      <c r="G4" s="669" t="s">
        <v>243</v>
      </c>
      <c r="H4" s="669" t="s">
        <v>243</v>
      </c>
      <c r="I4" s="670" t="s">
        <v>648</v>
      </c>
      <c r="J4" s="670" t="s">
        <v>648</v>
      </c>
      <c r="K4" s="671"/>
      <c r="L4" s="672" t="s">
        <v>1034</v>
      </c>
      <c r="M4" s="669" t="s">
        <v>244</v>
      </c>
      <c r="N4" s="671"/>
      <c r="O4" s="670" t="s">
        <v>768</v>
      </c>
      <c r="P4" s="665"/>
      <c r="Q4" s="665"/>
      <c r="R4" s="665"/>
      <c r="S4" s="665"/>
      <c r="T4" s="665"/>
    </row>
    <row r="5" spans="1:20" x14ac:dyDescent="0.25">
      <c r="C5" s="673"/>
      <c r="D5" s="673"/>
      <c r="E5" s="673"/>
      <c r="F5" s="673"/>
      <c r="G5" s="673"/>
      <c r="H5" s="671"/>
      <c r="I5" s="671"/>
      <c r="J5" s="671"/>
      <c r="K5" s="671"/>
      <c r="L5" s="674"/>
      <c r="M5" s="674"/>
      <c r="N5" s="671"/>
    </row>
    <row r="6" spans="1:20" ht="18.75" x14ac:dyDescent="0.3">
      <c r="C6" s="675" t="s">
        <v>649</v>
      </c>
      <c r="E6" s="676"/>
      <c r="F6" s="676"/>
      <c r="G6" s="677"/>
    </row>
    <row r="7" spans="1:20" x14ac:dyDescent="0.25">
      <c r="C7" s="677"/>
      <c r="D7" s="678"/>
      <c r="E7" s="677"/>
      <c r="F7" s="677"/>
      <c r="G7" s="677"/>
    </row>
    <row r="8" spans="1:20" x14ac:dyDescent="0.25">
      <c r="A8" s="419" t="s">
        <v>205</v>
      </c>
      <c r="C8" s="676" t="s">
        <v>650</v>
      </c>
      <c r="E8" s="679"/>
      <c r="F8" s="679"/>
      <c r="G8" s="679"/>
    </row>
    <row r="9" spans="1:20" x14ac:dyDescent="0.25">
      <c r="C9" s="680"/>
      <c r="D9" s="680" t="s">
        <v>1049</v>
      </c>
      <c r="E9" s="681"/>
      <c r="F9" s="682">
        <f>+'Summary SBR-Transport'!B5</f>
        <v>3492362</v>
      </c>
      <c r="G9" s="681"/>
      <c r="I9" s="683">
        <f>VLOOKUP($A$8,'Retail Rates'!$A$7:$L$35,6,FALSE)</f>
        <v>12.5</v>
      </c>
      <c r="J9" s="684">
        <f>+F9*I9</f>
        <v>43654525</v>
      </c>
      <c r="K9" s="684"/>
      <c r="L9" s="683">
        <v>15.5</v>
      </c>
      <c r="M9" s="684">
        <f>ROUND(L9*F9,2)</f>
        <v>54131611</v>
      </c>
      <c r="N9" s="684">
        <f>L9-I9</f>
        <v>3</v>
      </c>
      <c r="O9" s="682"/>
      <c r="P9" s="684"/>
      <c r="Q9" s="682"/>
      <c r="R9" s="682"/>
      <c r="S9" s="684"/>
      <c r="T9" s="684"/>
    </row>
    <row r="10" spans="1:20" x14ac:dyDescent="0.25">
      <c r="O10" s="661"/>
      <c r="P10" s="661"/>
      <c r="Q10" s="661"/>
      <c r="R10" s="661"/>
      <c r="S10" s="661"/>
      <c r="T10" s="661"/>
    </row>
    <row r="11" spans="1:20" x14ac:dyDescent="0.25">
      <c r="O11" s="661"/>
      <c r="P11" s="661"/>
      <c r="Q11" s="661"/>
      <c r="R11" s="661"/>
      <c r="S11" s="661"/>
      <c r="T11" s="661"/>
    </row>
    <row r="12" spans="1:20" x14ac:dyDescent="0.25">
      <c r="D12" s="685" t="s">
        <v>676</v>
      </c>
      <c r="G12" s="682">
        <f>+'Summary SBR-Transport'!C6</f>
        <v>17455190.600000001</v>
      </c>
      <c r="I12" s="686">
        <f>VLOOKUP($A$8,'Retail Rates'!$A$7:$L$35,8,FALSE)*10</f>
        <v>2.2395999999999998</v>
      </c>
      <c r="J12" s="684">
        <f>+G12*I12</f>
        <v>39092644.867760003</v>
      </c>
      <c r="K12" s="684"/>
      <c r="L12" s="686">
        <v>2.3121</v>
      </c>
      <c r="M12" s="684">
        <f>ROUND(G12*L12,2)</f>
        <v>40358146.189999998</v>
      </c>
      <c r="N12" s="694">
        <f>L12-I12</f>
        <v>7.2500000000000231E-2</v>
      </c>
      <c r="O12" s="684"/>
      <c r="P12" s="684"/>
      <c r="Q12" s="684"/>
      <c r="R12" s="684"/>
      <c r="S12" s="684"/>
      <c r="T12" s="684"/>
    </row>
    <row r="13" spans="1:20" x14ac:dyDescent="0.25">
      <c r="O13" s="661"/>
      <c r="P13" s="661"/>
      <c r="Q13" s="661"/>
      <c r="R13" s="661"/>
      <c r="S13" s="661"/>
      <c r="T13" s="661"/>
    </row>
    <row r="14" spans="1:20" x14ac:dyDescent="0.25">
      <c r="G14" s="682"/>
      <c r="O14" s="661"/>
      <c r="P14" s="661"/>
      <c r="Q14" s="661"/>
      <c r="R14" s="661"/>
      <c r="S14" s="661"/>
      <c r="T14" s="661"/>
    </row>
    <row r="15" spans="1:20" x14ac:dyDescent="0.25">
      <c r="D15" s="661" t="s">
        <v>642</v>
      </c>
      <c r="G15" s="682"/>
      <c r="J15" s="684">
        <f ca="1">SUMIF('12-MO Billed Summary RETAIL'!$E$6:$E$16,'Exh R11Proposed Increase Detail'!$A$8,'12-MO Billed Summary RETAIL'!$AG$6:$AG$16)+SUMIF('12-MO Billed Summary RETAIL'!$E$6:$E$16,'Exh R11Proposed Increase Detail'!$A$8,'12-MO Billed Summary RETAIL'!$AH$6:$AH$16)+SUMIF('12-MO Billed Summary RETAIL'!$E$6:$E$16,'Exh R11Proposed Increase Detail'!$A$8,'12-MO Billed Summary RETAIL'!$AI$6:$AI$16)+SBR!BL11</f>
        <v>-19383.120000000003</v>
      </c>
      <c r="K15" s="684"/>
      <c r="L15" s="684"/>
      <c r="M15" s="684">
        <f ca="1">J15*(M12+M9)/(J9+J12)</f>
        <v>-22133.763672057932</v>
      </c>
      <c r="N15" s="684"/>
      <c r="O15" s="661"/>
      <c r="P15" s="661"/>
      <c r="Q15" s="661"/>
      <c r="R15" s="661"/>
      <c r="S15" s="661"/>
      <c r="T15" s="661"/>
    </row>
    <row r="16" spans="1:20" x14ac:dyDescent="0.25">
      <c r="G16" s="687"/>
      <c r="O16" s="661"/>
      <c r="P16" s="661"/>
      <c r="Q16" s="661"/>
      <c r="R16" s="661"/>
      <c r="S16" s="661"/>
      <c r="T16" s="661"/>
    </row>
    <row r="17" spans="3:20" x14ac:dyDescent="0.25">
      <c r="O17" s="661"/>
      <c r="P17" s="661"/>
      <c r="Q17" s="661"/>
      <c r="R17" s="661"/>
      <c r="S17" s="661"/>
      <c r="T17" s="661"/>
    </row>
    <row r="18" spans="3:20" x14ac:dyDescent="0.25">
      <c r="C18" s="688" t="s">
        <v>988</v>
      </c>
      <c r="D18" s="688"/>
      <c r="G18" s="689">
        <f>+G12</f>
        <v>17455190.600000001</v>
      </c>
      <c r="J18" s="690">
        <f ca="1">SUM(J9:J16)</f>
        <v>82727786.747759998</v>
      </c>
      <c r="K18" s="690"/>
      <c r="L18" s="690"/>
      <c r="M18" s="690">
        <f ca="1">SUM(M9:M16)</f>
        <v>94467623.426327944</v>
      </c>
      <c r="N18" s="690"/>
      <c r="O18" s="684">
        <f ca="1">+'Exh R9-Reconst Billings Summary'!J14</f>
        <v>82727786.789280012</v>
      </c>
      <c r="P18" s="684">
        <f ca="1">+J18-O18</f>
        <v>-4.1520014405250549E-2</v>
      </c>
      <c r="Q18" s="684"/>
      <c r="R18" s="661"/>
      <c r="S18" s="661"/>
      <c r="T18" s="661"/>
    </row>
    <row r="19" spans="3:20" x14ac:dyDescent="0.25">
      <c r="D19" s="680"/>
      <c r="O19" s="661"/>
      <c r="P19" s="661"/>
      <c r="Q19" s="661"/>
      <c r="R19" s="661"/>
      <c r="S19" s="661"/>
      <c r="T19" s="661"/>
    </row>
    <row r="20" spans="3:20" x14ac:dyDescent="0.25">
      <c r="D20" s="691" t="s">
        <v>1035</v>
      </c>
      <c r="I20" s="692">
        <f ca="1">+'Exh R9-Reconst Billings Summary'!L14</f>
        <v>0.9999999994981128</v>
      </c>
      <c r="L20" s="693">
        <f ca="1">+I20</f>
        <v>0.9999999994981128</v>
      </c>
      <c r="O20" s="661"/>
      <c r="P20" s="661"/>
      <c r="Q20" s="661"/>
      <c r="R20" s="661"/>
      <c r="S20" s="661"/>
      <c r="T20" s="661"/>
    </row>
    <row r="21" spans="3:20" x14ac:dyDescent="0.25">
      <c r="D21" s="680"/>
      <c r="O21" s="661"/>
      <c r="P21" s="661"/>
      <c r="Q21" s="661"/>
      <c r="R21" s="661"/>
      <c r="S21" s="661"/>
      <c r="T21" s="661"/>
    </row>
    <row r="22" spans="3:20" x14ac:dyDescent="0.25">
      <c r="C22" s="661" t="s">
        <v>1112</v>
      </c>
      <c r="J22" s="690">
        <f ca="1">J18/I20</f>
        <v>82727786.789280012</v>
      </c>
      <c r="M22" s="690">
        <f ca="1">M18/L20</f>
        <v>94467623.473740041</v>
      </c>
      <c r="O22" s="661"/>
      <c r="P22" s="661"/>
      <c r="Q22" s="661"/>
      <c r="R22" s="661"/>
      <c r="S22" s="661"/>
      <c r="T22" s="661"/>
    </row>
    <row r="23" spans="3:20" x14ac:dyDescent="0.25">
      <c r="D23" s="680"/>
      <c r="O23" s="661"/>
      <c r="P23" s="661"/>
      <c r="Q23" s="661"/>
      <c r="R23" s="661"/>
      <c r="S23" s="661"/>
      <c r="T23" s="661"/>
    </row>
    <row r="24" spans="3:20" x14ac:dyDescent="0.25">
      <c r="D24" s="680" t="s">
        <v>1036</v>
      </c>
      <c r="G24" s="682">
        <f>+'Exh P12-Temp Adj'!B11</f>
        <v>2416566.9</v>
      </c>
      <c r="I24" s="694">
        <f>+I12</f>
        <v>2.2395999999999998</v>
      </c>
      <c r="J24" s="684">
        <f>+$G24*I24</f>
        <v>5412143.2292399993</v>
      </c>
      <c r="L24" s="694">
        <f>+L12</f>
        <v>2.3121</v>
      </c>
      <c r="M24" s="684">
        <f>+$G24*L24</f>
        <v>5587344.3294899995</v>
      </c>
      <c r="O24" s="661"/>
      <c r="P24" s="661"/>
      <c r="Q24" s="661"/>
      <c r="R24" s="661"/>
      <c r="S24" s="661"/>
      <c r="T24" s="661"/>
    </row>
    <row r="25" spans="3:20" x14ac:dyDescent="0.25">
      <c r="D25" s="661" t="s">
        <v>1037</v>
      </c>
      <c r="G25" s="682">
        <f>+'Exh P6-Year-End Customer Adj'!K10</f>
        <v>59061.2</v>
      </c>
      <c r="J25" s="684">
        <f ca="1">+'Exh P6-Year-End Customer Adj'!N10</f>
        <v>261960</v>
      </c>
      <c r="M25" s="684">
        <f ca="1">J25*((M22+M24)/(J22+J24))</f>
        <v>297372.59106317424</v>
      </c>
      <c r="O25" s="661"/>
      <c r="P25" s="661"/>
      <c r="Q25" s="661"/>
      <c r="R25" s="661"/>
      <c r="S25" s="661"/>
      <c r="T25" s="661"/>
    </row>
    <row r="26" spans="3:20" x14ac:dyDescent="0.25">
      <c r="D26" s="680"/>
      <c r="J26" s="684"/>
      <c r="O26" s="661"/>
      <c r="P26" s="661"/>
      <c r="Q26" s="661"/>
      <c r="R26" s="661"/>
      <c r="S26" s="661"/>
      <c r="T26" s="661"/>
    </row>
    <row r="27" spans="3:20" x14ac:dyDescent="0.25">
      <c r="D27" s="661" t="s">
        <v>1041</v>
      </c>
      <c r="G27" s="687">
        <f>SUM(G18:G26)</f>
        <v>19930818.699999999</v>
      </c>
      <c r="I27" s="686">
        <f>+'GSC-DSM Factors'!$N$10</f>
        <v>3.4904000000000002</v>
      </c>
      <c r="J27" s="684">
        <f>+$G27*I27</f>
        <v>69566529.59048</v>
      </c>
      <c r="L27" s="694">
        <f>+I27</f>
        <v>3.4904000000000002</v>
      </c>
      <c r="M27" s="684">
        <f>+$G27*L27</f>
        <v>69566529.59048</v>
      </c>
      <c r="O27" s="661"/>
      <c r="P27" s="661"/>
      <c r="Q27" s="661"/>
      <c r="R27" s="661"/>
      <c r="S27" s="661"/>
      <c r="T27" s="661"/>
    </row>
    <row r="28" spans="3:20" x14ac:dyDescent="0.25">
      <c r="D28" s="680"/>
      <c r="J28" s="684"/>
      <c r="O28" s="661"/>
      <c r="P28" s="661"/>
      <c r="Q28" s="661"/>
      <c r="R28" s="661"/>
      <c r="S28" s="661"/>
      <c r="T28" s="661"/>
    </row>
    <row r="29" spans="3:20" ht="16.5" thickBot="1" x14ac:dyDescent="0.3">
      <c r="C29" s="676" t="s">
        <v>1038</v>
      </c>
      <c r="D29" s="676"/>
      <c r="G29" s="687">
        <f>+G27</f>
        <v>19930818.699999999</v>
      </c>
      <c r="J29" s="695">
        <f ca="1">SUM(J22:J27)</f>
        <v>157968419.60900003</v>
      </c>
      <c r="M29" s="695">
        <f ca="1">SUM(M22:M27)</f>
        <v>169918869.98477322</v>
      </c>
      <c r="O29" s="661"/>
      <c r="P29" s="661"/>
      <c r="Q29" s="661"/>
      <c r="R29" s="661"/>
      <c r="S29" s="661"/>
      <c r="T29" s="661"/>
    </row>
    <row r="30" spans="3:20" ht="17.25" thickTop="1" thickBot="1" x14ac:dyDescent="0.3">
      <c r="D30" s="680"/>
      <c r="O30" s="661"/>
      <c r="P30" s="661"/>
      <c r="Q30" s="661"/>
      <c r="R30" s="661"/>
      <c r="S30" s="661"/>
      <c r="T30" s="661"/>
    </row>
    <row r="31" spans="3:20" ht="16.5" thickBot="1" x14ac:dyDescent="0.3">
      <c r="D31" s="696" t="s">
        <v>1039</v>
      </c>
      <c r="M31" s="697">
        <f ca="1">M29-J29</f>
        <v>11950450.375773191</v>
      </c>
      <c r="N31" s="965">
        <f ca="1">'Exh R10-Summary of Increase'!O12</f>
        <v>11950695.010002639</v>
      </c>
      <c r="O31" s="661" t="s">
        <v>1137</v>
      </c>
      <c r="P31" s="661"/>
      <c r="Q31" s="661"/>
      <c r="R31" s="661"/>
      <c r="S31" s="661"/>
      <c r="T31" s="661"/>
    </row>
    <row r="32" spans="3:20" x14ac:dyDescent="0.25">
      <c r="D32" s="699"/>
      <c r="M32" s="700">
        <f ca="1">ROUND(M31/J29,4)</f>
        <v>7.5700000000000003E-2</v>
      </c>
      <c r="N32" s="710">
        <f ca="1">N31-M31</f>
        <v>244.63422944769263</v>
      </c>
      <c r="O32" s="661"/>
      <c r="P32" s="661"/>
      <c r="Q32" s="661"/>
      <c r="R32" s="661"/>
      <c r="S32" s="661"/>
      <c r="T32" s="661"/>
    </row>
    <row r="33" spans="1:20" x14ac:dyDescent="0.25">
      <c r="R33" s="661"/>
      <c r="S33" s="661"/>
      <c r="T33" s="661"/>
    </row>
    <row r="35" spans="1:20" ht="18.75" x14ac:dyDescent="0.3">
      <c r="C35" s="675" t="s">
        <v>654</v>
      </c>
      <c r="E35" s="676"/>
      <c r="F35" s="676"/>
      <c r="G35" s="676"/>
    </row>
    <row r="36" spans="1:20" x14ac:dyDescent="0.25">
      <c r="C36" s="677"/>
      <c r="D36" s="678"/>
      <c r="E36" s="677"/>
      <c r="F36" s="677"/>
      <c r="G36" s="677"/>
    </row>
    <row r="37" spans="1:20" x14ac:dyDescent="0.25">
      <c r="A37" s="419" t="s">
        <v>180</v>
      </c>
      <c r="C37" s="676" t="s">
        <v>655</v>
      </c>
    </row>
    <row r="38" spans="1:20" x14ac:dyDescent="0.25">
      <c r="C38" s="676"/>
      <c r="D38" s="680" t="s">
        <v>773</v>
      </c>
    </row>
    <row r="39" spans="1:20" x14ac:dyDescent="0.25">
      <c r="A39" s="419" t="s">
        <v>678</v>
      </c>
      <c r="C39" s="701"/>
      <c r="D39" s="702" t="s">
        <v>1050</v>
      </c>
      <c r="F39" s="682">
        <f>SUMIF('Apr11-Mar12 Billed-RETAIL'!$E$5:$E$149,$A$37,'Apr11-Mar12 Billed-RETAIL'!$G$5:$G$149)+SUMIF('Apr11-Mar12 Billed-RETAIL'!$E$5:$E$149,$A$37,'Apr11-Mar12 Billed-RETAIL'!$AE$5:$AE$149)</f>
        <v>295931</v>
      </c>
      <c r="I39" s="683">
        <f>VLOOKUP($A$37,'Retail Rates'!$A$7:$L$35,6,FALSE)</f>
        <v>30</v>
      </c>
      <c r="J39" s="684">
        <f>+F39*I39</f>
        <v>8877930</v>
      </c>
      <c r="K39" s="684"/>
      <c r="L39" s="683">
        <v>35</v>
      </c>
      <c r="M39" s="684">
        <f>+$F39*L39</f>
        <v>10357585</v>
      </c>
      <c r="N39" s="684">
        <f>L39-I39</f>
        <v>5</v>
      </c>
    </row>
    <row r="40" spans="1:20" x14ac:dyDescent="0.25">
      <c r="C40" s="701"/>
      <c r="D40" s="702" t="s">
        <v>1051</v>
      </c>
      <c r="F40" s="682">
        <f>SUMIF('Apr11-Mar12 Billed-RETAIL'!$E$5:$E$149,$A$37,'Apr11-Mar12 Billed-RETAIL'!$H$5:$H$149)+SUMIF('Apr11-Mar12 Billed-RETAIL'!$E$5:$E$149,$A$37,'Apr11-Mar12 Billed-RETAIL'!$AF$5:$AF$149)+'Apr11-Mar12 FT-TS-Cashout-LG&amp;E'!T320</f>
        <v>12650</v>
      </c>
      <c r="I40" s="683">
        <f>VLOOKUP($A$37,'Retail Rates'!$A$7:$L$35,7,FALSE)</f>
        <v>170</v>
      </c>
      <c r="J40" s="684">
        <f>+F40*I40</f>
        <v>2150500</v>
      </c>
      <c r="K40" s="684"/>
      <c r="L40" s="683">
        <f>L39+140</f>
        <v>175</v>
      </c>
      <c r="M40" s="684">
        <f>+$F40*L40</f>
        <v>2213750</v>
      </c>
      <c r="N40" s="684"/>
      <c r="Q40" s="966"/>
    </row>
    <row r="41" spans="1:20" x14ac:dyDescent="0.25">
      <c r="Q41" s="966"/>
    </row>
    <row r="42" spans="1:20" x14ac:dyDescent="0.25">
      <c r="D42" s="661" t="s">
        <v>652</v>
      </c>
      <c r="I42" s="686"/>
      <c r="Q42" s="966"/>
    </row>
    <row r="43" spans="1:20" x14ac:dyDescent="0.25">
      <c r="C43" s="703"/>
      <c r="D43" s="661" t="s">
        <v>658</v>
      </c>
      <c r="G43" s="682">
        <f>((SUMIF('Apr11-Mar12 Billed-RETAIL'!$E$5:$E$149,$A$37,'Apr11-Mar12 Billed-RETAIL'!$I$5:$I$149)/10))+'Apr11-Mar12 FT-TS-Cashout-LG&amp;E'!T321</f>
        <v>7881220</v>
      </c>
      <c r="I43" s="686">
        <f>VLOOKUP($A$37,'Retail Rates'!$A$7:$L$35,8,FALSE)*10</f>
        <v>1.8721999999999999</v>
      </c>
      <c r="J43" s="704">
        <f>+G43*I43</f>
        <v>14755220.083999999</v>
      </c>
      <c r="K43" s="704"/>
      <c r="L43" s="955">
        <v>2.1141999999999999</v>
      </c>
      <c r="M43" s="704">
        <f>+$G43*L43</f>
        <v>16662475.323999999</v>
      </c>
      <c r="N43" s="955">
        <f>L43-I43</f>
        <v>0.24199999999999999</v>
      </c>
    </row>
    <row r="44" spans="1:20" x14ac:dyDescent="0.25">
      <c r="C44" s="701"/>
      <c r="D44" s="661" t="s">
        <v>659</v>
      </c>
      <c r="H44" s="682">
        <f>SUMIF('Apr11-Mar12 Billed-RETAIL'!$E$5:$E$149,$A$37,'Apr11-Mar12 Billed-RETAIL'!$J$5:$J$149)/10+'Apr11-Mar12 FT-TS-Cashout-LG&amp;E'!T322</f>
        <v>960315.9</v>
      </c>
      <c r="I44" s="686">
        <f>VLOOKUP($A$37,'Retail Rates'!$A$7:$L$35,9,FALSE)*10</f>
        <v>1.3722000000000001</v>
      </c>
      <c r="J44" s="704">
        <f>+I44*H44</f>
        <v>1317745.4779800002</v>
      </c>
      <c r="K44" s="704"/>
      <c r="L44" s="955">
        <f>L43-0.5</f>
        <v>1.6141999999999999</v>
      </c>
      <c r="M44" s="704">
        <f>+$H44*L44</f>
        <v>1550141.9257799999</v>
      </c>
      <c r="N44" s="704"/>
    </row>
    <row r="45" spans="1:20" x14ac:dyDescent="0.25">
      <c r="H45" s="687"/>
      <c r="Q45" s="966"/>
    </row>
    <row r="46" spans="1:20" x14ac:dyDescent="0.25">
      <c r="D46" s="661" t="s">
        <v>642</v>
      </c>
      <c r="H46" s="687"/>
      <c r="J46" s="684">
        <f ca="1">SUMIF('12-MO Billed Summary RETAIL'!$E$6:$E$16,'Exh R11Proposed Increase Detail'!$A$37,'12-MO Billed Summary RETAIL'!$AG$6:$AG$16)+SUMIF('12-MO Billed Summary RETAIL'!$E$6:$E$16,'Exh R11Proposed Increase Detail'!$A$37,'12-MO Billed Summary RETAIL'!$AH$6:$AH$16)+SUMIF('12-MO Billed Summary RETAIL'!$E$6:$E$16,'Exh R11Proposed Increase Detail'!$A$37,'12-MO Billed Summary RETAIL'!$AI$6:$AI$16)+SBR!BL17</f>
        <v>-3102.0899999999997</v>
      </c>
      <c r="K46" s="684"/>
      <c r="L46" s="684"/>
      <c r="M46" s="684">
        <f ca="1">J46*SUM(M39:M44)/SUM(J39:J44)</f>
        <v>-3523.6041707198087</v>
      </c>
      <c r="N46" s="684"/>
      <c r="Q46" s="966"/>
    </row>
    <row r="47" spans="1:20" x14ac:dyDescent="0.25">
      <c r="H47" s="687"/>
    </row>
    <row r="50" spans="3:16" x14ac:dyDescent="0.25">
      <c r="C50" s="676" t="s">
        <v>617</v>
      </c>
    </row>
    <row r="51" spans="3:16" x14ac:dyDescent="0.25">
      <c r="D51" s="661" t="s">
        <v>660</v>
      </c>
      <c r="F51" s="661">
        <f>+'Summary SBR-Transport'!B9</f>
        <v>7</v>
      </c>
      <c r="I51" s="683">
        <v>153</v>
      </c>
      <c r="J51" s="705">
        <f>+F51*I51</f>
        <v>1071</v>
      </c>
      <c r="K51" s="705"/>
      <c r="L51" s="705">
        <v>592</v>
      </c>
      <c r="M51" s="705">
        <f>+$F51*L51</f>
        <v>4144</v>
      </c>
      <c r="N51" s="705"/>
    </row>
    <row r="53" spans="3:16" x14ac:dyDescent="0.25">
      <c r="D53" s="661" t="s">
        <v>652</v>
      </c>
    </row>
    <row r="54" spans="3:16" x14ac:dyDescent="0.25">
      <c r="D54" s="661" t="s">
        <v>658</v>
      </c>
      <c r="G54" s="661">
        <f>+'Apr11-Mar12 FT-TS-Cashout-LG&amp;E'!T135</f>
        <v>0</v>
      </c>
      <c r="I54" s="686">
        <f>VLOOKUP($A$37,'Retail Rates'!$A$7:$L$35,8,FALSE)*10</f>
        <v>1.8721999999999999</v>
      </c>
      <c r="J54" s="706">
        <f>+G54*I54</f>
        <v>0</v>
      </c>
      <c r="K54" s="706"/>
      <c r="L54" s="706">
        <f>L43</f>
        <v>2.1141999999999999</v>
      </c>
      <c r="M54" s="704">
        <f>+$G54*L54</f>
        <v>0</v>
      </c>
      <c r="N54" s="706"/>
    </row>
    <row r="55" spans="3:16" x14ac:dyDescent="0.25">
      <c r="D55" s="661" t="s">
        <v>659</v>
      </c>
      <c r="H55" s="661">
        <f>+'Apr11-Mar12 FT-TS-Cashout-LG&amp;E'!T134</f>
        <v>0</v>
      </c>
      <c r="I55" s="686">
        <f>VLOOKUP($A$37,'Retail Rates'!$A$7:$L$35,9,FALSE)*10</f>
        <v>1.3722000000000001</v>
      </c>
      <c r="J55" s="706">
        <f>+G55*I55</f>
        <v>0</v>
      </c>
      <c r="K55" s="706"/>
      <c r="L55" s="706">
        <f>L44</f>
        <v>1.6141999999999999</v>
      </c>
      <c r="M55" s="704">
        <f>+$H55*L55</f>
        <v>0</v>
      </c>
      <c r="N55" s="706"/>
    </row>
    <row r="58" spans="3:16" x14ac:dyDescent="0.25">
      <c r="C58" s="676" t="s">
        <v>988</v>
      </c>
      <c r="D58" s="676"/>
      <c r="E58" s="676"/>
      <c r="F58" s="676"/>
      <c r="G58" s="689">
        <f>SUM(G43:G57)</f>
        <v>7881220</v>
      </c>
      <c r="H58" s="689">
        <f>SUM(H43:H57)</f>
        <v>960315.9</v>
      </c>
      <c r="I58" s="676"/>
      <c r="J58" s="690">
        <f ca="1">SUM(J39:J57)</f>
        <v>27099364.471979998</v>
      </c>
      <c r="K58" s="690"/>
      <c r="L58" s="690"/>
      <c r="M58" s="690">
        <f ca="1">SUM(M39:M57)</f>
        <v>30784572.645609278</v>
      </c>
      <c r="N58" s="690"/>
      <c r="O58" s="684">
        <f ca="1">+'Exh R9-Reconst Billings Summary'!J18</f>
        <v>27099364.439470001</v>
      </c>
      <c r="P58" s="684">
        <f ca="1">+J58-O58</f>
        <v>3.2509997487068176E-2</v>
      </c>
    </row>
    <row r="59" spans="3:16" x14ac:dyDescent="0.25">
      <c r="C59" s="688"/>
      <c r="J59" s="690"/>
      <c r="K59" s="690"/>
      <c r="L59" s="690"/>
      <c r="M59" s="690"/>
      <c r="N59" s="690"/>
      <c r="O59" s="684"/>
      <c r="P59" s="684"/>
    </row>
    <row r="60" spans="3:16" x14ac:dyDescent="0.25">
      <c r="C60" s="691"/>
      <c r="D60" s="691" t="s">
        <v>1035</v>
      </c>
      <c r="I60" s="692">
        <f ca="1">+'Exh R9-Reconst Billings Summary'!L18</f>
        <v>1.000000001199659</v>
      </c>
      <c r="L60" s="693">
        <f ca="1">+I60</f>
        <v>1.000000001199659</v>
      </c>
      <c r="N60" s="690"/>
      <c r="O60" s="684"/>
      <c r="P60" s="684"/>
    </row>
    <row r="61" spans="3:16" x14ac:dyDescent="0.25">
      <c r="C61" s="680"/>
      <c r="N61" s="690"/>
      <c r="O61" s="684"/>
      <c r="P61" s="684"/>
    </row>
    <row r="62" spans="3:16" x14ac:dyDescent="0.25">
      <c r="C62" s="661" t="s">
        <v>1113</v>
      </c>
      <c r="J62" s="690">
        <f ca="1">J58/I60</f>
        <v>27099364.439470001</v>
      </c>
      <c r="M62" s="690">
        <f ca="1">M58/L60</f>
        <v>30784572.608678289</v>
      </c>
      <c r="N62" s="690"/>
      <c r="O62" s="684"/>
      <c r="P62" s="684"/>
    </row>
    <row r="63" spans="3:16" x14ac:dyDescent="0.25">
      <c r="C63" s="688"/>
      <c r="J63" s="707"/>
      <c r="K63" s="707"/>
      <c r="L63" s="707"/>
      <c r="M63" s="707"/>
      <c r="N63" s="707"/>
      <c r="O63" s="684"/>
      <c r="P63" s="684"/>
    </row>
    <row r="64" spans="3:16" x14ac:dyDescent="0.25">
      <c r="C64" s="680"/>
      <c r="D64" s="680" t="s">
        <v>1036</v>
      </c>
      <c r="G64" s="682">
        <f>+'Exh P12-Temp Adj'!B13</f>
        <v>2010350.8</v>
      </c>
      <c r="I64" s="694">
        <f>+I43</f>
        <v>1.8721999999999999</v>
      </c>
      <c r="J64" s="707">
        <f>+$G64*I64</f>
        <v>3763778.7677599997</v>
      </c>
      <c r="K64" s="707"/>
      <c r="L64" s="694">
        <f>+L43</f>
        <v>2.1141999999999999</v>
      </c>
      <c r="M64" s="707">
        <f>+$G64*L64</f>
        <v>4250283.6613600003</v>
      </c>
      <c r="N64" s="707"/>
      <c r="O64" s="684"/>
      <c r="P64" s="684"/>
    </row>
    <row r="65" spans="3:16" x14ac:dyDescent="0.25">
      <c r="D65" s="661" t="s">
        <v>1037</v>
      </c>
      <c r="G65" s="682">
        <f>+'Exh P6-Year-End Customer Adj'!K12</f>
        <v>47185.599999999999</v>
      </c>
      <c r="J65" s="707">
        <f ca="1">+'Exh P6-Year-End Customer Adj'!N12</f>
        <v>134196</v>
      </c>
      <c r="K65" s="707"/>
      <c r="L65" s="707"/>
      <c r="M65" s="684">
        <f ca="1">J65*((M62+M64)/(J62+J64))</f>
        <v>152335.02111063903</v>
      </c>
      <c r="N65" s="707"/>
      <c r="O65" s="684"/>
      <c r="P65" s="684"/>
    </row>
    <row r="66" spans="3:16" x14ac:dyDescent="0.25">
      <c r="J66" s="707"/>
      <c r="K66" s="707"/>
      <c r="L66" s="707"/>
      <c r="M66" s="707"/>
      <c r="N66" s="707"/>
      <c r="O66" s="684"/>
      <c r="P66" s="684"/>
    </row>
    <row r="67" spans="3:16" x14ac:dyDescent="0.25">
      <c r="C67" s="676" t="s">
        <v>1042</v>
      </c>
      <c r="G67" s="682"/>
      <c r="J67" s="707"/>
      <c r="K67" s="707"/>
      <c r="L67" s="707"/>
      <c r="M67" s="707"/>
      <c r="N67" s="707"/>
      <c r="O67" s="684"/>
      <c r="P67" s="684"/>
    </row>
    <row r="68" spans="3:16" x14ac:dyDescent="0.25">
      <c r="C68" s="680"/>
      <c r="D68" s="680" t="s">
        <v>1048</v>
      </c>
      <c r="F68" s="708">
        <f>-'Exh P10-Rate Switch Adj'!$E$11</f>
        <v>-12</v>
      </c>
      <c r="G68" s="682"/>
      <c r="I68" s="705">
        <f>+I40</f>
        <v>170</v>
      </c>
      <c r="J68" s="707">
        <f>+F68*I68</f>
        <v>-2040</v>
      </c>
      <c r="K68" s="707"/>
      <c r="L68" s="683">
        <f>+L40</f>
        <v>175</v>
      </c>
      <c r="M68" s="707">
        <f>+F68*L68</f>
        <v>-2100</v>
      </c>
      <c r="N68" s="707"/>
      <c r="O68" s="684"/>
      <c r="P68" s="684"/>
    </row>
    <row r="69" spans="3:16" x14ac:dyDescent="0.25">
      <c r="D69" s="661" t="s">
        <v>1046</v>
      </c>
      <c r="G69" s="682">
        <f>-'Exh P10-Rate Switch Adj'!$E$12</f>
        <v>-5502.1</v>
      </c>
      <c r="H69" s="682"/>
      <c r="I69" s="694">
        <f>+I43</f>
        <v>1.8721999999999999</v>
      </c>
      <c r="J69" s="707">
        <f>+G69*I69</f>
        <v>-10301.03162</v>
      </c>
      <c r="K69" s="707"/>
      <c r="L69" s="706">
        <f>+L43</f>
        <v>2.1141999999999999</v>
      </c>
      <c r="M69" s="707">
        <f>+G69*L69</f>
        <v>-11632.53982</v>
      </c>
      <c r="N69" s="707"/>
      <c r="O69" s="684"/>
      <c r="P69" s="684"/>
    </row>
    <row r="70" spans="3:16" x14ac:dyDescent="0.25">
      <c r="D70" s="661" t="s">
        <v>1053</v>
      </c>
      <c r="G70" s="682"/>
      <c r="H70" s="682">
        <f>-'Exh P10-Rate Switch Adj'!$E$13</f>
        <v>-6068.7</v>
      </c>
      <c r="I70" s="694">
        <f>+I44</f>
        <v>1.3722000000000001</v>
      </c>
      <c r="J70" s="707">
        <f>+H70*I70</f>
        <v>-8327.4701399999994</v>
      </c>
      <c r="K70" s="707"/>
      <c r="L70" s="706">
        <f>+L44</f>
        <v>1.6141999999999999</v>
      </c>
      <c r="M70" s="707">
        <f>+H70*L70</f>
        <v>-9796.0955399999984</v>
      </c>
      <c r="N70" s="707"/>
      <c r="O70" s="684"/>
      <c r="P70" s="684"/>
    </row>
    <row r="71" spans="3:16" x14ac:dyDescent="0.25">
      <c r="G71" s="682"/>
      <c r="H71" s="682"/>
      <c r="J71" s="707"/>
      <c r="K71" s="707"/>
      <c r="L71" s="707"/>
      <c r="M71" s="707"/>
      <c r="N71" s="707"/>
      <c r="O71" s="684"/>
      <c r="P71" s="684"/>
    </row>
    <row r="72" spans="3:16" x14ac:dyDescent="0.25">
      <c r="C72" s="680"/>
      <c r="G72" s="682"/>
      <c r="H72" s="682"/>
      <c r="J72" s="707"/>
      <c r="K72" s="707"/>
      <c r="L72" s="707"/>
      <c r="M72" s="707"/>
      <c r="N72" s="707"/>
      <c r="O72" s="684"/>
      <c r="P72" s="684"/>
    </row>
    <row r="73" spans="3:16" x14ac:dyDescent="0.25">
      <c r="D73" s="661" t="s">
        <v>1041</v>
      </c>
      <c r="G73" s="682">
        <f>((G58+H58+G64+G65)*((SUM(G43:H44)/SUM(G58:H58))))+G69+H70</f>
        <v>10887501.500000002</v>
      </c>
      <c r="H73" s="682"/>
      <c r="I73" s="686">
        <f>+'GSC-DSM Factors'!$N$10</f>
        <v>3.4904000000000002</v>
      </c>
      <c r="J73" s="684">
        <f>+$G73*I73</f>
        <v>38001735.23560001</v>
      </c>
      <c r="L73" s="694">
        <f>+I73</f>
        <v>3.4904000000000002</v>
      </c>
      <c r="M73" s="684">
        <f>+$G73*L73</f>
        <v>38001735.23560001</v>
      </c>
      <c r="N73" s="707"/>
      <c r="O73" s="684"/>
      <c r="P73" s="684"/>
    </row>
    <row r="74" spans="3:16" x14ac:dyDescent="0.25">
      <c r="D74" s="661" t="s">
        <v>1043</v>
      </c>
      <c r="G74" s="682">
        <f>((G58+H58+G64+G65)*((SUM(G54:H55)/SUM(G58:H58))))</f>
        <v>0</v>
      </c>
      <c r="I74" s="686">
        <f>+'GSC-DSM Factors'!$K$10</f>
        <v>0.88</v>
      </c>
      <c r="J74" s="684">
        <f>+$G74*I74</f>
        <v>0</v>
      </c>
      <c r="K74" s="707"/>
      <c r="L74" s="694">
        <f>+I74</f>
        <v>0.88</v>
      </c>
      <c r="M74" s="684">
        <f>+$G74*L74</f>
        <v>0</v>
      </c>
      <c r="N74" s="707"/>
      <c r="O74" s="684"/>
      <c r="P74" s="684"/>
    </row>
    <row r="75" spans="3:16" x14ac:dyDescent="0.25">
      <c r="C75" s="680"/>
      <c r="G75" s="682"/>
      <c r="J75" s="707"/>
      <c r="K75" s="707"/>
      <c r="L75" s="707"/>
      <c r="M75" s="707"/>
      <c r="N75" s="707"/>
      <c r="O75" s="684"/>
      <c r="P75" s="684"/>
    </row>
    <row r="76" spans="3:16" ht="16.5" thickBot="1" x14ac:dyDescent="0.3">
      <c r="C76" s="676" t="s">
        <v>1045</v>
      </c>
      <c r="G76" s="682">
        <f>+G58+H58+G64+G65+G69+H70</f>
        <v>10887501.500000002</v>
      </c>
      <c r="J76" s="709">
        <f ca="1">SUM(J62:J74)</f>
        <v>68978405.94107002</v>
      </c>
      <c r="K76" s="707"/>
      <c r="L76" s="707"/>
      <c r="M76" s="709">
        <f ca="1">SUM(M62:M74)</f>
        <v>73165397.891388938</v>
      </c>
      <c r="N76" s="707"/>
      <c r="O76" s="684"/>
      <c r="P76" s="684"/>
    </row>
    <row r="77" spans="3:16" ht="17.25" thickTop="1" thickBot="1" x14ac:dyDescent="0.3">
      <c r="C77" s="680"/>
      <c r="G77" s="682"/>
      <c r="J77" s="707"/>
      <c r="K77" s="707"/>
      <c r="L77" s="707"/>
      <c r="M77" s="707"/>
      <c r="N77" s="707"/>
      <c r="O77" s="684"/>
      <c r="P77" s="684"/>
    </row>
    <row r="78" spans="3:16" ht="16.5" thickBot="1" x14ac:dyDescent="0.3">
      <c r="C78" s="699"/>
      <c r="D78" s="696" t="s">
        <v>1039</v>
      </c>
      <c r="J78" s="707"/>
      <c r="K78" s="707"/>
      <c r="L78" s="707"/>
      <c r="M78" s="710">
        <f ca="1">M76-J76</f>
        <v>4186991.9503189176</v>
      </c>
      <c r="N78" s="965">
        <f ca="1">'Exh R10-Summary of Increase'!O14</f>
        <v>4187611.1918964703</v>
      </c>
      <c r="O78" s="661" t="s">
        <v>1137</v>
      </c>
      <c r="P78" s="684"/>
    </row>
    <row r="79" spans="3:16" x14ac:dyDescent="0.25">
      <c r="C79" s="688"/>
      <c r="J79" s="707"/>
      <c r="K79" s="707"/>
      <c r="L79" s="707"/>
      <c r="M79" s="700">
        <f ca="1">M78/J76</f>
        <v>6.0700039283250032E-2</v>
      </c>
      <c r="N79" s="707">
        <f ca="1">N78-M78</f>
        <v>619.2415775526315</v>
      </c>
      <c r="O79" s="684"/>
      <c r="P79" s="684"/>
    </row>
    <row r="80" spans="3:16" x14ac:dyDescent="0.25">
      <c r="C80" s="676"/>
      <c r="J80" s="707"/>
      <c r="K80" s="707"/>
      <c r="L80" s="707"/>
      <c r="M80" s="707"/>
      <c r="N80" s="707"/>
      <c r="O80" s="684"/>
      <c r="P80" s="684"/>
    </row>
    <row r="81" spans="1:17" x14ac:dyDescent="0.25">
      <c r="C81" s="676"/>
      <c r="D81" s="676"/>
      <c r="E81" s="676"/>
      <c r="F81" s="676"/>
      <c r="G81" s="676"/>
    </row>
    <row r="82" spans="1:17" ht="18.75" x14ac:dyDescent="0.3">
      <c r="C82" s="675" t="s">
        <v>662</v>
      </c>
      <c r="E82" s="676"/>
      <c r="F82" s="676"/>
      <c r="G82" s="676"/>
    </row>
    <row r="83" spans="1:17" x14ac:dyDescent="0.25">
      <c r="C83" s="677"/>
      <c r="D83" s="678"/>
      <c r="E83" s="677"/>
      <c r="F83" s="677"/>
      <c r="G83" s="677"/>
    </row>
    <row r="84" spans="1:17" x14ac:dyDescent="0.25">
      <c r="A84" s="419" t="s">
        <v>190</v>
      </c>
      <c r="C84" s="676" t="s">
        <v>663</v>
      </c>
    </row>
    <row r="85" spans="1:17" x14ac:dyDescent="0.25">
      <c r="C85" s="676"/>
      <c r="D85" s="680" t="s">
        <v>773</v>
      </c>
    </row>
    <row r="86" spans="1:17" x14ac:dyDescent="0.25">
      <c r="A86" s="419" t="s">
        <v>679</v>
      </c>
      <c r="B86" s="967"/>
      <c r="C86" s="701"/>
      <c r="D86" s="702" t="s">
        <v>1050</v>
      </c>
      <c r="F86" s="682">
        <f>SUMIF('Apr11-Mar12 Billed-RETAIL'!$E$5:$E$149,$A$84,'Apr11-Mar12 Billed-RETAIL'!$G$5:$G$149)+SUMIF('Apr11-Mar12 Billed-RETAIL'!$E$5:$E$149,$A$84,'Apr11-Mar12 Billed-RETAIL'!$AE$5:$AE$149)</f>
        <v>1358</v>
      </c>
      <c r="I86" s="683">
        <f>VLOOKUP($A$84,'Retail Rates'!$A$7:$L$35,6,FALSE)</f>
        <v>30</v>
      </c>
      <c r="J86" s="684">
        <f>+F86*I86</f>
        <v>40740</v>
      </c>
      <c r="K86" s="684"/>
      <c r="L86" s="705">
        <f>L39</f>
        <v>35</v>
      </c>
      <c r="M86" s="684">
        <f>+$F86*L86</f>
        <v>47530</v>
      </c>
      <c r="N86" s="684"/>
    </row>
    <row r="87" spans="1:17" x14ac:dyDescent="0.25">
      <c r="B87" s="967"/>
      <c r="C87" s="701"/>
      <c r="D87" s="702" t="s">
        <v>1051</v>
      </c>
      <c r="F87" s="682">
        <f>SUMIF('Apr11-Mar12 Billed-RETAIL'!$E$5:$E$149,$A$84,'Apr11-Mar12 Billed-RETAIL'!$H$5:$H$149)+SUMIF('Apr11-Mar12 Billed-RETAIL'!$E$5:$E$149,$A$84,'Apr11-Mar12 Billed-RETAIL'!$AF$5:$AF$149)+'Apr11-Mar12 FT-TS-Cashout-LG&amp;E'!T347</f>
        <v>1229</v>
      </c>
      <c r="I87" s="683">
        <f>VLOOKUP($A$84,'Retail Rates'!$A$7:$L$35,7,FALSE)</f>
        <v>170</v>
      </c>
      <c r="J87" s="684">
        <f>+F87*I87</f>
        <v>208930</v>
      </c>
      <c r="K87" s="684"/>
      <c r="L87" s="705">
        <f>L40</f>
        <v>175</v>
      </c>
      <c r="M87" s="684">
        <f>+$F87*L87</f>
        <v>215075</v>
      </c>
      <c r="N87" s="684"/>
    </row>
    <row r="88" spans="1:17" x14ac:dyDescent="0.25">
      <c r="F88" s="687"/>
    </row>
    <row r="89" spans="1:17" x14ac:dyDescent="0.25">
      <c r="D89" s="661" t="s">
        <v>652</v>
      </c>
      <c r="I89" s="686"/>
    </row>
    <row r="90" spans="1:17" x14ac:dyDescent="0.25">
      <c r="D90" s="661" t="s">
        <v>658</v>
      </c>
      <c r="G90" s="682">
        <f>((SUMIF('Apr11-Mar12 Billed-RETAIL'!$E$5:$E$149,$A$84,'Apr11-Mar12 Billed-RETAIL'!$I$5:$I$149)/10))+'Apr11-Mar12 FT-TS-Cashout-LG&amp;E'!U348</f>
        <v>500686.1</v>
      </c>
      <c r="I90" s="686">
        <f>VLOOKUP($A$84,'Retail Rates'!$A$7:$L$35,8,FALSE)*10</f>
        <v>1.9022000000000001</v>
      </c>
      <c r="J90" s="704">
        <f>+G90*I90</f>
        <v>952405.09941999998</v>
      </c>
      <c r="K90" s="704"/>
      <c r="L90" s="686">
        <v>2.1522999999999999</v>
      </c>
      <c r="M90" s="704">
        <f>+$G90*L90</f>
        <v>1077626.69303</v>
      </c>
      <c r="N90" s="704"/>
      <c r="Q90" s="658">
        <f>(+L90-I90)/I90</f>
        <v>0.13147933971191239</v>
      </c>
    </row>
    <row r="91" spans="1:17" x14ac:dyDescent="0.25">
      <c r="D91" s="661" t="s">
        <v>659</v>
      </c>
      <c r="E91" s="699"/>
      <c r="F91" s="699"/>
      <c r="H91" s="682">
        <f>SUMIF('Apr11-Mar12 Billed-RETAIL'!$E$5:$E$149,$A$84,'Apr11-Mar12 Billed-RETAIL'!$J$5:$J$149)/10+'Apr11-Mar12 FT-TS-Cashout-LG&amp;E'!U349</f>
        <v>291665.30000000005</v>
      </c>
      <c r="I91" s="686">
        <f>VLOOKUP($A$84,'Retail Rates'!$A$7:$L$35,9,FALSE)*10</f>
        <v>1.4022000000000001</v>
      </c>
      <c r="J91" s="704">
        <f>+I91*H91</f>
        <v>408973.08366000012</v>
      </c>
      <c r="K91" s="704"/>
      <c r="L91" s="686">
        <f>L90-0.5</f>
        <v>1.6522999999999999</v>
      </c>
      <c r="M91" s="704">
        <f>+$H91*L91</f>
        <v>481918.57519000006</v>
      </c>
      <c r="N91" s="704"/>
    </row>
    <row r="92" spans="1:17" x14ac:dyDescent="0.25">
      <c r="H92" s="687"/>
    </row>
    <row r="93" spans="1:17" x14ac:dyDescent="0.25">
      <c r="D93" s="661" t="s">
        <v>642</v>
      </c>
      <c r="H93" s="687"/>
      <c r="J93" s="684">
        <f ca="1">SUMIF('12-MO Billed Summary RETAIL'!$E$6:$E$16,'Exh R11Proposed Increase Detail'!$A$84,'12-MO Billed Summary RETAIL'!$AG$6:$AG$16)+SUMIF('12-MO Billed Summary RETAIL'!$E$6:$E$16,'Exh R11Proposed Increase Detail'!$A$84,'12-MO Billed Summary RETAIL'!$AH$6:$AH$16)+SUMIF('12-MO Billed Summary RETAIL'!$E$6:$E$16,'Exh R11Proposed Increase Detail'!$A$84,'12-MO Billed Summary RETAIL'!$AI$6:$AI$16)-0.54+SBR!BL22</f>
        <v>-36.260000000000005</v>
      </c>
      <c r="K93" s="684"/>
      <c r="M93" s="684">
        <f ca="1">J93*SUM(M86:M91)/SUM(J86:J91)</f>
        <v>-41.011292784144068</v>
      </c>
      <c r="N93" s="684"/>
    </row>
    <row r="94" spans="1:17" x14ac:dyDescent="0.25">
      <c r="H94" s="687"/>
    </row>
    <row r="95" spans="1:17" x14ac:dyDescent="0.25">
      <c r="H95" s="687"/>
    </row>
    <row r="96" spans="1:17" x14ac:dyDescent="0.25">
      <c r="H96" s="687"/>
      <c r="J96" s="704"/>
      <c r="K96" s="704"/>
      <c r="N96" s="704"/>
    </row>
    <row r="97" spans="3:16" x14ac:dyDescent="0.25">
      <c r="C97" s="676" t="s">
        <v>620</v>
      </c>
      <c r="H97" s="687"/>
    </row>
    <row r="98" spans="3:16" x14ac:dyDescent="0.25">
      <c r="D98" s="661" t="s">
        <v>660</v>
      </c>
      <c r="F98" s="661">
        <f>+'Summary SBR-Transport'!B13</f>
        <v>24</v>
      </c>
      <c r="I98" s="683">
        <v>153</v>
      </c>
      <c r="J98" s="704">
        <f>+F98*I98</f>
        <v>3672</v>
      </c>
      <c r="K98" s="704"/>
      <c r="L98" s="705">
        <v>592</v>
      </c>
      <c r="M98" s="684">
        <f>+$F98*L98</f>
        <v>14208</v>
      </c>
      <c r="N98" s="704"/>
    </row>
    <row r="100" spans="3:16" x14ac:dyDescent="0.25">
      <c r="D100" s="661" t="s">
        <v>652</v>
      </c>
    </row>
    <row r="101" spans="3:16" x14ac:dyDescent="0.25">
      <c r="C101" s="701"/>
      <c r="D101" s="661" t="s">
        <v>658</v>
      </c>
      <c r="G101" s="682">
        <f>+'Apr11-Mar12 FT-TS-Cashout-LG&amp;E'!U160</f>
        <v>23198.800000000003</v>
      </c>
      <c r="H101" s="682"/>
      <c r="I101" s="686">
        <f>VLOOKUP($A$84,'Retail Rates'!$A$7:$L$35,8,FALSE)*10</f>
        <v>1.9022000000000001</v>
      </c>
      <c r="J101" s="704">
        <f>+G101*I101</f>
        <v>44128.757360000011</v>
      </c>
      <c r="K101" s="704"/>
      <c r="L101" s="706">
        <f>L90</f>
        <v>2.1522999999999999</v>
      </c>
      <c r="M101" s="704">
        <f>+$G101*L101</f>
        <v>49930.777240000003</v>
      </c>
      <c r="N101" s="704"/>
    </row>
    <row r="102" spans="3:16" x14ac:dyDescent="0.25">
      <c r="C102" s="701"/>
      <c r="D102" s="661" t="s">
        <v>659</v>
      </c>
      <c r="E102" s="699"/>
      <c r="F102" s="699"/>
      <c r="H102" s="682">
        <f>+'Apr11-Mar12 FT-TS-Cashout-LG&amp;E'!U161</f>
        <v>26214.199999999997</v>
      </c>
      <c r="I102" s="686">
        <f>VLOOKUP($A$84,'Retail Rates'!$A$7:$L$35,9,FALSE)*10</f>
        <v>1.4022000000000001</v>
      </c>
      <c r="J102" s="704">
        <f>+I102*H102</f>
        <v>36757.551240000001</v>
      </c>
      <c r="K102" s="704"/>
      <c r="L102" s="706">
        <f>L91</f>
        <v>1.6522999999999999</v>
      </c>
      <c r="M102" s="704">
        <f>+$H102*L102</f>
        <v>43313.722659999992</v>
      </c>
      <c r="N102" s="704"/>
    </row>
    <row r="103" spans="3:16" x14ac:dyDescent="0.25">
      <c r="H103" s="687"/>
    </row>
    <row r="105" spans="3:16" x14ac:dyDescent="0.25">
      <c r="C105" s="676" t="s">
        <v>988</v>
      </c>
      <c r="D105" s="676"/>
      <c r="E105" s="676"/>
      <c r="F105" s="676"/>
      <c r="G105" s="689">
        <f>SUM(G90:G103)</f>
        <v>523884.89999999997</v>
      </c>
      <c r="H105" s="689">
        <f>SUM(H90:H103)</f>
        <v>317879.50000000006</v>
      </c>
      <c r="I105" s="676"/>
      <c r="J105" s="690">
        <f ca="1">SUM(J86:J104)</f>
        <v>1695570.2316799997</v>
      </c>
      <c r="K105" s="690"/>
      <c r="L105" s="690"/>
      <c r="M105" s="690">
        <f ca="1">SUM(M86:M104)</f>
        <v>1929561.7568272157</v>
      </c>
      <c r="N105" s="690"/>
      <c r="O105" s="684">
        <f ca="1">+'Exh R9-Reconst Billings Summary'!J22</f>
        <v>1695570.2299800012</v>
      </c>
      <c r="P105" s="705">
        <f ca="1">+J105-O105</f>
        <v>1.6999985091388226E-3</v>
      </c>
    </row>
    <row r="106" spans="3:16" x14ac:dyDescent="0.25">
      <c r="C106" s="688"/>
      <c r="J106" s="690"/>
      <c r="K106" s="690"/>
      <c r="L106" s="690"/>
      <c r="M106" s="690"/>
      <c r="N106" s="690"/>
      <c r="O106" s="684"/>
      <c r="P106" s="705"/>
    </row>
    <row r="107" spans="3:16" x14ac:dyDescent="0.25">
      <c r="C107" s="691"/>
      <c r="D107" s="691" t="s">
        <v>1035</v>
      </c>
      <c r="I107" s="692">
        <f ca="1">+'Exh R9-Reconst Billings Summary'!L22</f>
        <v>1.0000000010026118</v>
      </c>
      <c r="L107" s="693">
        <f ca="1">+I107</f>
        <v>1.0000000010026118</v>
      </c>
      <c r="N107" s="690"/>
      <c r="O107" s="684"/>
      <c r="P107" s="705"/>
    </row>
    <row r="108" spans="3:16" x14ac:dyDescent="0.25">
      <c r="C108" s="680"/>
      <c r="N108" s="690"/>
      <c r="O108" s="684"/>
      <c r="P108" s="705"/>
    </row>
    <row r="109" spans="3:16" x14ac:dyDescent="0.25">
      <c r="C109" s="661" t="s">
        <v>1114</v>
      </c>
      <c r="J109" s="690">
        <f ca="1">J105/I107</f>
        <v>1695570.229980001</v>
      </c>
      <c r="M109" s="690">
        <f ca="1">M105/L107</f>
        <v>1929561.7548926144</v>
      </c>
      <c r="N109" s="690"/>
      <c r="O109" s="684"/>
      <c r="P109" s="705"/>
    </row>
    <row r="110" spans="3:16" x14ac:dyDescent="0.25">
      <c r="C110" s="688"/>
      <c r="J110" s="707"/>
      <c r="K110" s="707"/>
      <c r="L110" s="707"/>
      <c r="M110" s="707"/>
      <c r="N110" s="690"/>
      <c r="O110" s="684"/>
      <c r="P110" s="705"/>
    </row>
    <row r="111" spans="3:16" x14ac:dyDescent="0.25">
      <c r="C111" s="680"/>
      <c r="D111" s="680" t="s">
        <v>1036</v>
      </c>
      <c r="G111" s="682">
        <f>+'Exh P12-Temp Adj'!B15</f>
        <v>60045.667439837664</v>
      </c>
      <c r="I111" s="694">
        <f>+I90</f>
        <v>1.9022000000000001</v>
      </c>
      <c r="J111" s="707">
        <f>+$G111*I111</f>
        <v>114218.86860405921</v>
      </c>
      <c r="K111" s="707"/>
      <c r="L111" s="694">
        <f>+L90</f>
        <v>2.1522999999999999</v>
      </c>
      <c r="M111" s="707">
        <f>+$G111*L111</f>
        <v>129236.2900307626</v>
      </c>
      <c r="N111" s="690"/>
      <c r="O111" s="684"/>
      <c r="P111" s="705"/>
    </row>
    <row r="112" spans="3:16" x14ac:dyDescent="0.25">
      <c r="D112" s="661" t="s">
        <v>1037</v>
      </c>
      <c r="G112" s="682">
        <f>+'Exh P6-Year-End Customer Adj'!K14</f>
        <v>-4030.2</v>
      </c>
      <c r="J112" s="707">
        <f ca="1">+'Exh P6-Year-End Customer Adj'!N14</f>
        <v>-8417</v>
      </c>
      <c r="K112" s="707"/>
      <c r="L112" s="707"/>
      <c r="M112" s="707">
        <f ca="1">+J112</f>
        <v>-8417</v>
      </c>
      <c r="N112" s="690"/>
      <c r="O112" s="684"/>
      <c r="P112" s="705"/>
    </row>
    <row r="113" spans="3:16" x14ac:dyDescent="0.25">
      <c r="J113" s="707"/>
      <c r="K113" s="707"/>
      <c r="L113" s="707"/>
      <c r="M113" s="707"/>
      <c r="N113" s="690"/>
      <c r="O113" s="684"/>
      <c r="P113" s="705"/>
    </row>
    <row r="114" spans="3:16" x14ac:dyDescent="0.25">
      <c r="C114" s="676" t="s">
        <v>1042</v>
      </c>
      <c r="J114" s="707"/>
      <c r="K114" s="707"/>
      <c r="L114" s="707"/>
      <c r="M114" s="707"/>
      <c r="N114" s="690"/>
      <c r="O114" s="684"/>
      <c r="P114" s="705"/>
    </row>
    <row r="115" spans="3:16" x14ac:dyDescent="0.25">
      <c r="C115" s="680"/>
      <c r="D115" s="680" t="s">
        <v>1048</v>
      </c>
      <c r="F115" s="708">
        <f>-'Exh P10-Rate Switch Adj'!$E$29</f>
        <v>-12</v>
      </c>
      <c r="I115" s="705">
        <f>+I87</f>
        <v>170</v>
      </c>
      <c r="J115" s="707">
        <f>+F115*I115</f>
        <v>-2040</v>
      </c>
      <c r="K115" s="707"/>
      <c r="L115" s="705">
        <f>+L87</f>
        <v>175</v>
      </c>
      <c r="M115" s="707">
        <f>+F115*L115</f>
        <v>-2100</v>
      </c>
      <c r="N115" s="690"/>
      <c r="O115" s="684"/>
      <c r="P115" s="705"/>
    </row>
    <row r="116" spans="3:16" x14ac:dyDescent="0.25">
      <c r="D116" s="661" t="s">
        <v>1046</v>
      </c>
      <c r="F116" s="708"/>
      <c r="G116" s="682">
        <f>-'Exh P10-Rate Switch Adj'!$E$30</f>
        <v>-11642.599999999999</v>
      </c>
      <c r="I116" s="694">
        <f>+I90</f>
        <v>1.9022000000000001</v>
      </c>
      <c r="J116" s="707">
        <f>+G116*I116</f>
        <v>-22146.55372</v>
      </c>
      <c r="K116" s="707"/>
      <c r="L116" s="686">
        <f>+L90</f>
        <v>2.1522999999999999</v>
      </c>
      <c r="M116" s="707">
        <f>+G116*L116</f>
        <v>-25058.367979999995</v>
      </c>
      <c r="N116" s="690"/>
      <c r="O116" s="684"/>
      <c r="P116" s="705"/>
    </row>
    <row r="117" spans="3:16" x14ac:dyDescent="0.25">
      <c r="D117" s="661" t="s">
        <v>1053</v>
      </c>
      <c r="F117" s="708"/>
      <c r="H117" s="682">
        <f>-'Exh P10-Rate Switch Adj'!$E$31</f>
        <v>-12730.100000000002</v>
      </c>
      <c r="I117" s="694">
        <f>+I91</f>
        <v>1.4022000000000001</v>
      </c>
      <c r="J117" s="707">
        <f>+H117*I117</f>
        <v>-17850.146220000006</v>
      </c>
      <c r="K117" s="707"/>
      <c r="L117" s="686">
        <f>+L91</f>
        <v>1.6522999999999999</v>
      </c>
      <c r="M117" s="707">
        <f>+H117*L117</f>
        <v>-21033.944230000001</v>
      </c>
      <c r="N117" s="690"/>
      <c r="O117" s="684"/>
      <c r="P117" s="705"/>
    </row>
    <row r="118" spans="3:16" x14ac:dyDescent="0.25">
      <c r="D118" s="661" t="s">
        <v>1047</v>
      </c>
      <c r="F118" s="708">
        <f>-'Exh P10-Rate Switch Adj'!$E$33</f>
        <v>-12</v>
      </c>
      <c r="I118" s="705">
        <f>+I98</f>
        <v>153</v>
      </c>
      <c r="J118" s="707">
        <f>+F118*I118</f>
        <v>-1836</v>
      </c>
      <c r="K118" s="707"/>
      <c r="L118" s="705">
        <f>+L98</f>
        <v>592</v>
      </c>
      <c r="M118" s="707">
        <f>+F118*L118</f>
        <v>-7104</v>
      </c>
      <c r="N118" s="690"/>
      <c r="O118" s="684"/>
      <c r="P118" s="705"/>
    </row>
    <row r="119" spans="3:16" x14ac:dyDescent="0.25">
      <c r="C119" s="680"/>
      <c r="J119" s="707"/>
      <c r="K119" s="707"/>
      <c r="L119" s="707"/>
      <c r="M119" s="707"/>
      <c r="N119" s="690"/>
      <c r="O119" s="684"/>
      <c r="P119" s="705"/>
    </row>
    <row r="120" spans="3:16" x14ac:dyDescent="0.25">
      <c r="D120" s="661" t="s">
        <v>1041</v>
      </c>
      <c r="G120" s="682">
        <f>((G105+H105+G111+G112)*((SUM(G90:H91)/SUM(G105:H105))))+G116+H117</f>
        <v>820705.96435996809</v>
      </c>
      <c r="I120" s="686">
        <f>+'GSC-DSM Factors'!$N$10</f>
        <v>3.4904000000000002</v>
      </c>
      <c r="J120" s="684">
        <f>+$G120*I120</f>
        <v>2864592.0980020328</v>
      </c>
      <c r="L120" s="694">
        <f>+I120</f>
        <v>3.4904000000000002</v>
      </c>
      <c r="M120" s="684">
        <f>+$G120*L120</f>
        <v>2864592.0980020328</v>
      </c>
      <c r="N120" s="690"/>
      <c r="O120" s="684"/>
      <c r="P120" s="705"/>
    </row>
    <row r="121" spans="3:16" x14ac:dyDescent="0.25">
      <c r="D121" s="661" t="s">
        <v>1043</v>
      </c>
      <c r="G121" s="682">
        <f>((G105+H105+G111+G112)*((SUM(G101:H102)/SUM(G105:H105))))</f>
        <v>52701.203079869738</v>
      </c>
      <c r="I121" s="686">
        <f>+'GSC-DSM Factors'!$K$10</f>
        <v>0.88</v>
      </c>
      <c r="J121" s="684">
        <f>+$G121*I121</f>
        <v>46377.058710285368</v>
      </c>
      <c r="K121" s="707"/>
      <c r="L121" s="694">
        <f>+I121</f>
        <v>0.88</v>
      </c>
      <c r="M121" s="684">
        <f>+$G121*L121</f>
        <v>46377.058710285368</v>
      </c>
      <c r="N121" s="690"/>
      <c r="O121" s="684"/>
      <c r="P121" s="705"/>
    </row>
    <row r="122" spans="3:16" x14ac:dyDescent="0.25">
      <c r="C122" s="680"/>
      <c r="J122" s="707"/>
      <c r="K122" s="707"/>
      <c r="L122" s="707"/>
      <c r="M122" s="707"/>
      <c r="N122" s="690"/>
      <c r="O122" s="684"/>
      <c r="P122" s="705"/>
    </row>
    <row r="123" spans="3:16" ht="16.5" thickBot="1" x14ac:dyDescent="0.3">
      <c r="C123" s="676" t="s">
        <v>1044</v>
      </c>
      <c r="G123" s="682">
        <f>+G105+H105+G111+G112+G116+H117</f>
        <v>873407.16743983782</v>
      </c>
      <c r="J123" s="709">
        <f ca="1">SUM(J109:J121)</f>
        <v>4668468.5553563787</v>
      </c>
      <c r="K123" s="707"/>
      <c r="L123" s="707"/>
      <c r="M123" s="709">
        <f ca="1">SUM(M109:M121)</f>
        <v>4906053.8894256949</v>
      </c>
      <c r="N123" s="690"/>
      <c r="O123" s="684"/>
      <c r="P123" s="705"/>
    </row>
    <row r="124" spans="3:16" ht="17.25" thickTop="1" thickBot="1" x14ac:dyDescent="0.3">
      <c r="C124" s="680"/>
      <c r="J124" s="707"/>
      <c r="K124" s="707"/>
      <c r="L124" s="707"/>
      <c r="M124" s="707"/>
      <c r="N124" s="690"/>
      <c r="O124" s="684"/>
      <c r="P124" s="705"/>
    </row>
    <row r="125" spans="3:16" ht="16.5" thickBot="1" x14ac:dyDescent="0.3">
      <c r="C125" s="699"/>
      <c r="D125" s="696" t="s">
        <v>1039</v>
      </c>
      <c r="J125" s="707"/>
      <c r="K125" s="707"/>
      <c r="L125" s="707"/>
      <c r="M125" s="710">
        <f ca="1">M123-J123</f>
        <v>237585.33406931628</v>
      </c>
      <c r="N125" s="965">
        <f ca="1">'Exh R10-Summary of Increase'!O16</f>
        <v>237589.2561692748</v>
      </c>
      <c r="O125" s="661" t="s">
        <v>1137</v>
      </c>
      <c r="P125" s="705"/>
    </row>
    <row r="126" spans="3:16" x14ac:dyDescent="0.25">
      <c r="C126" s="688"/>
      <c r="J126" s="707"/>
      <c r="K126" s="707"/>
      <c r="L126" s="707"/>
      <c r="M126" s="700">
        <f ca="1">M125/J123</f>
        <v>5.0891492842277404E-2</v>
      </c>
      <c r="N126" s="690">
        <f ca="1">N125-M125</f>
        <v>3.9220999585231766</v>
      </c>
      <c r="O126" s="684"/>
      <c r="P126" s="705"/>
    </row>
    <row r="127" spans="3:16" x14ac:dyDescent="0.25">
      <c r="C127" s="676"/>
      <c r="J127" s="707"/>
      <c r="K127" s="707"/>
      <c r="L127" s="707"/>
      <c r="M127" s="707"/>
      <c r="N127" s="690"/>
      <c r="O127" s="684"/>
      <c r="P127" s="705"/>
    </row>
    <row r="129" spans="1:16" ht="18.75" x14ac:dyDescent="0.3">
      <c r="C129" s="712" t="s">
        <v>1115</v>
      </c>
    </row>
    <row r="131" spans="1:16" x14ac:dyDescent="0.25">
      <c r="A131" s="419" t="s">
        <v>181</v>
      </c>
      <c r="C131" s="688" t="s">
        <v>761</v>
      </c>
    </row>
    <row r="132" spans="1:16" x14ac:dyDescent="0.25">
      <c r="A132" s="434" t="s">
        <v>191</v>
      </c>
      <c r="D132" s="680" t="s">
        <v>1049</v>
      </c>
      <c r="F132" s="682">
        <f>SUMIF('Apr11-Mar12 Billed-RETAIL'!$E$5:$E$149,$A$131,'Apr11-Mar12 Billed-RETAIL'!$F$5:$F$149)+SUMIF('Apr11-Mar12 Billed-RETAIL'!$E$5:$E$149,$A$132,'Apr11-Mar12 Billed-RETAIL'!$F$5:$F$149)+SUMIF('Apr11-Mar12 Billed-RETAIL'!$E$5:$E$149,$A$131,'Apr11-Mar12 Billed-RETAIL'!$AE$5:$AE$149)+SUMIF('Apr11-Mar12 Billed-RETAIL'!$E$5:$E$149,$A$132,'Apr11-Mar12 Billed-RETAIL'!$AE$5:$AE$149)</f>
        <v>164</v>
      </c>
      <c r="I132" s="683">
        <f>VLOOKUP("AAGS",'Retail Rates'!$A$7:$L$35,6,FALSE)</f>
        <v>275</v>
      </c>
      <c r="J132" s="704">
        <f>+F132*I132</f>
        <v>45100</v>
      </c>
      <c r="K132" s="704"/>
      <c r="L132" s="705">
        <f>+I132</f>
        <v>275</v>
      </c>
      <c r="M132" s="684">
        <f>+$F132*L132</f>
        <v>45100</v>
      </c>
      <c r="N132" s="704">
        <f>L132-I132</f>
        <v>0</v>
      </c>
    </row>
    <row r="134" spans="1:16" x14ac:dyDescent="0.25">
      <c r="D134" s="661" t="s">
        <v>652</v>
      </c>
      <c r="G134" s="682">
        <f ca="1">(SUMIF('12-MO Billed Summary RETAIL'!$E$5:$E$18,$A$131,'12-MO Billed Summary RETAIL'!$I$5:$I$18)+SUMIF('12-MO Billed Summary RETAIL'!$E$5:$E$18,$A$132,'12-MO Billed Summary RETAIL'!$I$5:$I$18))/10</f>
        <v>343960.9</v>
      </c>
      <c r="I134" s="686">
        <f>VLOOKUP("AAGS",'Retail Rates'!$A$7:$L$35,8,FALSE)*10</f>
        <v>0.5252</v>
      </c>
      <c r="J134" s="704">
        <f ca="1">+G134*I134</f>
        <v>180648.26468000002</v>
      </c>
      <c r="K134" s="704"/>
      <c r="L134" s="706">
        <v>0.61170000000000002</v>
      </c>
      <c r="M134" s="704">
        <f ca="1">+$G134*L134</f>
        <v>210400.88253000003</v>
      </c>
      <c r="N134" s="955">
        <f>L134-I134</f>
        <v>8.6500000000000021E-2</v>
      </c>
    </row>
    <row r="136" spans="1:16" x14ac:dyDescent="0.25">
      <c r="C136" s="673"/>
      <c r="D136" s="661" t="s">
        <v>642</v>
      </c>
      <c r="E136" s="713"/>
      <c r="F136" s="713"/>
      <c r="G136" s="713"/>
      <c r="J136" s="684">
        <f ca="1">SUMIF('12-MO Billed Summary RETAIL'!$E$5:$E$20,$A131,'12-MO Billed Summary RETAIL'!$AG$5:$AG$20)+SUMIF('12-MO Billed Summary RETAIL'!$E$5:$E$20,$A132,'12-MO Billed Summary RETAIL'!$AG$5:$AG$20)+SBR!BL26</f>
        <v>165.01</v>
      </c>
      <c r="K136" s="684"/>
      <c r="L136" s="684"/>
      <c r="M136" s="684">
        <f ca="1">J136*(M134+M132)/(J132+J134)</f>
        <v>186.75758454240045</v>
      </c>
      <c r="N136" s="684"/>
    </row>
    <row r="137" spans="1:16" x14ac:dyDescent="0.25">
      <c r="C137" s="673"/>
      <c r="D137" s="713"/>
      <c r="E137" s="713"/>
      <c r="F137" s="713"/>
      <c r="G137" s="713"/>
    </row>
    <row r="139" spans="1:16" x14ac:dyDescent="0.25">
      <c r="C139" s="676" t="s">
        <v>988</v>
      </c>
      <c r="D139" s="676"/>
      <c r="E139" s="676"/>
      <c r="F139" s="676"/>
      <c r="G139" s="689">
        <f ca="1">SUM(G134:G138)</f>
        <v>343960.9</v>
      </c>
      <c r="J139" s="690">
        <f ca="1">SUM(J132:J138)</f>
        <v>225913.27468000003</v>
      </c>
      <c r="K139" s="690"/>
      <c r="L139" s="690"/>
      <c r="M139" s="690">
        <f ca="1">SUM(M132:M138)</f>
        <v>255687.64011454245</v>
      </c>
      <c r="N139" s="690"/>
      <c r="O139" s="684">
        <f ca="1">+'Exh R9-Reconst Billings Summary'!J25</f>
        <v>225913.29542000013</v>
      </c>
      <c r="P139" s="684">
        <f ca="1">+J139-O139</f>
        <v>-2.0740000094519928E-2</v>
      </c>
    </row>
    <row r="140" spans="1:16" x14ac:dyDescent="0.25">
      <c r="C140" s="688"/>
      <c r="J140" s="690"/>
      <c r="K140" s="690"/>
      <c r="L140" s="690"/>
      <c r="M140" s="690"/>
      <c r="N140" s="690"/>
      <c r="O140" s="684"/>
      <c r="P140" s="684"/>
    </row>
    <row r="141" spans="1:16" x14ac:dyDescent="0.25">
      <c r="C141" s="691"/>
      <c r="D141" s="691" t="s">
        <v>1035</v>
      </c>
      <c r="I141" s="692">
        <f ca="1">+'Exh R9-Reconst Billings Summary'!L25</f>
        <v>0.99999990819486717</v>
      </c>
      <c r="L141" s="693">
        <f ca="1">+I141</f>
        <v>0.99999990819486717</v>
      </c>
      <c r="N141" s="690"/>
      <c r="O141" s="684"/>
      <c r="P141" s="684"/>
    </row>
    <row r="142" spans="1:16" x14ac:dyDescent="0.25">
      <c r="C142" s="680"/>
      <c r="N142" s="690"/>
      <c r="O142" s="684"/>
      <c r="P142" s="684"/>
    </row>
    <row r="143" spans="1:16" x14ac:dyDescent="0.25">
      <c r="C143" s="661" t="s">
        <v>1116</v>
      </c>
      <c r="J143" s="690">
        <f ca="1">J139/I141</f>
        <v>225913.29542000013</v>
      </c>
      <c r="M143" s="690">
        <f ca="1">M139/L141</f>
        <v>255687.66358798236</v>
      </c>
      <c r="N143" s="690"/>
      <c r="O143" s="684"/>
      <c r="P143" s="684"/>
    </row>
    <row r="144" spans="1:16" x14ac:dyDescent="0.25">
      <c r="C144" s="688"/>
      <c r="J144" s="707"/>
      <c r="K144" s="707"/>
      <c r="L144" s="707"/>
      <c r="M144" s="707"/>
      <c r="N144" s="707"/>
      <c r="O144" s="684"/>
      <c r="P144" s="684"/>
    </row>
    <row r="145" spans="3:18" x14ac:dyDescent="0.25">
      <c r="C145" s="680"/>
      <c r="D145" s="680" t="s">
        <v>1036</v>
      </c>
      <c r="G145" s="682">
        <f>+'Exh P12-Temp Adj'!B17</f>
        <v>35305.429673041333</v>
      </c>
      <c r="I145" s="694">
        <f>+I134</f>
        <v>0.5252</v>
      </c>
      <c r="J145" s="707">
        <f>+G145*I145</f>
        <v>18542.41166428131</v>
      </c>
      <c r="K145" s="707"/>
      <c r="L145" s="694">
        <f>+L134</f>
        <v>0.61170000000000002</v>
      </c>
      <c r="M145" s="707">
        <f>+$G145*L145</f>
        <v>21596.331330999383</v>
      </c>
      <c r="N145" s="707"/>
      <c r="O145" s="684"/>
      <c r="P145" s="684"/>
    </row>
    <row r="146" spans="3:18" x14ac:dyDescent="0.25">
      <c r="D146" s="661" t="s">
        <v>1037</v>
      </c>
      <c r="G146" s="682">
        <f>+'Exh P6-Year-End Customer Adj'!K16</f>
        <v>0</v>
      </c>
      <c r="J146" s="707">
        <f>+'Exh P6-Year-End Customer Adj'!N16</f>
        <v>0</v>
      </c>
      <c r="K146" s="707"/>
      <c r="L146" s="707"/>
      <c r="M146" s="707">
        <f>+J146</f>
        <v>0</v>
      </c>
      <c r="N146" s="707"/>
      <c r="O146" s="684"/>
      <c r="P146" s="684"/>
    </row>
    <row r="147" spans="3:18" x14ac:dyDescent="0.25">
      <c r="J147" s="707"/>
      <c r="K147" s="707"/>
      <c r="L147" s="707"/>
      <c r="M147" s="707"/>
      <c r="N147" s="707"/>
      <c r="O147" s="684"/>
      <c r="P147" s="684"/>
    </row>
    <row r="148" spans="3:18" x14ac:dyDescent="0.25">
      <c r="C148" s="676" t="s">
        <v>1042</v>
      </c>
      <c r="J148" s="707"/>
      <c r="K148" s="707"/>
      <c r="L148" s="707"/>
      <c r="M148" s="707"/>
      <c r="N148" s="707"/>
      <c r="O148" s="684"/>
      <c r="P148" s="684"/>
    </row>
    <row r="149" spans="3:18" x14ac:dyDescent="0.25">
      <c r="C149" s="680"/>
      <c r="D149" s="680" t="s">
        <v>1048</v>
      </c>
      <c r="F149" s="687">
        <f>-'Exh P10-Rate Switch Adj'!$E$16</f>
        <v>-12</v>
      </c>
      <c r="G149" s="687"/>
      <c r="I149" s="705">
        <f>+I132</f>
        <v>275</v>
      </c>
      <c r="J149" s="707">
        <f>+F149*I149</f>
        <v>-3300</v>
      </c>
      <c r="K149" s="707"/>
      <c r="L149" s="705">
        <f>+L132</f>
        <v>275</v>
      </c>
      <c r="M149" s="704">
        <f>+$F149*L149</f>
        <v>-3300</v>
      </c>
      <c r="N149" s="707"/>
      <c r="O149" s="684"/>
      <c r="P149" s="684"/>
    </row>
    <row r="150" spans="3:18" x14ac:dyDescent="0.25">
      <c r="D150" s="661" t="s">
        <v>1046</v>
      </c>
      <c r="F150" s="687"/>
      <c r="G150" s="687">
        <f>-'Exh P10-Rate Switch Adj'!$E$17</f>
        <v>-14765.4</v>
      </c>
      <c r="I150" s="694">
        <f>+I134</f>
        <v>0.5252</v>
      </c>
      <c r="J150" s="707">
        <f>+G150*I150</f>
        <v>-7754.7880800000003</v>
      </c>
      <c r="K150" s="707"/>
      <c r="L150" s="694">
        <f>+L134</f>
        <v>0.61170000000000002</v>
      </c>
      <c r="M150" s="704">
        <f>+$G150*L150</f>
        <v>-9031.9951799999999</v>
      </c>
      <c r="N150" s="707"/>
      <c r="O150" s="684"/>
      <c r="P150" s="684"/>
    </row>
    <row r="151" spans="3:18" x14ac:dyDescent="0.25">
      <c r="F151" s="687"/>
      <c r="G151" s="687"/>
      <c r="J151" s="707"/>
      <c r="K151" s="707"/>
      <c r="L151" s="707"/>
      <c r="M151" s="707"/>
      <c r="N151" s="707"/>
      <c r="O151" s="684"/>
      <c r="P151" s="684"/>
    </row>
    <row r="152" spans="3:18" x14ac:dyDescent="0.25">
      <c r="D152" s="661" t="s">
        <v>1041</v>
      </c>
      <c r="F152" s="687"/>
      <c r="G152" s="687">
        <f ca="1">SUM(G139:G151)</f>
        <v>364500.92967304133</v>
      </c>
      <c r="I152" s="686">
        <f>+'GSC-DSM Factors'!$N$10</f>
        <v>3.4904000000000002</v>
      </c>
      <c r="J152" s="684">
        <f ca="1">+$G152*I152</f>
        <v>1272254.0449307836</v>
      </c>
      <c r="L152" s="694">
        <f>+I152</f>
        <v>3.4904000000000002</v>
      </c>
      <c r="M152" s="684">
        <f ca="1">+$G152*L152</f>
        <v>1272254.0449307836</v>
      </c>
      <c r="N152" s="707"/>
      <c r="O152" s="684"/>
      <c r="P152" s="684"/>
    </row>
    <row r="153" spans="3:18" x14ac:dyDescent="0.25">
      <c r="D153" s="661" t="s">
        <v>1043</v>
      </c>
      <c r="G153" s="687">
        <v>0</v>
      </c>
      <c r="I153" s="686">
        <f>+'GSC-DSM Factors'!$K$10</f>
        <v>0.88</v>
      </c>
      <c r="J153" s="684">
        <f>+$G153*I153</f>
        <v>0</v>
      </c>
      <c r="K153" s="707"/>
      <c r="L153" s="694">
        <f>+I153</f>
        <v>0.88</v>
      </c>
      <c r="M153" s="684">
        <f>+$G153*L153</f>
        <v>0</v>
      </c>
      <c r="N153" s="707"/>
      <c r="O153" s="684"/>
      <c r="P153" s="684"/>
    </row>
    <row r="154" spans="3:18" x14ac:dyDescent="0.25">
      <c r="C154" s="680"/>
      <c r="J154" s="707"/>
      <c r="K154" s="707"/>
      <c r="L154" s="707"/>
      <c r="M154" s="707"/>
      <c r="N154" s="707"/>
      <c r="O154" s="684"/>
      <c r="P154" s="684"/>
    </row>
    <row r="155" spans="3:18" ht="16.5" thickBot="1" x14ac:dyDescent="0.3">
      <c r="C155" s="676" t="s">
        <v>1052</v>
      </c>
      <c r="J155" s="709">
        <f ca="1">SUM(J143:J154)</f>
        <v>1505654.9639350651</v>
      </c>
      <c r="K155" s="707"/>
      <c r="L155" s="707"/>
      <c r="M155" s="709">
        <f ca="1">SUM(M143:M154)</f>
        <v>1537206.0446697653</v>
      </c>
      <c r="N155" s="707"/>
      <c r="O155" s="684"/>
      <c r="P155" s="684"/>
      <c r="R155" s="687"/>
    </row>
    <row r="156" spans="3:18" ht="17.25" thickTop="1" thickBot="1" x14ac:dyDescent="0.3">
      <c r="C156" s="680"/>
      <c r="J156" s="707"/>
      <c r="K156" s="707"/>
      <c r="L156" s="707"/>
      <c r="M156" s="707"/>
      <c r="N156" s="707"/>
      <c r="O156" s="684"/>
      <c r="P156" s="684"/>
    </row>
    <row r="157" spans="3:18" ht="16.5" thickBot="1" x14ac:dyDescent="0.3">
      <c r="C157" s="699"/>
      <c r="D157" s="696" t="s">
        <v>1039</v>
      </c>
      <c r="J157" s="707"/>
      <c r="K157" s="707"/>
      <c r="L157" s="707"/>
      <c r="M157" s="710">
        <f ca="1">M155-J155</f>
        <v>31551.080734700197</v>
      </c>
      <c r="N157" s="965">
        <f ca="1">'Exh R10-Summary of Increase'!O18</f>
        <v>31552.528995592093</v>
      </c>
      <c r="O157" s="661" t="s">
        <v>1137</v>
      </c>
      <c r="P157" s="684"/>
    </row>
    <row r="158" spans="3:18" x14ac:dyDescent="0.25">
      <c r="C158" s="676"/>
      <c r="J158" s="707"/>
      <c r="K158" s="707"/>
      <c r="L158" s="707"/>
      <c r="M158" s="700">
        <f ca="1">M157/J155</f>
        <v>2.095505377423304E-2</v>
      </c>
      <c r="N158" s="707">
        <f ca="1">N157-M157</f>
        <v>1.4482608918951883</v>
      </c>
      <c r="O158" s="684"/>
      <c r="P158" s="684"/>
    </row>
    <row r="161" spans="3:18" ht="18.75" x14ac:dyDescent="0.3">
      <c r="C161" s="675" t="s">
        <v>666</v>
      </c>
    </row>
    <row r="162" spans="3:18" x14ac:dyDescent="0.25">
      <c r="C162" s="678"/>
      <c r="D162" s="678"/>
      <c r="E162" s="678"/>
    </row>
    <row r="163" spans="3:18" x14ac:dyDescent="0.25">
      <c r="C163" s="676" t="s">
        <v>667</v>
      </c>
    </row>
    <row r="164" spans="3:18" x14ac:dyDescent="0.25">
      <c r="C164" s="713"/>
      <c r="D164" s="661" t="s">
        <v>660</v>
      </c>
      <c r="E164" s="713"/>
      <c r="F164" s="714">
        <f>+'Apr11-Mar12 FT-TS-Cashout-LG&amp;E'!T9+'Apr11-Mar12 FT-TS-Cashout-LG&amp;E'!T30</f>
        <v>876</v>
      </c>
      <c r="G164" s="713"/>
      <c r="I164" s="683">
        <v>230</v>
      </c>
      <c r="J164" s="704">
        <f>+F164*I164</f>
        <v>201480</v>
      </c>
      <c r="K164" s="704"/>
      <c r="L164" s="683">
        <v>600</v>
      </c>
      <c r="M164" s="704">
        <f>+F164*L164</f>
        <v>525600</v>
      </c>
      <c r="N164" s="704"/>
      <c r="O164" s="684"/>
      <c r="R164" s="595"/>
    </row>
    <row r="165" spans="3:18" x14ac:dyDescent="0.25">
      <c r="O165" s="684"/>
    </row>
    <row r="166" spans="3:18" x14ac:dyDescent="0.25">
      <c r="D166" s="661" t="s">
        <v>652</v>
      </c>
      <c r="G166" s="682">
        <f>+'Apr11-Mar12 FT-TS-Cashout-LG&amp;E'!T10+'Apr11-Mar12 FT-TS-Cashout-LG&amp;E'!T31</f>
        <v>10079083.300000001</v>
      </c>
      <c r="I166" s="686">
        <v>0.43</v>
      </c>
      <c r="J166" s="704">
        <f>+G166*I166</f>
        <v>4334005.8190000001</v>
      </c>
      <c r="K166" s="704"/>
      <c r="L166" s="686">
        <f>+I166</f>
        <v>0.43</v>
      </c>
      <c r="M166" s="704">
        <f>+G166*L166</f>
        <v>4334005.8190000001</v>
      </c>
      <c r="O166" s="684"/>
    </row>
    <row r="167" spans="3:18" x14ac:dyDescent="0.25">
      <c r="D167" s="661" t="s">
        <v>1059</v>
      </c>
      <c r="G167" s="682">
        <f>+'Apr11-Mar12 FT-TS-Cashout-LG&amp;E'!T223+'Apr11-Mar12 FT-TS-Cashout-LG&amp;E'!T238</f>
        <v>4013</v>
      </c>
      <c r="I167" s="686">
        <f>+I166</f>
        <v>0.43</v>
      </c>
      <c r="J167" s="704">
        <f>+G167*I167-0.1</f>
        <v>1725.49</v>
      </c>
      <c r="L167" s="686">
        <f>L166</f>
        <v>0.43</v>
      </c>
      <c r="M167" s="704">
        <f>+G167*L167</f>
        <v>1725.59</v>
      </c>
      <c r="N167" s="704"/>
      <c r="O167" s="684"/>
    </row>
    <row r="168" spans="3:18" x14ac:dyDescent="0.25">
      <c r="O168" s="684"/>
    </row>
    <row r="169" spans="3:18" x14ac:dyDescent="0.25">
      <c r="D169" s="661" t="s">
        <v>668</v>
      </c>
    </row>
    <row r="170" spans="3:18" x14ac:dyDescent="0.25">
      <c r="D170" s="715" t="s">
        <v>774</v>
      </c>
      <c r="E170" s="716"/>
      <c r="F170" s="716"/>
      <c r="G170" s="710">
        <f>+J170/I170</f>
        <v>926436.42601969047</v>
      </c>
      <c r="I170" s="686">
        <v>0.18329999999999999</v>
      </c>
      <c r="J170" s="704">
        <f>+'Apr11-Mar12 FT-TS-Cashout-LG&amp;E'!T66</f>
        <v>169815.79688940925</v>
      </c>
      <c r="K170" s="704"/>
      <c r="L170" s="686">
        <v>0.18329999999999999</v>
      </c>
      <c r="M170" s="704">
        <f>+G170*L170</f>
        <v>169815.79688940925</v>
      </c>
      <c r="N170" s="704"/>
    </row>
    <row r="171" spans="3:18" x14ac:dyDescent="0.25">
      <c r="E171" s="716"/>
      <c r="F171" s="716"/>
      <c r="G171" s="716"/>
      <c r="I171" s="686"/>
      <c r="J171" s="704"/>
      <c r="K171" s="704"/>
      <c r="L171" s="704"/>
      <c r="M171" s="704"/>
      <c r="N171" s="704"/>
    </row>
    <row r="172" spans="3:18" x14ac:dyDescent="0.25">
      <c r="D172" s="661" t="s">
        <v>642</v>
      </c>
      <c r="E172" s="716"/>
      <c r="F172" s="716"/>
      <c r="G172" s="716"/>
      <c r="I172" s="686"/>
      <c r="J172" s="684">
        <f>+'Exh R9-Reconst Billings Detail'!J110</f>
        <v>153.21999999999963</v>
      </c>
      <c r="K172" s="684"/>
      <c r="L172" s="684"/>
      <c r="M172" s="684">
        <f>J172*SUM(M164:M170)/SUM(J164:J170)</f>
        <v>163.77054084134369</v>
      </c>
      <c r="N172" s="684"/>
      <c r="R172" s="428"/>
    </row>
    <row r="173" spans="3:18" x14ac:dyDescent="0.25">
      <c r="E173" s="716"/>
      <c r="F173" s="716"/>
      <c r="G173" s="716"/>
    </row>
    <row r="174" spans="3:18" x14ac:dyDescent="0.25">
      <c r="O174" s="684"/>
      <c r="P174" s="428"/>
    </row>
    <row r="175" spans="3:18" x14ac:dyDescent="0.25">
      <c r="C175" s="676" t="s">
        <v>988</v>
      </c>
      <c r="D175" s="676"/>
      <c r="J175" s="690">
        <f>SUM(J164:J174)</f>
        <v>4707180.3258894095</v>
      </c>
      <c r="K175" s="690"/>
      <c r="L175" s="690"/>
      <c r="M175" s="690">
        <f>SUM(M164:M174)</f>
        <v>5031310.9764302503</v>
      </c>
      <c r="N175" s="690"/>
      <c r="O175" s="684">
        <f>+'Exh R9-Reconst Billings Summary'!J29</f>
        <v>4707180.0511994092</v>
      </c>
      <c r="P175" s="684">
        <f>+J175-O175</f>
        <v>0.27469000034034252</v>
      </c>
    </row>
    <row r="176" spans="3:18" x14ac:dyDescent="0.25">
      <c r="C176" s="688"/>
      <c r="J176" s="690"/>
      <c r="K176" s="690"/>
      <c r="L176" s="690"/>
      <c r="M176" s="690"/>
    </row>
    <row r="177" spans="3:18" x14ac:dyDescent="0.25">
      <c r="C177" s="691"/>
      <c r="D177" s="691" t="s">
        <v>1035</v>
      </c>
      <c r="I177" s="692">
        <f>+'Exh R9-Reconst Billings Summary'!L29</f>
        <v>1.0000000583555329</v>
      </c>
      <c r="L177" s="693">
        <f>+I177</f>
        <v>1.0000000583555329</v>
      </c>
    </row>
    <row r="178" spans="3:18" x14ac:dyDescent="0.25">
      <c r="C178" s="680"/>
    </row>
    <row r="179" spans="3:18" x14ac:dyDescent="0.25">
      <c r="C179" s="661" t="s">
        <v>1117</v>
      </c>
      <c r="J179" s="690">
        <f>J175/I177</f>
        <v>4707180.0511994092</v>
      </c>
      <c r="M179" s="690">
        <f>M175/L177</f>
        <v>5031310.682825435</v>
      </c>
    </row>
    <row r="180" spans="3:18" x14ac:dyDescent="0.25">
      <c r="C180" s="688"/>
    </row>
    <row r="181" spans="3:18" x14ac:dyDescent="0.25">
      <c r="C181" s="680"/>
      <c r="D181" s="680" t="s">
        <v>1036</v>
      </c>
      <c r="G181" s="687">
        <f>+'Exh P12-Temp Adj'!B19</f>
        <v>620932.03288093721</v>
      </c>
      <c r="I181" s="694">
        <f>+I166</f>
        <v>0.43</v>
      </c>
      <c r="J181" s="707">
        <f>+G181*I181</f>
        <v>267000.77413880301</v>
      </c>
      <c r="K181" s="707"/>
      <c r="L181" s="694">
        <f>+L166</f>
        <v>0.43</v>
      </c>
      <c r="M181" s="707">
        <f>+$G181*L181</f>
        <v>267000.77413880301</v>
      </c>
    </row>
    <row r="182" spans="3:18" x14ac:dyDescent="0.25">
      <c r="D182" s="661" t="s">
        <v>1037</v>
      </c>
      <c r="G182" s="687">
        <f>+'Exh P6-Year-End Customer Adj'!K18</f>
        <v>0</v>
      </c>
      <c r="J182" s="707">
        <f>+'Exh P6-Year-End Customer Adj'!N18</f>
        <v>0</v>
      </c>
      <c r="K182" s="707"/>
      <c r="L182" s="707"/>
      <c r="M182" s="707">
        <f>+J182</f>
        <v>0</v>
      </c>
    </row>
    <row r="184" spans="3:18" x14ac:dyDescent="0.25">
      <c r="C184" s="676" t="s">
        <v>1042</v>
      </c>
    </row>
    <row r="185" spans="3:18" x14ac:dyDescent="0.25">
      <c r="C185" s="676"/>
      <c r="D185" s="661" t="s">
        <v>1047</v>
      </c>
      <c r="F185" s="661">
        <f>+'Exh P10-Rate Switch Adj'!$E$19+'Exh P10-Rate Switch Adj'!$E$33</f>
        <v>24</v>
      </c>
      <c r="I185" s="705">
        <f>+I164</f>
        <v>230</v>
      </c>
      <c r="J185" s="684">
        <f>+$F185*I185</f>
        <v>5520</v>
      </c>
      <c r="L185" s="705">
        <f>+L164</f>
        <v>600</v>
      </c>
      <c r="M185" s="704">
        <f>+$F185*L185</f>
        <v>14400</v>
      </c>
      <c r="R185" s="595"/>
    </row>
    <row r="186" spans="3:18" x14ac:dyDescent="0.25">
      <c r="D186" s="661" t="s">
        <v>1046</v>
      </c>
      <c r="G186" s="687">
        <f>+'Exh P10-Rate Switch Adj'!$E$12+'Exh P10-Rate Switch Adj'!$E$13+'Exh P10-Rate Switch Adj'!$E$17+'Exh P10-Rate Switch Adj'!$E$30+'Exh P10-Rate Switch Adj'!$E$31</f>
        <v>50708.899999999994</v>
      </c>
      <c r="I186" s="694">
        <f>+I166</f>
        <v>0.43</v>
      </c>
      <c r="J186" s="704">
        <f>+$G186*I186</f>
        <v>21804.826999999997</v>
      </c>
      <c r="L186" s="694">
        <f>+L166</f>
        <v>0.43</v>
      </c>
      <c r="M186" s="704">
        <f>+$G186*L186</f>
        <v>21804.826999999997</v>
      </c>
    </row>
    <row r="187" spans="3:18" x14ac:dyDescent="0.25">
      <c r="J187" s="704"/>
      <c r="R187" s="428"/>
    </row>
    <row r="188" spans="3:18" x14ac:dyDescent="0.25">
      <c r="D188" s="661" t="s">
        <v>1055</v>
      </c>
      <c r="G188" s="710">
        <f>+G170</f>
        <v>926436.42601969047</v>
      </c>
      <c r="I188" s="686">
        <f>+'GSC-DSM Factors'!$I$10</f>
        <v>0.17219999999999999</v>
      </c>
      <c r="J188" s="704">
        <f>+$G188*I188</f>
        <v>159532.35256059069</v>
      </c>
      <c r="L188" s="694">
        <f>+I188</f>
        <v>0.17219999999999999</v>
      </c>
      <c r="M188" s="704">
        <f>+$G188*L188</f>
        <v>159532.35256059069</v>
      </c>
    </row>
    <row r="189" spans="3:18" x14ac:dyDescent="0.25">
      <c r="J189" s="704"/>
    </row>
    <row r="190" spans="3:18" ht="16.5" thickBot="1" x14ac:dyDescent="0.3">
      <c r="C190" s="676" t="s">
        <v>1054</v>
      </c>
      <c r="G190" s="687">
        <f>+G166+G181+G182+G186</f>
        <v>10750724.232880939</v>
      </c>
      <c r="J190" s="709">
        <f>SUM(J179:J189)</f>
        <v>5161038.0048988024</v>
      </c>
      <c r="K190" s="707"/>
      <c r="L190" s="707"/>
      <c r="M190" s="709">
        <f>SUM(M179:M189)</f>
        <v>5494048.6365248282</v>
      </c>
    </row>
    <row r="191" spans="3:18" ht="16.5" thickTop="1" x14ac:dyDescent="0.25">
      <c r="C191" s="680"/>
      <c r="J191" s="704"/>
    </row>
    <row r="192" spans="3:18" x14ac:dyDescent="0.25">
      <c r="C192" s="699"/>
      <c r="D192" s="696" t="s">
        <v>1039</v>
      </c>
      <c r="M192" s="710">
        <f>M190-J190</f>
        <v>333010.63162602577</v>
      </c>
    </row>
    <row r="193" spans="3:16" x14ac:dyDescent="0.25">
      <c r="M193" s="700">
        <f>M192/J190</f>
        <v>6.4523964231601394E-2</v>
      </c>
    </row>
    <row r="196" spans="3:16" ht="18.75" x14ac:dyDescent="0.3">
      <c r="C196" s="675" t="s">
        <v>670</v>
      </c>
    </row>
    <row r="197" spans="3:16" x14ac:dyDescent="0.25">
      <c r="C197" s="678"/>
      <c r="D197" s="678"/>
      <c r="E197" s="678"/>
      <c r="F197" s="678"/>
      <c r="G197" s="678"/>
    </row>
    <row r="198" spans="3:16" x14ac:dyDescent="0.25">
      <c r="C198" s="676" t="s">
        <v>671</v>
      </c>
    </row>
    <row r="199" spans="3:16" x14ac:dyDescent="0.25">
      <c r="C199" s="713"/>
      <c r="D199" s="661" t="s">
        <v>660</v>
      </c>
      <c r="E199" s="713"/>
      <c r="F199" s="661">
        <f>+SBR!C64</f>
        <v>827</v>
      </c>
      <c r="G199" s="713"/>
      <c r="I199" s="683">
        <v>75</v>
      </c>
      <c r="J199" s="704">
        <f>+F199*I199</f>
        <v>62025</v>
      </c>
      <c r="K199" s="704"/>
      <c r="L199" s="704">
        <f>+I199</f>
        <v>75</v>
      </c>
      <c r="M199" s="704">
        <f>+F199*L199</f>
        <v>62025</v>
      </c>
      <c r="N199" s="704"/>
      <c r="O199" s="684">
        <f>+'Exh R9-Reconst Billings Summary'!J30</f>
        <v>62025</v>
      </c>
      <c r="P199" s="684">
        <f>+J199-O199</f>
        <v>0</v>
      </c>
    </row>
    <row r="202" spans="3:16" ht="16.5" thickBot="1" x14ac:dyDescent="0.3">
      <c r="C202" s="676" t="s">
        <v>672</v>
      </c>
      <c r="J202" s="717">
        <f>+J199</f>
        <v>62025</v>
      </c>
      <c r="K202" s="690"/>
      <c r="L202" s="690"/>
      <c r="M202" s="717">
        <f>+M199</f>
        <v>62025</v>
      </c>
      <c r="N202" s="690"/>
    </row>
    <row r="203" spans="3:16" ht="16.5" thickTop="1" x14ac:dyDescent="0.25"/>
    <row r="204" spans="3:16" x14ac:dyDescent="0.25">
      <c r="M204" s="710">
        <f>M202-J202</f>
        <v>0</v>
      </c>
    </row>
    <row r="205" spans="3:16" x14ac:dyDescent="0.25">
      <c r="M205" s="700">
        <f>M204/J202</f>
        <v>0</v>
      </c>
    </row>
    <row r="208" spans="3:16" ht="18.75" x14ac:dyDescent="0.3">
      <c r="C208" s="675" t="s">
        <v>769</v>
      </c>
    </row>
    <row r="209" spans="1:20" x14ac:dyDescent="0.25">
      <c r="C209" s="680"/>
    </row>
    <row r="210" spans="1:20" x14ac:dyDescent="0.25">
      <c r="C210" s="688" t="s">
        <v>1058</v>
      </c>
    </row>
    <row r="211" spans="1:20" x14ac:dyDescent="0.25">
      <c r="A211" s="418" t="s">
        <v>203</v>
      </c>
      <c r="C211" s="680"/>
      <c r="D211" s="680" t="s">
        <v>773</v>
      </c>
      <c r="F211" s="661">
        <v>24</v>
      </c>
      <c r="I211" s="683">
        <f>VLOOKUP($A$211,'Retail Rates'!$A$7:$L$35,6,FALSE)</f>
        <v>170</v>
      </c>
      <c r="J211" s="704">
        <f>+F211*I211</f>
        <v>4080</v>
      </c>
      <c r="K211" s="704"/>
      <c r="L211" s="683">
        <f>L40</f>
        <v>175</v>
      </c>
      <c r="M211" s="704">
        <f>+$F211*L211</f>
        <v>4200</v>
      </c>
      <c r="N211" s="704"/>
      <c r="R211" s="968"/>
    </row>
    <row r="212" spans="1:20" x14ac:dyDescent="0.25">
      <c r="C212" s="680"/>
    </row>
    <row r="213" spans="1:20" x14ac:dyDescent="0.25">
      <c r="C213" s="680"/>
      <c r="D213" s="661" t="s">
        <v>652</v>
      </c>
      <c r="G213" s="710">
        <f>+SBR!D41</f>
        <v>672290.40000000014</v>
      </c>
      <c r="H213" s="680" t="s">
        <v>408</v>
      </c>
      <c r="I213" s="686">
        <f>VLOOKUP($A$211,'Retail Rates'!$A$7:$L$35,8,FALSE)*10</f>
        <v>0.2848</v>
      </c>
      <c r="J213" s="704">
        <f>+G213*I213</f>
        <v>191468.30592000004</v>
      </c>
      <c r="K213" s="704"/>
      <c r="L213" s="686">
        <v>0.32219999999999999</v>
      </c>
      <c r="M213" s="704">
        <f>+$G213*L213</f>
        <v>216611.96688000002</v>
      </c>
      <c r="N213" s="704"/>
      <c r="Q213" s="686"/>
      <c r="R213" s="596"/>
    </row>
    <row r="214" spans="1:20" x14ac:dyDescent="0.25">
      <c r="C214" s="680"/>
      <c r="G214" s="710"/>
      <c r="H214" s="680"/>
      <c r="R214" s="595"/>
    </row>
    <row r="215" spans="1:20" x14ac:dyDescent="0.25">
      <c r="C215" s="680"/>
      <c r="D215" s="680" t="s">
        <v>430</v>
      </c>
      <c r="G215" s="710">
        <f>+J215/I215</f>
        <v>3556800</v>
      </c>
      <c r="H215" s="680" t="s">
        <v>1056</v>
      </c>
      <c r="I215" s="961">
        <f>VLOOKUP($A$211,'Retail Rates'!$A$7:$L$35,12,FALSE)</f>
        <v>0.96819999999999995</v>
      </c>
      <c r="J215" s="719">
        <f>+'Apr11-Mar12 FT-TS-Cashout-LG&amp;E'!T450</f>
        <v>3443693.76</v>
      </c>
      <c r="K215" s="720"/>
      <c r="L215" s="961">
        <v>1.0900000000000001</v>
      </c>
      <c r="M215" s="719">
        <f>+$G215*L215</f>
        <v>3876912.0000000005</v>
      </c>
      <c r="N215" s="720"/>
      <c r="Q215" s="686"/>
    </row>
    <row r="216" spans="1:20" x14ac:dyDescent="0.25">
      <c r="C216" s="680"/>
      <c r="D216" s="661" t="s">
        <v>1061</v>
      </c>
      <c r="G216" s="710"/>
      <c r="J216" s="704">
        <f>SUM(J211:J215)</f>
        <v>3639242.06592</v>
      </c>
      <c r="K216" s="704"/>
      <c r="L216" s="704"/>
      <c r="M216" s="704">
        <f>SUM(M211:M215)</f>
        <v>4097723.9668800007</v>
      </c>
      <c r="N216" s="704"/>
      <c r="O216" s="684">
        <f>+'Exh R9-Reconst Billings Summary'!J32</f>
        <v>3639242.0659199995</v>
      </c>
      <c r="P216" s="684">
        <f>+J216-O216</f>
        <v>0</v>
      </c>
      <c r="T216" s="428"/>
    </row>
    <row r="217" spans="1:20" x14ac:dyDescent="0.25">
      <c r="C217" s="680"/>
      <c r="G217" s="710"/>
      <c r="J217" s="704"/>
      <c r="K217" s="704"/>
      <c r="L217" s="704"/>
      <c r="M217" s="704"/>
      <c r="N217" s="704"/>
      <c r="O217" s="684"/>
      <c r="P217" s="684"/>
      <c r="T217" s="428"/>
    </row>
    <row r="218" spans="1:20" x14ac:dyDescent="0.25">
      <c r="C218" s="680"/>
      <c r="D218" s="661" t="s">
        <v>1041</v>
      </c>
      <c r="G218" s="687">
        <f>+G213</f>
        <v>672290.40000000014</v>
      </c>
      <c r="I218" s="686">
        <f>+'GSC-DSM Factors'!$N$10</f>
        <v>3.4904000000000002</v>
      </c>
      <c r="J218" s="684">
        <f>+$G218*I218</f>
        <v>2346562.4121600008</v>
      </c>
      <c r="L218" s="694">
        <f>+I218</f>
        <v>3.4904000000000002</v>
      </c>
      <c r="M218" s="684">
        <f>+$G218*L218</f>
        <v>2346562.4121600008</v>
      </c>
      <c r="N218" s="704"/>
      <c r="O218" s="684"/>
      <c r="P218" s="684"/>
      <c r="T218" s="428"/>
    </row>
    <row r="219" spans="1:20" x14ac:dyDescent="0.25">
      <c r="C219" s="680"/>
      <c r="G219" s="710"/>
      <c r="J219" s="704"/>
      <c r="K219" s="704"/>
      <c r="L219" s="704"/>
      <c r="M219" s="704"/>
      <c r="N219" s="704"/>
      <c r="O219" s="684"/>
      <c r="P219" s="684"/>
      <c r="T219" s="428"/>
    </row>
    <row r="220" spans="1:20" ht="16.5" thickBot="1" x14ac:dyDescent="0.3">
      <c r="C220" s="688" t="s">
        <v>1057</v>
      </c>
      <c r="J220" s="721">
        <f>J216+J218</f>
        <v>5985804.4780800007</v>
      </c>
      <c r="M220" s="721">
        <f>M216+M218</f>
        <v>6444286.379040001</v>
      </c>
      <c r="T220" s="428"/>
    </row>
    <row r="221" spans="1:20" ht="16.5" thickTop="1" x14ac:dyDescent="0.25">
      <c r="C221" s="680"/>
      <c r="T221" s="428"/>
    </row>
    <row r="222" spans="1:20" x14ac:dyDescent="0.25">
      <c r="C222" s="680"/>
      <c r="M222" s="707">
        <f>M220-J220</f>
        <v>458481.90096000023</v>
      </c>
      <c r="N222" s="684"/>
      <c r="T222" s="428"/>
    </row>
    <row r="223" spans="1:20" x14ac:dyDescent="0.25">
      <c r="C223" s="680"/>
      <c r="G223" s="710"/>
      <c r="M223" s="722">
        <f>M222/J220</f>
        <v>7.6594867513457829E-2</v>
      </c>
      <c r="T223" s="428"/>
    </row>
    <row r="224" spans="1:20" x14ac:dyDescent="0.25">
      <c r="C224" s="680"/>
      <c r="G224" s="710"/>
      <c r="M224" s="722"/>
      <c r="T224" s="428"/>
    </row>
    <row r="225" spans="1:20" x14ac:dyDescent="0.25">
      <c r="C225" s="688" t="s">
        <v>771</v>
      </c>
      <c r="G225" s="710"/>
      <c r="T225" s="428"/>
    </row>
    <row r="226" spans="1:20" x14ac:dyDescent="0.25">
      <c r="A226" s="418" t="s">
        <v>204</v>
      </c>
      <c r="C226" s="680"/>
      <c r="D226" s="661" t="s">
        <v>1160</v>
      </c>
      <c r="F226" s="661">
        <v>12</v>
      </c>
      <c r="G226" s="710"/>
      <c r="I226" s="683">
        <f>VLOOKUP($A$226,'Retail Rates'!$A$7:$L$35,6,FALSE)</f>
        <v>781</v>
      </c>
      <c r="J226" s="704">
        <f>+F226*I226</f>
        <v>9372</v>
      </c>
      <c r="K226" s="704"/>
      <c r="L226" s="683">
        <f>+I226</f>
        <v>781</v>
      </c>
      <c r="M226" s="704">
        <f>+$F226*L226</f>
        <v>9372</v>
      </c>
      <c r="N226" s="704"/>
    </row>
    <row r="227" spans="1:20" x14ac:dyDescent="0.25">
      <c r="C227" s="680"/>
      <c r="G227" s="710"/>
    </row>
    <row r="228" spans="1:20" x14ac:dyDescent="0.25">
      <c r="C228" s="680"/>
      <c r="D228" s="661" t="s">
        <v>652</v>
      </c>
      <c r="G228" s="710">
        <f>+SBR!D43+SBR!D42</f>
        <v>353134.20000000007</v>
      </c>
      <c r="H228" s="680" t="s">
        <v>408</v>
      </c>
      <c r="I228" s="686">
        <f>VLOOKUP($A$226,'Retail Rates'!$A$7:$L$35,8,FALSE)/0.1</f>
        <v>4.87E-2</v>
      </c>
      <c r="J228" s="704">
        <f>+G228*I228</f>
        <v>17197.635540000003</v>
      </c>
      <c r="K228" s="704"/>
      <c r="L228" s="686">
        <f>+I228</f>
        <v>4.87E-2</v>
      </c>
      <c r="M228" s="704">
        <f>+$G228*L228</f>
        <v>17197.635540000003</v>
      </c>
      <c r="N228" s="704"/>
    </row>
    <row r="229" spans="1:20" x14ac:dyDescent="0.25">
      <c r="C229" s="680"/>
      <c r="G229" s="710"/>
      <c r="H229" s="680"/>
    </row>
    <row r="230" spans="1:20" x14ac:dyDescent="0.25">
      <c r="C230" s="680"/>
      <c r="D230" s="680" t="s">
        <v>430</v>
      </c>
      <c r="G230" s="710">
        <f>+'Apr11-Mar12 FT-TS-Cashout-LG&amp;E'!T396</f>
        <v>518400</v>
      </c>
      <c r="H230" s="680" t="s">
        <v>1163</v>
      </c>
      <c r="I230" s="718">
        <f>VLOOKUP($A$226,'Retail Rates'!$A$7:$L$35,12,FALSE)</f>
        <v>2.4300000000000002</v>
      </c>
      <c r="J230" s="704">
        <f>+G230*I230</f>
        <v>1259712</v>
      </c>
      <c r="K230" s="704"/>
      <c r="L230" s="718">
        <f>+I230</f>
        <v>2.4300000000000002</v>
      </c>
      <c r="M230" s="704">
        <f>+$G230*L230</f>
        <v>1259712</v>
      </c>
      <c r="N230" s="704"/>
    </row>
    <row r="231" spans="1:20" x14ac:dyDescent="0.25">
      <c r="C231" s="680"/>
      <c r="G231" s="710"/>
      <c r="H231" s="723"/>
    </row>
    <row r="232" spans="1:20" x14ac:dyDescent="0.25">
      <c r="C232" s="680"/>
      <c r="D232" s="680" t="s">
        <v>668</v>
      </c>
      <c r="G232" s="710"/>
    </row>
    <row r="233" spans="1:20" x14ac:dyDescent="0.25">
      <c r="C233" s="680"/>
      <c r="D233" s="715" t="s">
        <v>774</v>
      </c>
      <c r="G233" s="710">
        <f>ROUND(J233/I233,1)</f>
        <v>35615.699999999997</v>
      </c>
      <c r="I233" s="686">
        <v>0.18329999999999999</v>
      </c>
      <c r="J233" s="719">
        <f>+'Apr11-Mar12 FT-TS-Cashout-LG&amp;E'!T412</f>
        <v>6528.3640100000002</v>
      </c>
      <c r="K233" s="720"/>
      <c r="L233" s="686">
        <f>L170</f>
        <v>0.18329999999999999</v>
      </c>
      <c r="M233" s="719">
        <f>+G233*L233</f>
        <v>6528.3578099999995</v>
      </c>
      <c r="N233" s="720"/>
    </row>
    <row r="234" spans="1:20" x14ac:dyDescent="0.25">
      <c r="C234" s="680"/>
      <c r="D234" s="661" t="s">
        <v>1062</v>
      </c>
      <c r="G234" s="710"/>
      <c r="J234" s="704">
        <f>SUM(J226:J233)</f>
        <v>1292809.9995499998</v>
      </c>
      <c r="K234" s="704"/>
      <c r="L234" s="704"/>
      <c r="M234" s="704">
        <f>SUM(M226:M233)</f>
        <v>1292809.9933499999</v>
      </c>
      <c r="N234" s="704"/>
      <c r="O234" s="684">
        <f>+'Exh R9-Reconst Billings Summary'!J33</f>
        <v>1292810.00401</v>
      </c>
      <c r="P234" s="684">
        <f>+J234-O234</f>
        <v>-4.4600002001971006E-3</v>
      </c>
    </row>
    <row r="235" spans="1:20" x14ac:dyDescent="0.25">
      <c r="C235" s="680"/>
    </row>
    <row r="236" spans="1:20" x14ac:dyDescent="0.25">
      <c r="C236" s="680"/>
      <c r="D236" s="661" t="s">
        <v>1055</v>
      </c>
      <c r="G236" s="710">
        <f>+G233</f>
        <v>35615.699999999997</v>
      </c>
      <c r="I236" s="686">
        <f>+'GSC-DSM Factors'!$I$10</f>
        <v>0.17219999999999999</v>
      </c>
      <c r="J236" s="704">
        <f>+$G236*I236</f>
        <v>6133.0235399999992</v>
      </c>
      <c r="L236" s="694">
        <f>+I236</f>
        <v>0.17219999999999999</v>
      </c>
      <c r="M236" s="704">
        <f>+$G236*L236</f>
        <v>6133.0235399999992</v>
      </c>
      <c r="N236" s="690"/>
    </row>
    <row r="237" spans="1:20" x14ac:dyDescent="0.25">
      <c r="C237" s="680"/>
    </row>
    <row r="238" spans="1:20" ht="16.5" thickBot="1" x14ac:dyDescent="0.3">
      <c r="C238" s="688" t="s">
        <v>1060</v>
      </c>
      <c r="J238" s="721">
        <f>J234+J236</f>
        <v>1298943.0230899998</v>
      </c>
      <c r="M238" s="721">
        <f>M234+M236</f>
        <v>1298943.0168899999</v>
      </c>
    </row>
    <row r="239" spans="1:20" ht="16.5" thickTop="1" x14ac:dyDescent="0.25">
      <c r="C239" s="680"/>
    </row>
    <row r="240" spans="1:20" x14ac:dyDescent="0.25">
      <c r="C240" s="680"/>
      <c r="M240" s="707">
        <f>M238-J238</f>
        <v>-6.1999999452382326E-3</v>
      </c>
    </row>
    <row r="241" spans="3:15" x14ac:dyDescent="0.25">
      <c r="C241" s="680"/>
      <c r="M241" s="722">
        <f>M240/J238</f>
        <v>-4.7731115491804393E-9</v>
      </c>
    </row>
    <row r="245" spans="3:15" ht="18.75" x14ac:dyDescent="0.3">
      <c r="C245" s="675" t="s">
        <v>1031</v>
      </c>
    </row>
    <row r="246" spans="3:15" x14ac:dyDescent="0.25">
      <c r="D246" s="678"/>
      <c r="E246" s="678"/>
      <c r="F246" s="678"/>
      <c r="G246" s="678"/>
    </row>
    <row r="247" spans="3:15" x14ac:dyDescent="0.25">
      <c r="C247" s="673" t="s">
        <v>673</v>
      </c>
      <c r="D247" s="724"/>
    </row>
    <row r="248" spans="3:15" x14ac:dyDescent="0.25">
      <c r="C248" s="676"/>
      <c r="D248" s="661" t="s">
        <v>651</v>
      </c>
      <c r="F248" s="661">
        <v>12</v>
      </c>
      <c r="I248" s="683">
        <f>+'Retail Rates'!J53</f>
        <v>275</v>
      </c>
      <c r="J248" s="704">
        <f>+F248*I248</f>
        <v>3300</v>
      </c>
      <c r="K248" s="704"/>
      <c r="L248" s="683">
        <f>+I248</f>
        <v>275</v>
      </c>
      <c r="M248" s="704">
        <f>+L248*F248</f>
        <v>3300</v>
      </c>
      <c r="N248" s="704"/>
    </row>
    <row r="249" spans="3:15" x14ac:dyDescent="0.25">
      <c r="J249" s="704"/>
      <c r="K249" s="704"/>
      <c r="L249" s="704"/>
      <c r="M249" s="704"/>
      <c r="N249" s="704"/>
    </row>
    <row r="250" spans="3:15" x14ac:dyDescent="0.25">
      <c r="D250" s="661" t="s">
        <v>660</v>
      </c>
      <c r="F250" s="661">
        <v>12</v>
      </c>
      <c r="G250" s="710"/>
      <c r="I250" s="683">
        <f>+'Retail Rates'!F53</f>
        <v>230</v>
      </c>
      <c r="J250" s="704">
        <f>+F250*I250</f>
        <v>2760</v>
      </c>
      <c r="K250" s="704"/>
      <c r="L250" s="683">
        <f>L164</f>
        <v>600</v>
      </c>
      <c r="M250" s="704">
        <f>+L250*F250</f>
        <v>7200</v>
      </c>
      <c r="N250" s="704"/>
    </row>
    <row r="251" spans="3:15" x14ac:dyDescent="0.25">
      <c r="G251" s="710"/>
      <c r="J251" s="704"/>
      <c r="K251" s="704"/>
      <c r="L251" s="704"/>
      <c r="M251" s="704"/>
      <c r="N251" s="704"/>
    </row>
    <row r="252" spans="3:15" x14ac:dyDescent="0.25">
      <c r="D252" s="661" t="s">
        <v>6</v>
      </c>
      <c r="G252" s="710">
        <f>+'Apr11-Mar12 FT-TS-Cashout-LG&amp;E'!T78</f>
        <v>619842.69999999995</v>
      </c>
      <c r="I252" s="686">
        <f>+'Retail Rates'!H53</f>
        <v>0.10489999999999999</v>
      </c>
      <c r="J252" s="704">
        <f>ROUND(+G252*I252,2)</f>
        <v>65021.5</v>
      </c>
      <c r="K252" s="704"/>
      <c r="L252" s="686">
        <f>+I252</f>
        <v>0.10489999999999999</v>
      </c>
      <c r="M252" s="704">
        <f>+L252*G252</f>
        <v>65021.499229999994</v>
      </c>
      <c r="N252" s="918"/>
      <c r="O252" s="969"/>
    </row>
    <row r="253" spans="3:15" x14ac:dyDescent="0.25">
      <c r="D253" s="661" t="s">
        <v>430</v>
      </c>
      <c r="G253" s="710">
        <f>+'Apr11-Mar12 FT-TS-Cashout-LG&amp;E'!T77</f>
        <v>27896.599999999995</v>
      </c>
      <c r="I253" s="683">
        <f>+'Retail Rates'!L53</f>
        <v>2.75</v>
      </c>
      <c r="J253" s="704">
        <f>+G253*I253</f>
        <v>76715.64999999998</v>
      </c>
      <c r="K253" s="704"/>
      <c r="L253" s="683">
        <f>+I253</f>
        <v>2.75</v>
      </c>
      <c r="M253" s="704">
        <f>+L253*G253</f>
        <v>76715.64999999998</v>
      </c>
      <c r="N253" s="704"/>
    </row>
    <row r="254" spans="3:15" x14ac:dyDescent="0.25">
      <c r="D254" s="661" t="s">
        <v>383</v>
      </c>
      <c r="G254" s="710">
        <f>+'Apr11-Mar12 FT-TS-Cashout-LG&amp;E'!T275</f>
        <v>4905.2</v>
      </c>
      <c r="I254" s="686">
        <f>+'Retail Rates'!H53</f>
        <v>0.10489999999999999</v>
      </c>
      <c r="J254" s="704">
        <f>ROUND(+G254*I254,2)</f>
        <v>514.55999999999995</v>
      </c>
      <c r="K254" s="704"/>
      <c r="L254" s="686">
        <f>+I254</f>
        <v>0.10489999999999999</v>
      </c>
      <c r="M254" s="704">
        <f>+L254*G254</f>
        <v>514.55547999999999</v>
      </c>
      <c r="N254" s="704"/>
    </row>
    <row r="255" spans="3:15" x14ac:dyDescent="0.25">
      <c r="G255" s="710"/>
      <c r="J255" s="704"/>
      <c r="K255" s="704"/>
      <c r="L255" s="704"/>
      <c r="M255" s="704"/>
      <c r="N255" s="704"/>
    </row>
    <row r="256" spans="3:15" x14ac:dyDescent="0.25">
      <c r="D256" s="680" t="s">
        <v>668</v>
      </c>
      <c r="G256" s="710"/>
      <c r="J256" s="704"/>
      <c r="K256" s="704"/>
      <c r="L256" s="704"/>
      <c r="M256" s="704"/>
      <c r="N256" s="704"/>
    </row>
    <row r="257" spans="3:15" x14ac:dyDescent="0.25">
      <c r="D257" s="715" t="s">
        <v>774</v>
      </c>
      <c r="G257" s="710">
        <f>ROUND(J257/I257,1)</f>
        <v>86644.800000000003</v>
      </c>
      <c r="I257" s="686">
        <f>+'Retail Rates'!K53</f>
        <v>0.18329999999999999</v>
      </c>
      <c r="J257" s="719">
        <f>ROUND(+'Apr11-Mar12 FT-TS-Cashout-LG&amp;E'!T93,0)</f>
        <v>15882</v>
      </c>
      <c r="K257" s="720"/>
      <c r="L257" s="686">
        <f>L170</f>
        <v>0.18329999999999999</v>
      </c>
      <c r="M257" s="719">
        <f>+L257*G257</f>
        <v>15881.991840000001</v>
      </c>
      <c r="N257" s="704"/>
    </row>
    <row r="258" spans="3:15" x14ac:dyDescent="0.25">
      <c r="D258" s="715"/>
      <c r="G258" s="710"/>
      <c r="I258" s="686"/>
      <c r="J258" s="720">
        <f>SUM(J248:J257)</f>
        <v>164193.70999999996</v>
      </c>
      <c r="K258" s="720"/>
      <c r="L258" s="704"/>
      <c r="M258" s="720">
        <f>SUM(M248:M257)</f>
        <v>168633.69654999999</v>
      </c>
      <c r="N258" s="704"/>
    </row>
    <row r="259" spans="3:15" x14ac:dyDescent="0.25">
      <c r="D259" s="715"/>
      <c r="G259" s="710"/>
      <c r="I259" s="686"/>
      <c r="J259" s="720"/>
      <c r="K259" s="720"/>
      <c r="L259" s="704"/>
      <c r="M259" s="720"/>
      <c r="N259" s="704"/>
    </row>
    <row r="260" spans="3:15" x14ac:dyDescent="0.25">
      <c r="D260" s="661" t="s">
        <v>1055</v>
      </c>
      <c r="G260" s="710">
        <f>+G257</f>
        <v>86644.800000000003</v>
      </c>
      <c r="I260" s="686">
        <f>+'GSC-DSM Factors'!$I$10</f>
        <v>0.17219999999999999</v>
      </c>
      <c r="J260" s="704">
        <f>+$G260*I260</f>
        <v>14920.234559999999</v>
      </c>
      <c r="L260" s="694">
        <f>+I260</f>
        <v>0.17219999999999999</v>
      </c>
      <c r="M260" s="704">
        <f>+$G260*L260</f>
        <v>14920.234559999999</v>
      </c>
      <c r="N260" s="704"/>
    </row>
    <row r="261" spans="3:15" x14ac:dyDescent="0.25">
      <c r="G261" s="710"/>
      <c r="I261" s="686"/>
      <c r="K261" s="704"/>
      <c r="L261" s="704"/>
      <c r="N261" s="704"/>
      <c r="O261" s="596"/>
    </row>
    <row r="262" spans="3:15" ht="16.5" thickBot="1" x14ac:dyDescent="0.3">
      <c r="D262" s="676" t="s">
        <v>1107</v>
      </c>
      <c r="G262" s="710"/>
      <c r="I262" s="686"/>
      <c r="J262" s="721">
        <f>SUM(J258:J261)</f>
        <v>179113.94455999997</v>
      </c>
      <c r="K262" s="704"/>
      <c r="L262" s="704"/>
      <c r="M262" s="721">
        <f>SUM(M258:M261)</f>
        <v>183553.93111</v>
      </c>
      <c r="N262" s="704"/>
    </row>
    <row r="263" spans="3:15" ht="16.5" thickTop="1" x14ac:dyDescent="0.25">
      <c r="G263" s="710"/>
      <c r="I263" s="686"/>
      <c r="J263" s="686"/>
      <c r="K263" s="704"/>
      <c r="L263" s="704"/>
      <c r="M263" s="704"/>
      <c r="N263" s="704"/>
    </row>
    <row r="264" spans="3:15" x14ac:dyDescent="0.25">
      <c r="G264" s="710"/>
      <c r="I264" s="686"/>
      <c r="J264" s="725"/>
      <c r="K264" s="704"/>
      <c r="L264" s="704"/>
      <c r="M264" s="707">
        <f>M262-J262</f>
        <v>4439.9865500000305</v>
      </c>
      <c r="N264" s="704"/>
    </row>
    <row r="265" spans="3:15" x14ac:dyDescent="0.25">
      <c r="G265" s="710"/>
      <c r="I265" s="686"/>
      <c r="J265" s="725"/>
      <c r="K265" s="704"/>
      <c r="L265" s="704"/>
      <c r="M265" s="722">
        <f>M264/J262</f>
        <v>2.4788614649222437E-2</v>
      </c>
      <c r="N265" s="704"/>
    </row>
    <row r="266" spans="3:15" x14ac:dyDescent="0.25">
      <c r="C266" s="676" t="s">
        <v>1098</v>
      </c>
      <c r="D266" s="726"/>
      <c r="F266" s="713"/>
      <c r="G266" s="710"/>
      <c r="J266" s="704"/>
      <c r="K266" s="704"/>
      <c r="L266" s="704"/>
      <c r="M266" s="704"/>
      <c r="N266" s="704"/>
    </row>
    <row r="267" spans="3:15" x14ac:dyDescent="0.25">
      <c r="D267" s="661" t="s">
        <v>651</v>
      </c>
      <c r="F267" s="661">
        <v>12</v>
      </c>
      <c r="I267" s="683">
        <f>+'Retail Rates'!J54</f>
        <v>781</v>
      </c>
      <c r="J267" s="704">
        <f>+F267*I267</f>
        <v>9372</v>
      </c>
      <c r="K267" s="704"/>
      <c r="L267" s="683">
        <f>+I267</f>
        <v>781</v>
      </c>
      <c r="M267" s="704">
        <f>+L267*F267</f>
        <v>9372</v>
      </c>
      <c r="N267" s="704"/>
    </row>
    <row r="268" spans="3:15" x14ac:dyDescent="0.25">
      <c r="J268" s="704"/>
      <c r="K268" s="704"/>
      <c r="L268" s="704"/>
      <c r="M268" s="704"/>
      <c r="N268" s="704"/>
    </row>
    <row r="269" spans="3:15" x14ac:dyDescent="0.25">
      <c r="D269" s="661" t="s">
        <v>660</v>
      </c>
      <c r="F269" s="661">
        <v>12</v>
      </c>
      <c r="G269" s="710"/>
      <c r="I269" s="683">
        <f>+'Retail Rates'!F54</f>
        <v>230</v>
      </c>
      <c r="J269" s="704">
        <f>+F269*I269</f>
        <v>2760</v>
      </c>
      <c r="K269" s="704"/>
      <c r="L269" s="683">
        <f>+I269</f>
        <v>230</v>
      </c>
      <c r="M269" s="704">
        <f>+L269*F269</f>
        <v>2760</v>
      </c>
      <c r="N269" s="704"/>
    </row>
    <row r="270" spans="3:15" x14ac:dyDescent="0.25">
      <c r="G270" s="710"/>
      <c r="J270" s="704"/>
      <c r="K270" s="704"/>
      <c r="L270" s="704"/>
      <c r="M270" s="704"/>
      <c r="N270" s="704"/>
    </row>
    <row r="271" spans="3:15" x14ac:dyDescent="0.25">
      <c r="D271" s="661" t="s">
        <v>6</v>
      </c>
      <c r="G271" s="710">
        <f>+'Apr11-Mar12 FT-TS-Cashout-LG&amp;E'!T104</f>
        <v>195512.60000000003</v>
      </c>
      <c r="I271" s="686">
        <f>+'Retail Rates'!H54</f>
        <v>4.87E-2</v>
      </c>
      <c r="J271" s="704">
        <f>ROUND(+G271*I271,2)</f>
        <v>9521.4599999999991</v>
      </c>
      <c r="K271" s="704"/>
      <c r="L271" s="686">
        <f>+I271</f>
        <v>4.87E-2</v>
      </c>
      <c r="M271" s="704">
        <f>+L271*G271</f>
        <v>9521.4636200000023</v>
      </c>
      <c r="N271" s="704"/>
    </row>
    <row r="272" spans="3:15" x14ac:dyDescent="0.25">
      <c r="D272" s="661" t="s">
        <v>430</v>
      </c>
      <c r="G272" s="710">
        <f>+'Apr11-Mar12 FT-TS-Cashout-LG&amp;E'!T103</f>
        <v>90000</v>
      </c>
      <c r="I272" s="683">
        <f>+'Retail Rates'!L54</f>
        <v>2.4300000000000002</v>
      </c>
      <c r="J272" s="704">
        <f>+G272*I272</f>
        <v>218700</v>
      </c>
      <c r="K272" s="704"/>
      <c r="L272" s="683">
        <f>+I272</f>
        <v>2.4300000000000002</v>
      </c>
      <c r="M272" s="704">
        <f>+L272*G272</f>
        <v>218700</v>
      </c>
      <c r="N272" s="704"/>
    </row>
    <row r="273" spans="3:16" x14ac:dyDescent="0.25">
      <c r="D273" s="661" t="s">
        <v>383</v>
      </c>
      <c r="G273" s="710">
        <f>+'Apr11-Mar12 FT-TS-Cashout-LG&amp;E'!T291</f>
        <v>4215.8999999999996</v>
      </c>
      <c r="I273" s="686">
        <f>+'Retail Rates'!H54</f>
        <v>4.87E-2</v>
      </c>
      <c r="J273" s="704">
        <f>ROUND(+G273*I273,2)+0.66</f>
        <v>205.97</v>
      </c>
      <c r="K273" s="704"/>
      <c r="L273" s="686">
        <f>+I273</f>
        <v>4.87E-2</v>
      </c>
      <c r="M273" s="704">
        <f>+L273*G273+0.66</f>
        <v>205.97432999999998</v>
      </c>
      <c r="N273" s="704"/>
    </row>
    <row r="274" spans="3:16" x14ac:dyDescent="0.25">
      <c r="G274" s="710"/>
      <c r="J274" s="704"/>
      <c r="K274" s="704"/>
      <c r="L274" s="704"/>
      <c r="M274" s="704"/>
      <c r="N274" s="704"/>
    </row>
    <row r="275" spans="3:16" x14ac:dyDescent="0.25">
      <c r="D275" s="680" t="s">
        <v>668</v>
      </c>
      <c r="G275" s="710"/>
      <c r="J275" s="704"/>
      <c r="K275" s="704"/>
      <c r="L275" s="704"/>
      <c r="M275" s="704"/>
      <c r="N275" s="704"/>
    </row>
    <row r="276" spans="3:16" x14ac:dyDescent="0.25">
      <c r="D276" s="715" t="s">
        <v>774</v>
      </c>
      <c r="G276" s="710">
        <f>ROUND(J276/I276,1)</f>
        <v>35297.300000000003</v>
      </c>
      <c r="I276" s="686">
        <f>+'Retail Rates'!K54</f>
        <v>0.18329999999999999</v>
      </c>
      <c r="J276" s="719">
        <f>ROUND(+'Apr11-Mar12 FT-TS-Cashout-LG&amp;E'!T119,0)</f>
        <v>6470</v>
      </c>
      <c r="K276" s="720"/>
      <c r="L276" s="686">
        <f>+I276</f>
        <v>0.18329999999999999</v>
      </c>
      <c r="M276" s="719">
        <f>+L276*G276</f>
        <v>6469.9950900000003</v>
      </c>
      <c r="N276" s="720"/>
    </row>
    <row r="277" spans="3:16" x14ac:dyDescent="0.25">
      <c r="D277" s="715"/>
      <c r="G277" s="710"/>
      <c r="I277" s="686"/>
      <c r="J277" s="720">
        <f>SUM(J267:J276)</f>
        <v>247029.43</v>
      </c>
      <c r="K277" s="720"/>
      <c r="L277" s="704"/>
      <c r="M277" s="720">
        <f>SUM(M267:M276)</f>
        <v>247029.43304</v>
      </c>
      <c r="N277" s="704"/>
      <c r="O277" s="596"/>
    </row>
    <row r="278" spans="3:16" x14ac:dyDescent="0.25">
      <c r="D278" s="715"/>
      <c r="G278" s="710"/>
      <c r="I278" s="686"/>
      <c r="J278" s="720"/>
      <c r="K278" s="720"/>
      <c r="L278" s="704"/>
      <c r="M278" s="720"/>
      <c r="N278" s="704"/>
      <c r="O278" s="596"/>
    </row>
    <row r="279" spans="3:16" x14ac:dyDescent="0.25">
      <c r="D279" s="661" t="s">
        <v>1055</v>
      </c>
      <c r="G279" s="710">
        <f>+G276</f>
        <v>35297.300000000003</v>
      </c>
      <c r="I279" s="686">
        <f>+'GSC-DSM Factors'!$I$10</f>
        <v>0.17219999999999999</v>
      </c>
      <c r="J279" s="704">
        <f>+$G279*I279</f>
        <v>6078.19506</v>
      </c>
      <c r="L279" s="694">
        <f>+I279</f>
        <v>0.17219999999999999</v>
      </c>
      <c r="M279" s="704">
        <f>+$G279*L279</f>
        <v>6078.19506</v>
      </c>
      <c r="N279" s="704"/>
      <c r="O279" s="596"/>
    </row>
    <row r="280" spans="3:16" x14ac:dyDescent="0.25">
      <c r="G280" s="710"/>
      <c r="I280" s="686"/>
      <c r="K280" s="704"/>
      <c r="L280" s="704"/>
      <c r="N280" s="704"/>
      <c r="O280" s="596"/>
    </row>
    <row r="281" spans="3:16" ht="16.5" thickBot="1" x14ac:dyDescent="0.3">
      <c r="D281" s="676" t="s">
        <v>1107</v>
      </c>
      <c r="G281" s="710"/>
      <c r="I281" s="686"/>
      <c r="J281" s="721">
        <f>SUM(J277:J280)</f>
        <v>253107.62505999999</v>
      </c>
      <c r="K281" s="704"/>
      <c r="L281" s="704"/>
      <c r="M281" s="721">
        <f>SUM(M277:M280)</f>
        <v>253107.6281</v>
      </c>
      <c r="N281" s="704"/>
      <c r="O281" s="596"/>
    </row>
    <row r="282" spans="3:16" ht="16.5" thickTop="1" x14ac:dyDescent="0.25">
      <c r="G282" s="710"/>
      <c r="I282" s="686"/>
      <c r="J282" s="686"/>
      <c r="K282" s="704"/>
      <c r="L282" s="704"/>
      <c r="M282" s="704"/>
      <c r="N282" s="704"/>
      <c r="O282" s="596"/>
    </row>
    <row r="283" spans="3:16" x14ac:dyDescent="0.25">
      <c r="G283" s="710"/>
      <c r="I283" s="686"/>
      <c r="J283" s="725"/>
      <c r="K283" s="704"/>
      <c r="L283" s="704"/>
      <c r="M283" s="707">
        <f>M281-J281</f>
        <v>3.0400000105146319E-3</v>
      </c>
      <c r="N283" s="704"/>
    </row>
    <row r="284" spans="3:16" x14ac:dyDescent="0.25">
      <c r="C284" s="673"/>
      <c r="G284" s="710"/>
      <c r="I284" s="686"/>
      <c r="J284" s="725"/>
      <c r="K284" s="704"/>
      <c r="L284" s="704"/>
      <c r="M284" s="722">
        <f>M283/J281</f>
        <v>1.2010701020145047E-8</v>
      </c>
      <c r="N284" s="727"/>
    </row>
    <row r="285" spans="3:16" ht="16.5" thickBot="1" x14ac:dyDescent="0.3">
      <c r="C285" s="676" t="s">
        <v>674</v>
      </c>
      <c r="J285" s="728">
        <f>+J258+J277</f>
        <v>411223.13999999996</v>
      </c>
      <c r="K285" s="725"/>
      <c r="L285" s="725"/>
      <c r="M285" s="725"/>
      <c r="N285" s="725"/>
      <c r="O285" s="704">
        <f>+'Exh R9-Reconst Billings Summary'!J36</f>
        <v>411223.13891236292</v>
      </c>
      <c r="P285" s="684">
        <f>+J285-O285</f>
        <v>1.0876370361074805E-3</v>
      </c>
    </row>
    <row r="286" spans="3:16" ht="16.5" thickTop="1" x14ac:dyDescent="0.25">
      <c r="J286" s="727"/>
      <c r="K286" s="727"/>
      <c r="L286" s="727"/>
      <c r="M286" s="727"/>
      <c r="N286" s="727"/>
    </row>
  </sheetData>
  <mergeCells count="1">
    <mergeCell ref="L1:M1"/>
  </mergeCells>
  <pageMargins left="0.7" right="0.7" top="1.5" bottom="0.75" header="1" footer="0.5"/>
  <pageSetup scale="55" orientation="landscape" r:id="rId1"/>
  <headerFooter>
    <oddHeader>&amp;L&amp;"Times New Roman,Bold"&amp;12LOUISVILLE GAS AND ELECTRIC COMPANY
CALCULATIONS OF PROPOSED RATE INCREASE
FOR 12-MONTHS ENDED MARCH 31, 2012</oddHeader>
    <oddFooter>&amp;R&amp;"Times New Roman,Bold"&amp;14Conroy Exhibit R11
Page &amp;P of &amp;N</oddFooter>
  </headerFooter>
  <rowBreaks count="6" manualBreakCount="6">
    <brk id="33" max="16383" man="1"/>
    <brk id="80" min="2" max="12" man="1"/>
    <brk id="127" min="2" max="12" man="1"/>
    <brk id="159" min="2" max="12" man="1"/>
    <brk id="206" min="2" max="12" man="1"/>
    <brk id="242" min="2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0.39997558519241921"/>
  </sheetPr>
  <dimension ref="A1:AB108"/>
  <sheetViews>
    <sheetView zoomScale="60" zoomScaleNormal="60" zoomScaleSheetLayoutView="70" zoomScalePageLayoutView="80" workbookViewId="0"/>
  </sheetViews>
  <sheetFormatPr defaultRowHeight="15.75" x14ac:dyDescent="0.25"/>
  <cols>
    <col min="1" max="1" width="13.42578125" style="419" customWidth="1"/>
    <col min="2" max="2" width="63.7109375" style="680" bestFit="1" customWidth="1"/>
    <col min="3" max="3" width="17.85546875" style="729" customWidth="1"/>
    <col min="4" max="4" width="19" style="729" customWidth="1"/>
    <col min="5" max="5" width="20.42578125" style="729" customWidth="1"/>
    <col min="6" max="8" width="16.7109375" style="729" customWidth="1"/>
    <col min="9" max="9" width="2.7109375" style="739" customWidth="1"/>
    <col min="10" max="12" width="16.7109375" style="729" customWidth="1"/>
    <col min="13" max="13" width="25.42578125" style="680" customWidth="1"/>
    <col min="14" max="14" width="18.85546875" style="761" customWidth="1"/>
    <col min="15" max="15" width="18.85546875" style="729" customWidth="1"/>
    <col min="16" max="16" width="18.85546875" style="761" customWidth="1"/>
    <col min="17" max="17" width="9.28515625" style="730" bestFit="1" customWidth="1"/>
    <col min="18" max="18" width="17.5703125" style="730" bestFit="1" customWidth="1"/>
    <col min="19" max="19" width="9.140625" style="730"/>
    <col min="20" max="20" width="16.42578125" style="730" customWidth="1"/>
    <col min="21" max="23" width="9.140625" style="730"/>
    <col min="24" max="16384" width="9.140625" style="419"/>
  </cols>
  <sheetData>
    <row r="1" spans="1:28" x14ac:dyDescent="0.25">
      <c r="X1" s="730"/>
      <c r="Y1" s="730"/>
      <c r="Z1" s="730"/>
      <c r="AA1" s="730"/>
      <c r="AB1" s="730"/>
    </row>
    <row r="2" spans="1:28" x14ac:dyDescent="0.25">
      <c r="X2" s="730"/>
      <c r="Y2" s="730"/>
      <c r="Z2" s="730"/>
      <c r="AA2" s="730"/>
      <c r="AB2" s="730"/>
    </row>
    <row r="3" spans="1:28" x14ac:dyDescent="0.25">
      <c r="X3" s="730"/>
      <c r="Y3" s="730"/>
      <c r="Z3" s="730"/>
      <c r="AA3" s="730"/>
      <c r="AB3" s="730"/>
    </row>
    <row r="4" spans="1:28" x14ac:dyDescent="0.25">
      <c r="X4" s="730"/>
      <c r="Y4" s="730"/>
      <c r="Z4" s="730"/>
      <c r="AA4" s="730"/>
      <c r="AB4" s="730"/>
    </row>
    <row r="5" spans="1:28" x14ac:dyDescent="0.25">
      <c r="C5" s="770" t="s">
        <v>586</v>
      </c>
      <c r="D5" s="770" t="s">
        <v>587</v>
      </c>
      <c r="E5" s="770" t="s">
        <v>588</v>
      </c>
      <c r="F5" s="770" t="s">
        <v>589</v>
      </c>
      <c r="G5" s="770" t="s">
        <v>590</v>
      </c>
      <c r="H5" s="770" t="s">
        <v>591</v>
      </c>
      <c r="I5" s="1309"/>
      <c r="J5" s="770" t="s">
        <v>1118</v>
      </c>
      <c r="K5" s="770" t="s">
        <v>1119</v>
      </c>
      <c r="L5" s="770" t="s">
        <v>533</v>
      </c>
      <c r="M5" s="1310"/>
      <c r="N5" s="1311" t="s">
        <v>1120</v>
      </c>
      <c r="O5" s="770" t="s">
        <v>1121</v>
      </c>
      <c r="P5" s="1311" t="s">
        <v>1122</v>
      </c>
      <c r="R5" s="755"/>
      <c r="S5" s="755"/>
      <c r="T5" s="755"/>
      <c r="U5" s="755"/>
      <c r="V5" s="755"/>
      <c r="W5" s="755"/>
      <c r="X5" s="755"/>
      <c r="Y5" s="755"/>
      <c r="Z5" s="730"/>
      <c r="AA5" s="730"/>
      <c r="AB5" s="730"/>
    </row>
    <row r="6" spans="1:28" x14ac:dyDescent="0.25">
      <c r="D6" s="730"/>
      <c r="G6" s="731"/>
      <c r="H6" s="731"/>
      <c r="I6" s="1312"/>
      <c r="R6" s="755"/>
      <c r="S6" s="755"/>
      <c r="T6" s="755"/>
      <c r="U6" s="755"/>
      <c r="V6" s="755"/>
      <c r="W6" s="755"/>
      <c r="X6" s="755"/>
      <c r="Y6" s="755"/>
      <c r="Z6" s="730"/>
      <c r="AA6" s="730"/>
      <c r="AB6" s="730"/>
    </row>
    <row r="7" spans="1:28" x14ac:dyDescent="0.25">
      <c r="B7" s="1313"/>
      <c r="C7" s="731" t="s">
        <v>592</v>
      </c>
      <c r="D7" s="731" t="s">
        <v>593</v>
      </c>
      <c r="E7" s="731" t="s">
        <v>462</v>
      </c>
      <c r="F7" s="731" t="s">
        <v>514</v>
      </c>
      <c r="G7" s="730"/>
      <c r="I7" s="1314"/>
      <c r="J7" s="731"/>
      <c r="K7" s="732" t="s">
        <v>594</v>
      </c>
      <c r="L7" s="731"/>
      <c r="N7" s="1315"/>
      <c r="O7" s="731" t="s">
        <v>514</v>
      </c>
      <c r="P7" s="1316" t="s">
        <v>408</v>
      </c>
      <c r="R7" s="755"/>
      <c r="S7" s="755"/>
      <c r="T7" s="755"/>
      <c r="U7" s="755"/>
      <c r="V7" s="755"/>
      <c r="W7" s="755"/>
      <c r="X7" s="755"/>
      <c r="Y7" s="755"/>
      <c r="Z7" s="730"/>
      <c r="AA7" s="730"/>
      <c r="AB7" s="730"/>
    </row>
    <row r="8" spans="1:28" x14ac:dyDescent="0.25">
      <c r="C8" s="731" t="s">
        <v>244</v>
      </c>
      <c r="D8" s="731" t="s">
        <v>297</v>
      </c>
      <c r="E8" s="731" t="s">
        <v>595</v>
      </c>
      <c r="F8" s="731" t="s">
        <v>596</v>
      </c>
      <c r="G8" s="731" t="s">
        <v>514</v>
      </c>
      <c r="H8" s="732" t="s">
        <v>540</v>
      </c>
      <c r="I8" s="1314"/>
      <c r="J8" s="732" t="s">
        <v>540</v>
      </c>
      <c r="K8" s="732" t="s">
        <v>540</v>
      </c>
      <c r="L8" s="732" t="s">
        <v>597</v>
      </c>
      <c r="M8" s="691"/>
      <c r="N8" s="1315"/>
      <c r="O8" s="732" t="s">
        <v>408</v>
      </c>
      <c r="P8" s="1315" t="s">
        <v>598</v>
      </c>
      <c r="R8" s="755"/>
      <c r="S8" s="755"/>
      <c r="T8" s="755"/>
      <c r="U8" s="755"/>
      <c r="V8" s="755"/>
      <c r="W8" s="755"/>
      <c r="X8" s="755"/>
      <c r="Y8" s="755"/>
      <c r="Z8" s="730"/>
      <c r="AA8" s="730"/>
      <c r="AB8" s="730"/>
    </row>
    <row r="9" spans="1:28" x14ac:dyDescent="0.25">
      <c r="B9" s="1317"/>
      <c r="C9" s="731" t="s">
        <v>599</v>
      </c>
      <c r="D9" s="731" t="s">
        <v>600</v>
      </c>
      <c r="E9" s="731" t="s">
        <v>601</v>
      </c>
      <c r="F9" s="731" t="s">
        <v>602</v>
      </c>
      <c r="G9" s="731" t="s">
        <v>447</v>
      </c>
      <c r="H9" s="732" t="s">
        <v>244</v>
      </c>
      <c r="I9" s="1318"/>
      <c r="J9" s="732" t="s">
        <v>244</v>
      </c>
      <c r="K9" s="732" t="s">
        <v>244</v>
      </c>
      <c r="L9" s="732" t="s">
        <v>603</v>
      </c>
      <c r="M9" s="691"/>
      <c r="N9" s="1316" t="s">
        <v>408</v>
      </c>
      <c r="O9" s="731" t="s">
        <v>604</v>
      </c>
      <c r="P9" s="1315" t="s">
        <v>605</v>
      </c>
      <c r="R9" s="755"/>
      <c r="S9" s="755"/>
      <c r="T9" s="755"/>
      <c r="U9" s="755"/>
      <c r="V9" s="755"/>
      <c r="W9" s="755"/>
      <c r="X9" s="755"/>
      <c r="Y9" s="755"/>
      <c r="Z9" s="730"/>
      <c r="AA9" s="730"/>
      <c r="AB9" s="730"/>
    </row>
    <row r="10" spans="1:28" x14ac:dyDescent="0.25">
      <c r="B10" s="1317"/>
      <c r="C10" s="733" t="s">
        <v>606</v>
      </c>
      <c r="D10" s="734" t="s">
        <v>412</v>
      </c>
      <c r="E10" s="734" t="s">
        <v>412</v>
      </c>
      <c r="F10" s="733" t="s">
        <v>412</v>
      </c>
      <c r="G10" s="733" t="s">
        <v>412</v>
      </c>
      <c r="H10" s="1319" t="s">
        <v>607</v>
      </c>
      <c r="I10" s="1318"/>
      <c r="J10" s="733" t="s">
        <v>608</v>
      </c>
      <c r="K10" s="733" t="s">
        <v>609</v>
      </c>
      <c r="L10" s="735" t="s">
        <v>610</v>
      </c>
      <c r="M10" s="691"/>
      <c r="N10" s="1320" t="s">
        <v>598</v>
      </c>
      <c r="O10" s="1321" t="s">
        <v>611</v>
      </c>
      <c r="P10" s="1320" t="s">
        <v>612</v>
      </c>
      <c r="R10" s="755"/>
      <c r="S10" s="755"/>
      <c r="T10" s="755"/>
      <c r="U10" s="755"/>
      <c r="V10" s="755"/>
      <c r="W10" s="755"/>
      <c r="X10" s="755"/>
      <c r="Y10" s="755"/>
      <c r="Z10" s="730"/>
      <c r="AA10" s="730"/>
      <c r="AB10" s="730"/>
    </row>
    <row r="11" spans="1:28" x14ac:dyDescent="0.25">
      <c r="B11" s="680" t="s">
        <v>613</v>
      </c>
      <c r="R11" s="755"/>
      <c r="S11" s="755"/>
      <c r="T11" s="755"/>
      <c r="U11" s="755"/>
      <c r="V11" s="755"/>
      <c r="W11" s="1322"/>
      <c r="X11" s="755"/>
      <c r="Y11" s="755"/>
      <c r="Z11" s="730"/>
      <c r="AA11" s="730"/>
      <c r="AB11" s="730"/>
    </row>
    <row r="12" spans="1:28" x14ac:dyDescent="0.25">
      <c r="O12" s="739"/>
      <c r="P12" s="765"/>
      <c r="R12" s="755"/>
      <c r="S12" s="755"/>
      <c r="T12" s="755"/>
      <c r="U12" s="755"/>
      <c r="V12" s="755"/>
      <c r="W12" s="755"/>
      <c r="X12" s="755"/>
      <c r="Y12" s="755"/>
      <c r="Z12" s="730"/>
      <c r="AA12" s="730"/>
      <c r="AB12" s="730"/>
    </row>
    <row r="13" spans="1:28" x14ac:dyDescent="0.25">
      <c r="A13" s="419" t="s">
        <v>205</v>
      </c>
      <c r="B13" s="680" t="s">
        <v>614</v>
      </c>
      <c r="C13" s="736">
        <f ca="1">+'Summary SBR-Transport'!D5</f>
        <v>182088844.44</v>
      </c>
      <c r="D13" s="736">
        <f>+'Exh P11-Gas Supply Rev'!Y13</f>
        <v>90214486.63071999</v>
      </c>
      <c r="E13" s="736">
        <f ca="1">C13-D13</f>
        <v>91874357.809280008</v>
      </c>
      <c r="F13" s="736">
        <f ca="1">SUMIF('12-MO Billed Summary RETAIL'!$E$5:$E$17,'Exh R9-Reconst Billings Summary'!$A$13,'12-MO Billed Summary RETAIL'!$AS$5:$AS$17)</f>
        <v>3868117.6700000004</v>
      </c>
      <c r="G13" s="736"/>
      <c r="H13" s="736"/>
      <c r="I13" s="737"/>
      <c r="J13" s="736"/>
      <c r="L13" s="736"/>
      <c r="M13" s="1323"/>
      <c r="N13" s="738">
        <f>+N14</f>
        <v>17455190.600000001</v>
      </c>
      <c r="O13" s="739"/>
      <c r="P13" s="738">
        <f>N13-O13</f>
        <v>17455190.600000001</v>
      </c>
      <c r="R13" s="1064"/>
      <c r="S13" s="755"/>
      <c r="T13" s="756"/>
      <c r="U13" s="755"/>
      <c r="V13" s="755"/>
      <c r="W13" s="755"/>
      <c r="X13" s="755"/>
      <c r="Y13" s="755"/>
      <c r="Z13" s="730"/>
      <c r="AA13" s="730"/>
      <c r="AB13" s="730"/>
    </row>
    <row r="14" spans="1:28" x14ac:dyDescent="0.25">
      <c r="B14" s="688" t="s">
        <v>615</v>
      </c>
      <c r="C14" s="740">
        <f ca="1">C13</f>
        <v>182088844.44</v>
      </c>
      <c r="D14" s="740">
        <f>D13</f>
        <v>90214486.63071999</v>
      </c>
      <c r="E14" s="740">
        <f ca="1">C14-D14</f>
        <v>91874357.809280008</v>
      </c>
      <c r="F14" s="740">
        <f ca="1">SUM(F13:F13)</f>
        <v>3868117.6700000004</v>
      </c>
      <c r="G14" s="740">
        <f ca="1">+'Exh P12-Temp Adj'!AR43+'Exh P12-Temp Adj'!AR48</f>
        <v>5278453.3499999987</v>
      </c>
      <c r="H14" s="740">
        <f ca="1">E14-F14-G14</f>
        <v>82727786.789280012</v>
      </c>
      <c r="J14" s="740">
        <f ca="1">H14</f>
        <v>82727786.789280012</v>
      </c>
      <c r="K14" s="740">
        <f ca="1">+'Exh R9-Reconst Billings Detail'!J18</f>
        <v>82727786.747759998</v>
      </c>
      <c r="L14" s="741">
        <f ca="1">K14/J14</f>
        <v>0.9999999994981128</v>
      </c>
      <c r="M14" s="1324"/>
      <c r="N14" s="742">
        <f>+'Summary SBR-Transport'!C5</f>
        <v>17455190.600000001</v>
      </c>
      <c r="O14" s="740"/>
      <c r="P14" s="742">
        <f>N14-O14</f>
        <v>17455190.600000001</v>
      </c>
      <c r="R14" s="1064"/>
      <c r="S14" s="1064"/>
      <c r="T14" s="1064"/>
      <c r="U14" s="755"/>
      <c r="V14" s="755"/>
      <c r="W14" s="755"/>
      <c r="X14" s="755"/>
      <c r="Y14" s="755"/>
      <c r="Z14" s="730"/>
      <c r="AA14" s="730"/>
      <c r="AB14" s="730"/>
    </row>
    <row r="15" spans="1:28" x14ac:dyDescent="0.25">
      <c r="B15" s="688"/>
      <c r="M15" s="1324"/>
      <c r="N15" s="738"/>
      <c r="O15" s="739"/>
      <c r="P15" s="738"/>
      <c r="R15" s="1064"/>
      <c r="S15" s="755"/>
      <c r="T15" s="755"/>
      <c r="U15" s="755"/>
      <c r="V15" s="755"/>
      <c r="W15" s="755"/>
      <c r="X15" s="755"/>
      <c r="Y15" s="755"/>
      <c r="Z15" s="730"/>
      <c r="AA15" s="730"/>
      <c r="AB15" s="730"/>
    </row>
    <row r="16" spans="1:28" x14ac:dyDescent="0.25">
      <c r="A16" s="419" t="s">
        <v>180</v>
      </c>
      <c r="B16" s="680" t="s">
        <v>616</v>
      </c>
      <c r="C16" s="729">
        <f ca="1">+'Summary SBR-Transport'!D8</f>
        <v>75069270.25</v>
      </c>
      <c r="D16" s="729">
        <f>+'Exh P11-Gas Supply Rev'!Y14</f>
        <v>45914384.160530001</v>
      </c>
      <c r="E16" s="739">
        <f ca="1">C16-D16</f>
        <v>29154886.089469999</v>
      </c>
      <c r="F16" s="743">
        <f ca="1">SUMIF('12-MO Billed Summary RETAIL'!$E$5:$E$17,'Exh R9-Reconst Billings Summary'!$A16,'12-MO Billed Summary RETAIL'!$AS$5:$AS$17)+'Apr11-Mar12 FT-TS-Cashout-LG&amp;E'!T337</f>
        <v>92275.37999999999</v>
      </c>
      <c r="M16" s="1323"/>
      <c r="N16" s="752">
        <f>+'Summary SBR-Transport'!C8</f>
        <v>8841535.9000000004</v>
      </c>
      <c r="O16" s="739"/>
      <c r="P16" s="752">
        <f>N16-O16</f>
        <v>8841535.9000000004</v>
      </c>
      <c r="R16" s="1064"/>
      <c r="S16" s="755"/>
      <c r="T16" s="756"/>
      <c r="U16" s="755"/>
      <c r="V16" s="755"/>
      <c r="W16" s="755"/>
      <c r="X16" s="755"/>
      <c r="Y16" s="755"/>
      <c r="Z16" s="730"/>
      <c r="AA16" s="730"/>
      <c r="AB16" s="730"/>
    </row>
    <row r="17" spans="1:28" x14ac:dyDescent="0.25">
      <c r="A17" s="744" t="s">
        <v>963</v>
      </c>
      <c r="B17" s="680" t="s">
        <v>617</v>
      </c>
      <c r="C17" s="729">
        <f>+'Summary SBR-Transport'!D9</f>
        <v>1071</v>
      </c>
      <c r="D17" s="729">
        <f>+'Exh P11-Gas Supply Rev'!Y15</f>
        <v>0</v>
      </c>
      <c r="E17" s="739">
        <f>C17-D17</f>
        <v>1071</v>
      </c>
      <c r="F17" s="745">
        <f>+'Apr11-Mar12 FT-TS-Cashout-LG&amp;E'!T149</f>
        <v>0</v>
      </c>
      <c r="M17" s="1323"/>
      <c r="N17" s="738">
        <f>+'Summary SBR-Transport'!C9</f>
        <v>0</v>
      </c>
      <c r="O17" s="739"/>
      <c r="P17" s="738">
        <f>N17-O17</f>
        <v>0</v>
      </c>
      <c r="R17" s="1064"/>
      <c r="S17" s="755"/>
      <c r="T17" s="756"/>
      <c r="U17" s="755"/>
      <c r="V17" s="755"/>
      <c r="W17" s="755"/>
      <c r="X17" s="755"/>
      <c r="Y17" s="755"/>
      <c r="Z17" s="730"/>
      <c r="AA17" s="730"/>
      <c r="AB17" s="730"/>
    </row>
    <row r="18" spans="1:28" x14ac:dyDescent="0.25">
      <c r="B18" s="688" t="s">
        <v>618</v>
      </c>
      <c r="C18" s="740">
        <f ca="1">SUM(C16:C17)</f>
        <v>75070341.25</v>
      </c>
      <c r="D18" s="740">
        <f>SUM(D16:D17)</f>
        <v>45914384.160530001</v>
      </c>
      <c r="E18" s="740">
        <f ca="1">C18-D18</f>
        <v>29155957.089469999</v>
      </c>
      <c r="F18" s="740">
        <f ca="1">SUM(F16:F17)</f>
        <v>92275.37999999999</v>
      </c>
      <c r="G18" s="740">
        <f ca="1">+'Exh P12-Temp Adj'!AR44</f>
        <v>1964317.2699999998</v>
      </c>
      <c r="H18" s="740">
        <f ca="1">E18-F18-G18</f>
        <v>27099364.439470001</v>
      </c>
      <c r="J18" s="740">
        <f ca="1">H18</f>
        <v>27099364.439470001</v>
      </c>
      <c r="K18" s="740">
        <f ca="1">+'Exh R9-Reconst Billings Detail'!J51</f>
        <v>27099364.471979998</v>
      </c>
      <c r="L18" s="741">
        <f ca="1">K18/J18</f>
        <v>1.000000001199659</v>
      </c>
      <c r="M18" s="1324"/>
      <c r="N18" s="742">
        <f>SUM(N16:N17)</f>
        <v>8841535.9000000004</v>
      </c>
      <c r="O18" s="740"/>
      <c r="P18" s="742">
        <f>N18-O18</f>
        <v>8841535.9000000004</v>
      </c>
      <c r="Q18" s="746"/>
      <c r="R18" s="1064"/>
      <c r="S18" s="1064"/>
      <c r="T18" s="1064"/>
      <c r="U18" s="755"/>
      <c r="V18" s="755"/>
      <c r="W18" s="755"/>
      <c r="X18" s="755"/>
      <c r="Y18" s="755"/>
      <c r="Z18" s="730"/>
      <c r="AA18" s="730"/>
      <c r="AB18" s="730"/>
    </row>
    <row r="19" spans="1:28" x14ac:dyDescent="0.25">
      <c r="B19" s="688"/>
      <c r="M19" s="1324"/>
      <c r="N19" s="738"/>
      <c r="O19" s="739"/>
      <c r="P19" s="738"/>
      <c r="R19" s="1064"/>
      <c r="S19" s="755"/>
      <c r="T19" s="755"/>
      <c r="U19" s="755"/>
      <c r="V19" s="755"/>
      <c r="W19" s="755"/>
      <c r="X19" s="755"/>
      <c r="Y19" s="755"/>
      <c r="Z19" s="730"/>
      <c r="AA19" s="730"/>
      <c r="AB19" s="730"/>
    </row>
    <row r="20" spans="1:28" x14ac:dyDescent="0.25">
      <c r="A20" s="747" t="s">
        <v>190</v>
      </c>
      <c r="B20" s="680" t="s">
        <v>619</v>
      </c>
      <c r="C20" s="729">
        <f ca="1">+'Summary SBR-Transport'!D12</f>
        <v>5773806.3900000006</v>
      </c>
      <c r="D20" s="729">
        <f>+'Exh P11-Gas Supply Rev'!Y17</f>
        <v>4162794.4800199997</v>
      </c>
      <c r="E20" s="739">
        <f ca="1">C20-D20</f>
        <v>1611011.9099800009</v>
      </c>
      <c r="F20" s="743">
        <f ca="1">SUMIF('12-MO Billed Summary RETAIL'!$E$5:$E$17,'Exh R9-Reconst Billings Summary'!$A20,'12-MO Billed Summary RETAIL'!$AS$5:$AS$17)+SUMIF('12-MO Billed Summary RETAIL'!$E$5:$E$17,'Exh R9-Reconst Billings Summary'!$A21,'12-MO Billed Summary RETAIL'!$AS$5:$AS$17)</f>
        <v>0</v>
      </c>
      <c r="G20" s="748"/>
      <c r="M20" s="1323"/>
      <c r="N20" s="752">
        <f>+'Summary SBR-Transport'!C12</f>
        <v>792351.40000000014</v>
      </c>
      <c r="O20" s="739"/>
      <c r="P20" s="752">
        <f>N20-O20</f>
        <v>792351.40000000014</v>
      </c>
      <c r="R20" s="1064"/>
      <c r="S20" s="755"/>
      <c r="T20" s="756"/>
      <c r="U20" s="755"/>
      <c r="V20" s="755"/>
      <c r="W20" s="755"/>
      <c r="X20" s="755"/>
      <c r="Y20" s="755"/>
      <c r="Z20" s="730"/>
      <c r="AA20" s="730"/>
      <c r="AB20" s="730"/>
    </row>
    <row r="21" spans="1:28" x14ac:dyDescent="0.25">
      <c r="A21" s="744" t="s">
        <v>963</v>
      </c>
      <c r="B21" s="680" t="s">
        <v>620</v>
      </c>
      <c r="C21" s="729">
        <f>+'Summary SBR-Transport'!D13</f>
        <v>127383.83</v>
      </c>
      <c r="D21" s="729">
        <f>+'Exh P11-Gas Supply Rev'!Y18</f>
        <v>42825.51</v>
      </c>
      <c r="E21" s="739">
        <f>C21-D21</f>
        <v>84558.32</v>
      </c>
      <c r="F21" s="729">
        <v>0</v>
      </c>
      <c r="H21" s="731"/>
      <c r="M21" s="1323"/>
      <c r="N21" s="738">
        <f>+'Summary SBR-Transport'!C13</f>
        <v>49413</v>
      </c>
      <c r="O21" s="739"/>
      <c r="P21" s="738">
        <f>N21-O21</f>
        <v>49413</v>
      </c>
      <c r="R21" s="1064"/>
      <c r="S21" s="755"/>
      <c r="T21" s="756"/>
      <c r="U21" s="755"/>
      <c r="V21" s="755"/>
      <c r="W21" s="755"/>
      <c r="X21" s="755"/>
      <c r="Y21" s="755"/>
      <c r="Z21" s="730"/>
      <c r="AA21" s="730"/>
      <c r="AB21" s="730"/>
    </row>
    <row r="22" spans="1:28" x14ac:dyDescent="0.25">
      <c r="A22" s="747"/>
      <c r="B22" s="688" t="s">
        <v>621</v>
      </c>
      <c r="C22" s="740">
        <f ca="1">SUM(C20:C21)</f>
        <v>5901190.2200000007</v>
      </c>
      <c r="D22" s="740">
        <f>SUM(D20:D21)</f>
        <v>4205619.9900199994</v>
      </c>
      <c r="E22" s="740">
        <f ca="1">C22-D22</f>
        <v>1695570.2299800012</v>
      </c>
      <c r="F22" s="740">
        <f ca="1">SUM(F20:F21)</f>
        <v>0</v>
      </c>
      <c r="G22" s="740"/>
      <c r="H22" s="740">
        <f ca="1">E22-F22-G22</f>
        <v>1695570.2299800012</v>
      </c>
      <c r="J22" s="740">
        <f ca="1">H22</f>
        <v>1695570.2299800012</v>
      </c>
      <c r="K22" s="740">
        <f ca="1">+'Exh R9-Reconst Billings Detail'!J79</f>
        <v>1695570.2316799997</v>
      </c>
      <c r="L22" s="749">
        <f ca="1">K22/J22</f>
        <v>1.0000000010026118</v>
      </c>
      <c r="M22" s="1324"/>
      <c r="N22" s="742">
        <f>SUM(N20:N21)</f>
        <v>841764.40000000014</v>
      </c>
      <c r="O22" s="740"/>
      <c r="P22" s="742">
        <f>N22-O22</f>
        <v>841764.40000000014</v>
      </c>
      <c r="R22" s="1064"/>
      <c r="S22" s="755"/>
      <c r="T22" s="1064"/>
      <c r="U22" s="755"/>
      <c r="V22" s="755"/>
      <c r="W22" s="755"/>
      <c r="X22" s="755"/>
      <c r="Y22" s="755"/>
      <c r="Z22" s="730"/>
      <c r="AA22" s="730"/>
      <c r="AB22" s="730"/>
    </row>
    <row r="23" spans="1:28" x14ac:dyDescent="0.25">
      <c r="A23" s="747" t="s">
        <v>181</v>
      </c>
      <c r="B23" s="688"/>
      <c r="H23" s="739"/>
      <c r="M23" s="1324"/>
      <c r="N23" s="738"/>
      <c r="O23" s="739"/>
      <c r="P23" s="738"/>
      <c r="R23" s="1064"/>
      <c r="S23" s="755"/>
      <c r="T23" s="755"/>
      <c r="U23" s="755"/>
      <c r="V23" s="755"/>
      <c r="W23" s="755"/>
      <c r="X23" s="755"/>
      <c r="Y23" s="755"/>
      <c r="Z23" s="730"/>
      <c r="AA23" s="730"/>
      <c r="AB23" s="730"/>
    </row>
    <row r="24" spans="1:28" x14ac:dyDescent="0.25">
      <c r="A24" s="747" t="s">
        <v>191</v>
      </c>
      <c r="B24" s="680" t="s">
        <v>622</v>
      </c>
      <c r="C24" s="729">
        <f ca="1">+'Summary SBR-Transport'!D18</f>
        <v>2058004.91</v>
      </c>
      <c r="D24" s="729">
        <f>+'Exh P11-Gas Supply Rev'!Y24</f>
        <v>1830503.3345799998</v>
      </c>
      <c r="E24" s="739">
        <f ca="1">C24-D24</f>
        <v>227501.57542000012</v>
      </c>
      <c r="F24" s="745">
        <f ca="1">SUMIF('12-MO Billed Summary RETAIL'!$E$5:$E$17,'Exh R9-Reconst Billings Summary'!$A24,'12-MO Billed Summary RETAIL'!$AS$5:$AS$17)+SUMIF('12-MO Billed Summary RETAIL'!$E$5:$E$17,'Exh R9-Reconst Billings Summary'!$A23,'12-MO Billed Summary RETAIL'!$AS$5:$AS$17)</f>
        <v>1588.28</v>
      </c>
      <c r="H24" s="739"/>
      <c r="M24" s="1324"/>
      <c r="N24" s="738">
        <f>+'Summary SBR-Transport'!C18</f>
        <v>343960.9</v>
      </c>
      <c r="O24" s="739"/>
      <c r="P24" s="738">
        <f>N24-O24</f>
        <v>343960.9</v>
      </c>
      <c r="R24" s="1064"/>
      <c r="S24" s="755"/>
      <c r="T24" s="756"/>
      <c r="U24" s="755"/>
      <c r="V24" s="755"/>
      <c r="W24" s="755"/>
      <c r="X24" s="755"/>
      <c r="Y24" s="755"/>
      <c r="Z24" s="730"/>
      <c r="AA24" s="730"/>
      <c r="AB24" s="730"/>
    </row>
    <row r="25" spans="1:28" x14ac:dyDescent="0.25">
      <c r="B25" s="688" t="s">
        <v>623</v>
      </c>
      <c r="C25" s="740">
        <f ca="1">+C24</f>
        <v>2058004.91</v>
      </c>
      <c r="D25" s="740">
        <f>D24</f>
        <v>1830503.3345799998</v>
      </c>
      <c r="E25" s="740">
        <f ca="1">C25-D25</f>
        <v>227501.57542000012</v>
      </c>
      <c r="F25" s="740">
        <f ca="1">F24</f>
        <v>1588.28</v>
      </c>
      <c r="G25" s="740"/>
      <c r="H25" s="740">
        <f ca="1">E25-F25-G25</f>
        <v>225913.29542000013</v>
      </c>
      <c r="J25" s="740">
        <f ca="1">H25</f>
        <v>225913.29542000013</v>
      </c>
      <c r="K25" s="740">
        <f ca="1">+'Exh R9-Reconst Billings Detail'!J95</f>
        <v>225913.27468000003</v>
      </c>
      <c r="L25" s="749">
        <f ca="1">K25/J25</f>
        <v>0.99999990819486717</v>
      </c>
      <c r="M25" s="1324"/>
      <c r="N25" s="742">
        <f>+N24</f>
        <v>343960.9</v>
      </c>
      <c r="O25" s="740"/>
      <c r="P25" s="742">
        <f>N25-O25</f>
        <v>343960.9</v>
      </c>
      <c r="R25" s="1064"/>
      <c r="S25" s="755"/>
      <c r="T25" s="1064"/>
      <c r="U25" s="755"/>
      <c r="V25" s="755"/>
      <c r="W25" s="755"/>
      <c r="X25" s="755"/>
      <c r="Y25" s="755"/>
      <c r="Z25" s="730"/>
      <c r="AA25" s="730"/>
      <c r="AB25" s="730"/>
    </row>
    <row r="26" spans="1:28" x14ac:dyDescent="0.25">
      <c r="A26" s="419" t="s">
        <v>443</v>
      </c>
      <c r="B26" s="688"/>
      <c r="H26" s="750"/>
      <c r="I26" s="750"/>
      <c r="M26" s="1324"/>
      <c r="N26" s="738"/>
      <c r="O26" s="739"/>
      <c r="P26" s="738"/>
      <c r="R26" s="1064"/>
      <c r="S26" s="755"/>
      <c r="T26" s="755"/>
      <c r="U26" s="755"/>
      <c r="V26" s="755"/>
      <c r="W26" s="755"/>
      <c r="X26" s="755"/>
      <c r="Y26" s="755"/>
      <c r="Z26" s="730"/>
      <c r="AA26" s="730"/>
      <c r="AB26" s="730"/>
    </row>
    <row r="27" spans="1:28" x14ac:dyDescent="0.25">
      <c r="A27" s="434" t="s">
        <v>444</v>
      </c>
      <c r="B27" s="680" t="s">
        <v>624</v>
      </c>
      <c r="C27" s="729">
        <f>+'Summary SBR-Transport'!D22</f>
        <v>373901.61999999994</v>
      </c>
      <c r="D27" s="729">
        <f>+'Exh P11-Gas Supply Rev'!Y29</f>
        <v>372168.85</v>
      </c>
      <c r="E27" s="739">
        <f>C27-D27</f>
        <v>1732.7699999999604</v>
      </c>
      <c r="F27" s="743">
        <f>+'Apr11-Mar12 FT-TS-Cashout-LG&amp;E'!T264</f>
        <v>8.17</v>
      </c>
      <c r="H27" s="739">
        <f>E27-F27-G27</f>
        <v>1724.5999999999603</v>
      </c>
      <c r="J27" s="729">
        <f>H27</f>
        <v>1724.5999999999603</v>
      </c>
      <c r="L27" s="751"/>
      <c r="M27" s="1324"/>
      <c r="N27" s="738">
        <f>+'Summary SBR-Transport'!C22</f>
        <v>14105.999999999998</v>
      </c>
      <c r="O27" s="738">
        <f>N27</f>
        <v>14105.999999999998</v>
      </c>
      <c r="P27" s="738">
        <f>N27-O27</f>
        <v>0</v>
      </c>
      <c r="R27" s="1064"/>
      <c r="S27" s="755"/>
      <c r="T27" s="756"/>
      <c r="U27" s="755"/>
      <c r="V27" s="755"/>
      <c r="W27" s="755"/>
      <c r="X27" s="755"/>
      <c r="Y27" s="755"/>
      <c r="Z27" s="730"/>
      <c r="AA27" s="730"/>
      <c r="AB27" s="730"/>
    </row>
    <row r="28" spans="1:28" x14ac:dyDescent="0.25">
      <c r="A28" s="419" t="s">
        <v>445</v>
      </c>
      <c r="B28" s="680" t="s">
        <v>625</v>
      </c>
      <c r="C28" s="729">
        <f>+'Summary SBR-Transport'!D26</f>
        <v>4878124.6199999992</v>
      </c>
      <c r="D28" s="729">
        <f>+'Exh P11-Gas Supply Rev'!Y30+'Exh P11-Gas Supply Rev'!Y31-'Apr11-Mar12 FT-TS-Cashout-LG&amp;E'!T92-'Apr11-Mar12 FT-TS-Cashout-LG&amp;E'!T118</f>
        <v>165777.23880059071</v>
      </c>
      <c r="E28" s="739">
        <f>C28-D28</f>
        <v>4712347.3811994083</v>
      </c>
      <c r="F28" s="729">
        <f>+'Apr11-Mar12 FT-TS-Cashout-LG&amp;E'!T63+'Apr11-Mar12 FT-TS-Cashout-LG&amp;E'!T202</f>
        <v>6891.9300000000021</v>
      </c>
      <c r="H28" s="739">
        <f>E28-F28-G28</f>
        <v>4705455.4511994086</v>
      </c>
      <c r="J28" s="729">
        <f>H28</f>
        <v>4705455.4511994086</v>
      </c>
      <c r="L28" s="751"/>
      <c r="M28" s="1323"/>
      <c r="N28" s="738">
        <f>+'Summary SBR-Transport'!C26</f>
        <v>10079083.299999999</v>
      </c>
      <c r="O28" s="738"/>
      <c r="P28" s="738">
        <f>N28-O28</f>
        <v>10079083.299999999</v>
      </c>
      <c r="R28" s="1064"/>
      <c r="S28" s="755"/>
      <c r="T28" s="756"/>
      <c r="U28" s="755"/>
      <c r="V28" s="755"/>
      <c r="W28" s="755"/>
      <c r="X28" s="755"/>
      <c r="Y28" s="755"/>
      <c r="Z28" s="730"/>
      <c r="AA28" s="730"/>
      <c r="AB28" s="730"/>
    </row>
    <row r="29" spans="1:28" x14ac:dyDescent="0.25">
      <c r="A29" s="419" t="s">
        <v>446</v>
      </c>
      <c r="B29" s="688" t="s">
        <v>626</v>
      </c>
      <c r="C29" s="740">
        <f>SUM(C27:C28)</f>
        <v>5252026.2399999993</v>
      </c>
      <c r="D29" s="740">
        <f>SUM(D27:D28)</f>
        <v>537946.08880059072</v>
      </c>
      <c r="E29" s="740">
        <f>C29-D29</f>
        <v>4714080.1511994088</v>
      </c>
      <c r="F29" s="740">
        <f>F27+F28</f>
        <v>6900.1000000000022</v>
      </c>
      <c r="G29" s="740"/>
      <c r="H29" s="740">
        <f>E29-F29-G29</f>
        <v>4707180.0511994092</v>
      </c>
      <c r="J29" s="740">
        <f>H29</f>
        <v>4707180.0511994092</v>
      </c>
      <c r="K29" s="740">
        <f>+'Exh R9-Reconst Billings Detail'!J113</f>
        <v>4707180.3258894095</v>
      </c>
      <c r="L29" s="749">
        <f>K29/J29</f>
        <v>1.0000000583555329</v>
      </c>
      <c r="M29" s="1324"/>
      <c r="N29" s="742">
        <f>SUM(N27:N28)</f>
        <v>10093189.299999999</v>
      </c>
      <c r="O29" s="742">
        <f>O27</f>
        <v>14105.999999999998</v>
      </c>
      <c r="P29" s="742">
        <f>N29-O29</f>
        <v>10079083.299999999</v>
      </c>
      <c r="R29" s="1064"/>
      <c r="S29" s="755"/>
      <c r="T29" s="1064"/>
      <c r="U29" s="755"/>
      <c r="V29" s="755"/>
      <c r="W29" s="755"/>
      <c r="X29" s="755"/>
      <c r="Y29" s="755"/>
      <c r="Z29" s="730"/>
      <c r="AA29" s="730"/>
      <c r="AB29" s="730"/>
    </row>
    <row r="30" spans="1:28" x14ac:dyDescent="0.25">
      <c r="B30" s="688" t="s">
        <v>627</v>
      </c>
      <c r="C30" s="740">
        <f>+'Summary SBR-Transport'!D39</f>
        <v>62025</v>
      </c>
      <c r="D30" s="740"/>
      <c r="E30" s="740">
        <f>C30-D30</f>
        <v>62025</v>
      </c>
      <c r="F30" s="740"/>
      <c r="G30" s="740"/>
      <c r="H30" s="740">
        <f>E30-F30-G30</f>
        <v>62025</v>
      </c>
      <c r="J30" s="740">
        <f>H30</f>
        <v>62025</v>
      </c>
      <c r="K30" s="740">
        <f>+'Exh R9-Reconst Billings Detail'!J120</f>
        <v>62025</v>
      </c>
      <c r="L30" s="749">
        <f>K30/J30</f>
        <v>1</v>
      </c>
      <c r="M30" s="1324"/>
      <c r="N30" s="752"/>
      <c r="O30" s="752"/>
      <c r="P30" s="752"/>
      <c r="R30" s="1064"/>
      <c r="S30" s="755"/>
      <c r="T30" s="756"/>
      <c r="U30" s="755"/>
      <c r="V30" s="755"/>
      <c r="W30" s="755"/>
      <c r="X30" s="755"/>
      <c r="Y30" s="755"/>
      <c r="Z30" s="730"/>
      <c r="AA30" s="730"/>
      <c r="AB30" s="730"/>
    </row>
    <row r="31" spans="1:28" x14ac:dyDescent="0.25">
      <c r="B31" s="688"/>
      <c r="C31" s="739"/>
      <c r="D31" s="739"/>
      <c r="E31" s="739"/>
      <c r="F31" s="739"/>
      <c r="G31" s="739"/>
      <c r="H31" s="739"/>
      <c r="J31" s="739"/>
      <c r="K31" s="739"/>
      <c r="L31" s="751"/>
      <c r="M31" s="1324"/>
      <c r="N31" s="752"/>
      <c r="O31" s="752"/>
      <c r="P31" s="752"/>
      <c r="R31" s="1064"/>
      <c r="S31" s="755"/>
      <c r="T31" s="756"/>
      <c r="U31" s="755"/>
      <c r="V31" s="755"/>
      <c r="W31" s="755"/>
      <c r="X31" s="755"/>
      <c r="Y31" s="755"/>
      <c r="Z31" s="730"/>
      <c r="AA31" s="730"/>
      <c r="AB31" s="730"/>
    </row>
    <row r="32" spans="1:28" x14ac:dyDescent="0.25">
      <c r="B32" s="680" t="s">
        <v>628</v>
      </c>
      <c r="C32" s="739">
        <f>+'Summary SBR-Transport'!D30</f>
        <v>7242791.3859199993</v>
      </c>
      <c r="D32" s="739">
        <f>+'Exh P11-Gas Supply Rev'!Y25</f>
        <v>3603549.32</v>
      </c>
      <c r="E32" s="739">
        <f>C32-D32</f>
        <v>3639242.0659199995</v>
      </c>
      <c r="F32" s="739">
        <v>0</v>
      </c>
      <c r="G32" s="739"/>
      <c r="H32" s="739">
        <f>E32-F32-G32</f>
        <v>3639242.0659199995</v>
      </c>
      <c r="J32" s="729">
        <f>H32</f>
        <v>3639242.0659199995</v>
      </c>
      <c r="K32" s="739">
        <f>+'Exh R9-Reconst Billings Detail'!J135</f>
        <v>3639242.06592</v>
      </c>
      <c r="L32" s="751">
        <f>K32/J32</f>
        <v>1.0000000000000002</v>
      </c>
      <c r="M32" s="1324"/>
      <c r="N32" s="738">
        <f>+'Summary SBR-Transport'!C30</f>
        <v>672290.40000000014</v>
      </c>
      <c r="O32" s="738"/>
      <c r="P32" s="738">
        <f>N32-O32</f>
        <v>672290.40000000014</v>
      </c>
      <c r="R32" s="1064"/>
      <c r="S32" s="755"/>
      <c r="T32" s="756"/>
      <c r="U32" s="755"/>
      <c r="V32" s="755"/>
      <c r="W32" s="755"/>
      <c r="X32" s="755"/>
      <c r="Y32" s="755"/>
      <c r="Z32" s="730"/>
      <c r="AA32" s="730"/>
      <c r="AB32" s="730"/>
    </row>
    <row r="33" spans="2:28" x14ac:dyDescent="0.25">
      <c r="B33" s="680" t="s">
        <v>629</v>
      </c>
      <c r="C33" s="739">
        <f>+'Summary SBR-Transport'!D31+'Summary SBR-Transport'!D32</f>
        <v>1336347.8177799999</v>
      </c>
      <c r="D33" s="753">
        <f>+'Exh P11-Gas Supply Rev'!Y26</f>
        <v>43537.813769999993</v>
      </c>
      <c r="E33" s="753">
        <f>C33-D33</f>
        <v>1292810.00401</v>
      </c>
      <c r="F33" s="753">
        <v>0</v>
      </c>
      <c r="G33" s="753"/>
      <c r="H33" s="753">
        <f>E33-F33-G33</f>
        <v>1292810.00401</v>
      </c>
      <c r="J33" s="729">
        <f>H33</f>
        <v>1292810.00401</v>
      </c>
      <c r="K33" s="753">
        <f>+'Exh R9-Reconst Billings Detail'!J151</f>
        <v>1292809.9995499998</v>
      </c>
      <c r="L33" s="751">
        <f>K33/J33</f>
        <v>0.99999999655015026</v>
      </c>
      <c r="M33" s="1325"/>
      <c r="N33" s="754">
        <f>+'Summary SBR-Transport'!C31+'Summary SBR-Transport'!C32</f>
        <v>353134.20000000007</v>
      </c>
      <c r="O33" s="754">
        <f>+'Summary SBR-Transport'!C31</f>
        <v>11793.4</v>
      </c>
      <c r="P33" s="754">
        <f>N33-O33</f>
        <v>341340.80000000005</v>
      </c>
      <c r="R33" s="1064"/>
      <c r="S33" s="755"/>
      <c r="T33" s="755"/>
      <c r="U33" s="755"/>
      <c r="V33" s="755"/>
      <c r="W33" s="755"/>
      <c r="X33" s="755"/>
      <c r="Y33" s="755"/>
      <c r="Z33" s="730"/>
      <c r="AA33" s="730"/>
      <c r="AB33" s="730"/>
    </row>
    <row r="34" spans="2:28" x14ac:dyDescent="0.25">
      <c r="B34" s="688" t="s">
        <v>630</v>
      </c>
      <c r="C34" s="740">
        <f>SUM(C32:C33)</f>
        <v>8579139.2036999986</v>
      </c>
      <c r="D34" s="753">
        <f>SUM(D32:D33)</f>
        <v>3647087.1337699997</v>
      </c>
      <c r="E34" s="740">
        <f>C34-D34</f>
        <v>4932052.0699299984</v>
      </c>
      <c r="F34" s="740">
        <f>F32+F33</f>
        <v>0</v>
      </c>
      <c r="G34" s="740"/>
      <c r="H34" s="740">
        <f>SUM(H32:H33)</f>
        <v>4932052.0699299993</v>
      </c>
      <c r="J34" s="740">
        <f>H34</f>
        <v>4932052.0699299993</v>
      </c>
      <c r="K34" s="740">
        <f>SUM(K32:K33)</f>
        <v>4932052.0654699998</v>
      </c>
      <c r="L34" s="749">
        <f>K34/J34</f>
        <v>0.99999999909571113</v>
      </c>
      <c r="M34" s="1324"/>
      <c r="N34" s="742">
        <f>SUM(N32:N33)</f>
        <v>1025424.6000000002</v>
      </c>
      <c r="O34" s="742">
        <f>O33</f>
        <v>11793.4</v>
      </c>
      <c r="P34" s="742">
        <f>N34-O34</f>
        <v>1013631.2000000002</v>
      </c>
      <c r="R34" s="1064"/>
      <c r="S34" s="755"/>
      <c r="T34" s="1064"/>
      <c r="U34" s="755"/>
      <c r="V34" s="755"/>
      <c r="W34" s="755"/>
      <c r="X34" s="755"/>
      <c r="Y34" s="755"/>
      <c r="Z34" s="730"/>
      <c r="AA34" s="730"/>
      <c r="AB34" s="730"/>
    </row>
    <row r="35" spans="2:28" x14ac:dyDescent="0.25">
      <c r="C35" s="739"/>
      <c r="E35" s="739"/>
      <c r="H35" s="739"/>
      <c r="M35" s="1323"/>
      <c r="N35" s="738"/>
      <c r="O35" s="738"/>
      <c r="P35" s="738"/>
      <c r="R35" s="1064"/>
      <c r="S35" s="755"/>
      <c r="T35" s="755"/>
      <c r="U35" s="755"/>
      <c r="V35" s="755"/>
      <c r="W35" s="755"/>
      <c r="X35" s="755"/>
      <c r="Y35" s="755"/>
      <c r="Z35" s="730"/>
      <c r="AA35" s="730"/>
      <c r="AB35" s="730"/>
    </row>
    <row r="36" spans="2:28" x14ac:dyDescent="0.25">
      <c r="B36" s="688" t="s">
        <v>631</v>
      </c>
      <c r="C36" s="740">
        <f>SUM('Summary SBR-Transport'!D41:D44)</f>
        <v>467549.03102000005</v>
      </c>
      <c r="D36" s="740">
        <f>+'Exh P11-Gas Supply Rev'!Y33+'Apr11-Mar12 FT-TS-Cashout-LG&amp;E'!T92+'Apr11-Mar12 FT-TS-Cashout-LG&amp;E'!T118</f>
        <v>56325.892107637126</v>
      </c>
      <c r="E36" s="740">
        <f>C36-D36</f>
        <v>411223.13891236292</v>
      </c>
      <c r="F36" s="740"/>
      <c r="G36" s="740"/>
      <c r="H36" s="740">
        <f>E36-F36-G36</f>
        <v>411223.13891236292</v>
      </c>
      <c r="J36" s="740">
        <f>H36</f>
        <v>411223.13891236292</v>
      </c>
      <c r="K36" s="740">
        <f>+'Exh R9-Reconst Billings Detail'!J186</f>
        <v>411223.13999999996</v>
      </c>
      <c r="L36" s="749">
        <f>K36/J36</f>
        <v>1.000000002644883</v>
      </c>
      <c r="M36" s="1324"/>
      <c r="N36" s="742">
        <f>+'Summary SBR-Transport'!C45</f>
        <v>815355.3</v>
      </c>
      <c r="O36" s="742">
        <f>+'Summary SBR-Transport'!C41+'Summary SBR-Transport'!C43</f>
        <v>9121.0999999999985</v>
      </c>
      <c r="P36" s="742">
        <f>N36-O36</f>
        <v>806234.20000000007</v>
      </c>
      <c r="R36" s="1064"/>
      <c r="S36" s="755"/>
      <c r="T36" s="1064"/>
      <c r="U36" s="755"/>
      <c r="V36" s="756"/>
      <c r="W36" s="755"/>
      <c r="X36" s="755"/>
      <c r="Y36" s="755"/>
      <c r="Z36" s="730"/>
      <c r="AA36" s="730"/>
      <c r="AB36" s="730"/>
    </row>
    <row r="37" spans="2:28" x14ac:dyDescent="0.25">
      <c r="B37" s="688"/>
      <c r="H37" s="750"/>
      <c r="I37" s="750"/>
      <c r="M37" s="1324"/>
      <c r="N37" s="757"/>
      <c r="O37" s="757"/>
      <c r="P37" s="757"/>
      <c r="R37" s="1064"/>
      <c r="S37" s="755"/>
      <c r="T37" s="755"/>
      <c r="U37" s="755"/>
      <c r="V37" s="755"/>
      <c r="W37" s="755"/>
      <c r="X37" s="755"/>
      <c r="Y37" s="755"/>
      <c r="Z37" s="730"/>
      <c r="AA37" s="730"/>
      <c r="AB37" s="730"/>
    </row>
    <row r="38" spans="2:28" x14ac:dyDescent="0.25">
      <c r="B38" s="680" t="s">
        <v>632</v>
      </c>
      <c r="C38" s="740">
        <f ca="1">C14+C18+C22+C25+C29+C30+C36+C34</f>
        <v>279479120.29471999</v>
      </c>
      <c r="D38" s="740">
        <f>D14+D18+D22+D25+D29+D30+D36+D34</f>
        <v>146406353.23052821</v>
      </c>
      <c r="E38" s="740">
        <f ca="1">E14+E18+E22+E25+E29+E34+E30+E36</f>
        <v>133072767.0641918</v>
      </c>
      <c r="F38" s="740">
        <f ca="1">F14+F18+F22+F25+F29+F34+F30+F36</f>
        <v>3968881.43</v>
      </c>
      <c r="G38" s="740">
        <f ca="1">G14+G18+G22+G25+G29+G34+G30+G36</f>
        <v>7242770.6199999982</v>
      </c>
      <c r="H38" s="740">
        <f ca="1">H14+H18+H22+H25+H29+H34+H30+H36</f>
        <v>121861115.01419181</v>
      </c>
      <c r="J38" s="740">
        <f ca="1">H38</f>
        <v>121861115.01419181</v>
      </c>
      <c r="K38" s="740">
        <f ca="1">K14+K18+K22+K25+K29+K34+K30+K36</f>
        <v>121861115.25745942</v>
      </c>
      <c r="L38" s="749">
        <f ca="1">K38/J38</f>
        <v>1.0000000019962694</v>
      </c>
      <c r="M38" s="1324"/>
      <c r="N38" s="758">
        <f>N14+N18+N22+N25+N29+N34+N36</f>
        <v>39416420.999999993</v>
      </c>
      <c r="O38" s="758">
        <f>O14+O18+O22+O25+O29+O34+O36</f>
        <v>35020.5</v>
      </c>
      <c r="P38" s="758">
        <f>P14+P18+P22+P25+P29+P36+P34</f>
        <v>39381400.5</v>
      </c>
      <c r="R38" s="739"/>
      <c r="S38" s="755"/>
      <c r="T38" s="1064"/>
      <c r="U38" s="755"/>
      <c r="V38" s="755"/>
      <c r="W38" s="755"/>
      <c r="X38" s="755"/>
      <c r="Y38" s="755"/>
      <c r="Z38" s="730"/>
      <c r="AA38" s="730"/>
      <c r="AB38" s="730"/>
    </row>
    <row r="39" spans="2:28" x14ac:dyDescent="0.25">
      <c r="H39" s="750"/>
      <c r="I39" s="750"/>
      <c r="N39" s="738"/>
      <c r="O39" s="738"/>
      <c r="P39" s="738"/>
      <c r="R39" s="1064"/>
      <c r="S39" s="755"/>
      <c r="T39" s="755"/>
      <c r="U39" s="755"/>
      <c r="V39" s="755"/>
      <c r="W39" s="755"/>
      <c r="X39" s="755"/>
      <c r="Y39" s="755"/>
      <c r="Z39" s="730"/>
      <c r="AA39" s="730"/>
      <c r="AB39" s="730"/>
    </row>
    <row r="40" spans="2:28" x14ac:dyDescent="0.25">
      <c r="B40" s="680" t="s">
        <v>376</v>
      </c>
      <c r="C40" s="729">
        <v>0</v>
      </c>
      <c r="D40" s="729">
        <v>0</v>
      </c>
      <c r="E40" s="739">
        <f>C40-D40</f>
        <v>0</v>
      </c>
      <c r="H40" s="729">
        <v>0</v>
      </c>
      <c r="J40" s="729">
        <v>0</v>
      </c>
      <c r="K40" s="729">
        <v>0</v>
      </c>
      <c r="L40" s="729">
        <v>0</v>
      </c>
      <c r="M40" s="729">
        <v>0</v>
      </c>
      <c r="N40" s="729">
        <v>0</v>
      </c>
      <c r="O40" s="729">
        <v>0</v>
      </c>
      <c r="P40" s="729">
        <v>0</v>
      </c>
      <c r="R40" s="1064"/>
      <c r="S40" s="755"/>
      <c r="T40" s="756"/>
      <c r="U40" s="755"/>
      <c r="V40" s="755"/>
      <c r="W40" s="755"/>
      <c r="X40" s="755"/>
      <c r="Y40" s="755"/>
      <c r="Z40" s="730"/>
      <c r="AA40" s="730"/>
      <c r="AB40" s="730"/>
    </row>
    <row r="41" spans="2:28" x14ac:dyDescent="0.25">
      <c r="B41" s="680" t="s">
        <v>633</v>
      </c>
      <c r="C41" s="740">
        <f ca="1">C40+C38</f>
        <v>279479120.29471999</v>
      </c>
      <c r="D41" s="740">
        <f>D40+D38</f>
        <v>146406353.23052821</v>
      </c>
      <c r="E41" s="740">
        <f ca="1">C41-D41</f>
        <v>133072767.06419179</v>
      </c>
      <c r="F41" s="740">
        <f ca="1">F38+F40</f>
        <v>3968881.43</v>
      </c>
      <c r="G41" s="740">
        <f ca="1">G38+G40</f>
        <v>7242770.6199999982</v>
      </c>
      <c r="H41" s="740">
        <f ca="1">+E41-F41-G41</f>
        <v>121861115.01419178</v>
      </c>
      <c r="J41" s="740">
        <f ca="1">H41</f>
        <v>121861115.01419178</v>
      </c>
      <c r="K41" s="740">
        <f ca="1">K38</f>
        <v>121861115.25745942</v>
      </c>
      <c r="L41" s="740"/>
      <c r="M41" s="1324"/>
      <c r="N41" s="758">
        <f>+N38</f>
        <v>39416420.999999993</v>
      </c>
      <c r="O41" s="758">
        <f>O38+O40</f>
        <v>35020.5</v>
      </c>
      <c r="P41" s="758">
        <f>P38+P40</f>
        <v>39381400.5</v>
      </c>
      <c r="R41" s="1326"/>
      <c r="S41" s="755"/>
      <c r="T41" s="756"/>
      <c r="U41" s="755"/>
      <c r="V41" s="755"/>
      <c r="W41" s="755"/>
      <c r="X41" s="755"/>
      <c r="Y41" s="755"/>
      <c r="Z41" s="730"/>
      <c r="AA41" s="730"/>
      <c r="AB41" s="730"/>
    </row>
    <row r="42" spans="2:28" x14ac:dyDescent="0.25">
      <c r="N42" s="752"/>
      <c r="R42" s="755"/>
      <c r="S42" s="755"/>
      <c r="T42" s="755"/>
      <c r="U42" s="755"/>
      <c r="V42" s="755"/>
      <c r="W42" s="755"/>
      <c r="X42" s="755"/>
      <c r="Y42" s="755"/>
      <c r="Z42" s="730"/>
      <c r="AA42" s="730"/>
      <c r="AB42" s="730"/>
    </row>
    <row r="43" spans="2:28" x14ac:dyDescent="0.25">
      <c r="B43" s="674"/>
      <c r="C43" s="1064"/>
      <c r="D43" s="1064"/>
      <c r="E43" s="1064"/>
      <c r="F43" s="1064"/>
      <c r="G43" s="1064"/>
      <c r="H43" s="1064"/>
      <c r="I43" s="750"/>
      <c r="J43" s="739"/>
      <c r="K43" s="739"/>
      <c r="L43" s="739"/>
      <c r="M43" s="764"/>
      <c r="N43" s="759"/>
      <c r="O43" s="760"/>
      <c r="P43" s="760"/>
      <c r="R43" s="755"/>
      <c r="S43" s="755"/>
      <c r="T43" s="755"/>
      <c r="U43" s="755"/>
      <c r="V43" s="755"/>
      <c r="W43" s="755"/>
      <c r="X43" s="755"/>
      <c r="Y43" s="755"/>
      <c r="Z43" s="730"/>
      <c r="AA43" s="730"/>
      <c r="AB43" s="730"/>
    </row>
    <row r="44" spans="2:28" x14ac:dyDescent="0.25">
      <c r="B44" s="764"/>
      <c r="C44" s="1064"/>
      <c r="D44" s="1064"/>
      <c r="E44" s="1064"/>
      <c r="F44" s="1064"/>
      <c r="G44" s="1064"/>
      <c r="H44" s="1064"/>
      <c r="J44" s="739"/>
      <c r="K44" s="921"/>
      <c r="L44" s="739"/>
      <c r="M44" s="1327"/>
      <c r="N44" s="759"/>
      <c r="O44" s="759"/>
      <c r="P44" s="759"/>
      <c r="X44" s="730"/>
      <c r="Y44" s="730"/>
      <c r="Z44" s="730"/>
      <c r="AA44" s="730"/>
      <c r="AB44" s="730"/>
    </row>
    <row r="45" spans="2:28" x14ac:dyDescent="0.25">
      <c r="B45" s="764"/>
      <c r="C45" s="1065"/>
      <c r="D45" s="1065"/>
      <c r="E45" s="739"/>
      <c r="F45" s="739"/>
      <c r="G45" s="739"/>
      <c r="H45" s="739"/>
      <c r="J45" s="739"/>
      <c r="K45" s="921"/>
      <c r="L45" s="739"/>
      <c r="M45" s="764"/>
      <c r="N45" s="759"/>
      <c r="O45" s="739"/>
      <c r="X45" s="730"/>
      <c r="Y45" s="730"/>
      <c r="Z45" s="730"/>
      <c r="AA45" s="730"/>
      <c r="AB45" s="730"/>
    </row>
    <row r="46" spans="2:28" x14ac:dyDescent="0.25">
      <c r="B46" s="764"/>
      <c r="C46" s="739"/>
      <c r="D46" s="739"/>
      <c r="E46" s="739"/>
      <c r="F46" s="739"/>
      <c r="G46" s="739"/>
      <c r="H46" s="739"/>
      <c r="J46" s="739"/>
      <c r="K46" s="739"/>
      <c r="L46" s="739"/>
      <c r="M46" s="764"/>
      <c r="N46" s="759"/>
      <c r="O46" s="739"/>
      <c r="X46" s="730"/>
      <c r="Y46" s="730"/>
      <c r="Z46" s="730"/>
      <c r="AA46" s="730"/>
      <c r="AB46" s="730"/>
    </row>
    <row r="47" spans="2:28" x14ac:dyDescent="0.25">
      <c r="B47" s="764"/>
      <c r="C47" s="739"/>
      <c r="D47" s="739"/>
      <c r="E47" s="739"/>
      <c r="F47" s="739"/>
      <c r="G47" s="739"/>
      <c r="H47" s="739"/>
      <c r="J47" s="739"/>
      <c r="K47" s="739"/>
      <c r="L47" s="739"/>
      <c r="M47" s="764"/>
      <c r="N47" s="765"/>
      <c r="O47" s="739"/>
      <c r="X47" s="730"/>
      <c r="Y47" s="730"/>
      <c r="Z47" s="730"/>
      <c r="AA47" s="730"/>
      <c r="AB47" s="730"/>
    </row>
    <row r="48" spans="2:28" x14ac:dyDescent="0.25">
      <c r="B48" s="764"/>
      <c r="C48" s="739"/>
      <c r="D48" s="739"/>
      <c r="E48" s="739"/>
      <c r="F48" s="739"/>
      <c r="G48" s="739"/>
      <c r="H48" s="739"/>
      <c r="J48" s="739"/>
      <c r="K48" s="739"/>
      <c r="L48" s="739"/>
      <c r="M48" s="764"/>
      <c r="N48" s="765"/>
      <c r="O48" s="739"/>
      <c r="X48" s="730"/>
      <c r="Y48" s="730"/>
      <c r="Z48" s="730"/>
      <c r="AA48" s="730"/>
      <c r="AB48" s="730"/>
    </row>
    <row r="49" spans="1:28" x14ac:dyDescent="0.25">
      <c r="A49" s="1328"/>
      <c r="B49" s="764"/>
      <c r="C49" s="739"/>
      <c r="D49" s="739"/>
      <c r="E49" s="739"/>
      <c r="F49" s="739"/>
      <c r="G49" s="739"/>
      <c r="H49" s="739"/>
      <c r="J49" s="739"/>
      <c r="K49" s="739"/>
      <c r="L49" s="739"/>
      <c r="M49" s="764"/>
      <c r="N49" s="765"/>
      <c r="O49" s="739"/>
      <c r="X49" s="730"/>
      <c r="Y49" s="730"/>
      <c r="Z49" s="730"/>
      <c r="AA49" s="730"/>
      <c r="AB49" s="730"/>
    </row>
    <row r="50" spans="1:28" x14ac:dyDescent="0.25">
      <c r="A50" s="1328"/>
      <c r="B50" s="764"/>
      <c r="C50" s="739"/>
      <c r="D50" s="739"/>
      <c r="E50" s="739"/>
      <c r="F50" s="739"/>
      <c r="G50" s="739"/>
      <c r="H50" s="739"/>
      <c r="J50" s="739"/>
      <c r="K50" s="739"/>
      <c r="L50" s="739"/>
      <c r="M50" s="764"/>
      <c r="N50" s="765"/>
      <c r="O50" s="739"/>
      <c r="X50" s="730"/>
      <c r="Y50" s="730"/>
      <c r="Z50" s="730"/>
      <c r="AA50" s="730"/>
      <c r="AB50" s="730"/>
    </row>
    <row r="51" spans="1:28" x14ac:dyDescent="0.25">
      <c r="A51" s="1328"/>
      <c r="B51" s="764"/>
      <c r="C51" s="739"/>
      <c r="D51" s="739"/>
      <c r="E51" s="739"/>
      <c r="F51" s="739"/>
      <c r="G51" s="739"/>
      <c r="H51" s="739"/>
      <c r="J51" s="739"/>
      <c r="K51" s="739"/>
      <c r="L51" s="739"/>
      <c r="M51" s="764"/>
      <c r="N51" s="765"/>
      <c r="O51" s="739"/>
      <c r="X51" s="730"/>
      <c r="Y51" s="730"/>
      <c r="Z51" s="730"/>
      <c r="AA51" s="730"/>
      <c r="AB51" s="730"/>
    </row>
    <row r="52" spans="1:28" x14ac:dyDescent="0.25">
      <c r="A52" s="1328"/>
      <c r="B52" s="1329"/>
      <c r="C52" s="739"/>
      <c r="D52" s="739"/>
      <c r="E52" s="739"/>
      <c r="F52" s="739"/>
      <c r="G52" s="739"/>
      <c r="H52" s="739"/>
      <c r="J52" s="739"/>
      <c r="K52" s="739"/>
      <c r="L52" s="739"/>
      <c r="M52" s="764"/>
      <c r="N52" s="765"/>
      <c r="O52" s="739"/>
      <c r="X52" s="730"/>
      <c r="Y52" s="730"/>
      <c r="Z52" s="730"/>
      <c r="AA52" s="730"/>
      <c r="AB52" s="730"/>
    </row>
    <row r="53" spans="1:28" x14ac:dyDescent="0.25">
      <c r="A53" s="1328"/>
      <c r="B53" s="674"/>
      <c r="C53" s="739"/>
      <c r="D53" s="739"/>
      <c r="E53" s="739"/>
      <c r="F53" s="739"/>
      <c r="G53" s="739"/>
      <c r="H53" s="739"/>
      <c r="J53" s="739"/>
      <c r="K53" s="739"/>
      <c r="L53" s="739"/>
      <c r="M53" s="764"/>
      <c r="N53" s="765"/>
      <c r="O53" s="739"/>
      <c r="X53" s="730"/>
      <c r="Y53" s="730"/>
      <c r="Z53" s="730"/>
      <c r="AA53" s="730"/>
      <c r="AB53" s="730"/>
    </row>
    <row r="54" spans="1:28" x14ac:dyDescent="0.25">
      <c r="A54" s="1328"/>
      <c r="B54" s="674"/>
      <c r="C54" s="762"/>
      <c r="D54" s="763"/>
      <c r="E54" s="739"/>
      <c r="F54" s="739"/>
      <c r="G54" s="739"/>
      <c r="H54" s="739"/>
      <c r="J54" s="739"/>
      <c r="K54" s="739"/>
      <c r="L54" s="739"/>
      <c r="M54" s="764"/>
      <c r="N54" s="765"/>
      <c r="O54" s="739"/>
      <c r="P54" s="765"/>
      <c r="Q54" s="755"/>
      <c r="R54" s="755"/>
      <c r="S54" s="755"/>
      <c r="T54" s="755"/>
      <c r="U54" s="755"/>
      <c r="V54" s="755"/>
      <c r="W54" s="755"/>
      <c r="X54" s="755"/>
      <c r="Y54" s="755"/>
      <c r="Z54" s="755"/>
      <c r="AA54" s="755"/>
      <c r="AB54" s="755"/>
    </row>
    <row r="55" spans="1:28" x14ac:dyDescent="0.25">
      <c r="A55" s="1328"/>
      <c r="B55" s="764"/>
      <c r="C55" s="921"/>
      <c r="D55" s="921"/>
      <c r="E55" s="739"/>
      <c r="F55" s="739"/>
      <c r="G55" s="739"/>
      <c r="H55" s="739"/>
      <c r="J55" s="739"/>
      <c r="K55" s="739"/>
      <c r="L55" s="739"/>
      <c r="M55" s="764"/>
      <c r="N55" s="765"/>
      <c r="O55" s="739"/>
      <c r="P55" s="765"/>
      <c r="Q55" s="755"/>
      <c r="R55" s="755"/>
      <c r="S55" s="755"/>
      <c r="T55" s="755"/>
      <c r="U55" s="755"/>
      <c r="V55" s="755"/>
      <c r="W55" s="755"/>
      <c r="X55" s="755"/>
      <c r="Y55" s="755"/>
      <c r="Z55" s="755"/>
      <c r="AA55" s="755"/>
      <c r="AB55" s="755"/>
    </row>
    <row r="56" spans="1:28" x14ac:dyDescent="0.25">
      <c r="A56" s="1328"/>
      <c r="B56" s="674"/>
      <c r="C56" s="737"/>
      <c r="D56" s="766"/>
      <c r="E56" s="739"/>
      <c r="F56" s="739"/>
      <c r="G56" s="739"/>
      <c r="H56" s="739"/>
      <c r="J56" s="739"/>
      <c r="K56" s="739"/>
      <c r="L56" s="739"/>
      <c r="M56" s="764"/>
      <c r="N56" s="765"/>
      <c r="O56" s="739"/>
      <c r="P56" s="765"/>
      <c r="Q56" s="755"/>
      <c r="R56" s="755"/>
      <c r="S56" s="755"/>
      <c r="T56" s="755"/>
      <c r="U56" s="755"/>
      <c r="V56" s="755"/>
      <c r="W56" s="755"/>
      <c r="X56" s="755"/>
      <c r="Y56" s="755"/>
      <c r="Z56" s="755"/>
      <c r="AA56" s="755"/>
      <c r="AB56" s="755"/>
    </row>
    <row r="57" spans="1:28" x14ac:dyDescent="0.25">
      <c r="A57" s="1328"/>
      <c r="B57" s="674"/>
      <c r="C57" s="762"/>
      <c r="D57" s="1330"/>
      <c r="E57" s="739"/>
      <c r="F57" s="739"/>
      <c r="G57" s="767"/>
      <c r="H57" s="767"/>
      <c r="I57" s="767"/>
      <c r="J57" s="739"/>
      <c r="K57" s="739"/>
      <c r="L57" s="739"/>
      <c r="M57" s="764"/>
      <c r="N57" s="765"/>
      <c r="O57" s="739"/>
      <c r="P57" s="765"/>
      <c r="Q57" s="755"/>
      <c r="R57" s="755"/>
      <c r="S57" s="755"/>
      <c r="T57" s="755"/>
      <c r="U57" s="755"/>
      <c r="V57" s="755"/>
      <c r="W57" s="755"/>
      <c r="X57" s="755"/>
      <c r="Y57" s="755"/>
      <c r="Z57" s="755"/>
      <c r="AA57" s="755"/>
      <c r="AB57" s="755"/>
    </row>
    <row r="58" spans="1:28" x14ac:dyDescent="0.25">
      <c r="A58" s="1328"/>
      <c r="B58" s="674"/>
      <c r="C58" s="739"/>
      <c r="D58" s="1331"/>
      <c r="E58" s="739"/>
      <c r="F58" s="739"/>
      <c r="G58" s="767"/>
      <c r="H58" s="767"/>
      <c r="I58" s="767"/>
      <c r="J58" s="739"/>
      <c r="K58" s="739"/>
      <c r="L58" s="739"/>
      <c r="M58" s="764"/>
      <c r="N58" s="765"/>
      <c r="O58" s="739"/>
      <c r="P58" s="765"/>
      <c r="Q58" s="755"/>
      <c r="R58" s="755"/>
      <c r="S58" s="755"/>
      <c r="T58" s="755"/>
      <c r="U58" s="755"/>
      <c r="V58" s="755"/>
      <c r="W58" s="755"/>
      <c r="X58" s="755"/>
      <c r="Y58" s="755"/>
      <c r="Z58" s="755"/>
      <c r="AA58" s="755"/>
      <c r="AB58" s="755"/>
    </row>
    <row r="59" spans="1:28" x14ac:dyDescent="0.25">
      <c r="A59" s="1328"/>
      <c r="B59" s="764"/>
      <c r="C59" s="769"/>
      <c r="D59" s="739"/>
      <c r="E59" s="739"/>
      <c r="F59" s="739"/>
      <c r="G59" s="767"/>
      <c r="H59" s="767"/>
      <c r="I59" s="767"/>
      <c r="J59" s="739"/>
      <c r="K59" s="739"/>
      <c r="L59" s="739"/>
      <c r="M59" s="764"/>
      <c r="N59" s="765"/>
      <c r="O59" s="739"/>
      <c r="P59" s="765"/>
      <c r="Q59" s="755"/>
      <c r="R59" s="755"/>
      <c r="S59" s="755"/>
      <c r="T59" s="755"/>
      <c r="U59" s="755"/>
      <c r="V59" s="755"/>
      <c r="W59" s="755"/>
      <c r="X59" s="755"/>
      <c r="Y59" s="755"/>
      <c r="Z59" s="755"/>
      <c r="AA59" s="755"/>
      <c r="AB59" s="755"/>
    </row>
    <row r="60" spans="1:28" x14ac:dyDescent="0.25">
      <c r="A60" s="1328"/>
      <c r="B60" s="1332"/>
      <c r="C60" s="1066"/>
      <c r="D60" s="739"/>
      <c r="E60" s="739"/>
      <c r="F60" s="739"/>
      <c r="G60" s="768"/>
      <c r="H60" s="767"/>
      <c r="I60" s="767"/>
      <c r="J60" s="739"/>
      <c r="K60" s="739"/>
      <c r="L60" s="739"/>
      <c r="M60" s="764"/>
      <c r="N60" s="765"/>
      <c r="O60" s="739"/>
      <c r="P60" s="765"/>
      <c r="Q60" s="755"/>
      <c r="R60" s="755"/>
      <c r="S60" s="755"/>
      <c r="T60" s="755"/>
      <c r="U60" s="755"/>
      <c r="V60" s="755"/>
      <c r="W60" s="755"/>
      <c r="X60" s="755"/>
      <c r="Y60" s="755"/>
      <c r="Z60" s="755"/>
      <c r="AA60" s="755"/>
      <c r="AB60" s="755"/>
    </row>
    <row r="61" spans="1:28" x14ac:dyDescent="0.25">
      <c r="A61" s="1328"/>
      <c r="B61" s="1332"/>
      <c r="C61" s="1066"/>
      <c r="D61" s="739"/>
      <c r="E61" s="739"/>
      <c r="F61" s="739"/>
      <c r="G61" s="767"/>
      <c r="H61" s="767"/>
      <c r="I61" s="767"/>
      <c r="J61" s="739"/>
      <c r="K61" s="739"/>
      <c r="L61" s="739"/>
      <c r="M61" s="764"/>
      <c r="N61" s="765"/>
      <c r="O61" s="739"/>
      <c r="P61" s="765"/>
      <c r="Q61" s="755"/>
      <c r="R61" s="755"/>
      <c r="S61" s="755"/>
      <c r="T61" s="755"/>
      <c r="U61" s="755"/>
      <c r="V61" s="755"/>
      <c r="W61" s="755"/>
      <c r="X61" s="755"/>
      <c r="Y61" s="755"/>
      <c r="Z61" s="755"/>
      <c r="AA61" s="755"/>
      <c r="AB61" s="755"/>
    </row>
    <row r="62" spans="1:28" x14ac:dyDescent="0.25">
      <c r="A62" s="1328"/>
      <c r="B62" s="1332"/>
      <c r="C62" s="1066"/>
      <c r="D62" s="739"/>
      <c r="E62" s="739"/>
      <c r="F62" s="739"/>
      <c r="G62" s="767"/>
      <c r="H62" s="767"/>
      <c r="I62" s="767"/>
      <c r="J62" s="739"/>
      <c r="K62" s="739"/>
      <c r="L62" s="739"/>
      <c r="M62" s="764"/>
      <c r="N62" s="765"/>
      <c r="O62" s="739"/>
      <c r="P62" s="765"/>
      <c r="Q62" s="755"/>
      <c r="R62" s="755"/>
      <c r="S62" s="755"/>
      <c r="T62" s="755"/>
      <c r="U62" s="755"/>
      <c r="V62" s="755"/>
      <c r="W62" s="755"/>
      <c r="X62" s="755"/>
      <c r="Y62" s="755"/>
      <c r="Z62" s="755"/>
      <c r="AA62" s="755"/>
      <c r="AB62" s="755"/>
    </row>
    <row r="63" spans="1:28" x14ac:dyDescent="0.25">
      <c r="A63" s="1328"/>
      <c r="B63" s="1332"/>
      <c r="C63" s="1066"/>
      <c r="D63" s="739"/>
      <c r="E63" s="739"/>
      <c r="F63" s="739"/>
      <c r="G63" s="767"/>
      <c r="H63" s="767"/>
      <c r="I63" s="767"/>
      <c r="J63" s="739"/>
      <c r="K63" s="739"/>
      <c r="L63" s="739"/>
      <c r="M63" s="764"/>
      <c r="N63" s="765"/>
      <c r="O63" s="739"/>
      <c r="P63" s="765"/>
      <c r="Q63" s="755"/>
      <c r="R63" s="755"/>
      <c r="S63" s="755"/>
      <c r="T63" s="755"/>
      <c r="U63" s="755"/>
      <c r="V63" s="755"/>
      <c r="W63" s="755"/>
      <c r="X63" s="755"/>
      <c r="Y63" s="755"/>
      <c r="Z63" s="755"/>
      <c r="AA63" s="755"/>
      <c r="AB63" s="755"/>
    </row>
    <row r="64" spans="1:28" x14ac:dyDescent="0.25">
      <c r="A64" s="1328"/>
      <c r="B64" s="1332"/>
      <c r="C64" s="1066"/>
      <c r="D64" s="739"/>
      <c r="E64" s="739"/>
      <c r="F64" s="739"/>
      <c r="G64" s="767"/>
      <c r="H64" s="767"/>
      <c r="I64" s="767"/>
      <c r="J64" s="739"/>
      <c r="K64" s="739"/>
      <c r="L64" s="739"/>
      <c r="M64" s="764"/>
      <c r="N64" s="765"/>
      <c r="O64" s="739"/>
      <c r="P64" s="765"/>
      <c r="Q64" s="755"/>
      <c r="R64" s="755"/>
      <c r="S64" s="755"/>
      <c r="T64" s="755"/>
      <c r="U64" s="755"/>
      <c r="V64" s="755"/>
      <c r="W64" s="755"/>
      <c r="X64" s="755"/>
      <c r="Y64" s="755"/>
      <c r="Z64" s="755"/>
      <c r="AA64" s="755"/>
      <c r="AB64" s="755"/>
    </row>
    <row r="65" spans="1:28" x14ac:dyDescent="0.25">
      <c r="A65" s="1328"/>
      <c r="B65" s="1332"/>
      <c r="C65" s="1066"/>
      <c r="D65" s="739"/>
      <c r="E65" s="739"/>
      <c r="F65" s="739"/>
      <c r="G65" s="767"/>
      <c r="H65" s="767"/>
      <c r="I65" s="767"/>
      <c r="J65" s="739"/>
      <c r="K65" s="739"/>
      <c r="L65" s="739"/>
      <c r="M65" s="764"/>
      <c r="N65" s="765"/>
      <c r="O65" s="739"/>
      <c r="P65" s="765"/>
      <c r="Q65" s="755"/>
      <c r="R65" s="755"/>
      <c r="S65" s="755"/>
      <c r="T65" s="755"/>
      <c r="U65" s="755"/>
      <c r="V65" s="755"/>
      <c r="W65" s="755"/>
      <c r="X65" s="755"/>
      <c r="Y65" s="755"/>
      <c r="Z65" s="755"/>
      <c r="AA65" s="755"/>
      <c r="AB65" s="755"/>
    </row>
    <row r="66" spans="1:28" x14ac:dyDescent="0.25">
      <c r="A66" s="1328"/>
      <c r="B66" s="1332"/>
      <c r="C66" s="739"/>
      <c r="D66" s="739"/>
      <c r="E66" s="762"/>
      <c r="F66" s="739"/>
      <c r="G66" s="767"/>
      <c r="H66" s="767"/>
      <c r="I66" s="767"/>
      <c r="J66" s="739"/>
      <c r="K66" s="739"/>
      <c r="L66" s="739"/>
      <c r="M66" s="764"/>
      <c r="N66" s="765"/>
      <c r="O66" s="739"/>
      <c r="P66" s="765"/>
      <c r="Q66" s="755"/>
      <c r="R66" s="755"/>
      <c r="S66" s="755"/>
      <c r="T66" s="755"/>
      <c r="U66" s="755"/>
      <c r="V66" s="755"/>
      <c r="W66" s="755"/>
      <c r="X66" s="755"/>
      <c r="Y66" s="755"/>
      <c r="Z66" s="755"/>
      <c r="AA66" s="755"/>
      <c r="AB66" s="755"/>
    </row>
    <row r="67" spans="1:28" x14ac:dyDescent="0.25">
      <c r="A67" s="1328"/>
      <c r="B67" s="674"/>
      <c r="C67" s="739"/>
      <c r="D67" s="739"/>
      <c r="E67" s="739"/>
      <c r="F67" s="739"/>
      <c r="G67" s="767"/>
      <c r="H67" s="767"/>
      <c r="I67" s="767"/>
      <c r="J67" s="739"/>
      <c r="K67" s="739"/>
      <c r="L67" s="739"/>
      <c r="M67" s="764"/>
      <c r="N67" s="765"/>
      <c r="O67" s="739"/>
      <c r="P67" s="765"/>
      <c r="Q67" s="755"/>
      <c r="R67" s="755"/>
      <c r="S67" s="755"/>
      <c r="T67" s="755"/>
      <c r="U67" s="755"/>
      <c r="V67" s="755"/>
      <c r="W67" s="755"/>
      <c r="X67" s="755"/>
      <c r="Y67" s="755"/>
      <c r="Z67" s="755"/>
      <c r="AA67" s="755"/>
      <c r="AB67" s="755"/>
    </row>
    <row r="68" spans="1:28" x14ac:dyDescent="0.25">
      <c r="A68" s="1328"/>
      <c r="B68" s="764"/>
      <c r="C68" s="739"/>
      <c r="D68" s="739"/>
      <c r="E68" s="762"/>
      <c r="F68" s="739"/>
      <c r="G68" s="767"/>
      <c r="H68" s="767"/>
      <c r="I68" s="767"/>
      <c r="J68" s="739"/>
      <c r="K68" s="739"/>
      <c r="L68" s="739"/>
      <c r="M68" s="764"/>
      <c r="N68" s="765"/>
      <c r="O68" s="739"/>
      <c r="P68" s="765"/>
      <c r="Q68" s="755"/>
      <c r="R68" s="755"/>
      <c r="S68" s="755"/>
      <c r="T68" s="755"/>
      <c r="U68" s="755"/>
      <c r="V68" s="755"/>
      <c r="W68" s="755"/>
      <c r="X68" s="755"/>
      <c r="Y68" s="755"/>
      <c r="Z68" s="755"/>
      <c r="AA68" s="755"/>
      <c r="AB68" s="755"/>
    </row>
    <row r="69" spans="1:28" x14ac:dyDescent="0.25">
      <c r="A69" s="1328"/>
      <c r="B69" s="674"/>
      <c r="C69" s="921"/>
      <c r="D69" s="1333"/>
      <c r="E69" s="739"/>
      <c r="F69" s="739"/>
      <c r="G69" s="767"/>
      <c r="H69" s="767"/>
      <c r="I69" s="767"/>
      <c r="J69" s="739"/>
      <c r="K69" s="739"/>
      <c r="L69" s="739"/>
      <c r="M69" s="764"/>
      <c r="N69" s="765"/>
      <c r="O69" s="739"/>
      <c r="P69" s="765"/>
      <c r="Q69" s="755"/>
      <c r="R69" s="755"/>
      <c r="S69" s="755"/>
      <c r="T69" s="755"/>
      <c r="U69" s="755"/>
      <c r="V69" s="755"/>
      <c r="W69" s="755"/>
      <c r="X69" s="755"/>
      <c r="Y69" s="755"/>
      <c r="Z69" s="755"/>
      <c r="AA69" s="755"/>
      <c r="AB69" s="755"/>
    </row>
    <row r="70" spans="1:28" x14ac:dyDescent="0.25">
      <c r="A70" s="1328"/>
      <c r="B70" s="764"/>
      <c r="C70" s="739"/>
      <c r="D70" s="739"/>
      <c r="E70" s="739"/>
      <c r="F70" s="921"/>
      <c r="G70" s="767"/>
      <c r="H70" s="767"/>
      <c r="I70" s="767"/>
      <c r="J70" s="739"/>
      <c r="K70" s="739"/>
      <c r="L70" s="739"/>
      <c r="M70" s="764"/>
      <c r="N70" s="765"/>
      <c r="O70" s="739"/>
      <c r="P70" s="765"/>
      <c r="Q70" s="755"/>
      <c r="R70" s="755"/>
      <c r="S70" s="755"/>
      <c r="T70" s="755"/>
      <c r="U70" s="755"/>
      <c r="V70" s="755"/>
      <c r="W70" s="755"/>
      <c r="X70" s="755"/>
      <c r="Y70" s="755"/>
      <c r="Z70" s="755"/>
      <c r="AA70" s="755"/>
      <c r="AB70" s="755"/>
    </row>
    <row r="71" spans="1:28" x14ac:dyDescent="0.25">
      <c r="A71" s="1334"/>
      <c r="B71" s="764"/>
      <c r="C71" s="739"/>
      <c r="D71" s="739"/>
      <c r="E71" s="739"/>
      <c r="F71" s="739"/>
      <c r="G71" s="767"/>
      <c r="H71" s="767"/>
      <c r="I71" s="767"/>
      <c r="J71" s="739"/>
      <c r="K71" s="739"/>
      <c r="L71" s="739"/>
      <c r="M71" s="764"/>
      <c r="N71" s="765"/>
      <c r="O71" s="739"/>
      <c r="X71" s="730"/>
      <c r="Y71" s="730"/>
      <c r="Z71" s="730"/>
      <c r="AA71" s="730"/>
      <c r="AB71" s="730"/>
    </row>
    <row r="72" spans="1:28" x14ac:dyDescent="0.25">
      <c r="A72" s="1334"/>
      <c r="B72" s="764"/>
      <c r="C72" s="739"/>
      <c r="D72" s="739"/>
      <c r="E72" s="739"/>
      <c r="F72" s="739"/>
      <c r="G72" s="767"/>
      <c r="H72" s="767"/>
      <c r="I72" s="767"/>
      <c r="J72" s="739"/>
      <c r="K72" s="739"/>
      <c r="L72" s="739"/>
      <c r="M72" s="764"/>
      <c r="N72" s="765"/>
      <c r="O72" s="739"/>
      <c r="X72" s="730"/>
      <c r="Y72" s="730"/>
      <c r="Z72" s="730"/>
      <c r="AA72" s="730"/>
      <c r="AB72" s="730"/>
    </row>
    <row r="73" spans="1:28" x14ac:dyDescent="0.25">
      <c r="A73" s="1334"/>
      <c r="B73" s="764"/>
      <c r="C73" s="739"/>
      <c r="D73" s="739"/>
      <c r="E73" s="739"/>
      <c r="F73" s="739"/>
      <c r="G73" s="767"/>
      <c r="H73" s="767"/>
      <c r="I73" s="767"/>
      <c r="J73" s="739"/>
      <c r="K73" s="739"/>
      <c r="L73" s="739"/>
      <c r="M73" s="764"/>
      <c r="N73" s="765"/>
      <c r="O73" s="739"/>
      <c r="X73" s="730"/>
      <c r="Y73" s="730"/>
      <c r="Z73" s="730"/>
      <c r="AA73" s="730"/>
      <c r="AB73" s="730"/>
    </row>
    <row r="74" spans="1:28" x14ac:dyDescent="0.25">
      <c r="A74" s="1334"/>
      <c r="B74" s="764"/>
      <c r="C74" s="739"/>
      <c r="D74" s="739"/>
      <c r="X74" s="730"/>
      <c r="Y74" s="730"/>
      <c r="Z74" s="730"/>
      <c r="AA74" s="730"/>
      <c r="AB74" s="730"/>
    </row>
    <row r="75" spans="1:28" x14ac:dyDescent="0.25">
      <c r="A75" s="1334"/>
      <c r="B75" s="764"/>
      <c r="C75" s="739"/>
      <c r="D75" s="739"/>
      <c r="X75" s="730"/>
      <c r="Y75" s="730"/>
      <c r="Z75" s="730"/>
      <c r="AA75" s="730"/>
      <c r="AB75" s="730"/>
    </row>
    <row r="76" spans="1:28" x14ac:dyDescent="0.25">
      <c r="A76" s="1334"/>
      <c r="B76" s="764"/>
      <c r="C76" s="739"/>
      <c r="D76" s="739"/>
      <c r="X76" s="730"/>
      <c r="Y76" s="730"/>
      <c r="Z76" s="730"/>
      <c r="AA76" s="730"/>
      <c r="AB76" s="730"/>
    </row>
    <row r="77" spans="1:28" x14ac:dyDescent="0.25">
      <c r="A77" s="1334"/>
      <c r="B77" s="764"/>
      <c r="C77" s="739"/>
      <c r="D77" s="739"/>
      <c r="X77" s="730"/>
      <c r="Y77" s="730"/>
      <c r="Z77" s="730"/>
      <c r="AA77" s="730"/>
      <c r="AB77" s="730"/>
    </row>
    <row r="78" spans="1:28" x14ac:dyDescent="0.25">
      <c r="A78" s="1334"/>
      <c r="B78" s="674"/>
      <c r="C78" s="739"/>
      <c r="D78" s="739"/>
      <c r="X78" s="730"/>
      <c r="Y78" s="730"/>
      <c r="Z78" s="730"/>
      <c r="AA78" s="730"/>
      <c r="AB78" s="730"/>
    </row>
    <row r="79" spans="1:28" x14ac:dyDescent="0.25">
      <c r="A79" s="1334"/>
      <c r="B79" s="764"/>
      <c r="C79" s="739"/>
      <c r="D79" s="739"/>
      <c r="X79" s="730"/>
      <c r="Y79" s="730"/>
      <c r="Z79" s="730"/>
      <c r="AA79" s="730"/>
      <c r="AB79" s="730"/>
    </row>
    <row r="80" spans="1:28" x14ac:dyDescent="0.25">
      <c r="A80" s="1334"/>
      <c r="B80" s="674"/>
      <c r="C80" s="739"/>
      <c r="D80" s="739"/>
      <c r="X80" s="730"/>
      <c r="Y80" s="730"/>
      <c r="Z80" s="730"/>
      <c r="AA80" s="730"/>
      <c r="AB80" s="730"/>
    </row>
    <row r="81" spans="1:28" x14ac:dyDescent="0.25">
      <c r="A81" s="1334"/>
      <c r="B81" s="764"/>
      <c r="C81" s="769"/>
      <c r="D81" s="739"/>
      <c r="X81" s="730"/>
      <c r="Y81" s="730"/>
      <c r="Z81" s="730"/>
      <c r="AA81" s="730"/>
      <c r="AB81" s="730"/>
    </row>
    <row r="82" spans="1:28" x14ac:dyDescent="0.25">
      <c r="A82" s="1334"/>
      <c r="B82" s="764"/>
      <c r="C82" s="769"/>
      <c r="D82" s="739"/>
      <c r="X82" s="730"/>
      <c r="Y82" s="730"/>
      <c r="Z82" s="730"/>
      <c r="AA82" s="730"/>
      <c r="AB82" s="730"/>
    </row>
    <row r="83" spans="1:28" x14ac:dyDescent="0.25">
      <c r="A83" s="1334"/>
      <c r="B83" s="764"/>
      <c r="C83" s="769"/>
      <c r="D83" s="739"/>
      <c r="X83" s="730"/>
      <c r="Y83" s="730"/>
      <c r="Z83" s="730"/>
      <c r="AA83" s="730"/>
      <c r="AB83" s="730"/>
    </row>
    <row r="84" spans="1:28" x14ac:dyDescent="0.25">
      <c r="A84" s="1334"/>
      <c r="B84" s="764"/>
      <c r="C84" s="769"/>
      <c r="D84" s="739"/>
      <c r="X84" s="730"/>
      <c r="Y84" s="730"/>
      <c r="Z84" s="730"/>
      <c r="AA84" s="730"/>
      <c r="AB84" s="730"/>
    </row>
    <row r="85" spans="1:28" x14ac:dyDescent="0.25">
      <c r="A85" s="1334"/>
      <c r="B85" s="764"/>
      <c r="C85" s="769"/>
      <c r="D85" s="739"/>
      <c r="X85" s="730"/>
      <c r="Y85" s="730"/>
      <c r="Z85" s="730"/>
      <c r="AA85" s="730"/>
      <c r="AB85" s="730"/>
    </row>
    <row r="86" spans="1:28" x14ac:dyDescent="0.25">
      <c r="A86" s="1334"/>
      <c r="B86" s="764"/>
      <c r="C86" s="769"/>
      <c r="D86" s="739"/>
      <c r="X86" s="730"/>
      <c r="Y86" s="730"/>
      <c r="Z86" s="730"/>
      <c r="AA86" s="730"/>
      <c r="AB86" s="730"/>
    </row>
    <row r="87" spans="1:28" x14ac:dyDescent="0.25">
      <c r="A87" s="1334"/>
      <c r="B87" s="764"/>
      <c r="C87" s="769"/>
      <c r="D87" s="739"/>
      <c r="X87" s="730"/>
      <c r="Y87" s="730"/>
      <c r="Z87" s="730"/>
      <c r="AA87" s="730"/>
      <c r="AB87" s="730"/>
    </row>
    <row r="88" spans="1:28" x14ac:dyDescent="0.25">
      <c r="A88" s="1334"/>
      <c r="B88" s="764"/>
      <c r="C88" s="769"/>
      <c r="D88" s="739"/>
      <c r="X88" s="730"/>
      <c r="Y88" s="730"/>
      <c r="Z88" s="730"/>
      <c r="AA88" s="730"/>
      <c r="AB88" s="730"/>
    </row>
    <row r="89" spans="1:28" x14ac:dyDescent="0.25">
      <c r="A89" s="1334"/>
      <c r="B89" s="764"/>
      <c r="C89" s="769"/>
      <c r="D89" s="739"/>
      <c r="X89" s="730"/>
      <c r="Y89" s="730"/>
      <c r="Z89" s="730"/>
      <c r="AA89" s="730"/>
      <c r="AB89" s="730"/>
    </row>
    <row r="90" spans="1:28" x14ac:dyDescent="0.25">
      <c r="A90" s="1334"/>
      <c r="B90" s="764"/>
      <c r="C90" s="769"/>
      <c r="D90" s="739"/>
      <c r="X90" s="730"/>
      <c r="Y90" s="730"/>
      <c r="Z90" s="730"/>
      <c r="AA90" s="730"/>
      <c r="AB90" s="730"/>
    </row>
    <row r="91" spans="1:28" x14ac:dyDescent="0.25">
      <c r="A91" s="1334"/>
      <c r="B91" s="764"/>
      <c r="C91" s="769"/>
      <c r="D91" s="739"/>
      <c r="X91" s="730"/>
      <c r="Y91" s="730"/>
      <c r="Z91" s="730"/>
      <c r="AA91" s="730"/>
      <c r="AB91" s="730"/>
    </row>
    <row r="92" spans="1:28" x14ac:dyDescent="0.25">
      <c r="A92" s="1334"/>
      <c r="B92" s="764"/>
      <c r="C92" s="739"/>
      <c r="D92" s="739"/>
      <c r="X92" s="730"/>
      <c r="Y92" s="730"/>
      <c r="Z92" s="730"/>
      <c r="AA92" s="730"/>
      <c r="AB92" s="730"/>
    </row>
    <row r="93" spans="1:28" x14ac:dyDescent="0.25">
      <c r="A93" s="1334"/>
      <c r="B93" s="739"/>
      <c r="C93" s="739"/>
      <c r="D93" s="739"/>
      <c r="X93" s="730"/>
      <c r="Y93" s="730"/>
      <c r="Z93" s="730"/>
      <c r="AA93" s="730"/>
      <c r="AB93" s="730"/>
    </row>
    <row r="94" spans="1:28" x14ac:dyDescent="0.25">
      <c r="A94" s="1328"/>
      <c r="X94" s="730"/>
      <c r="Y94" s="730"/>
      <c r="Z94" s="730"/>
      <c r="AA94" s="730"/>
      <c r="AB94" s="730"/>
    </row>
    <row r="95" spans="1:28" x14ac:dyDescent="0.25">
      <c r="A95" s="1328"/>
      <c r="X95" s="730"/>
      <c r="Y95" s="730"/>
      <c r="Z95" s="730"/>
      <c r="AA95" s="730"/>
      <c r="AB95" s="730"/>
    </row>
    <row r="96" spans="1:28" x14ac:dyDescent="0.25">
      <c r="A96" s="1328"/>
      <c r="X96" s="730"/>
      <c r="Y96" s="730"/>
      <c r="Z96" s="730"/>
      <c r="AA96" s="730"/>
      <c r="AB96" s="730"/>
    </row>
    <row r="97" spans="1:28" x14ac:dyDescent="0.25">
      <c r="A97" s="1328"/>
      <c r="X97" s="730"/>
      <c r="Y97" s="730"/>
      <c r="Z97" s="730"/>
      <c r="AA97" s="730"/>
      <c r="AB97" s="730"/>
    </row>
    <row r="98" spans="1:28" x14ac:dyDescent="0.25">
      <c r="A98" s="1328"/>
      <c r="X98" s="730"/>
      <c r="Y98" s="730"/>
      <c r="Z98" s="730"/>
      <c r="AA98" s="730"/>
      <c r="AB98" s="730"/>
    </row>
    <row r="99" spans="1:28" x14ac:dyDescent="0.25">
      <c r="A99" s="1328"/>
      <c r="X99" s="730"/>
      <c r="Y99" s="730"/>
      <c r="Z99" s="730"/>
      <c r="AA99" s="730"/>
      <c r="AB99" s="730"/>
    </row>
    <row r="100" spans="1:28" x14ac:dyDescent="0.25">
      <c r="A100" s="1328"/>
      <c r="X100" s="730"/>
      <c r="Y100" s="730"/>
      <c r="Z100" s="730"/>
      <c r="AA100" s="730"/>
      <c r="AB100" s="730"/>
    </row>
    <row r="101" spans="1:28" x14ac:dyDescent="0.25">
      <c r="X101" s="730"/>
      <c r="Y101" s="730"/>
      <c r="Z101" s="730"/>
      <c r="AA101" s="730"/>
      <c r="AB101" s="730"/>
    </row>
    <row r="102" spans="1:28" x14ac:dyDescent="0.25">
      <c r="X102" s="730"/>
      <c r="Y102" s="730"/>
      <c r="Z102" s="730"/>
      <c r="AA102" s="730"/>
      <c r="AB102" s="730"/>
    </row>
    <row r="103" spans="1:28" x14ac:dyDescent="0.25">
      <c r="X103" s="730"/>
      <c r="Y103" s="730"/>
      <c r="Z103" s="730"/>
      <c r="AA103" s="730"/>
      <c r="AB103" s="730"/>
    </row>
    <row r="104" spans="1:28" x14ac:dyDescent="0.25">
      <c r="X104" s="730"/>
      <c r="Y104" s="730"/>
      <c r="Z104" s="730"/>
      <c r="AA104" s="730"/>
      <c r="AB104" s="730"/>
    </row>
    <row r="105" spans="1:28" x14ac:dyDescent="0.25">
      <c r="X105" s="730"/>
      <c r="Y105" s="730"/>
      <c r="Z105" s="730"/>
      <c r="AA105" s="730"/>
      <c r="AB105" s="730"/>
    </row>
    <row r="106" spans="1:28" x14ac:dyDescent="0.25">
      <c r="X106" s="730"/>
      <c r="Y106" s="730"/>
      <c r="Z106" s="730"/>
      <c r="AA106" s="730"/>
      <c r="AB106" s="730"/>
    </row>
    <row r="107" spans="1:28" x14ac:dyDescent="0.25">
      <c r="X107" s="730"/>
      <c r="Y107" s="730"/>
      <c r="Z107" s="730"/>
      <c r="AA107" s="730"/>
      <c r="AB107" s="730"/>
    </row>
    <row r="108" spans="1:28" x14ac:dyDescent="0.25">
      <c r="X108" s="730"/>
      <c r="Y108" s="730"/>
      <c r="Z108" s="730"/>
      <c r="AA108" s="730"/>
      <c r="AB108" s="730"/>
    </row>
  </sheetData>
  <pageMargins left="0.75" right="0.5" top="1.5" bottom="0.75" header="1.05" footer="0.55000000000000004"/>
  <pageSetup scale="66" orientation="landscape" r:id="rId1"/>
  <headerFooter>
    <oddHeader>&amp;L&amp;"Times New Roman,Bold"&amp;12LOUISVILLE GAS AND ELECTRIC COMPANY
CALCULATIONS TO RECONSTRUCT TEST PERIOD BILLING DETERMINANTS
FOR 12-MONTHS ENDED MARCH 31, 2012</oddHeader>
    <oddFooter>&amp;R&amp;"Times New Roman,Bold"&amp;12Conroy Exhibit R9
Page &amp;P of &amp;N</oddFooter>
  </headerFooter>
  <colBreaks count="1" manualBreakCount="1">
    <brk id="8" min="4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0.39997558519241921"/>
  </sheetPr>
  <dimension ref="A1:S187"/>
  <sheetViews>
    <sheetView zoomScale="80" zoomScaleNormal="80" zoomScaleSheetLayoutView="70" zoomScalePageLayoutView="50" workbookViewId="0"/>
  </sheetViews>
  <sheetFormatPr defaultRowHeight="15.75" x14ac:dyDescent="0.25"/>
  <cols>
    <col min="1" max="2" width="9.140625" style="419"/>
    <col min="3" max="3" width="5.85546875" style="661" customWidth="1"/>
    <col min="4" max="4" width="30.85546875" style="661" customWidth="1"/>
    <col min="5" max="5" width="14.85546875" style="661" customWidth="1"/>
    <col min="6" max="6" width="16.7109375" style="661" customWidth="1"/>
    <col min="7" max="7" width="20.85546875" style="661" customWidth="1"/>
    <col min="8" max="8" width="19.42578125" style="661" customWidth="1"/>
    <col min="9" max="9" width="18.85546875" style="661" customWidth="1"/>
    <col min="10" max="10" width="21" style="661" customWidth="1"/>
    <col min="11" max="11" width="4" style="661" customWidth="1"/>
    <col min="12" max="12" width="7.42578125" style="419" customWidth="1"/>
    <col min="13" max="13" width="3.28515625" style="661" customWidth="1"/>
    <col min="14" max="14" width="18.42578125" style="419" bestFit="1" customWidth="1"/>
    <col min="15" max="15" width="18.28515625" style="419" bestFit="1" customWidth="1"/>
    <col min="16" max="16" width="16.85546875" style="419" customWidth="1"/>
    <col min="17" max="17" width="16" style="419" customWidth="1"/>
    <col min="18" max="19" width="15.42578125" style="419" customWidth="1"/>
    <col min="20" max="16384" width="9.140625" style="419"/>
  </cols>
  <sheetData>
    <row r="1" spans="1:19" x14ac:dyDescent="0.25">
      <c r="J1" s="662" t="s">
        <v>594</v>
      </c>
      <c r="K1" s="662"/>
      <c r="M1" s="662"/>
      <c r="N1" s="662"/>
      <c r="O1" s="662"/>
      <c r="P1" s="662"/>
      <c r="Q1" s="662"/>
      <c r="R1" s="662"/>
      <c r="S1" s="662"/>
    </row>
    <row r="2" spans="1:19" x14ac:dyDescent="0.25">
      <c r="J2" s="662" t="s">
        <v>244</v>
      </c>
      <c r="K2" s="662"/>
      <c r="M2" s="662"/>
      <c r="N2" s="662" t="s">
        <v>766</v>
      </c>
      <c r="O2" s="662"/>
      <c r="P2" s="662"/>
      <c r="Q2" s="662"/>
      <c r="R2" s="662"/>
      <c r="S2" s="662"/>
    </row>
    <row r="3" spans="1:19" x14ac:dyDescent="0.25">
      <c r="F3" s="964"/>
      <c r="G3" s="664"/>
      <c r="H3" s="664" t="s">
        <v>762</v>
      </c>
      <c r="I3" s="662" t="s">
        <v>646</v>
      </c>
      <c r="J3" s="665" t="s">
        <v>647</v>
      </c>
      <c r="K3" s="665"/>
      <c r="M3" s="665"/>
      <c r="N3" s="662" t="s">
        <v>767</v>
      </c>
      <c r="O3" s="665"/>
      <c r="P3" s="662"/>
      <c r="Q3" s="662"/>
      <c r="R3" s="662"/>
      <c r="S3" s="662"/>
    </row>
    <row r="4" spans="1:19" ht="16.5" thickBot="1" x14ac:dyDescent="0.3">
      <c r="C4" s="667" t="s">
        <v>260</v>
      </c>
      <c r="D4" s="667"/>
      <c r="E4" s="667"/>
      <c r="F4" s="670" t="s">
        <v>407</v>
      </c>
      <c r="G4" s="669" t="s">
        <v>243</v>
      </c>
      <c r="H4" s="669" t="s">
        <v>243</v>
      </c>
      <c r="I4" s="670" t="s">
        <v>648</v>
      </c>
      <c r="J4" s="670" t="s">
        <v>648</v>
      </c>
      <c r="K4" s="671"/>
      <c r="M4" s="671"/>
      <c r="N4" s="670" t="s">
        <v>768</v>
      </c>
      <c r="O4" s="665"/>
      <c r="P4" s="665"/>
      <c r="Q4" s="665"/>
      <c r="R4" s="665"/>
      <c r="S4" s="665"/>
    </row>
    <row r="5" spans="1:19" x14ac:dyDescent="0.25">
      <c r="C5" s="673"/>
      <c r="D5" s="673"/>
      <c r="E5" s="673"/>
      <c r="F5" s="673"/>
      <c r="G5" s="673"/>
      <c r="H5" s="671"/>
      <c r="I5" s="671"/>
      <c r="J5" s="671"/>
      <c r="K5" s="671"/>
      <c r="M5" s="671"/>
    </row>
    <row r="6" spans="1:19" ht="18.75" x14ac:dyDescent="0.3">
      <c r="C6" s="675" t="s">
        <v>649</v>
      </c>
      <c r="E6" s="676"/>
      <c r="F6" s="676"/>
      <c r="G6" s="676"/>
    </row>
    <row r="7" spans="1:19" x14ac:dyDescent="0.25">
      <c r="C7" s="677"/>
      <c r="D7" s="678"/>
      <c r="E7" s="677"/>
      <c r="F7" s="677"/>
      <c r="G7" s="677"/>
    </row>
    <row r="8" spans="1:19" x14ac:dyDescent="0.25">
      <c r="A8" s="419" t="s">
        <v>205</v>
      </c>
      <c r="C8" s="676" t="s">
        <v>650</v>
      </c>
      <c r="E8" s="679"/>
      <c r="F8" s="679"/>
      <c r="G8" s="679"/>
    </row>
    <row r="9" spans="1:19" x14ac:dyDescent="0.25">
      <c r="C9" s="680"/>
      <c r="D9" s="680" t="s">
        <v>773</v>
      </c>
      <c r="E9" s="681"/>
      <c r="F9" s="682">
        <f>+'Summary SBR-Transport'!B5</f>
        <v>3492362</v>
      </c>
      <c r="G9" s="681"/>
      <c r="I9" s="683">
        <f>VLOOKUP($A$8,'Retail Rates'!$A$7:$L$35,6,FALSE)</f>
        <v>12.5</v>
      </c>
      <c r="J9" s="684">
        <f>+F9*I9</f>
        <v>43654525</v>
      </c>
      <c r="K9" s="684"/>
      <c r="M9" s="684"/>
      <c r="N9" s="682"/>
      <c r="O9" s="684"/>
      <c r="P9" s="682"/>
      <c r="Q9" s="682"/>
      <c r="R9" s="684"/>
      <c r="S9" s="684"/>
    </row>
    <row r="10" spans="1:19" x14ac:dyDescent="0.25">
      <c r="N10" s="661"/>
      <c r="O10" s="661"/>
      <c r="P10" s="661"/>
      <c r="Q10" s="661"/>
      <c r="R10" s="661"/>
      <c r="S10" s="661"/>
    </row>
    <row r="11" spans="1:19" x14ac:dyDescent="0.25">
      <c r="N11" s="661"/>
      <c r="O11" s="661"/>
      <c r="P11" s="661"/>
      <c r="Q11" s="661"/>
      <c r="R11" s="661"/>
      <c r="S11" s="661"/>
    </row>
    <row r="12" spans="1:19" x14ac:dyDescent="0.25">
      <c r="D12" s="685" t="s">
        <v>676</v>
      </c>
      <c r="G12" s="682">
        <f>+'Summary SBR-Transport'!C6</f>
        <v>17455190.600000001</v>
      </c>
      <c r="I12" s="686">
        <f>VLOOKUP($A$8,'Retail Rates'!$A$7:$L$35,8,FALSE)*10</f>
        <v>2.2395999999999998</v>
      </c>
      <c r="J12" s="684">
        <f>+G12*I12</f>
        <v>39092644.867760003</v>
      </c>
      <c r="K12" s="684"/>
      <c r="M12" s="684"/>
      <c r="N12" s="684"/>
      <c r="O12" s="684"/>
      <c r="P12" s="684"/>
      <c r="Q12" s="684"/>
      <c r="R12" s="684"/>
      <c r="S12" s="684"/>
    </row>
    <row r="13" spans="1:19" x14ac:dyDescent="0.25">
      <c r="N13" s="661"/>
      <c r="O13" s="661"/>
      <c r="P13" s="661"/>
      <c r="Q13" s="661"/>
      <c r="R13" s="661"/>
      <c r="S13" s="661"/>
    </row>
    <row r="14" spans="1:19" x14ac:dyDescent="0.25">
      <c r="G14" s="682"/>
      <c r="N14" s="661"/>
      <c r="O14" s="661"/>
      <c r="P14" s="661"/>
      <c r="Q14" s="661"/>
      <c r="R14" s="661"/>
      <c r="S14" s="661"/>
    </row>
    <row r="15" spans="1:19" x14ac:dyDescent="0.25">
      <c r="D15" s="661" t="s">
        <v>642</v>
      </c>
      <c r="G15" s="682"/>
      <c r="J15" s="684">
        <f ca="1">SUMIF('12-MO Billed Summary RETAIL'!$E$6:$E$16,'Exh R9-Reconst Billings Detail'!$A$8,'12-MO Billed Summary RETAIL'!$AG$6:$AG$16)+SUMIF('12-MO Billed Summary RETAIL'!$E$6:$E$16,'Exh R9-Reconst Billings Detail'!$A$8,'12-MO Billed Summary RETAIL'!$AH$6:$AH$16)+SUMIF('12-MO Billed Summary RETAIL'!$E$6:$E$16,'Exh R9-Reconst Billings Detail'!$A$8,'12-MO Billed Summary RETAIL'!$AI$6:$AI$16)+SBR!BL11</f>
        <v>-19383.120000000003</v>
      </c>
      <c r="N15" s="661"/>
      <c r="O15" s="661"/>
      <c r="P15" s="661"/>
      <c r="Q15" s="661"/>
      <c r="R15" s="661"/>
      <c r="S15" s="661"/>
    </row>
    <row r="16" spans="1:19" x14ac:dyDescent="0.25">
      <c r="G16" s="687"/>
      <c r="N16" s="661"/>
      <c r="O16" s="661"/>
      <c r="P16" s="661"/>
      <c r="Q16" s="661"/>
      <c r="R16" s="661"/>
      <c r="S16" s="661"/>
    </row>
    <row r="17" spans="1:19" x14ac:dyDescent="0.25">
      <c r="N17" s="661"/>
      <c r="O17" s="661"/>
      <c r="P17" s="661"/>
      <c r="Q17" s="661"/>
      <c r="R17" s="661"/>
      <c r="S17" s="661"/>
    </row>
    <row r="18" spans="1:19" ht="16.5" thickBot="1" x14ac:dyDescent="0.3">
      <c r="C18" s="676" t="s">
        <v>653</v>
      </c>
      <c r="J18" s="717">
        <f ca="1">SUM(J9:J16)</f>
        <v>82727786.747759998</v>
      </c>
      <c r="K18" s="684"/>
      <c r="M18" s="684"/>
      <c r="N18" s="684">
        <f ca="1">+'Exh R9-Reconst Billings Summary'!J14</f>
        <v>82727786.789280012</v>
      </c>
      <c r="O18" s="684">
        <f ca="1">+J18-N18</f>
        <v>-4.1520014405250549E-2</v>
      </c>
      <c r="P18" s="684"/>
      <c r="Q18" s="661"/>
      <c r="R18" s="661"/>
      <c r="S18" s="661"/>
    </row>
    <row r="19" spans="1:19" ht="16.5" thickTop="1" x14ac:dyDescent="0.25">
      <c r="N19" s="661"/>
      <c r="O19" s="661"/>
      <c r="P19" s="661"/>
      <c r="Q19" s="661"/>
      <c r="R19" s="661"/>
      <c r="S19" s="661"/>
    </row>
    <row r="20" spans="1:19" x14ac:dyDescent="0.25">
      <c r="N20" s="661"/>
      <c r="O20" s="661"/>
      <c r="P20" s="661"/>
      <c r="Q20" s="661"/>
      <c r="R20" s="661"/>
      <c r="S20" s="661"/>
    </row>
    <row r="21" spans="1:19" x14ac:dyDescent="0.25">
      <c r="Q21" s="661"/>
      <c r="R21" s="661"/>
      <c r="S21" s="661"/>
    </row>
    <row r="22" spans="1:19" x14ac:dyDescent="0.25">
      <c r="Q22" s="661"/>
      <c r="R22" s="661"/>
      <c r="S22" s="661"/>
    </row>
    <row r="25" spans="1:19" x14ac:dyDescent="0.25">
      <c r="D25" s="680"/>
    </row>
    <row r="27" spans="1:19" ht="18.75" x14ac:dyDescent="0.3">
      <c r="C27" s="675" t="s">
        <v>654</v>
      </c>
      <c r="E27" s="676"/>
      <c r="F27" s="676"/>
      <c r="G27" s="676"/>
    </row>
    <row r="28" spans="1:19" x14ac:dyDescent="0.25">
      <c r="C28" s="677"/>
      <c r="D28" s="678"/>
      <c r="E28" s="677"/>
      <c r="F28" s="677"/>
      <c r="G28" s="677"/>
    </row>
    <row r="29" spans="1:19" x14ac:dyDescent="0.25">
      <c r="A29" s="419" t="s">
        <v>180</v>
      </c>
      <c r="C29" s="676" t="s">
        <v>655</v>
      </c>
    </row>
    <row r="30" spans="1:19" x14ac:dyDescent="0.25">
      <c r="C30" s="676"/>
      <c r="D30" s="680" t="s">
        <v>773</v>
      </c>
    </row>
    <row r="31" spans="1:19" x14ac:dyDescent="0.25">
      <c r="A31" s="419" t="s">
        <v>678</v>
      </c>
      <c r="C31" s="701"/>
      <c r="D31" s="702" t="s">
        <v>656</v>
      </c>
      <c r="F31" s="682">
        <f>SUMIF('Apr11-Mar12 Billed-RETAIL'!$E$5:$E$149,$A$29,'Apr11-Mar12 Billed-RETAIL'!$G$5:$G$149)+SUMIF('Apr11-Mar12 Billed-RETAIL'!$E$5:$E$149,$A$29,'Apr11-Mar12 Billed-RETAIL'!$AE$5:$AE$149)</f>
        <v>295931</v>
      </c>
      <c r="I31" s="683">
        <f>VLOOKUP($A$29,'Retail Rates'!$A$7:$L$35,6,FALSE)</f>
        <v>30</v>
      </c>
      <c r="J31" s="684">
        <f>+F31*I31</f>
        <v>8877930</v>
      </c>
    </row>
    <row r="32" spans="1:19" x14ac:dyDescent="0.25">
      <c r="C32" s="701"/>
      <c r="D32" s="702" t="s">
        <v>657</v>
      </c>
      <c r="F32" s="682">
        <f>SUMIF('Apr11-Mar12 Billed-RETAIL'!$E$5:$E$149,$A$29,'Apr11-Mar12 Billed-RETAIL'!$H$5:$H$149)+SUMIF('Apr11-Mar12 Billed-RETAIL'!$E$5:$E$149,$A$29,'Apr11-Mar12 Billed-RETAIL'!$AF$5:$AF$149)+'Apr11-Mar12 FT-TS-Cashout-LG&amp;E'!T320</f>
        <v>12650</v>
      </c>
      <c r="I32" s="683">
        <f>VLOOKUP($A$29,'Retail Rates'!$A$7:$L$35,7,FALSE)</f>
        <v>170</v>
      </c>
      <c r="J32" s="684">
        <f>+F32*I32</f>
        <v>2150500</v>
      </c>
      <c r="P32" s="966"/>
    </row>
    <row r="33" spans="1:16" x14ac:dyDescent="0.25">
      <c r="P33" s="966"/>
    </row>
    <row r="34" spans="1:16" x14ac:dyDescent="0.25">
      <c r="D34" s="661" t="s">
        <v>652</v>
      </c>
      <c r="I34" s="686"/>
      <c r="P34" s="966"/>
    </row>
    <row r="35" spans="1:16" x14ac:dyDescent="0.25">
      <c r="C35" s="703"/>
      <c r="D35" s="661" t="s">
        <v>658</v>
      </c>
      <c r="G35" s="682">
        <f>((SUMIF('Apr11-Mar12 Billed-RETAIL'!$E$5:$E$149,$A$29,'Apr11-Mar12 Billed-RETAIL'!$I$5:$I$149)/10))+'Apr11-Mar12 FT-TS-Cashout-LG&amp;E'!T321</f>
        <v>7881220</v>
      </c>
      <c r="I35" s="686">
        <f>VLOOKUP($A$29,'Retail Rates'!$A$7:$L$35,8,FALSE)*10</f>
        <v>1.8721999999999999</v>
      </c>
      <c r="J35" s="704">
        <f>+G35*I35</f>
        <v>14755220.083999999</v>
      </c>
    </row>
    <row r="36" spans="1:16" x14ac:dyDescent="0.25">
      <c r="C36" s="701"/>
      <c r="D36" s="661" t="s">
        <v>659</v>
      </c>
      <c r="H36" s="682">
        <f>SUMIF('Apr11-Mar12 Billed-RETAIL'!$E$5:$E$149,$A$29,'Apr11-Mar12 Billed-RETAIL'!$J$5:$J$149)/10+'Apr11-Mar12 FT-TS-Cashout-LG&amp;E'!T322</f>
        <v>960315.9</v>
      </c>
      <c r="I36" s="686">
        <f>VLOOKUP($A$29,'Retail Rates'!$A$7:$L$35,9,FALSE)*10</f>
        <v>1.3722000000000001</v>
      </c>
      <c r="J36" s="704">
        <f>+I36*H36</f>
        <v>1317745.4779800002</v>
      </c>
    </row>
    <row r="37" spans="1:16" x14ac:dyDescent="0.25">
      <c r="H37" s="687"/>
      <c r="P37" s="966"/>
    </row>
    <row r="38" spans="1:16" x14ac:dyDescent="0.25">
      <c r="D38" s="661" t="s">
        <v>642</v>
      </c>
      <c r="H38" s="687"/>
      <c r="J38" s="684">
        <f ca="1">SUMIF('12-MO Billed Summary RETAIL'!$E$6:$E$16,'Exh R9-Reconst Billings Detail'!$A$29,'12-MO Billed Summary RETAIL'!$AG$6:$AG$16)+SUMIF('12-MO Billed Summary RETAIL'!$E$6:$E$16,'Exh R9-Reconst Billings Detail'!$A$29,'12-MO Billed Summary RETAIL'!$AH$6:$AH$16)+SUMIF('12-MO Billed Summary RETAIL'!$E$6:$E$16,'Exh R9-Reconst Billings Detail'!$A$29,'12-MO Billed Summary RETAIL'!$AI$6:$AI$16)+SBR!BL17</f>
        <v>-3102.0899999999997</v>
      </c>
      <c r="P38" s="966"/>
    </row>
    <row r="39" spans="1:16" x14ac:dyDescent="0.25">
      <c r="H39" s="687"/>
    </row>
    <row r="42" spans="1:16" x14ac:dyDescent="0.25">
      <c r="A42" s="419" t="s">
        <v>808</v>
      </c>
      <c r="C42" s="676" t="s">
        <v>617</v>
      </c>
    </row>
    <row r="43" spans="1:16" x14ac:dyDescent="0.25">
      <c r="D43" s="661" t="s">
        <v>660</v>
      </c>
      <c r="F43" s="661">
        <f>+'Summary SBR-Transport'!B9</f>
        <v>7</v>
      </c>
      <c r="I43" s="683">
        <v>153</v>
      </c>
      <c r="J43" s="684">
        <f>+F43*I43</f>
        <v>1071</v>
      </c>
      <c r="N43" s="595"/>
      <c r="O43" s="595"/>
    </row>
    <row r="45" spans="1:16" x14ac:dyDescent="0.25">
      <c r="D45" s="661" t="s">
        <v>652</v>
      </c>
    </row>
    <row r="46" spans="1:16" x14ac:dyDescent="0.25">
      <c r="D46" s="661" t="s">
        <v>658</v>
      </c>
      <c r="G46" s="661">
        <f>+'Apr11-Mar12 FT-TS-Cashout-LG&amp;E'!T135</f>
        <v>0</v>
      </c>
      <c r="I46" s="686">
        <f>VLOOKUP($A$29,'Retail Rates'!$A$7:$L$35,8,FALSE)*10</f>
        <v>1.8721999999999999</v>
      </c>
      <c r="J46" s="920">
        <f>+G46*I46</f>
        <v>0</v>
      </c>
    </row>
    <row r="47" spans="1:16" x14ac:dyDescent="0.25">
      <c r="D47" s="661" t="s">
        <v>659</v>
      </c>
      <c r="H47" s="661">
        <f>+'Apr11-Mar12 FT-TS-Cashout-LG&amp;E'!T134</f>
        <v>0</v>
      </c>
      <c r="I47" s="686">
        <f>VLOOKUP($A$29,'Retail Rates'!$A$7:$L$35,9,FALSE)*10</f>
        <v>1.3722000000000001</v>
      </c>
      <c r="J47" s="920">
        <f>+G47*I47</f>
        <v>0</v>
      </c>
    </row>
    <row r="51" spans="1:15" ht="16.5" thickBot="1" x14ac:dyDescent="0.3">
      <c r="C51" s="676" t="s">
        <v>661</v>
      </c>
      <c r="J51" s="717">
        <f ca="1">SUM(J31:J50)</f>
        <v>27099364.471979998</v>
      </c>
      <c r="N51" s="684">
        <f ca="1">+'Exh R9-Reconst Billings Summary'!J18</f>
        <v>27099364.439470001</v>
      </c>
      <c r="O51" s="684">
        <f ca="1">+J51-N51</f>
        <v>3.2509997487068176E-2</v>
      </c>
    </row>
    <row r="52" spans="1:15" ht="16.5" thickTop="1" x14ac:dyDescent="0.25">
      <c r="C52" s="676"/>
      <c r="D52" s="676"/>
      <c r="E52" s="676"/>
      <c r="F52" s="676"/>
      <c r="G52" s="676"/>
    </row>
    <row r="53" spans="1:15" x14ac:dyDescent="0.25">
      <c r="C53" s="676"/>
      <c r="D53" s="676"/>
      <c r="E53" s="676"/>
      <c r="F53" s="676"/>
      <c r="G53" s="676"/>
    </row>
    <row r="54" spans="1:15" x14ac:dyDescent="0.25">
      <c r="C54" s="676"/>
      <c r="D54" s="676"/>
      <c r="E54" s="676"/>
      <c r="F54" s="676"/>
      <c r="G54" s="676"/>
    </row>
    <row r="55" spans="1:15" ht="18.75" x14ac:dyDescent="0.3">
      <c r="C55" s="675" t="s">
        <v>662</v>
      </c>
      <c r="E55" s="676"/>
      <c r="F55" s="676"/>
      <c r="G55" s="676"/>
    </row>
    <row r="56" spans="1:15" x14ac:dyDescent="0.25">
      <c r="C56" s="677"/>
      <c r="D56" s="678"/>
      <c r="E56" s="677"/>
      <c r="F56" s="677"/>
      <c r="G56" s="677"/>
    </row>
    <row r="57" spans="1:15" x14ac:dyDescent="0.25">
      <c r="A57" s="419" t="s">
        <v>190</v>
      </c>
      <c r="C57" s="676" t="s">
        <v>663</v>
      </c>
    </row>
    <row r="58" spans="1:15" x14ac:dyDescent="0.25">
      <c r="C58" s="676"/>
      <c r="D58" s="680" t="s">
        <v>773</v>
      </c>
    </row>
    <row r="59" spans="1:15" x14ac:dyDescent="0.25">
      <c r="A59" s="419" t="s">
        <v>679</v>
      </c>
      <c r="B59" s="967"/>
      <c r="C59" s="701"/>
      <c r="D59" s="702" t="s">
        <v>656</v>
      </c>
      <c r="F59" s="682">
        <f>SUMIF('Apr11-Mar12 Billed-RETAIL'!$E$5:$E$149,$A$57,'Apr11-Mar12 Billed-RETAIL'!$G$5:$G$149)+SUMIF('Apr11-Mar12 Billed-RETAIL'!$E$5:$E$149,$A$57,'Apr11-Mar12 Billed-RETAIL'!$AE$5:$AE$149)</f>
        <v>1358</v>
      </c>
      <c r="I59" s="683">
        <f>VLOOKUP($A$57,'Retail Rates'!$A$7:$L$35,6,FALSE)</f>
        <v>30</v>
      </c>
      <c r="J59" s="684">
        <f>+F59*I59</f>
        <v>40740</v>
      </c>
    </row>
    <row r="60" spans="1:15" x14ac:dyDescent="0.25">
      <c r="B60" s="967"/>
      <c r="C60" s="701"/>
      <c r="D60" s="702" t="s">
        <v>657</v>
      </c>
      <c r="F60" s="682">
        <f>SUMIF('Apr11-Mar12 Billed-RETAIL'!$E$5:$E$149,$A$57,'Apr11-Mar12 Billed-RETAIL'!$H$5:$H$149)+SUMIF('Apr11-Mar12 Billed-RETAIL'!$E$5:$E$149,$A$57,'Apr11-Mar12 Billed-RETAIL'!$AF$5:$AF$149)+'Apr11-Mar12 FT-TS-Cashout-LG&amp;E'!T347</f>
        <v>1229</v>
      </c>
      <c r="I60" s="683">
        <f>VLOOKUP($A$57,'Retail Rates'!$A$7:$L$35,7,FALSE)</f>
        <v>170</v>
      </c>
      <c r="J60" s="684">
        <f>+F60*I60</f>
        <v>208930</v>
      </c>
    </row>
    <row r="61" spans="1:15" x14ac:dyDescent="0.25">
      <c r="F61" s="687"/>
    </row>
    <row r="62" spans="1:15" x14ac:dyDescent="0.25">
      <c r="D62" s="661" t="s">
        <v>652</v>
      </c>
      <c r="I62" s="686"/>
    </row>
    <row r="63" spans="1:15" x14ac:dyDescent="0.25">
      <c r="D63" s="661" t="s">
        <v>658</v>
      </c>
      <c r="G63" s="682">
        <f>((SUMIF('Apr11-Mar12 Billed-RETAIL'!$E$5:$E$149,$A$57,'Apr11-Mar12 Billed-RETAIL'!$I$5:$I$149)/10))+'Apr11-Mar12 FT-TS-Cashout-LG&amp;E'!U348</f>
        <v>500686.1</v>
      </c>
      <c r="I63" s="686">
        <f>VLOOKUP($A$57,'Retail Rates'!$A$7:$L$35,8,FALSE)*10</f>
        <v>1.9022000000000001</v>
      </c>
      <c r="J63" s="704">
        <f>+G63*I63</f>
        <v>952405.09941999998</v>
      </c>
    </row>
    <row r="64" spans="1:15" x14ac:dyDescent="0.25">
      <c r="D64" s="661" t="s">
        <v>659</v>
      </c>
      <c r="E64" s="699"/>
      <c r="F64" s="699"/>
      <c r="H64" s="682">
        <f>SUMIF('Apr11-Mar12 Billed-RETAIL'!$E$5:$E$149,$A$57,'Apr11-Mar12 Billed-RETAIL'!$J$5:$J$149)/10+'Apr11-Mar12 FT-TS-Cashout-LG&amp;E'!U349</f>
        <v>291665.30000000005</v>
      </c>
      <c r="I64" s="686">
        <f>VLOOKUP($A$57,'Retail Rates'!$A$7:$L$35,9,FALSE)*10</f>
        <v>1.4022000000000001</v>
      </c>
      <c r="J64" s="704">
        <f>+I64*H64</f>
        <v>408973.08366000012</v>
      </c>
    </row>
    <row r="65" spans="1:15" x14ac:dyDescent="0.25">
      <c r="H65" s="687"/>
    </row>
    <row r="66" spans="1:15" x14ac:dyDescent="0.25">
      <c r="H66" s="687"/>
      <c r="J66" s="704"/>
    </row>
    <row r="67" spans="1:15" x14ac:dyDescent="0.25">
      <c r="D67" s="661" t="s">
        <v>642</v>
      </c>
      <c r="H67" s="687"/>
      <c r="J67" s="684">
        <f ca="1">SUMIF('12-MO Billed Summary RETAIL'!$E$6:$E$16,'Exh R9-Reconst Billings Detail'!$A$57,'12-MO Billed Summary RETAIL'!$AG$6:$AG$16)+SUMIF('12-MO Billed Summary RETAIL'!$E$6:$E$16,'Exh R9-Reconst Billings Detail'!$A$57,'12-MO Billed Summary RETAIL'!$AH$6:$AH$16)+SUMIF('12-MO Billed Summary RETAIL'!$E$6:$E$16,'Exh R9-Reconst Billings Detail'!$A$57,'12-MO Billed Summary RETAIL'!$AI$6:$AI$16)-0.54+SBR!BL22</f>
        <v>-36.260000000000005</v>
      </c>
    </row>
    <row r="68" spans="1:15" x14ac:dyDescent="0.25">
      <c r="H68" s="687"/>
    </row>
    <row r="69" spans="1:15" x14ac:dyDescent="0.25">
      <c r="H69" s="687"/>
      <c r="J69" s="704"/>
    </row>
    <row r="70" spans="1:15" x14ac:dyDescent="0.25">
      <c r="A70" s="419" t="s">
        <v>808</v>
      </c>
      <c r="C70" s="676" t="s">
        <v>620</v>
      </c>
      <c r="H70" s="687"/>
    </row>
    <row r="71" spans="1:15" x14ac:dyDescent="0.25">
      <c r="D71" s="661" t="s">
        <v>660</v>
      </c>
      <c r="F71" s="661">
        <f>+'Summary SBR-Transport'!B13</f>
        <v>24</v>
      </c>
      <c r="I71" s="683">
        <v>153</v>
      </c>
      <c r="J71" s="704">
        <f>+F71*I71</f>
        <v>3672</v>
      </c>
    </row>
    <row r="73" spans="1:15" x14ac:dyDescent="0.25">
      <c r="D73" s="661" t="s">
        <v>652</v>
      </c>
    </row>
    <row r="74" spans="1:15" x14ac:dyDescent="0.25">
      <c r="C74" s="701"/>
      <c r="D74" s="661" t="s">
        <v>658</v>
      </c>
      <c r="G74" s="682">
        <f>+'Apr11-Mar12 FT-TS-Cashout-LG&amp;E'!U160</f>
        <v>23198.800000000003</v>
      </c>
      <c r="H74" s="682"/>
      <c r="I74" s="686">
        <f>VLOOKUP($A$57,'Retail Rates'!$A$7:$L$35,8,FALSE)*10</f>
        <v>1.9022000000000001</v>
      </c>
      <c r="J74" s="704">
        <f>+G74*I74</f>
        <v>44128.757360000011</v>
      </c>
    </row>
    <row r="75" spans="1:15" x14ac:dyDescent="0.25">
      <c r="C75" s="701"/>
      <c r="D75" s="661" t="s">
        <v>659</v>
      </c>
      <c r="E75" s="699"/>
      <c r="F75" s="699"/>
      <c r="H75" s="682">
        <f>+'Apr11-Mar12 FT-TS-Cashout-LG&amp;E'!U161</f>
        <v>26214.199999999997</v>
      </c>
      <c r="I75" s="686">
        <f>VLOOKUP($A$57,'Retail Rates'!$A$7:$L$35,9,FALSE)*10</f>
        <v>1.4022000000000001</v>
      </c>
      <c r="J75" s="704">
        <f>+I75*H75</f>
        <v>36757.551240000001</v>
      </c>
    </row>
    <row r="76" spans="1:15" x14ac:dyDescent="0.25">
      <c r="H76" s="687"/>
    </row>
    <row r="79" spans="1:15" ht="16.5" thickBot="1" x14ac:dyDescent="0.3">
      <c r="C79" s="676" t="s">
        <v>664</v>
      </c>
      <c r="J79" s="717">
        <f ca="1">SUM(J59:J78)</f>
        <v>1695570.2316799997</v>
      </c>
      <c r="N79" s="684">
        <f ca="1">+'Exh R9-Reconst Billings Summary'!J22</f>
        <v>1695570.2299800012</v>
      </c>
      <c r="O79" s="705">
        <f ca="1">+J79-N79</f>
        <v>1.6999985091388226E-3</v>
      </c>
    </row>
    <row r="80" spans="1:15" ht="16.5" thickTop="1" x14ac:dyDescent="0.25"/>
    <row r="83" spans="1:15" ht="18.75" x14ac:dyDescent="0.3">
      <c r="C83" s="712" t="s">
        <v>1115</v>
      </c>
    </row>
    <row r="85" spans="1:15" x14ac:dyDescent="0.25">
      <c r="A85" s="419" t="s">
        <v>181</v>
      </c>
      <c r="C85" s="688" t="s">
        <v>761</v>
      </c>
    </row>
    <row r="86" spans="1:15" x14ac:dyDescent="0.25">
      <c r="A86" s="434" t="s">
        <v>191</v>
      </c>
      <c r="D86" s="680" t="s">
        <v>773</v>
      </c>
      <c r="F86" s="682">
        <f>SUMIF('Apr11-Mar12 Billed-RETAIL'!$E$5:$E$149,$A$85,'Apr11-Mar12 Billed-RETAIL'!$F$5:$F$149)+SUMIF('Apr11-Mar12 Billed-RETAIL'!$E$5:$E$149,$A$86,'Apr11-Mar12 Billed-RETAIL'!$F$5:$F$149)+SUMIF('Apr11-Mar12 Billed-RETAIL'!$E$5:$E$149,$A$85,'Apr11-Mar12 Billed-RETAIL'!$AE$5:$AE$149)+SUMIF('Apr11-Mar12 Billed-RETAIL'!$E$5:$E$149,$A$86,'Apr11-Mar12 Billed-RETAIL'!$AE$5:$AE$149)</f>
        <v>164</v>
      </c>
      <c r="I86" s="683">
        <f>VLOOKUP("AAGS",'Retail Rates'!$A$7:$L$35,6,FALSE)</f>
        <v>275</v>
      </c>
      <c r="J86" s="704">
        <f>+F86*I86</f>
        <v>45100</v>
      </c>
    </row>
    <row r="89" spans="1:15" x14ac:dyDescent="0.25">
      <c r="D89" s="661" t="s">
        <v>652</v>
      </c>
      <c r="G89" s="682">
        <f ca="1">(SUMIF('12-MO Billed Summary RETAIL'!$E$5:$E$18,$A$85,'12-MO Billed Summary RETAIL'!$I$5:$I$18)+SUMIF('12-MO Billed Summary RETAIL'!$E$5:$E$18,$A$86,'12-MO Billed Summary RETAIL'!$I$5:$I$18))/10</f>
        <v>343960.9</v>
      </c>
      <c r="I89" s="686">
        <f>VLOOKUP("AAGS",'Retail Rates'!$A$7:$L$35,8,FALSE)*10</f>
        <v>0.5252</v>
      </c>
      <c r="J89" s="704">
        <f ca="1">+G89*I89</f>
        <v>180648.26468000002</v>
      </c>
    </row>
    <row r="91" spans="1:15" x14ac:dyDescent="0.25">
      <c r="C91" s="673"/>
      <c r="D91" s="713"/>
      <c r="E91" s="713"/>
      <c r="F91" s="713"/>
      <c r="G91" s="713"/>
    </row>
    <row r="92" spans="1:15" x14ac:dyDescent="0.25">
      <c r="C92" s="673"/>
      <c r="D92" s="661" t="s">
        <v>642</v>
      </c>
      <c r="E92" s="713"/>
      <c r="F92" s="713"/>
      <c r="G92" s="713"/>
      <c r="J92" s="684">
        <f ca="1">SUMIF('12-MO Billed Summary RETAIL'!$E$5:$E$20,$A85,'12-MO Billed Summary RETAIL'!$AG$5:$AG$20)+SUMIF('12-MO Billed Summary RETAIL'!$E$5:$E$20,$A86,'12-MO Billed Summary RETAIL'!$AG$5:$AG$20)+SBR!BL26</f>
        <v>165.01</v>
      </c>
    </row>
    <row r="93" spans="1:15" x14ac:dyDescent="0.25">
      <c r="C93" s="673"/>
      <c r="D93" s="713"/>
      <c r="E93" s="713"/>
      <c r="F93" s="713"/>
      <c r="G93" s="713"/>
    </row>
    <row r="95" spans="1:15" ht="16.5" thickBot="1" x14ac:dyDescent="0.3">
      <c r="C95" s="676" t="s">
        <v>665</v>
      </c>
      <c r="J95" s="717">
        <f ca="1">SUM(J86:J94)</f>
        <v>225913.27468000003</v>
      </c>
      <c r="N95" s="684">
        <f ca="1">+'Exh R9-Reconst Billings Summary'!J25</f>
        <v>225913.29542000013</v>
      </c>
      <c r="O95" s="684">
        <f ca="1">+J95-N95</f>
        <v>-2.0740000094519928E-2</v>
      </c>
    </row>
    <row r="96" spans="1:15" ht="16.5" thickTop="1" x14ac:dyDescent="0.25"/>
    <row r="99" spans="3:15" ht="18.75" x14ac:dyDescent="0.3">
      <c r="C99" s="675" t="s">
        <v>666</v>
      </c>
    </row>
    <row r="100" spans="3:15" x14ac:dyDescent="0.25">
      <c r="C100" s="678"/>
      <c r="D100" s="678"/>
      <c r="E100" s="678"/>
      <c r="F100" s="678"/>
      <c r="G100" s="678"/>
    </row>
    <row r="101" spans="3:15" x14ac:dyDescent="0.25">
      <c r="C101" s="676" t="s">
        <v>667</v>
      </c>
    </row>
    <row r="102" spans="3:15" x14ac:dyDescent="0.25">
      <c r="C102" s="713"/>
      <c r="D102" s="661" t="s">
        <v>660</v>
      </c>
      <c r="E102" s="713"/>
      <c r="F102" s="714">
        <f>+'Apr11-Mar12 FT-TS-Cashout-LG&amp;E'!T9+'Apr11-Mar12 FT-TS-Cashout-LG&amp;E'!T30</f>
        <v>876</v>
      </c>
      <c r="G102" s="713"/>
      <c r="I102" s="683">
        <v>230</v>
      </c>
      <c r="J102" s="704">
        <f>+F102*I102</f>
        <v>201480</v>
      </c>
      <c r="N102" s="684"/>
    </row>
    <row r="103" spans="3:15" x14ac:dyDescent="0.25">
      <c r="N103" s="684"/>
    </row>
    <row r="104" spans="3:15" x14ac:dyDescent="0.25">
      <c r="D104" s="661" t="s">
        <v>652</v>
      </c>
      <c r="G104" s="682">
        <f>+'Apr11-Mar12 FT-TS-Cashout-LG&amp;E'!T10+'Apr11-Mar12 FT-TS-Cashout-LG&amp;E'!T31</f>
        <v>10079083.300000001</v>
      </c>
      <c r="I104" s="686">
        <v>0.43</v>
      </c>
      <c r="J104" s="704">
        <f>+G104*I104</f>
        <v>4334005.8190000001</v>
      </c>
      <c r="N104" s="684"/>
    </row>
    <row r="105" spans="3:15" x14ac:dyDescent="0.25">
      <c r="D105" s="661" t="s">
        <v>1096</v>
      </c>
      <c r="G105" s="682">
        <f>+'Apr11-Mar12 FT-TS-Cashout-LG&amp;E'!T223+'Apr11-Mar12 FT-TS-Cashout-LG&amp;E'!T238</f>
        <v>4013</v>
      </c>
      <c r="I105" s="686">
        <f>+I104</f>
        <v>0.43</v>
      </c>
      <c r="J105" s="704">
        <f>+G105*I105-0.1</f>
        <v>1725.49</v>
      </c>
    </row>
    <row r="106" spans="3:15" x14ac:dyDescent="0.25">
      <c r="N106" s="684"/>
    </row>
    <row r="107" spans="3:15" x14ac:dyDescent="0.25">
      <c r="D107" s="661" t="s">
        <v>668</v>
      </c>
    </row>
    <row r="108" spans="3:15" x14ac:dyDescent="0.25">
      <c r="D108" s="715" t="s">
        <v>774</v>
      </c>
      <c r="E108" s="716"/>
      <c r="F108" s="716"/>
      <c r="G108" s="716">
        <f>+'Apr11-Mar12 FT-TS-Cashout-LG&amp;E'!T66</f>
        <v>169815.79688940925</v>
      </c>
      <c r="I108" s="686">
        <v>0.18329999999999999</v>
      </c>
      <c r="J108" s="704">
        <f>+'Apr11-Mar12 FT-TS-Cashout-LG&amp;E'!T66</f>
        <v>169815.79688940925</v>
      </c>
    </row>
    <row r="109" spans="3:15" x14ac:dyDescent="0.25">
      <c r="E109" s="716"/>
      <c r="F109" s="716"/>
      <c r="G109" s="716"/>
      <c r="I109" s="686"/>
      <c r="J109" s="704"/>
    </row>
    <row r="110" spans="3:15" x14ac:dyDescent="0.25">
      <c r="D110" s="661" t="s">
        <v>642</v>
      </c>
      <c r="E110" s="716"/>
      <c r="F110" s="716"/>
      <c r="G110" s="716"/>
      <c r="I110" s="686"/>
      <c r="J110" s="684">
        <f>-'Apr11-Mar12 FT-TS-Cashout-LG&amp;E'!T202-'Apr11-Mar12 FT-TS-Cashout-LG&amp;E'!T203-28</f>
        <v>153.21999999999963</v>
      </c>
    </row>
    <row r="111" spans="3:15" x14ac:dyDescent="0.25">
      <c r="E111" s="716"/>
      <c r="F111" s="716"/>
      <c r="G111" s="716"/>
    </row>
    <row r="112" spans="3:15" x14ac:dyDescent="0.25">
      <c r="N112" s="684"/>
      <c r="O112" s="428"/>
    </row>
    <row r="113" spans="3:15" ht="16.5" thickBot="1" x14ac:dyDescent="0.3">
      <c r="C113" s="676" t="s">
        <v>669</v>
      </c>
      <c r="J113" s="717">
        <f>SUM(J102:J112)</f>
        <v>4707180.3258894095</v>
      </c>
      <c r="N113" s="684">
        <f>+'Exh R9-Reconst Billings Summary'!J29</f>
        <v>4707180.0511994092</v>
      </c>
      <c r="O113" s="684">
        <f>+J113-N113</f>
        <v>0.27469000034034252</v>
      </c>
    </row>
    <row r="114" spans="3:15" ht="16.5" thickTop="1" x14ac:dyDescent="0.25"/>
    <row r="117" spans="3:15" ht="18.75" x14ac:dyDescent="0.3">
      <c r="C117" s="675" t="s">
        <v>670</v>
      </c>
    </row>
    <row r="118" spans="3:15" x14ac:dyDescent="0.25">
      <c r="C118" s="678"/>
      <c r="D118" s="678"/>
      <c r="E118" s="678"/>
      <c r="F118" s="678"/>
      <c r="G118" s="678"/>
    </row>
    <row r="119" spans="3:15" x14ac:dyDescent="0.25">
      <c r="C119" s="676" t="s">
        <v>671</v>
      </c>
    </row>
    <row r="120" spans="3:15" x14ac:dyDescent="0.25">
      <c r="C120" s="713"/>
      <c r="D120" s="661" t="s">
        <v>660</v>
      </c>
      <c r="E120" s="713"/>
      <c r="F120" s="661">
        <f>+SBR!C64</f>
        <v>827</v>
      </c>
      <c r="G120" s="713"/>
      <c r="I120" s="683">
        <v>75</v>
      </c>
      <c r="J120" s="704">
        <f>+F120*I120</f>
        <v>62025</v>
      </c>
      <c r="N120" s="684">
        <f>+'Exh R9-Reconst Billings Summary'!J30</f>
        <v>62025</v>
      </c>
      <c r="O120" s="684">
        <f>+J120-N120</f>
        <v>0</v>
      </c>
    </row>
    <row r="123" spans="3:15" ht="16.5" thickBot="1" x14ac:dyDescent="0.3">
      <c r="C123" s="676" t="s">
        <v>672</v>
      </c>
      <c r="J123" s="717">
        <f>+J120</f>
        <v>62025</v>
      </c>
    </row>
    <row r="124" spans="3:15" ht="16.5" thickTop="1" x14ac:dyDescent="0.25"/>
    <row r="127" spans="3:15" ht="18.75" x14ac:dyDescent="0.3">
      <c r="C127" s="675" t="s">
        <v>769</v>
      </c>
    </row>
    <row r="128" spans="3:15" x14ac:dyDescent="0.25">
      <c r="C128" s="680"/>
    </row>
    <row r="129" spans="1:19" x14ac:dyDescent="0.25">
      <c r="C129" s="688" t="s">
        <v>770</v>
      </c>
    </row>
    <row r="130" spans="1:19" x14ac:dyDescent="0.25">
      <c r="A130" s="418" t="s">
        <v>203</v>
      </c>
      <c r="C130" s="680"/>
      <c r="D130" s="680" t="s">
        <v>773</v>
      </c>
      <c r="F130" s="661">
        <v>24</v>
      </c>
      <c r="I130" s="683">
        <f>VLOOKUP($A$130,'Retail Rates'!$A$7:$L$35,6,FALSE)</f>
        <v>170</v>
      </c>
      <c r="J130" s="704">
        <f>+F130*I130</f>
        <v>4080</v>
      </c>
      <c r="Q130" s="968"/>
    </row>
    <row r="131" spans="1:19" x14ac:dyDescent="0.25">
      <c r="C131" s="680"/>
    </row>
    <row r="132" spans="1:19" x14ac:dyDescent="0.25">
      <c r="C132" s="680"/>
      <c r="D132" s="661" t="s">
        <v>652</v>
      </c>
      <c r="G132" s="710">
        <f>+SBR!D41</f>
        <v>672290.40000000014</v>
      </c>
      <c r="I132" s="686">
        <f>VLOOKUP($A$130,'Retail Rates'!$A$7:$L$35,8,FALSE)*10</f>
        <v>0.2848</v>
      </c>
      <c r="J132" s="704">
        <f>+G132*I132</f>
        <v>191468.30592000004</v>
      </c>
      <c r="Q132" s="596"/>
    </row>
    <row r="133" spans="1:19" x14ac:dyDescent="0.25">
      <c r="C133" s="680"/>
      <c r="G133" s="710"/>
      <c r="Q133" s="595"/>
    </row>
    <row r="134" spans="1:19" x14ac:dyDescent="0.25">
      <c r="C134" s="680"/>
      <c r="D134" s="680" t="s">
        <v>430</v>
      </c>
      <c r="G134" s="710">
        <f>+J134/I134</f>
        <v>3556800</v>
      </c>
      <c r="I134" s="961">
        <f>VLOOKUP($A$130,'Retail Rates'!$A$7:$L$35,12,FALSE)</f>
        <v>0.96819999999999995</v>
      </c>
      <c r="J134" s="719">
        <f>+'Apr11-Mar12 FT-TS-Cashout-LG&amp;E'!T450</f>
        <v>3443693.76</v>
      </c>
    </row>
    <row r="135" spans="1:19" x14ac:dyDescent="0.25">
      <c r="C135" s="680"/>
      <c r="G135" s="710"/>
      <c r="J135" s="704">
        <f>SUM(J130:J134)</f>
        <v>3639242.06592</v>
      </c>
      <c r="N135" s="684">
        <f>+'Exh R9-Reconst Billings Summary'!J32</f>
        <v>3639242.0659199995</v>
      </c>
      <c r="O135" s="684">
        <f>+J135-N135</f>
        <v>0</v>
      </c>
      <c r="S135" s="428"/>
    </row>
    <row r="136" spans="1:19" x14ac:dyDescent="0.25">
      <c r="C136" s="680"/>
      <c r="G136" s="710"/>
      <c r="S136" s="428"/>
    </row>
    <row r="137" spans="1:19" x14ac:dyDescent="0.25">
      <c r="C137" s="680"/>
      <c r="G137" s="710"/>
      <c r="S137" s="428"/>
    </row>
    <row r="138" spans="1:19" x14ac:dyDescent="0.25">
      <c r="C138" s="680"/>
      <c r="G138" s="710"/>
      <c r="S138" s="428"/>
    </row>
    <row r="139" spans="1:19" x14ac:dyDescent="0.25">
      <c r="C139" s="680"/>
      <c r="G139" s="710"/>
      <c r="S139" s="428"/>
    </row>
    <row r="140" spans="1:19" x14ac:dyDescent="0.25">
      <c r="C140" s="688" t="s">
        <v>771</v>
      </c>
      <c r="G140" s="710"/>
      <c r="S140" s="428"/>
    </row>
    <row r="141" spans="1:19" x14ac:dyDescent="0.25">
      <c r="A141" s="418" t="s">
        <v>204</v>
      </c>
      <c r="C141" s="680"/>
      <c r="D141" s="680" t="s">
        <v>773</v>
      </c>
      <c r="F141" s="661">
        <v>12</v>
      </c>
      <c r="G141" s="710"/>
      <c r="I141" s="683">
        <f>VLOOKUP($A$141,'Retail Rates'!$A$7:$L$35,6,FALSE)</f>
        <v>781</v>
      </c>
      <c r="J141" s="704">
        <f>+F141*I141</f>
        <v>9372</v>
      </c>
    </row>
    <row r="142" spans="1:19" x14ac:dyDescent="0.25">
      <c r="C142" s="680"/>
      <c r="G142" s="710"/>
    </row>
    <row r="143" spans="1:19" x14ac:dyDescent="0.25">
      <c r="C143" s="680"/>
      <c r="D143" s="661" t="s">
        <v>652</v>
      </c>
      <c r="G143" s="710">
        <f>+SBR!D43+SBR!D42</f>
        <v>353134.20000000007</v>
      </c>
      <c r="H143" s="723"/>
      <c r="I143" s="686">
        <f>VLOOKUP($A$141,'Retail Rates'!$A$7:$L$35,8,FALSE)/0.1</f>
        <v>4.87E-2</v>
      </c>
      <c r="J143" s="704">
        <f>+G143*I143</f>
        <v>17197.635540000003</v>
      </c>
    </row>
    <row r="144" spans="1:19" x14ac:dyDescent="0.25">
      <c r="C144" s="680"/>
      <c r="G144" s="710"/>
      <c r="H144" s="723"/>
    </row>
    <row r="145" spans="3:15" x14ac:dyDescent="0.25">
      <c r="C145" s="680"/>
      <c r="D145" s="680" t="s">
        <v>430</v>
      </c>
      <c r="G145" s="710">
        <f>+'Apr11-Mar12 FT-TS-Cashout-LG&amp;E'!T396</f>
        <v>518400</v>
      </c>
      <c r="H145" s="723"/>
      <c r="I145" s="718">
        <f>VLOOKUP($A$141,'Retail Rates'!$A$7:$L$35,12,FALSE)</f>
        <v>2.4300000000000002</v>
      </c>
      <c r="J145" s="704">
        <f>+G145*I145</f>
        <v>1259712</v>
      </c>
    </row>
    <row r="146" spans="3:15" x14ac:dyDescent="0.25">
      <c r="C146" s="680"/>
      <c r="G146" s="710"/>
      <c r="H146" s="723"/>
    </row>
    <row r="147" spans="3:15" x14ac:dyDescent="0.25">
      <c r="C147" s="680"/>
      <c r="G147" s="710"/>
      <c r="H147" s="723"/>
      <c r="I147" s="686"/>
      <c r="J147" s="704"/>
    </row>
    <row r="148" spans="3:15" x14ac:dyDescent="0.25">
      <c r="C148" s="680"/>
      <c r="G148" s="710"/>
    </row>
    <row r="149" spans="3:15" x14ac:dyDescent="0.25">
      <c r="C149" s="680"/>
      <c r="D149" s="680" t="s">
        <v>668</v>
      </c>
      <c r="G149" s="710"/>
    </row>
    <row r="150" spans="3:15" x14ac:dyDescent="0.25">
      <c r="C150" s="680"/>
      <c r="D150" s="715" t="s">
        <v>774</v>
      </c>
      <c r="G150" s="710">
        <f>ROUND(J150/I150,1)</f>
        <v>35615.699999999997</v>
      </c>
      <c r="I150" s="686">
        <v>0.18329999999999999</v>
      </c>
      <c r="J150" s="719">
        <f>+'Apr11-Mar12 FT-TS-Cashout-LG&amp;E'!T412</f>
        <v>6528.3640100000002</v>
      </c>
    </row>
    <row r="151" spans="3:15" x14ac:dyDescent="0.25">
      <c r="C151" s="680"/>
      <c r="G151" s="710"/>
      <c r="J151" s="704">
        <f>SUM(J141:J150)</f>
        <v>1292809.9995499998</v>
      </c>
      <c r="N151" s="684">
        <f>+'Exh R9-Reconst Billings Summary'!J33</f>
        <v>1292810.00401</v>
      </c>
      <c r="O151" s="684">
        <f>+J151-N151</f>
        <v>-4.4600002001971006E-3</v>
      </c>
    </row>
    <row r="156" spans="3:15" ht="18.75" x14ac:dyDescent="0.3">
      <c r="C156" s="675" t="s">
        <v>1031</v>
      </c>
    </row>
    <row r="157" spans="3:15" x14ac:dyDescent="0.25">
      <c r="D157" s="678"/>
      <c r="E157" s="678"/>
      <c r="F157" s="678"/>
      <c r="G157" s="678"/>
    </row>
    <row r="158" spans="3:15" x14ac:dyDescent="0.25">
      <c r="C158" s="673" t="s">
        <v>673</v>
      </c>
      <c r="D158" s="724"/>
    </row>
    <row r="159" spans="3:15" x14ac:dyDescent="0.25">
      <c r="C159" s="676"/>
      <c r="D159" s="661" t="s">
        <v>651</v>
      </c>
      <c r="F159" s="661">
        <v>12</v>
      </c>
      <c r="I159" s="683">
        <f>+'Retail Rates'!J53</f>
        <v>275</v>
      </c>
      <c r="J159" s="704">
        <f>+F159*I159</f>
        <v>3300</v>
      </c>
    </row>
    <row r="160" spans="3:15" x14ac:dyDescent="0.25">
      <c r="J160" s="704"/>
    </row>
    <row r="161" spans="3:14" x14ac:dyDescent="0.25">
      <c r="D161" s="661" t="s">
        <v>660</v>
      </c>
      <c r="F161" s="661">
        <v>12</v>
      </c>
      <c r="G161" s="710"/>
      <c r="I161" s="683">
        <f>+'Retail Rates'!F53</f>
        <v>230</v>
      </c>
      <c r="J161" s="704">
        <f>+F161*I161</f>
        <v>2760</v>
      </c>
    </row>
    <row r="162" spans="3:14" x14ac:dyDescent="0.25">
      <c r="G162" s="710"/>
      <c r="J162" s="704"/>
    </row>
    <row r="163" spans="3:14" x14ac:dyDescent="0.25">
      <c r="D163" s="661" t="s">
        <v>6</v>
      </c>
      <c r="G163" s="710">
        <f>+'Apr11-Mar12 FT-TS-Cashout-LG&amp;E'!T78</f>
        <v>619842.69999999995</v>
      </c>
      <c r="I163" s="686">
        <f>+'Retail Rates'!H53</f>
        <v>0.10489999999999999</v>
      </c>
      <c r="J163" s="704">
        <f>ROUND(+G163*I163,2)</f>
        <v>65021.5</v>
      </c>
    </row>
    <row r="164" spans="3:14" x14ac:dyDescent="0.25">
      <c r="D164" s="661" t="s">
        <v>430</v>
      </c>
      <c r="G164" s="710">
        <f>+'Apr11-Mar12 FT-TS-Cashout-LG&amp;E'!T77</f>
        <v>27896.599999999995</v>
      </c>
      <c r="I164" s="683">
        <f>+'Retail Rates'!L53</f>
        <v>2.75</v>
      </c>
      <c r="J164" s="704">
        <f>+G164*I164</f>
        <v>76715.64999999998</v>
      </c>
    </row>
    <row r="165" spans="3:14" x14ac:dyDescent="0.25">
      <c r="D165" s="661" t="s">
        <v>1096</v>
      </c>
      <c r="G165" s="710">
        <f>+'Apr11-Mar12 FT-TS-Cashout-LG&amp;E'!T275</f>
        <v>4905.2</v>
      </c>
      <c r="I165" s="686">
        <f>+'Retail Rates'!H53</f>
        <v>0.10489999999999999</v>
      </c>
      <c r="J165" s="704">
        <f>ROUND(+G165*I165,2)</f>
        <v>514.55999999999995</v>
      </c>
    </row>
    <row r="166" spans="3:14" x14ac:dyDescent="0.25">
      <c r="G166" s="710"/>
      <c r="J166" s="704"/>
    </row>
    <row r="167" spans="3:14" x14ac:dyDescent="0.25">
      <c r="D167" s="680" t="s">
        <v>668</v>
      </c>
      <c r="G167" s="710"/>
      <c r="J167" s="704"/>
    </row>
    <row r="168" spans="3:14" x14ac:dyDescent="0.25">
      <c r="D168" s="715" t="s">
        <v>774</v>
      </c>
      <c r="G168" s="710">
        <f>ROUND(J168/I168,1)</f>
        <v>86644.800000000003</v>
      </c>
      <c r="I168" s="686">
        <f>+'Retail Rates'!K53</f>
        <v>0.18329999999999999</v>
      </c>
      <c r="J168" s="719">
        <f>ROUND(+'Apr11-Mar12 FT-TS-Cashout-LG&amp;E'!T93,0)</f>
        <v>15882</v>
      </c>
    </row>
    <row r="169" spans="3:14" x14ac:dyDescent="0.25">
      <c r="G169" s="710"/>
      <c r="I169" s="686"/>
      <c r="J169" s="704">
        <f>SUM(J159:J168)</f>
        <v>164193.70999999996</v>
      </c>
      <c r="N169" s="596"/>
    </row>
    <row r="170" spans="3:14" x14ac:dyDescent="0.25">
      <c r="G170" s="710"/>
      <c r="I170" s="686"/>
      <c r="J170" s="704"/>
    </row>
    <row r="171" spans="3:14" x14ac:dyDescent="0.25">
      <c r="G171" s="710"/>
      <c r="I171" s="686"/>
      <c r="J171" s="704"/>
    </row>
    <row r="172" spans="3:14" x14ac:dyDescent="0.25">
      <c r="C172" s="676" t="s">
        <v>1098</v>
      </c>
      <c r="D172" s="726"/>
      <c r="F172" s="713"/>
      <c r="G172" s="710"/>
      <c r="J172" s="704"/>
    </row>
    <row r="173" spans="3:14" x14ac:dyDescent="0.25">
      <c r="D173" s="661" t="s">
        <v>651</v>
      </c>
      <c r="F173" s="661">
        <v>12</v>
      </c>
      <c r="I173" s="683">
        <f>+'Retail Rates'!J54</f>
        <v>781</v>
      </c>
      <c r="J173" s="704">
        <f>+F173*I173</f>
        <v>9372</v>
      </c>
    </row>
    <row r="174" spans="3:14" x14ac:dyDescent="0.25">
      <c r="J174" s="704"/>
    </row>
    <row r="175" spans="3:14" x14ac:dyDescent="0.25">
      <c r="D175" s="661" t="s">
        <v>660</v>
      </c>
      <c r="F175" s="661">
        <v>12</v>
      </c>
      <c r="G175" s="710"/>
      <c r="I175" s="683">
        <f>+'Retail Rates'!F54</f>
        <v>230</v>
      </c>
      <c r="J175" s="704">
        <f>+F175*I175</f>
        <v>2760</v>
      </c>
    </row>
    <row r="176" spans="3:14" x14ac:dyDescent="0.25">
      <c r="G176" s="710"/>
      <c r="J176" s="704"/>
    </row>
    <row r="177" spans="3:15" x14ac:dyDescent="0.25">
      <c r="D177" s="661" t="s">
        <v>6</v>
      </c>
      <c r="G177" s="710">
        <f>+'Apr11-Mar12 FT-TS-Cashout-LG&amp;E'!T104</f>
        <v>195512.60000000003</v>
      </c>
      <c r="I177" s="686">
        <f>+'Retail Rates'!H54</f>
        <v>4.87E-2</v>
      </c>
      <c r="J177" s="704">
        <f>ROUND(+G177*I177,2)</f>
        <v>9521.4599999999991</v>
      </c>
    </row>
    <row r="178" spans="3:15" x14ac:dyDescent="0.25">
      <c r="D178" s="661" t="s">
        <v>430</v>
      </c>
      <c r="G178" s="710">
        <f>+'Apr11-Mar12 FT-TS-Cashout-LG&amp;E'!T103</f>
        <v>90000</v>
      </c>
      <c r="I178" s="683">
        <f>+'Retail Rates'!L54</f>
        <v>2.4300000000000002</v>
      </c>
      <c r="J178" s="704">
        <f>+G178*I178</f>
        <v>218700</v>
      </c>
    </row>
    <row r="179" spans="3:15" x14ac:dyDescent="0.25">
      <c r="D179" s="661" t="s">
        <v>1096</v>
      </c>
      <c r="G179" s="710">
        <f>+'Apr11-Mar12 FT-TS-Cashout-LG&amp;E'!T291</f>
        <v>4215.8999999999996</v>
      </c>
      <c r="I179" s="686">
        <f>+'Retail Rates'!H54</f>
        <v>4.87E-2</v>
      </c>
      <c r="J179" s="704">
        <f>ROUND(+G179*I179,2)+0.66</f>
        <v>205.97</v>
      </c>
    </row>
    <row r="180" spans="3:15" x14ac:dyDescent="0.25">
      <c r="G180" s="710"/>
      <c r="J180" s="704"/>
    </row>
    <row r="181" spans="3:15" x14ac:dyDescent="0.25">
      <c r="D181" s="680" t="s">
        <v>668</v>
      </c>
      <c r="G181" s="710"/>
      <c r="J181" s="704"/>
    </row>
    <row r="182" spans="3:15" x14ac:dyDescent="0.25">
      <c r="D182" s="715" t="s">
        <v>774</v>
      </c>
      <c r="G182" s="710">
        <f>ROUND(J182/I182,1)</f>
        <v>35297.300000000003</v>
      </c>
      <c r="I182" s="686">
        <f>+'Retail Rates'!K54</f>
        <v>0.18329999999999999</v>
      </c>
      <c r="J182" s="719">
        <f>ROUND(+'Apr11-Mar12 FT-TS-Cashout-LG&amp;E'!T119,0)</f>
        <v>6470</v>
      </c>
    </row>
    <row r="183" spans="3:15" x14ac:dyDescent="0.25">
      <c r="G183" s="710"/>
      <c r="I183" s="686"/>
      <c r="J183" s="704">
        <f>SUM(J173:J182)</f>
        <v>247029.43</v>
      </c>
      <c r="N183" s="596"/>
    </row>
    <row r="184" spans="3:15" x14ac:dyDescent="0.25">
      <c r="G184" s="710"/>
      <c r="J184" s="704"/>
    </row>
    <row r="185" spans="3:15" x14ac:dyDescent="0.25">
      <c r="C185" s="673"/>
      <c r="D185" s="726"/>
      <c r="E185" s="713"/>
      <c r="F185" s="713"/>
      <c r="G185" s="710"/>
      <c r="J185" s="704"/>
    </row>
    <row r="186" spans="3:15" ht="16.5" thickBot="1" x14ac:dyDescent="0.3">
      <c r="C186" s="676" t="s">
        <v>674</v>
      </c>
      <c r="J186" s="728">
        <f>+J169+J183</f>
        <v>411223.13999999996</v>
      </c>
      <c r="K186" s="704"/>
      <c r="L186" s="596"/>
      <c r="M186" s="704"/>
      <c r="N186" s="704">
        <f>+'Exh R9-Reconst Billings Summary'!J36</f>
        <v>411223.13891236292</v>
      </c>
      <c r="O186" s="684">
        <f>+J186-N186</f>
        <v>1.0876370361074805E-3</v>
      </c>
    </row>
    <row r="187" spans="3:15" ht="16.5" thickTop="1" x14ac:dyDescent="0.25">
      <c r="J187" s="727"/>
    </row>
  </sheetData>
  <pageMargins left="0.7" right="0.7" top="1.5" bottom="0.75" header="1" footer="0.5"/>
  <pageSetup scale="60" orientation="landscape" r:id="rId1"/>
  <headerFooter>
    <oddHeader>&amp;L&amp;"Times New Roman,Bold"&amp;14LOUISVILLE GAS AND ELECTRIC COMPANY
CALCULATIONS TO RECONSTRUCT TEST PERIOD BILLING DETERMINANTS 
FOR 12-MONTHS ENDED MARCH 31, 2012</oddHeader>
    <oddFooter>&amp;R&amp;"Times New Roman,Bold"&amp;14Conroy Exhibit R9
Page &amp;P of &amp;N</oddFooter>
  </headerFooter>
  <rowBreaks count="6" manualBreakCount="6">
    <brk id="25" max="16383" man="1"/>
    <brk id="53" min="2" max="10" man="1"/>
    <brk id="81" min="2" max="10" man="1"/>
    <brk id="97" min="2" max="10" man="1"/>
    <brk id="125" min="2" max="10" man="1"/>
    <brk id="153" min="2" max="10" man="1"/>
  </rowBreaks>
  <colBreaks count="1" manualBreakCount="1">
    <brk id="11" max="18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0.39997558519241921"/>
  </sheetPr>
  <dimension ref="A1:AN79"/>
  <sheetViews>
    <sheetView zoomScale="70" zoomScaleNormal="70" zoomScaleSheetLayoutView="70" workbookViewId="0"/>
  </sheetViews>
  <sheetFormatPr defaultRowHeight="15.75" x14ac:dyDescent="0.25"/>
  <cols>
    <col min="1" max="3" width="9.140625" style="398"/>
    <col min="4" max="4" width="9.140625" style="389"/>
    <col min="5" max="5" width="28.7109375" style="389" customWidth="1"/>
    <col min="6" max="6" width="21.85546875" style="390" customWidth="1"/>
    <col min="7" max="7" width="21.7109375" style="390" customWidth="1"/>
    <col min="8" max="8" width="15.140625" style="390" customWidth="1"/>
    <col min="9" max="9" width="16.85546875" style="390" customWidth="1"/>
    <col min="10" max="10" width="14.140625" style="390" customWidth="1"/>
    <col min="11" max="11" width="15.5703125" style="390" customWidth="1"/>
    <col min="12" max="12" width="18.5703125" style="390" customWidth="1"/>
    <col min="13" max="13" width="13.140625" style="390" customWidth="1"/>
    <col min="14" max="14" width="15.140625" style="390" customWidth="1"/>
    <col min="15" max="15" width="9.140625" style="398"/>
    <col min="16" max="16" width="13.42578125" style="398" customWidth="1"/>
    <col min="17" max="17" width="17.5703125" style="398" bestFit="1" customWidth="1"/>
    <col min="18" max="18" width="10.28515625" style="398" customWidth="1"/>
    <col min="19" max="19" width="12.28515625" style="398" customWidth="1"/>
    <col min="20" max="20" width="13.140625" style="398" customWidth="1"/>
    <col min="21" max="21" width="12.42578125" style="398" customWidth="1"/>
    <col min="22" max="22" width="13" style="398" bestFit="1" customWidth="1"/>
    <col min="23" max="23" width="13.7109375" style="398" customWidth="1"/>
    <col min="24" max="24" width="10.7109375" style="398" bestFit="1" customWidth="1"/>
    <col min="25" max="25" width="6.140625" style="398" customWidth="1"/>
    <col min="26" max="27" width="9.5703125" style="398" bestFit="1" customWidth="1"/>
    <col min="28" max="28" width="10.5703125" style="398" bestFit="1" customWidth="1"/>
    <col min="29" max="39" width="10.140625" style="398" bestFit="1" customWidth="1"/>
    <col min="40" max="40" width="10.5703125" style="398" bestFit="1" customWidth="1"/>
    <col min="41" max="16384" width="9.140625" style="398"/>
  </cols>
  <sheetData>
    <row r="1" spans="4:40" x14ac:dyDescent="0.25">
      <c r="D1" s="388"/>
      <c r="O1" s="389"/>
    </row>
    <row r="2" spans="4:40" x14ac:dyDescent="0.25">
      <c r="D2" s="388"/>
      <c r="I2" s="391"/>
      <c r="L2" s="391"/>
      <c r="O2" s="389"/>
      <c r="Q2" s="398" t="s">
        <v>636</v>
      </c>
      <c r="X2" s="641"/>
    </row>
    <row r="3" spans="4:40" x14ac:dyDescent="0.25">
      <c r="F3" s="391" t="s">
        <v>453</v>
      </c>
      <c r="G3" s="391"/>
      <c r="M3" s="391"/>
      <c r="N3" s="391"/>
      <c r="O3" s="389"/>
    </row>
    <row r="4" spans="4:40" x14ac:dyDescent="0.25">
      <c r="E4" s="390"/>
      <c r="F4" s="391" t="s">
        <v>454</v>
      </c>
      <c r="G4" s="391" t="s">
        <v>455</v>
      </c>
      <c r="H4" s="391" t="s">
        <v>456</v>
      </c>
      <c r="I4" s="391"/>
      <c r="J4" s="391" t="s">
        <v>457</v>
      </c>
      <c r="K4" s="391" t="s">
        <v>456</v>
      </c>
      <c r="L4" s="391"/>
      <c r="M4" s="391"/>
      <c r="N4" s="391"/>
      <c r="O4" s="389"/>
      <c r="T4" s="1073" t="s">
        <v>442</v>
      </c>
      <c r="U4" s="1074">
        <v>40603</v>
      </c>
      <c r="V4" s="1075" t="s">
        <v>442</v>
      </c>
      <c r="W4" s="1075" t="s">
        <v>634</v>
      </c>
      <c r="X4" s="1075" t="s">
        <v>635</v>
      </c>
    </row>
    <row r="5" spans="4:40" x14ac:dyDescent="0.25">
      <c r="F5" s="391" t="s">
        <v>458</v>
      </c>
      <c r="G5" s="391" t="s">
        <v>407</v>
      </c>
      <c r="H5" s="391" t="s">
        <v>459</v>
      </c>
      <c r="I5" s="391" t="s">
        <v>460</v>
      </c>
      <c r="J5" s="391" t="s">
        <v>461</v>
      </c>
      <c r="K5" s="391" t="s">
        <v>408</v>
      </c>
      <c r="L5" s="391" t="s">
        <v>462</v>
      </c>
      <c r="M5" s="391" t="s">
        <v>457</v>
      </c>
      <c r="N5" s="391"/>
      <c r="O5" s="389"/>
      <c r="T5" s="1073" t="s">
        <v>334</v>
      </c>
      <c r="U5" s="1076" t="s">
        <v>334</v>
      </c>
      <c r="V5" s="1075" t="s">
        <v>457</v>
      </c>
      <c r="W5" s="1075" t="s">
        <v>457</v>
      </c>
      <c r="X5" s="399">
        <v>40969</v>
      </c>
      <c r="AA5" s="399"/>
      <c r="AB5" s="399">
        <v>40603</v>
      </c>
      <c r="AC5" s="399">
        <v>40634</v>
      </c>
      <c r="AD5" s="399">
        <v>40664</v>
      </c>
      <c r="AE5" s="399">
        <v>40695</v>
      </c>
      <c r="AF5" s="399">
        <v>40725</v>
      </c>
      <c r="AG5" s="399">
        <v>40756</v>
      </c>
      <c r="AH5" s="399">
        <v>40787</v>
      </c>
      <c r="AI5" s="399">
        <v>40817</v>
      </c>
      <c r="AJ5" s="399">
        <v>40848</v>
      </c>
      <c r="AK5" s="399">
        <v>40878</v>
      </c>
      <c r="AL5" s="399">
        <v>40909</v>
      </c>
      <c r="AM5" s="399">
        <v>40940</v>
      </c>
      <c r="AN5" s="399">
        <v>40969</v>
      </c>
    </row>
    <row r="6" spans="4:40" x14ac:dyDescent="0.25">
      <c r="F6" s="392" t="s">
        <v>463</v>
      </c>
      <c r="G6" s="392" t="s">
        <v>464</v>
      </c>
      <c r="H6" s="392" t="s">
        <v>457</v>
      </c>
      <c r="I6" s="392" t="s">
        <v>465</v>
      </c>
      <c r="J6" s="392" t="s">
        <v>466</v>
      </c>
      <c r="K6" s="392" t="s">
        <v>451</v>
      </c>
      <c r="L6" s="391" t="s">
        <v>467</v>
      </c>
      <c r="M6" s="392" t="s">
        <v>244</v>
      </c>
      <c r="N6" s="392" t="s">
        <v>244</v>
      </c>
      <c r="O6" s="389"/>
      <c r="Q6" s="399" t="s">
        <v>23</v>
      </c>
      <c r="R6" s="398" t="s">
        <v>208</v>
      </c>
      <c r="S6" s="398" t="s">
        <v>181</v>
      </c>
      <c r="T6" s="1077">
        <f>SUM(AC6:AN6)</f>
        <v>52</v>
      </c>
      <c r="U6" s="1077">
        <f>+AB6</f>
        <v>8</v>
      </c>
      <c r="V6" s="1077">
        <f>ROUND(+T6/12,0)</f>
        <v>4</v>
      </c>
      <c r="W6" s="1077">
        <f>ROUND((T6+U6)/13,0)</f>
        <v>5</v>
      </c>
      <c r="X6" s="439">
        <f>+AN6</f>
        <v>5</v>
      </c>
      <c r="AA6" s="439"/>
      <c r="AB6" s="439">
        <v>8</v>
      </c>
      <c r="AC6" s="439">
        <f>SUMIFS('Apr11-Mar12 Billed-RETAIL'!$F$5:$F$147,'Apr11-Mar12 Billed-RETAIL'!$B$5:$B$147,'Exh P6-Year-End Customer Adj'!AC$5,'Apr11-Mar12 Billed-RETAIL'!$C$5:$C$147,'Exh P6-Year-End Customer Adj'!$Q6)+SUMIFS('Apr11-Mar12 Billed-RETAIL'!$AE$5:$AE$147,'Apr11-Mar12 Billed-RETAIL'!$B$5:$B$147,'Exh P6-Year-End Customer Adj'!AC$5,'Apr11-Mar12 Billed-RETAIL'!$C$5:$C$147,'Exh P6-Year-End Customer Adj'!$Q6)</f>
        <v>-3</v>
      </c>
      <c r="AD6" s="439">
        <f>SUMIFS('Apr11-Mar12 Billed-RETAIL'!$F$5:$F$147,'Apr11-Mar12 Billed-RETAIL'!$B$5:$B$147,'Exh P6-Year-End Customer Adj'!AD$5,'Apr11-Mar12 Billed-RETAIL'!$C$5:$C$147,'Exh P6-Year-End Customer Adj'!$Q6)+SUMIFS('Apr11-Mar12 Billed-RETAIL'!$AE$5:$AE$147,'Apr11-Mar12 Billed-RETAIL'!$B$5:$B$147,'Exh P6-Year-End Customer Adj'!AD$5,'Apr11-Mar12 Billed-RETAIL'!$C$5:$C$147,'Exh P6-Year-End Customer Adj'!$Q6)</f>
        <v>4</v>
      </c>
      <c r="AE6" s="439">
        <f>SUMIFS('Apr11-Mar12 Billed-RETAIL'!$F$5:$F$147,'Apr11-Mar12 Billed-RETAIL'!$B$5:$B$147,'Exh P6-Year-End Customer Adj'!AE$5,'Apr11-Mar12 Billed-RETAIL'!$C$5:$C$147,'Exh P6-Year-End Customer Adj'!$Q6)+SUMIFS('Apr11-Mar12 Billed-RETAIL'!$AE$5:$AE$147,'Apr11-Mar12 Billed-RETAIL'!$B$5:$B$147,'Exh P6-Year-End Customer Adj'!AE$5,'Apr11-Mar12 Billed-RETAIL'!$C$5:$C$147,'Exh P6-Year-End Customer Adj'!$Q6)</f>
        <v>6</v>
      </c>
      <c r="AF6" s="439">
        <f>SUMIFS('Apr11-Mar12 Billed-RETAIL'!$F$5:$F$147,'Apr11-Mar12 Billed-RETAIL'!$B$5:$B$147,'Exh P6-Year-End Customer Adj'!AF$5,'Apr11-Mar12 Billed-RETAIL'!$C$5:$C$147,'Exh P6-Year-End Customer Adj'!$Q6)+SUMIFS('Apr11-Mar12 Billed-RETAIL'!$AE$5:$AE$147,'Apr11-Mar12 Billed-RETAIL'!$B$5:$B$147,'Exh P6-Year-End Customer Adj'!AF$5,'Apr11-Mar12 Billed-RETAIL'!$C$5:$C$147,'Exh P6-Year-End Customer Adj'!$Q6)</f>
        <v>4</v>
      </c>
      <c r="AG6" s="439">
        <f>SUMIFS('Apr11-Mar12 Billed-RETAIL'!$F$5:$F$147,'Apr11-Mar12 Billed-RETAIL'!$B$5:$B$147,'Exh P6-Year-End Customer Adj'!AG$5,'Apr11-Mar12 Billed-RETAIL'!$C$5:$C$147,'Exh P6-Year-End Customer Adj'!$Q6)+SUMIFS('Apr11-Mar12 Billed-RETAIL'!$AE$5:$AE$147,'Apr11-Mar12 Billed-RETAIL'!$B$5:$B$147,'Exh P6-Year-End Customer Adj'!AG$5,'Apr11-Mar12 Billed-RETAIL'!$C$5:$C$147,'Exh P6-Year-End Customer Adj'!$Q6)</f>
        <v>6</v>
      </c>
      <c r="AH6" s="439">
        <f>SUMIFS('Apr11-Mar12 Billed-RETAIL'!$F$5:$F$147,'Apr11-Mar12 Billed-RETAIL'!$B$5:$B$147,'Exh P6-Year-End Customer Adj'!AH$5,'Apr11-Mar12 Billed-RETAIL'!$C$5:$C$147,'Exh P6-Year-End Customer Adj'!$Q6)+SUMIFS('Apr11-Mar12 Billed-RETAIL'!$AE$5:$AE$147,'Apr11-Mar12 Billed-RETAIL'!$B$5:$B$147,'Exh P6-Year-End Customer Adj'!AH$5,'Apr11-Mar12 Billed-RETAIL'!$C$5:$C$147,'Exh P6-Year-End Customer Adj'!$Q6)</f>
        <v>5</v>
      </c>
      <c r="AI6" s="439">
        <f>SUMIFS('Apr11-Mar12 Billed-RETAIL'!$F$5:$F$147,'Apr11-Mar12 Billed-RETAIL'!$B$5:$B$147,'Exh P6-Year-End Customer Adj'!AI$5,'Apr11-Mar12 Billed-RETAIL'!$C$5:$C$147,'Exh P6-Year-End Customer Adj'!$Q6)+SUMIFS('Apr11-Mar12 Billed-RETAIL'!$AE$5:$AE$147,'Apr11-Mar12 Billed-RETAIL'!$B$5:$B$147,'Exh P6-Year-End Customer Adj'!AI$5,'Apr11-Mar12 Billed-RETAIL'!$C$5:$C$147,'Exh P6-Year-End Customer Adj'!$Q6)</f>
        <v>5</v>
      </c>
      <c r="AJ6" s="439">
        <f>SUMIFS('Apr11-Mar12 Billed-RETAIL'!$F$5:$F$147,'Apr11-Mar12 Billed-RETAIL'!$B$5:$B$147,'Exh P6-Year-End Customer Adj'!AJ$5,'Apr11-Mar12 Billed-RETAIL'!$C$5:$C$147,'Exh P6-Year-End Customer Adj'!$Q6)+SUMIFS('Apr11-Mar12 Billed-RETAIL'!$AE$5:$AE$147,'Apr11-Mar12 Billed-RETAIL'!$B$5:$B$147,'Exh P6-Year-End Customer Adj'!AJ$5,'Apr11-Mar12 Billed-RETAIL'!$C$5:$C$147,'Exh P6-Year-End Customer Adj'!$Q6)</f>
        <v>9</v>
      </c>
      <c r="AK6" s="439">
        <f>SUMIFS('Apr11-Mar12 Billed-RETAIL'!$F$5:$F$147,'Apr11-Mar12 Billed-RETAIL'!$B$5:$B$147,'Exh P6-Year-End Customer Adj'!AK$5,'Apr11-Mar12 Billed-RETAIL'!$C$5:$C$147,'Exh P6-Year-End Customer Adj'!$Q6)+SUMIFS('Apr11-Mar12 Billed-RETAIL'!$AE$5:$AE$147,'Apr11-Mar12 Billed-RETAIL'!$B$5:$B$147,'Exh P6-Year-End Customer Adj'!AK$5,'Apr11-Mar12 Billed-RETAIL'!$C$5:$C$147,'Exh P6-Year-End Customer Adj'!$Q6)</f>
        <v>2</v>
      </c>
      <c r="AL6" s="439">
        <f>SUMIFS('Apr11-Mar12 Billed-RETAIL'!$F$5:$F$147,'Apr11-Mar12 Billed-RETAIL'!$B$5:$B$147,'Exh P6-Year-End Customer Adj'!AL$5,'Apr11-Mar12 Billed-RETAIL'!$C$5:$C$147,'Exh P6-Year-End Customer Adj'!$Q6)+SUMIFS('Apr11-Mar12 Billed-RETAIL'!$AE$5:$AE$147,'Apr11-Mar12 Billed-RETAIL'!$B$5:$B$147,'Exh P6-Year-End Customer Adj'!AL$5,'Apr11-Mar12 Billed-RETAIL'!$C$5:$C$147,'Exh P6-Year-End Customer Adj'!$Q6)</f>
        <v>4</v>
      </c>
      <c r="AM6" s="439">
        <f>SUMIFS('Apr11-Mar12 Billed-RETAIL'!$F$5:$F$147,'Apr11-Mar12 Billed-RETAIL'!$B$5:$B$147,'Exh P6-Year-End Customer Adj'!AM$5,'Apr11-Mar12 Billed-RETAIL'!$C$5:$C$147,'Exh P6-Year-End Customer Adj'!$Q6)+SUMIFS('Apr11-Mar12 Billed-RETAIL'!$AE$5:$AE$147,'Apr11-Mar12 Billed-RETAIL'!$B$5:$B$147,'Exh P6-Year-End Customer Adj'!AM$5,'Apr11-Mar12 Billed-RETAIL'!$C$5:$C$147,'Exh P6-Year-End Customer Adj'!$Q6)</f>
        <v>5</v>
      </c>
      <c r="AN6" s="439">
        <f>SUMIFS('Apr11-Mar12 Billed-RETAIL'!$F$5:$F$147,'Apr11-Mar12 Billed-RETAIL'!$B$5:$B$147,'Exh P6-Year-End Customer Adj'!AN$5,'Apr11-Mar12 Billed-RETAIL'!$C$5:$C$147,'Exh P6-Year-End Customer Adj'!$Q6)+SUMIFS('Apr11-Mar12 Billed-RETAIL'!$AE$5:$AE$147,'Apr11-Mar12 Billed-RETAIL'!$B$5:$B$147,'Exh P6-Year-End Customer Adj'!AN$5,'Apr11-Mar12 Billed-RETAIL'!$C$5:$C$147,'Exh P6-Year-End Customer Adj'!$Q6)</f>
        <v>5</v>
      </c>
    </row>
    <row r="7" spans="4:40" ht="16.5" thickBot="1" x14ac:dyDescent="0.3">
      <c r="F7" s="393">
        <v>40999</v>
      </c>
      <c r="G7" s="393">
        <v>40999</v>
      </c>
      <c r="H7" s="394" t="s">
        <v>468</v>
      </c>
      <c r="I7" s="394" t="s">
        <v>469</v>
      </c>
      <c r="J7" s="394" t="s">
        <v>470</v>
      </c>
      <c r="K7" s="394" t="s">
        <v>471</v>
      </c>
      <c r="L7" s="394" t="s">
        <v>472</v>
      </c>
      <c r="M7" s="394" t="s">
        <v>473</v>
      </c>
      <c r="N7" s="394" t="s">
        <v>451</v>
      </c>
      <c r="O7" s="389"/>
      <c r="Q7" s="399" t="s">
        <v>29</v>
      </c>
      <c r="R7" s="398" t="s">
        <v>217</v>
      </c>
      <c r="S7" s="398" t="s">
        <v>191</v>
      </c>
      <c r="T7" s="1077">
        <f>SUM(AC7:AN7)</f>
        <v>112</v>
      </c>
      <c r="U7" s="1077">
        <f t="shared" ref="U7:U14" si="0">+AB7</f>
        <v>10</v>
      </c>
      <c r="V7" s="1077">
        <f t="shared" ref="V7:V14" si="1">ROUND(+T7/12,0)</f>
        <v>9</v>
      </c>
      <c r="W7" s="1077">
        <f t="shared" ref="W7:W14" si="2">ROUND((T7+U7)/13,0)</f>
        <v>9</v>
      </c>
      <c r="X7" s="439">
        <f>+AN7</f>
        <v>9</v>
      </c>
      <c r="AA7" s="439"/>
      <c r="AB7" s="439">
        <v>10</v>
      </c>
      <c r="AC7" s="439">
        <f>SUMIFS('Apr11-Mar12 Billed-RETAIL'!$F$5:$F$147,'Apr11-Mar12 Billed-RETAIL'!$B$5:$B$147,'Exh P6-Year-End Customer Adj'!AC$5,'Apr11-Mar12 Billed-RETAIL'!$C$5:$C$147,'Exh P6-Year-End Customer Adj'!$Q7)+SUMIFS('Apr11-Mar12 Billed-RETAIL'!$AE$5:$AE$147,'Apr11-Mar12 Billed-RETAIL'!$B$5:$B$147,'Exh P6-Year-End Customer Adj'!AC$5,'Apr11-Mar12 Billed-RETAIL'!$C$5:$C$147,'Exh P6-Year-End Customer Adj'!$Q7)</f>
        <v>8</v>
      </c>
      <c r="AD7" s="439">
        <f>SUMIFS('Apr11-Mar12 Billed-RETAIL'!$F$5:$F$147,'Apr11-Mar12 Billed-RETAIL'!$B$5:$B$147,'Exh P6-Year-End Customer Adj'!AD$5,'Apr11-Mar12 Billed-RETAIL'!$C$5:$C$147,'Exh P6-Year-End Customer Adj'!$Q7)+SUMIFS('Apr11-Mar12 Billed-RETAIL'!$AE$5:$AE$147,'Apr11-Mar12 Billed-RETAIL'!$B$5:$B$147,'Exh P6-Year-End Customer Adj'!AD$5,'Apr11-Mar12 Billed-RETAIL'!$C$5:$C$147,'Exh P6-Year-End Customer Adj'!$Q7)</f>
        <v>7</v>
      </c>
      <c r="AE7" s="439">
        <f>SUMIFS('Apr11-Mar12 Billed-RETAIL'!$F$5:$F$147,'Apr11-Mar12 Billed-RETAIL'!$B$5:$B$147,'Exh P6-Year-End Customer Adj'!AE$5,'Apr11-Mar12 Billed-RETAIL'!$C$5:$C$147,'Exh P6-Year-End Customer Adj'!$Q7)+SUMIFS('Apr11-Mar12 Billed-RETAIL'!$AE$5:$AE$147,'Apr11-Mar12 Billed-RETAIL'!$B$5:$B$147,'Exh P6-Year-End Customer Adj'!AE$5,'Apr11-Mar12 Billed-RETAIL'!$C$5:$C$147,'Exh P6-Year-End Customer Adj'!$Q7)</f>
        <v>11</v>
      </c>
      <c r="AF7" s="439">
        <f>SUMIFS('Apr11-Mar12 Billed-RETAIL'!$F$5:$F$147,'Apr11-Mar12 Billed-RETAIL'!$B$5:$B$147,'Exh P6-Year-End Customer Adj'!AF$5,'Apr11-Mar12 Billed-RETAIL'!$C$5:$C$147,'Exh P6-Year-End Customer Adj'!$Q7)+SUMIFS('Apr11-Mar12 Billed-RETAIL'!$AE$5:$AE$147,'Apr11-Mar12 Billed-RETAIL'!$B$5:$B$147,'Exh P6-Year-End Customer Adj'!AF$5,'Apr11-Mar12 Billed-RETAIL'!$C$5:$C$147,'Exh P6-Year-End Customer Adj'!$Q7)</f>
        <v>9</v>
      </c>
      <c r="AG7" s="439">
        <f>SUMIFS('Apr11-Mar12 Billed-RETAIL'!$F$5:$F$147,'Apr11-Mar12 Billed-RETAIL'!$B$5:$B$147,'Exh P6-Year-End Customer Adj'!AG$5,'Apr11-Mar12 Billed-RETAIL'!$C$5:$C$147,'Exh P6-Year-End Customer Adj'!$Q7)+SUMIFS('Apr11-Mar12 Billed-RETAIL'!$AE$5:$AE$147,'Apr11-Mar12 Billed-RETAIL'!$B$5:$B$147,'Exh P6-Year-End Customer Adj'!AG$5,'Apr11-Mar12 Billed-RETAIL'!$C$5:$C$147,'Exh P6-Year-End Customer Adj'!$Q7)</f>
        <v>10</v>
      </c>
      <c r="AH7" s="439">
        <f>SUMIFS('Apr11-Mar12 Billed-RETAIL'!$F$5:$F$147,'Apr11-Mar12 Billed-RETAIL'!$B$5:$B$147,'Exh P6-Year-End Customer Adj'!AH$5,'Apr11-Mar12 Billed-RETAIL'!$C$5:$C$147,'Exh P6-Year-End Customer Adj'!$Q7)+SUMIFS('Apr11-Mar12 Billed-RETAIL'!$AE$5:$AE$147,'Apr11-Mar12 Billed-RETAIL'!$B$5:$B$147,'Exh P6-Year-End Customer Adj'!AH$5,'Apr11-Mar12 Billed-RETAIL'!$C$5:$C$147,'Exh P6-Year-End Customer Adj'!$Q7)</f>
        <v>8</v>
      </c>
      <c r="AI7" s="439">
        <f>SUMIFS('Apr11-Mar12 Billed-RETAIL'!$F$5:$F$147,'Apr11-Mar12 Billed-RETAIL'!$B$5:$B$147,'Exh P6-Year-End Customer Adj'!AI$5,'Apr11-Mar12 Billed-RETAIL'!$C$5:$C$147,'Exh P6-Year-End Customer Adj'!$Q7)+SUMIFS('Apr11-Mar12 Billed-RETAIL'!$AE$5:$AE$147,'Apr11-Mar12 Billed-RETAIL'!$B$5:$B$147,'Exh P6-Year-End Customer Adj'!AI$5,'Apr11-Mar12 Billed-RETAIL'!$C$5:$C$147,'Exh P6-Year-End Customer Adj'!$Q7)</f>
        <v>9</v>
      </c>
      <c r="AJ7" s="439">
        <f>SUMIFS('Apr11-Mar12 Billed-RETAIL'!$F$5:$F$147,'Apr11-Mar12 Billed-RETAIL'!$B$5:$B$147,'Exh P6-Year-End Customer Adj'!AJ$5,'Apr11-Mar12 Billed-RETAIL'!$C$5:$C$147,'Exh P6-Year-End Customer Adj'!$Q7)+SUMIFS('Apr11-Mar12 Billed-RETAIL'!$AE$5:$AE$147,'Apr11-Mar12 Billed-RETAIL'!$B$5:$B$147,'Exh P6-Year-End Customer Adj'!AJ$5,'Apr11-Mar12 Billed-RETAIL'!$C$5:$C$147,'Exh P6-Year-End Customer Adj'!$Q7)</f>
        <v>8</v>
      </c>
      <c r="AK7" s="439">
        <f>SUMIFS('Apr11-Mar12 Billed-RETAIL'!$F$5:$F$147,'Apr11-Mar12 Billed-RETAIL'!$B$5:$B$147,'Exh P6-Year-End Customer Adj'!AK$5,'Apr11-Mar12 Billed-RETAIL'!$C$5:$C$147,'Exh P6-Year-End Customer Adj'!$Q7)+SUMIFS('Apr11-Mar12 Billed-RETAIL'!$AE$5:$AE$147,'Apr11-Mar12 Billed-RETAIL'!$B$5:$B$147,'Exh P6-Year-End Customer Adj'!AK$5,'Apr11-Mar12 Billed-RETAIL'!$C$5:$C$147,'Exh P6-Year-End Customer Adj'!$Q7)</f>
        <v>15</v>
      </c>
      <c r="AL7" s="439">
        <f>SUMIFS('Apr11-Mar12 Billed-RETAIL'!$F$5:$F$147,'Apr11-Mar12 Billed-RETAIL'!$B$5:$B$147,'Exh P6-Year-End Customer Adj'!AL$5,'Apr11-Mar12 Billed-RETAIL'!$C$5:$C$147,'Exh P6-Year-End Customer Adj'!$Q7)+SUMIFS('Apr11-Mar12 Billed-RETAIL'!$AE$5:$AE$147,'Apr11-Mar12 Billed-RETAIL'!$B$5:$B$147,'Exh P6-Year-End Customer Adj'!AL$5,'Apr11-Mar12 Billed-RETAIL'!$C$5:$C$147,'Exh P6-Year-End Customer Adj'!$Q7)</f>
        <v>9</v>
      </c>
      <c r="AM7" s="439">
        <f>SUMIFS('Apr11-Mar12 Billed-RETAIL'!$F$5:$F$147,'Apr11-Mar12 Billed-RETAIL'!$B$5:$B$147,'Exh P6-Year-End Customer Adj'!AM$5,'Apr11-Mar12 Billed-RETAIL'!$C$5:$C$147,'Exh P6-Year-End Customer Adj'!$Q7)+SUMIFS('Apr11-Mar12 Billed-RETAIL'!$AE$5:$AE$147,'Apr11-Mar12 Billed-RETAIL'!$B$5:$B$147,'Exh P6-Year-End Customer Adj'!AM$5,'Apr11-Mar12 Billed-RETAIL'!$C$5:$C$147,'Exh P6-Year-End Customer Adj'!$Q7)</f>
        <v>9</v>
      </c>
      <c r="AN7" s="439">
        <f>SUMIFS('Apr11-Mar12 Billed-RETAIL'!$F$5:$F$147,'Apr11-Mar12 Billed-RETAIL'!$B$5:$B$147,'Exh P6-Year-End Customer Adj'!AN$5,'Apr11-Mar12 Billed-RETAIL'!$C$5:$C$147,'Exh P6-Year-End Customer Adj'!$Q7)+SUMIFS('Apr11-Mar12 Billed-RETAIL'!$AE$5:$AE$147,'Apr11-Mar12 Billed-RETAIL'!$B$5:$B$147,'Exh P6-Year-End Customer Adj'!AN$5,'Apr11-Mar12 Billed-RETAIL'!$C$5:$C$147,'Exh P6-Year-End Customer Adj'!$Q7)</f>
        <v>9</v>
      </c>
    </row>
    <row r="8" spans="4:40" x14ac:dyDescent="0.25">
      <c r="F8" s="395" t="s">
        <v>474</v>
      </c>
      <c r="G8" s="395" t="s">
        <v>475</v>
      </c>
      <c r="H8" s="395" t="s">
        <v>476</v>
      </c>
      <c r="I8" s="395" t="s">
        <v>477</v>
      </c>
      <c r="J8" s="395" t="s">
        <v>478</v>
      </c>
      <c r="K8" s="395" t="s">
        <v>479</v>
      </c>
      <c r="L8" s="395" t="s">
        <v>480</v>
      </c>
      <c r="M8" s="395" t="s">
        <v>481</v>
      </c>
      <c r="N8" s="396" t="s">
        <v>482</v>
      </c>
      <c r="O8" s="389"/>
      <c r="Q8" s="399" t="s">
        <v>37</v>
      </c>
      <c r="R8" s="398" t="s">
        <v>207</v>
      </c>
      <c r="S8" s="398" t="s">
        <v>180</v>
      </c>
      <c r="T8" s="1077">
        <f>SUM(AC8:AN8)</f>
        <v>300887</v>
      </c>
      <c r="U8" s="1077">
        <f t="shared" si="0"/>
        <v>25687</v>
      </c>
      <c r="V8" s="1077">
        <f t="shared" si="1"/>
        <v>25074</v>
      </c>
      <c r="W8" s="1077">
        <f t="shared" si="2"/>
        <v>25121</v>
      </c>
      <c r="X8" s="439">
        <f>+AN8</f>
        <v>25234</v>
      </c>
      <c r="AA8" s="439"/>
      <c r="AB8" s="439">
        <v>25687</v>
      </c>
      <c r="AC8" s="439">
        <f>SUMIFS('Apr11-Mar12 Billed-RETAIL'!$G$5:$G$147,'Apr11-Mar12 Billed-RETAIL'!$B$5:$B$147,'Exh P6-Year-End Customer Adj'!AC$5,'Apr11-Mar12 Billed-RETAIL'!$C$5:$C$147,'Exh P6-Year-End Customer Adj'!$Q8)+SUMIFS('Apr11-Mar12 Billed-RETAIL'!$AE$5:$AE$147,'Apr11-Mar12 Billed-RETAIL'!$B$5:$B$147,'Exh P6-Year-End Customer Adj'!AC$5,'Apr11-Mar12 Billed-RETAIL'!$C$5:$C$147,'Exh P6-Year-End Customer Adj'!$Q8)+SUMIFS('Apr11-Mar12 Billed-RETAIL'!$H$5:$H$147,'Apr11-Mar12 Billed-RETAIL'!$B$5:$B$147,'Exh P6-Year-End Customer Adj'!AC$5,'Apr11-Mar12 Billed-RETAIL'!$C$5:$C$147,'Exh P6-Year-End Customer Adj'!$Q8)+SUMIFS('Apr11-Mar12 Billed-RETAIL'!$AF$5:$AF$147,'Apr11-Mar12 Billed-RETAIL'!$B$5:$B$147,'Exh P6-Year-End Customer Adj'!AC$5,'Apr11-Mar12 Billed-RETAIL'!$C$5:$C$147,'Exh P6-Year-End Customer Adj'!$Q8)</f>
        <v>25153</v>
      </c>
      <c r="AD8" s="439">
        <f>SUMIFS('Apr11-Mar12 Billed-RETAIL'!$G$5:$G$147,'Apr11-Mar12 Billed-RETAIL'!$B$5:$B$147,'Exh P6-Year-End Customer Adj'!AD$5,'Apr11-Mar12 Billed-RETAIL'!$C$5:$C$147,'Exh P6-Year-End Customer Adj'!$Q8)+SUMIFS('Apr11-Mar12 Billed-RETAIL'!$AE$5:$AE$147,'Apr11-Mar12 Billed-RETAIL'!$B$5:$B$147,'Exh P6-Year-End Customer Adj'!AD$5,'Apr11-Mar12 Billed-RETAIL'!$C$5:$C$147,'Exh P6-Year-End Customer Adj'!$Q8)+SUMIFS('Apr11-Mar12 Billed-RETAIL'!$H$5:$H$147,'Apr11-Mar12 Billed-RETAIL'!$B$5:$B$147,'Exh P6-Year-End Customer Adj'!AD$5,'Apr11-Mar12 Billed-RETAIL'!$C$5:$C$147,'Exh P6-Year-End Customer Adj'!$Q8)+SUMIFS('Apr11-Mar12 Billed-RETAIL'!$AF$5:$AF$147,'Apr11-Mar12 Billed-RETAIL'!$B$5:$B$147,'Exh P6-Year-End Customer Adj'!AD$5,'Apr11-Mar12 Billed-RETAIL'!$C$5:$C$147,'Exh P6-Year-End Customer Adj'!$Q8)</f>
        <v>24976</v>
      </c>
      <c r="AE8" s="439">
        <f>SUMIFS('Apr11-Mar12 Billed-RETAIL'!$G$5:$G$147,'Apr11-Mar12 Billed-RETAIL'!$B$5:$B$147,'Exh P6-Year-End Customer Adj'!AE$5,'Apr11-Mar12 Billed-RETAIL'!$C$5:$C$147,'Exh P6-Year-End Customer Adj'!$Q8)+SUMIFS('Apr11-Mar12 Billed-RETAIL'!$AE$5:$AE$147,'Apr11-Mar12 Billed-RETAIL'!$B$5:$B$147,'Exh P6-Year-End Customer Adj'!AE$5,'Apr11-Mar12 Billed-RETAIL'!$C$5:$C$147,'Exh P6-Year-End Customer Adj'!$Q8)+SUMIFS('Apr11-Mar12 Billed-RETAIL'!$H$5:$H$147,'Apr11-Mar12 Billed-RETAIL'!$B$5:$B$147,'Exh P6-Year-End Customer Adj'!AE$5,'Apr11-Mar12 Billed-RETAIL'!$C$5:$C$147,'Exh P6-Year-End Customer Adj'!$Q8)+SUMIFS('Apr11-Mar12 Billed-RETAIL'!$AF$5:$AF$147,'Apr11-Mar12 Billed-RETAIL'!$B$5:$B$147,'Exh P6-Year-End Customer Adj'!AE$5,'Apr11-Mar12 Billed-RETAIL'!$C$5:$C$147,'Exh P6-Year-End Customer Adj'!$Q8)</f>
        <v>25009</v>
      </c>
      <c r="AF8" s="439">
        <f>SUMIFS('Apr11-Mar12 Billed-RETAIL'!$G$5:$G$147,'Apr11-Mar12 Billed-RETAIL'!$B$5:$B$147,'Exh P6-Year-End Customer Adj'!AF$5,'Apr11-Mar12 Billed-RETAIL'!$C$5:$C$147,'Exh P6-Year-End Customer Adj'!$Q8)+SUMIFS('Apr11-Mar12 Billed-RETAIL'!$AE$5:$AE$147,'Apr11-Mar12 Billed-RETAIL'!$B$5:$B$147,'Exh P6-Year-End Customer Adj'!AF$5,'Apr11-Mar12 Billed-RETAIL'!$C$5:$C$147,'Exh P6-Year-End Customer Adj'!$Q8)+SUMIFS('Apr11-Mar12 Billed-RETAIL'!$H$5:$H$147,'Apr11-Mar12 Billed-RETAIL'!$B$5:$B$147,'Exh P6-Year-End Customer Adj'!AF$5,'Apr11-Mar12 Billed-RETAIL'!$C$5:$C$147,'Exh P6-Year-End Customer Adj'!$Q8)+SUMIFS('Apr11-Mar12 Billed-RETAIL'!$AF$5:$AF$147,'Apr11-Mar12 Billed-RETAIL'!$B$5:$B$147,'Exh P6-Year-End Customer Adj'!AF$5,'Apr11-Mar12 Billed-RETAIL'!$C$5:$C$147,'Exh P6-Year-End Customer Adj'!$Q8)</f>
        <v>24285</v>
      </c>
      <c r="AG8" s="439">
        <f>SUMIFS('Apr11-Mar12 Billed-RETAIL'!$G$5:$G$147,'Apr11-Mar12 Billed-RETAIL'!$B$5:$B$147,'Exh P6-Year-End Customer Adj'!AG$5,'Apr11-Mar12 Billed-RETAIL'!$C$5:$C$147,'Exh P6-Year-End Customer Adj'!$Q8)+SUMIFS('Apr11-Mar12 Billed-RETAIL'!$AE$5:$AE$147,'Apr11-Mar12 Billed-RETAIL'!$B$5:$B$147,'Exh P6-Year-End Customer Adj'!AG$5,'Apr11-Mar12 Billed-RETAIL'!$C$5:$C$147,'Exh P6-Year-End Customer Adj'!$Q8)+SUMIFS('Apr11-Mar12 Billed-RETAIL'!$H$5:$H$147,'Apr11-Mar12 Billed-RETAIL'!$B$5:$B$147,'Exh P6-Year-End Customer Adj'!AG$5,'Apr11-Mar12 Billed-RETAIL'!$C$5:$C$147,'Exh P6-Year-End Customer Adj'!$Q8)+SUMIFS('Apr11-Mar12 Billed-RETAIL'!$AF$5:$AF$147,'Apr11-Mar12 Billed-RETAIL'!$B$5:$B$147,'Exh P6-Year-End Customer Adj'!AG$5,'Apr11-Mar12 Billed-RETAIL'!$C$5:$C$147,'Exh P6-Year-End Customer Adj'!$Q8)</f>
        <v>25680</v>
      </c>
      <c r="AH8" s="439">
        <f>SUMIFS('Apr11-Mar12 Billed-RETAIL'!$G$5:$G$147,'Apr11-Mar12 Billed-RETAIL'!$B$5:$B$147,'Exh P6-Year-End Customer Adj'!AH$5,'Apr11-Mar12 Billed-RETAIL'!$C$5:$C$147,'Exh P6-Year-End Customer Adj'!$Q8)+SUMIFS('Apr11-Mar12 Billed-RETAIL'!$AE$5:$AE$147,'Apr11-Mar12 Billed-RETAIL'!$B$5:$B$147,'Exh P6-Year-End Customer Adj'!AH$5,'Apr11-Mar12 Billed-RETAIL'!$C$5:$C$147,'Exh P6-Year-End Customer Adj'!$Q8)+SUMIFS('Apr11-Mar12 Billed-RETAIL'!$H$5:$H$147,'Apr11-Mar12 Billed-RETAIL'!$B$5:$B$147,'Exh P6-Year-End Customer Adj'!AH$5,'Apr11-Mar12 Billed-RETAIL'!$C$5:$C$147,'Exh P6-Year-End Customer Adj'!$Q8)+SUMIFS('Apr11-Mar12 Billed-RETAIL'!$AF$5:$AF$147,'Apr11-Mar12 Billed-RETAIL'!$B$5:$B$147,'Exh P6-Year-End Customer Adj'!AH$5,'Apr11-Mar12 Billed-RETAIL'!$C$5:$C$147,'Exh P6-Year-End Customer Adj'!$Q8)</f>
        <v>24997</v>
      </c>
      <c r="AI8" s="439">
        <f>SUMIFS('Apr11-Mar12 Billed-RETAIL'!$G$5:$G$147,'Apr11-Mar12 Billed-RETAIL'!$B$5:$B$147,'Exh P6-Year-End Customer Adj'!AI$5,'Apr11-Mar12 Billed-RETAIL'!$C$5:$C$147,'Exh P6-Year-End Customer Adj'!$Q8)+SUMIFS('Apr11-Mar12 Billed-RETAIL'!$AE$5:$AE$147,'Apr11-Mar12 Billed-RETAIL'!$B$5:$B$147,'Exh P6-Year-End Customer Adj'!AI$5,'Apr11-Mar12 Billed-RETAIL'!$C$5:$C$147,'Exh P6-Year-End Customer Adj'!$Q8)+SUMIFS('Apr11-Mar12 Billed-RETAIL'!$H$5:$H$147,'Apr11-Mar12 Billed-RETAIL'!$B$5:$B$147,'Exh P6-Year-End Customer Adj'!AI$5,'Apr11-Mar12 Billed-RETAIL'!$C$5:$C$147,'Exh P6-Year-End Customer Adj'!$Q8)+SUMIFS('Apr11-Mar12 Billed-RETAIL'!$AF$5:$AF$147,'Apr11-Mar12 Billed-RETAIL'!$B$5:$B$147,'Exh P6-Year-End Customer Adj'!AI$5,'Apr11-Mar12 Billed-RETAIL'!$C$5:$C$147,'Exh P6-Year-End Customer Adj'!$Q8)</f>
        <v>24766</v>
      </c>
      <c r="AJ8" s="439">
        <f>SUMIFS('Apr11-Mar12 Billed-RETAIL'!$G$5:$G$147,'Apr11-Mar12 Billed-RETAIL'!$B$5:$B$147,'Exh P6-Year-End Customer Adj'!AJ$5,'Apr11-Mar12 Billed-RETAIL'!$C$5:$C$147,'Exh P6-Year-End Customer Adj'!$Q8)+SUMIFS('Apr11-Mar12 Billed-RETAIL'!$AE$5:$AE$147,'Apr11-Mar12 Billed-RETAIL'!$B$5:$B$147,'Exh P6-Year-End Customer Adj'!AJ$5,'Apr11-Mar12 Billed-RETAIL'!$C$5:$C$147,'Exh P6-Year-End Customer Adj'!$Q8)+SUMIFS('Apr11-Mar12 Billed-RETAIL'!$H$5:$H$147,'Apr11-Mar12 Billed-RETAIL'!$B$5:$B$147,'Exh P6-Year-End Customer Adj'!AJ$5,'Apr11-Mar12 Billed-RETAIL'!$C$5:$C$147,'Exh P6-Year-End Customer Adj'!$Q8)+SUMIFS('Apr11-Mar12 Billed-RETAIL'!$AF$5:$AF$147,'Apr11-Mar12 Billed-RETAIL'!$B$5:$B$147,'Exh P6-Year-End Customer Adj'!AJ$5,'Apr11-Mar12 Billed-RETAIL'!$C$5:$C$147,'Exh P6-Year-End Customer Adj'!$Q8)</f>
        <v>24238</v>
      </c>
      <c r="AK8" s="439">
        <f>SUMIFS('Apr11-Mar12 Billed-RETAIL'!$G$5:$G$147,'Apr11-Mar12 Billed-RETAIL'!$B$5:$B$147,'Exh P6-Year-End Customer Adj'!AK$5,'Apr11-Mar12 Billed-RETAIL'!$C$5:$C$147,'Exh P6-Year-End Customer Adj'!$Q8)+SUMIFS('Apr11-Mar12 Billed-RETAIL'!$AE$5:$AE$147,'Apr11-Mar12 Billed-RETAIL'!$B$5:$B$147,'Exh P6-Year-End Customer Adj'!AK$5,'Apr11-Mar12 Billed-RETAIL'!$C$5:$C$147,'Exh P6-Year-End Customer Adj'!$Q8)+SUMIFS('Apr11-Mar12 Billed-RETAIL'!$H$5:$H$147,'Apr11-Mar12 Billed-RETAIL'!$B$5:$B$147,'Exh P6-Year-End Customer Adj'!AK$5,'Apr11-Mar12 Billed-RETAIL'!$C$5:$C$147,'Exh P6-Year-End Customer Adj'!$Q8)+SUMIFS('Apr11-Mar12 Billed-RETAIL'!$AF$5:$AF$147,'Apr11-Mar12 Billed-RETAIL'!$B$5:$B$147,'Exh P6-Year-End Customer Adj'!AK$5,'Apr11-Mar12 Billed-RETAIL'!$C$5:$C$147,'Exh P6-Year-End Customer Adj'!$Q8)</f>
        <v>25457</v>
      </c>
      <c r="AL8" s="439">
        <f>SUMIFS('Apr11-Mar12 Billed-RETAIL'!$G$5:$G$147,'Apr11-Mar12 Billed-RETAIL'!$B$5:$B$147,'Exh P6-Year-End Customer Adj'!AL$5,'Apr11-Mar12 Billed-RETAIL'!$C$5:$C$147,'Exh P6-Year-End Customer Adj'!$Q8)+SUMIFS('Apr11-Mar12 Billed-RETAIL'!$AE$5:$AE$147,'Apr11-Mar12 Billed-RETAIL'!$B$5:$B$147,'Exh P6-Year-End Customer Adj'!AL$5,'Apr11-Mar12 Billed-RETAIL'!$C$5:$C$147,'Exh P6-Year-End Customer Adj'!$Q8)+SUMIFS('Apr11-Mar12 Billed-RETAIL'!$H$5:$H$147,'Apr11-Mar12 Billed-RETAIL'!$B$5:$B$147,'Exh P6-Year-End Customer Adj'!AL$5,'Apr11-Mar12 Billed-RETAIL'!$C$5:$C$147,'Exh P6-Year-End Customer Adj'!$Q8)+SUMIFS('Apr11-Mar12 Billed-RETAIL'!$AF$5:$AF$147,'Apr11-Mar12 Billed-RETAIL'!$B$5:$B$147,'Exh P6-Year-End Customer Adj'!AL$5,'Apr11-Mar12 Billed-RETAIL'!$C$5:$C$147,'Exh P6-Year-End Customer Adj'!$Q8)</f>
        <v>25753</v>
      </c>
      <c r="AM8" s="439">
        <f>SUMIFS('Apr11-Mar12 Billed-RETAIL'!$G$5:$G$147,'Apr11-Mar12 Billed-RETAIL'!$B$5:$B$147,'Exh P6-Year-End Customer Adj'!AM$5,'Apr11-Mar12 Billed-RETAIL'!$C$5:$C$147,'Exh P6-Year-End Customer Adj'!$Q8)+SUMIFS('Apr11-Mar12 Billed-RETAIL'!$AE$5:$AE$147,'Apr11-Mar12 Billed-RETAIL'!$B$5:$B$147,'Exh P6-Year-End Customer Adj'!AM$5,'Apr11-Mar12 Billed-RETAIL'!$C$5:$C$147,'Exh P6-Year-End Customer Adj'!$Q8)+SUMIFS('Apr11-Mar12 Billed-RETAIL'!$H$5:$H$147,'Apr11-Mar12 Billed-RETAIL'!$B$5:$B$147,'Exh P6-Year-End Customer Adj'!AM$5,'Apr11-Mar12 Billed-RETAIL'!$C$5:$C$147,'Exh P6-Year-End Customer Adj'!$Q8)+SUMIFS('Apr11-Mar12 Billed-RETAIL'!$AF$5:$AF$147,'Apr11-Mar12 Billed-RETAIL'!$B$5:$B$147,'Exh P6-Year-End Customer Adj'!AM$5,'Apr11-Mar12 Billed-RETAIL'!$C$5:$C$147,'Exh P6-Year-End Customer Adj'!$Q8)</f>
        <v>25339</v>
      </c>
      <c r="AN8" s="439">
        <f>SUMIFS('Apr11-Mar12 Billed-RETAIL'!$G$5:$G$147,'Apr11-Mar12 Billed-RETAIL'!$B$5:$B$147,'Exh P6-Year-End Customer Adj'!AN$5,'Apr11-Mar12 Billed-RETAIL'!$C$5:$C$147,'Exh P6-Year-End Customer Adj'!$Q8)+SUMIFS('Apr11-Mar12 Billed-RETAIL'!$AE$5:$AE$147,'Apr11-Mar12 Billed-RETAIL'!$B$5:$B$147,'Exh P6-Year-End Customer Adj'!AN$5,'Apr11-Mar12 Billed-RETAIL'!$C$5:$C$147,'Exh P6-Year-End Customer Adj'!$Q8)+SUMIFS('Apr11-Mar12 Billed-RETAIL'!$H$5:$H$147,'Apr11-Mar12 Billed-RETAIL'!$B$5:$B$147,'Exh P6-Year-End Customer Adj'!AN$5,'Apr11-Mar12 Billed-RETAIL'!$C$5:$C$147,'Exh P6-Year-End Customer Adj'!$Q8)+SUMIFS('Apr11-Mar12 Billed-RETAIL'!$AF$5:$AF$147,'Apr11-Mar12 Billed-RETAIL'!$B$5:$B$147,'Exh P6-Year-End Customer Adj'!AN$5,'Apr11-Mar12 Billed-RETAIL'!$C$5:$C$147,'Exh P6-Year-End Customer Adj'!$Q8)</f>
        <v>25234</v>
      </c>
    </row>
    <row r="9" spans="4:40" x14ac:dyDescent="0.25">
      <c r="O9" s="389"/>
      <c r="Q9" s="399" t="s">
        <v>34</v>
      </c>
      <c r="R9" s="398" t="s">
        <v>225</v>
      </c>
      <c r="S9" s="398" t="s">
        <v>180</v>
      </c>
      <c r="T9" s="1077">
        <f>SUM(AC9:AN9)</f>
        <v>228</v>
      </c>
      <c r="U9" s="1077">
        <f t="shared" si="0"/>
        <v>19</v>
      </c>
      <c r="V9" s="1077">
        <f t="shared" si="1"/>
        <v>19</v>
      </c>
      <c r="W9" s="1077">
        <f t="shared" si="2"/>
        <v>19</v>
      </c>
      <c r="X9" s="439">
        <f>+AN9</f>
        <v>19</v>
      </c>
      <c r="AA9" s="439"/>
      <c r="AB9" s="439">
        <v>19</v>
      </c>
      <c r="AC9" s="439">
        <f>SUMIFS('Apr11-Mar12 Billed-RETAIL'!$G$5:$G$147,'Apr11-Mar12 Billed-RETAIL'!$B$5:$B$147,'Exh P6-Year-End Customer Adj'!AC$5,'Apr11-Mar12 Billed-RETAIL'!$C$5:$C$147,'Exh P6-Year-End Customer Adj'!$Q9)+SUMIFS('Apr11-Mar12 Billed-RETAIL'!$AE$5:$AE$147,'Apr11-Mar12 Billed-RETAIL'!$B$5:$B$147,'Exh P6-Year-End Customer Adj'!AC$5,'Apr11-Mar12 Billed-RETAIL'!$C$5:$C$147,'Exh P6-Year-End Customer Adj'!$Q9)+SUMIFS('Apr11-Mar12 Billed-RETAIL'!$H$5:$H$147,'Apr11-Mar12 Billed-RETAIL'!$B$5:$B$147,'Exh P6-Year-End Customer Adj'!AC$5,'Apr11-Mar12 Billed-RETAIL'!$C$5:$C$147,'Exh P6-Year-End Customer Adj'!$Q9)+SUMIFS('Apr11-Mar12 Billed-RETAIL'!$AF$5:$AF$147,'Apr11-Mar12 Billed-RETAIL'!$B$5:$B$147,'Exh P6-Year-End Customer Adj'!AC$5,'Apr11-Mar12 Billed-RETAIL'!$C$5:$C$147,'Exh P6-Year-End Customer Adj'!$Q9)</f>
        <v>19</v>
      </c>
      <c r="AD9" s="439">
        <f>SUMIFS('Apr11-Mar12 Billed-RETAIL'!$G$5:$G$147,'Apr11-Mar12 Billed-RETAIL'!$B$5:$B$147,'Exh P6-Year-End Customer Adj'!AD$5,'Apr11-Mar12 Billed-RETAIL'!$C$5:$C$147,'Exh P6-Year-End Customer Adj'!$Q9)+SUMIFS('Apr11-Mar12 Billed-RETAIL'!$AE$5:$AE$147,'Apr11-Mar12 Billed-RETAIL'!$B$5:$B$147,'Exh P6-Year-End Customer Adj'!AD$5,'Apr11-Mar12 Billed-RETAIL'!$C$5:$C$147,'Exh P6-Year-End Customer Adj'!$Q9)+SUMIFS('Apr11-Mar12 Billed-RETAIL'!$H$5:$H$147,'Apr11-Mar12 Billed-RETAIL'!$B$5:$B$147,'Exh P6-Year-End Customer Adj'!AD$5,'Apr11-Mar12 Billed-RETAIL'!$C$5:$C$147,'Exh P6-Year-End Customer Adj'!$Q9)+SUMIFS('Apr11-Mar12 Billed-RETAIL'!$AF$5:$AF$147,'Apr11-Mar12 Billed-RETAIL'!$B$5:$B$147,'Exh P6-Year-End Customer Adj'!AD$5,'Apr11-Mar12 Billed-RETAIL'!$C$5:$C$147,'Exh P6-Year-End Customer Adj'!$Q9)</f>
        <v>19</v>
      </c>
      <c r="AE9" s="439">
        <f>SUMIFS('Apr11-Mar12 Billed-RETAIL'!$G$5:$G$147,'Apr11-Mar12 Billed-RETAIL'!$B$5:$B$147,'Exh P6-Year-End Customer Adj'!AE$5,'Apr11-Mar12 Billed-RETAIL'!$C$5:$C$147,'Exh P6-Year-End Customer Adj'!$Q9)+SUMIFS('Apr11-Mar12 Billed-RETAIL'!$AE$5:$AE$147,'Apr11-Mar12 Billed-RETAIL'!$B$5:$B$147,'Exh P6-Year-End Customer Adj'!AE$5,'Apr11-Mar12 Billed-RETAIL'!$C$5:$C$147,'Exh P6-Year-End Customer Adj'!$Q9)+SUMIFS('Apr11-Mar12 Billed-RETAIL'!$H$5:$H$147,'Apr11-Mar12 Billed-RETAIL'!$B$5:$B$147,'Exh P6-Year-End Customer Adj'!AE$5,'Apr11-Mar12 Billed-RETAIL'!$C$5:$C$147,'Exh P6-Year-End Customer Adj'!$Q9)+SUMIFS('Apr11-Mar12 Billed-RETAIL'!$AF$5:$AF$147,'Apr11-Mar12 Billed-RETAIL'!$B$5:$B$147,'Exh P6-Year-End Customer Adj'!AE$5,'Apr11-Mar12 Billed-RETAIL'!$C$5:$C$147,'Exh P6-Year-End Customer Adj'!$Q9)</f>
        <v>19</v>
      </c>
      <c r="AF9" s="439">
        <f>SUMIFS('Apr11-Mar12 Billed-RETAIL'!$G$5:$G$147,'Apr11-Mar12 Billed-RETAIL'!$B$5:$B$147,'Exh P6-Year-End Customer Adj'!AF$5,'Apr11-Mar12 Billed-RETAIL'!$C$5:$C$147,'Exh P6-Year-End Customer Adj'!$Q9)+SUMIFS('Apr11-Mar12 Billed-RETAIL'!$AE$5:$AE$147,'Apr11-Mar12 Billed-RETAIL'!$B$5:$B$147,'Exh P6-Year-End Customer Adj'!AF$5,'Apr11-Mar12 Billed-RETAIL'!$C$5:$C$147,'Exh P6-Year-End Customer Adj'!$Q9)+SUMIFS('Apr11-Mar12 Billed-RETAIL'!$H$5:$H$147,'Apr11-Mar12 Billed-RETAIL'!$B$5:$B$147,'Exh P6-Year-End Customer Adj'!AF$5,'Apr11-Mar12 Billed-RETAIL'!$C$5:$C$147,'Exh P6-Year-End Customer Adj'!$Q9)+SUMIFS('Apr11-Mar12 Billed-RETAIL'!$AF$5:$AF$147,'Apr11-Mar12 Billed-RETAIL'!$B$5:$B$147,'Exh P6-Year-End Customer Adj'!AF$5,'Apr11-Mar12 Billed-RETAIL'!$C$5:$C$147,'Exh P6-Year-End Customer Adj'!$Q9)</f>
        <v>19</v>
      </c>
      <c r="AG9" s="439">
        <f>SUMIFS('Apr11-Mar12 Billed-RETAIL'!$G$5:$G$147,'Apr11-Mar12 Billed-RETAIL'!$B$5:$B$147,'Exh P6-Year-End Customer Adj'!AG$5,'Apr11-Mar12 Billed-RETAIL'!$C$5:$C$147,'Exh P6-Year-End Customer Adj'!$Q9)+SUMIFS('Apr11-Mar12 Billed-RETAIL'!$AE$5:$AE$147,'Apr11-Mar12 Billed-RETAIL'!$B$5:$B$147,'Exh P6-Year-End Customer Adj'!AG$5,'Apr11-Mar12 Billed-RETAIL'!$C$5:$C$147,'Exh P6-Year-End Customer Adj'!$Q9)+SUMIFS('Apr11-Mar12 Billed-RETAIL'!$H$5:$H$147,'Apr11-Mar12 Billed-RETAIL'!$B$5:$B$147,'Exh P6-Year-End Customer Adj'!AG$5,'Apr11-Mar12 Billed-RETAIL'!$C$5:$C$147,'Exh P6-Year-End Customer Adj'!$Q9)+SUMIFS('Apr11-Mar12 Billed-RETAIL'!$AF$5:$AF$147,'Apr11-Mar12 Billed-RETAIL'!$B$5:$B$147,'Exh P6-Year-End Customer Adj'!AG$5,'Apr11-Mar12 Billed-RETAIL'!$C$5:$C$147,'Exh P6-Year-End Customer Adj'!$Q9)</f>
        <v>19</v>
      </c>
      <c r="AH9" s="439">
        <f>SUMIFS('Apr11-Mar12 Billed-RETAIL'!$G$5:$G$147,'Apr11-Mar12 Billed-RETAIL'!$B$5:$B$147,'Exh P6-Year-End Customer Adj'!AH$5,'Apr11-Mar12 Billed-RETAIL'!$C$5:$C$147,'Exh P6-Year-End Customer Adj'!$Q9)+SUMIFS('Apr11-Mar12 Billed-RETAIL'!$AE$5:$AE$147,'Apr11-Mar12 Billed-RETAIL'!$B$5:$B$147,'Exh P6-Year-End Customer Adj'!AH$5,'Apr11-Mar12 Billed-RETAIL'!$C$5:$C$147,'Exh P6-Year-End Customer Adj'!$Q9)+SUMIFS('Apr11-Mar12 Billed-RETAIL'!$H$5:$H$147,'Apr11-Mar12 Billed-RETAIL'!$B$5:$B$147,'Exh P6-Year-End Customer Adj'!AH$5,'Apr11-Mar12 Billed-RETAIL'!$C$5:$C$147,'Exh P6-Year-End Customer Adj'!$Q9)+SUMIFS('Apr11-Mar12 Billed-RETAIL'!$AF$5:$AF$147,'Apr11-Mar12 Billed-RETAIL'!$B$5:$B$147,'Exh P6-Year-End Customer Adj'!AH$5,'Apr11-Mar12 Billed-RETAIL'!$C$5:$C$147,'Exh P6-Year-End Customer Adj'!$Q9)</f>
        <v>19</v>
      </c>
      <c r="AI9" s="439">
        <f>SUMIFS('Apr11-Mar12 Billed-RETAIL'!$G$5:$G$147,'Apr11-Mar12 Billed-RETAIL'!$B$5:$B$147,'Exh P6-Year-End Customer Adj'!AI$5,'Apr11-Mar12 Billed-RETAIL'!$C$5:$C$147,'Exh P6-Year-End Customer Adj'!$Q9)+SUMIFS('Apr11-Mar12 Billed-RETAIL'!$AE$5:$AE$147,'Apr11-Mar12 Billed-RETAIL'!$B$5:$B$147,'Exh P6-Year-End Customer Adj'!AI$5,'Apr11-Mar12 Billed-RETAIL'!$C$5:$C$147,'Exh P6-Year-End Customer Adj'!$Q9)+SUMIFS('Apr11-Mar12 Billed-RETAIL'!$H$5:$H$147,'Apr11-Mar12 Billed-RETAIL'!$B$5:$B$147,'Exh P6-Year-End Customer Adj'!AI$5,'Apr11-Mar12 Billed-RETAIL'!$C$5:$C$147,'Exh P6-Year-End Customer Adj'!$Q9)+SUMIFS('Apr11-Mar12 Billed-RETAIL'!$AF$5:$AF$147,'Apr11-Mar12 Billed-RETAIL'!$B$5:$B$147,'Exh P6-Year-End Customer Adj'!AI$5,'Apr11-Mar12 Billed-RETAIL'!$C$5:$C$147,'Exh P6-Year-End Customer Adj'!$Q9)</f>
        <v>19</v>
      </c>
      <c r="AJ9" s="439">
        <f>SUMIFS('Apr11-Mar12 Billed-RETAIL'!$G$5:$G$147,'Apr11-Mar12 Billed-RETAIL'!$B$5:$B$147,'Exh P6-Year-End Customer Adj'!AJ$5,'Apr11-Mar12 Billed-RETAIL'!$C$5:$C$147,'Exh P6-Year-End Customer Adj'!$Q9)+SUMIFS('Apr11-Mar12 Billed-RETAIL'!$AE$5:$AE$147,'Apr11-Mar12 Billed-RETAIL'!$B$5:$B$147,'Exh P6-Year-End Customer Adj'!AJ$5,'Apr11-Mar12 Billed-RETAIL'!$C$5:$C$147,'Exh P6-Year-End Customer Adj'!$Q9)+SUMIFS('Apr11-Mar12 Billed-RETAIL'!$H$5:$H$147,'Apr11-Mar12 Billed-RETAIL'!$B$5:$B$147,'Exh P6-Year-End Customer Adj'!AJ$5,'Apr11-Mar12 Billed-RETAIL'!$C$5:$C$147,'Exh P6-Year-End Customer Adj'!$Q9)+SUMIFS('Apr11-Mar12 Billed-RETAIL'!$AF$5:$AF$147,'Apr11-Mar12 Billed-RETAIL'!$B$5:$B$147,'Exh P6-Year-End Customer Adj'!AJ$5,'Apr11-Mar12 Billed-RETAIL'!$C$5:$C$147,'Exh P6-Year-End Customer Adj'!$Q9)</f>
        <v>19</v>
      </c>
      <c r="AK9" s="439">
        <f>SUMIFS('Apr11-Mar12 Billed-RETAIL'!$G$5:$G$147,'Apr11-Mar12 Billed-RETAIL'!$B$5:$B$147,'Exh P6-Year-End Customer Adj'!AK$5,'Apr11-Mar12 Billed-RETAIL'!$C$5:$C$147,'Exh P6-Year-End Customer Adj'!$Q9)+SUMIFS('Apr11-Mar12 Billed-RETAIL'!$AE$5:$AE$147,'Apr11-Mar12 Billed-RETAIL'!$B$5:$B$147,'Exh P6-Year-End Customer Adj'!AK$5,'Apr11-Mar12 Billed-RETAIL'!$C$5:$C$147,'Exh P6-Year-End Customer Adj'!$Q9)+SUMIFS('Apr11-Mar12 Billed-RETAIL'!$H$5:$H$147,'Apr11-Mar12 Billed-RETAIL'!$B$5:$B$147,'Exh P6-Year-End Customer Adj'!AK$5,'Apr11-Mar12 Billed-RETAIL'!$C$5:$C$147,'Exh P6-Year-End Customer Adj'!$Q9)+SUMIFS('Apr11-Mar12 Billed-RETAIL'!$AF$5:$AF$147,'Apr11-Mar12 Billed-RETAIL'!$B$5:$B$147,'Exh P6-Year-End Customer Adj'!AK$5,'Apr11-Mar12 Billed-RETAIL'!$C$5:$C$147,'Exh P6-Year-End Customer Adj'!$Q9)</f>
        <v>19</v>
      </c>
      <c r="AL9" s="439">
        <f>SUMIFS('Apr11-Mar12 Billed-RETAIL'!$G$5:$G$147,'Apr11-Mar12 Billed-RETAIL'!$B$5:$B$147,'Exh P6-Year-End Customer Adj'!AL$5,'Apr11-Mar12 Billed-RETAIL'!$C$5:$C$147,'Exh P6-Year-End Customer Adj'!$Q9)+SUMIFS('Apr11-Mar12 Billed-RETAIL'!$AE$5:$AE$147,'Apr11-Mar12 Billed-RETAIL'!$B$5:$B$147,'Exh P6-Year-End Customer Adj'!AL$5,'Apr11-Mar12 Billed-RETAIL'!$C$5:$C$147,'Exh P6-Year-End Customer Adj'!$Q9)+SUMIFS('Apr11-Mar12 Billed-RETAIL'!$H$5:$H$147,'Apr11-Mar12 Billed-RETAIL'!$B$5:$B$147,'Exh P6-Year-End Customer Adj'!AL$5,'Apr11-Mar12 Billed-RETAIL'!$C$5:$C$147,'Exh P6-Year-End Customer Adj'!$Q9)+SUMIFS('Apr11-Mar12 Billed-RETAIL'!$AF$5:$AF$147,'Apr11-Mar12 Billed-RETAIL'!$B$5:$B$147,'Exh P6-Year-End Customer Adj'!AL$5,'Apr11-Mar12 Billed-RETAIL'!$C$5:$C$147,'Exh P6-Year-End Customer Adj'!$Q9)</f>
        <v>19</v>
      </c>
      <c r="AM9" s="439">
        <f>SUMIFS('Apr11-Mar12 Billed-RETAIL'!$G$5:$G$147,'Apr11-Mar12 Billed-RETAIL'!$B$5:$B$147,'Exh P6-Year-End Customer Adj'!AM$5,'Apr11-Mar12 Billed-RETAIL'!$C$5:$C$147,'Exh P6-Year-End Customer Adj'!$Q9)+SUMIFS('Apr11-Mar12 Billed-RETAIL'!$AE$5:$AE$147,'Apr11-Mar12 Billed-RETAIL'!$B$5:$B$147,'Exh P6-Year-End Customer Adj'!AM$5,'Apr11-Mar12 Billed-RETAIL'!$C$5:$C$147,'Exh P6-Year-End Customer Adj'!$Q9)+SUMIFS('Apr11-Mar12 Billed-RETAIL'!$H$5:$H$147,'Apr11-Mar12 Billed-RETAIL'!$B$5:$B$147,'Exh P6-Year-End Customer Adj'!AM$5,'Apr11-Mar12 Billed-RETAIL'!$C$5:$C$147,'Exh P6-Year-End Customer Adj'!$Q9)+SUMIFS('Apr11-Mar12 Billed-RETAIL'!$AF$5:$AF$147,'Apr11-Mar12 Billed-RETAIL'!$B$5:$B$147,'Exh P6-Year-End Customer Adj'!AM$5,'Apr11-Mar12 Billed-RETAIL'!$C$5:$C$147,'Exh P6-Year-End Customer Adj'!$Q9)</f>
        <v>19</v>
      </c>
      <c r="AN9" s="439">
        <f>SUMIFS('Apr11-Mar12 Billed-RETAIL'!$G$5:$G$147,'Apr11-Mar12 Billed-RETAIL'!$B$5:$B$147,'Exh P6-Year-End Customer Adj'!AN$5,'Apr11-Mar12 Billed-RETAIL'!$C$5:$C$147,'Exh P6-Year-End Customer Adj'!$Q9)+SUMIFS('Apr11-Mar12 Billed-RETAIL'!$AE$5:$AE$147,'Apr11-Mar12 Billed-RETAIL'!$B$5:$B$147,'Exh P6-Year-End Customer Adj'!AN$5,'Apr11-Mar12 Billed-RETAIL'!$C$5:$C$147,'Exh P6-Year-End Customer Adj'!$Q9)+SUMIFS('Apr11-Mar12 Billed-RETAIL'!$H$5:$H$147,'Apr11-Mar12 Billed-RETAIL'!$B$5:$B$147,'Exh P6-Year-End Customer Adj'!AN$5,'Apr11-Mar12 Billed-RETAIL'!$C$5:$C$147,'Exh P6-Year-End Customer Adj'!$Q9)+SUMIFS('Apr11-Mar12 Billed-RETAIL'!$AF$5:$AF$147,'Apr11-Mar12 Billed-RETAIL'!$B$5:$B$147,'Exh P6-Year-End Customer Adj'!AN$5,'Apr11-Mar12 Billed-RETAIL'!$C$5:$C$147,'Exh P6-Year-End Customer Adj'!$Q9)</f>
        <v>19</v>
      </c>
    </row>
    <row r="10" spans="4:40" x14ac:dyDescent="0.25">
      <c r="D10" s="389" t="s">
        <v>483</v>
      </c>
      <c r="F10" s="390">
        <f>SUM(W14:W17)</f>
        <v>291228</v>
      </c>
      <c r="G10" s="390">
        <f>SUM(X14:X17)</f>
        <v>292094</v>
      </c>
      <c r="H10" s="390">
        <f>G10-F10</f>
        <v>866</v>
      </c>
      <c r="I10" s="390">
        <f>SBR!D11+'Exh P12-Temp Adj'!B11</f>
        <v>19871757.5</v>
      </c>
      <c r="J10" s="400">
        <f>ROUND(I10/F10,1)</f>
        <v>68.2</v>
      </c>
      <c r="K10" s="390">
        <f>ROUND(H10*J10,1)</f>
        <v>59061.2</v>
      </c>
      <c r="L10" s="441">
        <f ca="1">+'Exh R9-Reconst Billings Summary'!H14+'Exh P12-Temp Adj'!D11</f>
        <v>88139929.789280012</v>
      </c>
      <c r="M10" s="401">
        <f ca="1">ROUND(L10/I10,4)</f>
        <v>4.4353999999999996</v>
      </c>
      <c r="N10" s="390">
        <f ca="1">ROUND(K10*M10,0)</f>
        <v>261960</v>
      </c>
      <c r="O10" s="389"/>
      <c r="Q10" s="399" t="s">
        <v>41</v>
      </c>
      <c r="R10" s="398" t="s">
        <v>226</v>
      </c>
      <c r="S10" s="398" t="s">
        <v>180</v>
      </c>
      <c r="T10" s="1077">
        <f>SUM(AC10:AN10)</f>
        <v>7459</v>
      </c>
      <c r="U10" s="1077">
        <f t="shared" si="0"/>
        <v>617</v>
      </c>
      <c r="V10" s="1077">
        <f t="shared" si="1"/>
        <v>622</v>
      </c>
      <c r="W10" s="1077">
        <f t="shared" si="2"/>
        <v>621</v>
      </c>
      <c r="X10" s="439">
        <f>+AN10</f>
        <v>620</v>
      </c>
      <c r="AA10" s="439"/>
      <c r="AB10" s="439">
        <v>617</v>
      </c>
      <c r="AC10" s="439">
        <f>SUMIFS('Apr11-Mar12 Billed-RETAIL'!$G$5:$G$147,'Apr11-Mar12 Billed-RETAIL'!$B$5:$B$147,'Exh P6-Year-End Customer Adj'!AC$5,'Apr11-Mar12 Billed-RETAIL'!$C$5:$C$147,'Exh P6-Year-End Customer Adj'!$Q10)+SUMIFS('Apr11-Mar12 Billed-RETAIL'!$AE$5:$AE$147,'Apr11-Mar12 Billed-RETAIL'!$B$5:$B$147,'Exh P6-Year-End Customer Adj'!AC$5,'Apr11-Mar12 Billed-RETAIL'!$C$5:$C$147,'Exh P6-Year-End Customer Adj'!$Q10)+SUMIFS('Apr11-Mar12 Billed-RETAIL'!$H$5:$H$147,'Apr11-Mar12 Billed-RETAIL'!$B$5:$B$147,'Exh P6-Year-End Customer Adj'!AC$5,'Apr11-Mar12 Billed-RETAIL'!$C$5:$C$147,'Exh P6-Year-End Customer Adj'!$Q10)+SUMIFS('Apr11-Mar12 Billed-RETAIL'!$AF$5:$AF$147,'Apr11-Mar12 Billed-RETAIL'!$B$5:$B$147,'Exh P6-Year-End Customer Adj'!AC$5,'Apr11-Mar12 Billed-RETAIL'!$C$5:$C$147,'Exh P6-Year-End Customer Adj'!$Q10)</f>
        <v>617</v>
      </c>
      <c r="AD10" s="439">
        <f>SUMIFS('Apr11-Mar12 Billed-RETAIL'!$G$5:$G$147,'Apr11-Mar12 Billed-RETAIL'!$B$5:$B$147,'Exh P6-Year-End Customer Adj'!AD$5,'Apr11-Mar12 Billed-RETAIL'!$C$5:$C$147,'Exh P6-Year-End Customer Adj'!$Q10)+SUMIFS('Apr11-Mar12 Billed-RETAIL'!$AE$5:$AE$147,'Apr11-Mar12 Billed-RETAIL'!$B$5:$B$147,'Exh P6-Year-End Customer Adj'!AD$5,'Apr11-Mar12 Billed-RETAIL'!$C$5:$C$147,'Exh P6-Year-End Customer Adj'!$Q10)+SUMIFS('Apr11-Mar12 Billed-RETAIL'!$H$5:$H$147,'Apr11-Mar12 Billed-RETAIL'!$B$5:$B$147,'Exh P6-Year-End Customer Adj'!AD$5,'Apr11-Mar12 Billed-RETAIL'!$C$5:$C$147,'Exh P6-Year-End Customer Adj'!$Q10)+SUMIFS('Apr11-Mar12 Billed-RETAIL'!$AF$5:$AF$147,'Apr11-Mar12 Billed-RETAIL'!$B$5:$B$147,'Exh P6-Year-End Customer Adj'!AD$5,'Apr11-Mar12 Billed-RETAIL'!$C$5:$C$147,'Exh P6-Year-End Customer Adj'!$Q10)</f>
        <v>617</v>
      </c>
      <c r="AE10" s="439">
        <f>SUMIFS('Apr11-Mar12 Billed-RETAIL'!$G$5:$G$147,'Apr11-Mar12 Billed-RETAIL'!$B$5:$B$147,'Exh P6-Year-End Customer Adj'!AE$5,'Apr11-Mar12 Billed-RETAIL'!$C$5:$C$147,'Exh P6-Year-End Customer Adj'!$Q10)+SUMIFS('Apr11-Mar12 Billed-RETAIL'!$AE$5:$AE$147,'Apr11-Mar12 Billed-RETAIL'!$B$5:$B$147,'Exh P6-Year-End Customer Adj'!AE$5,'Apr11-Mar12 Billed-RETAIL'!$C$5:$C$147,'Exh P6-Year-End Customer Adj'!$Q10)+SUMIFS('Apr11-Mar12 Billed-RETAIL'!$H$5:$H$147,'Apr11-Mar12 Billed-RETAIL'!$B$5:$B$147,'Exh P6-Year-End Customer Adj'!AE$5,'Apr11-Mar12 Billed-RETAIL'!$C$5:$C$147,'Exh P6-Year-End Customer Adj'!$Q10)+SUMIFS('Apr11-Mar12 Billed-RETAIL'!$AF$5:$AF$147,'Apr11-Mar12 Billed-RETAIL'!$B$5:$B$147,'Exh P6-Year-End Customer Adj'!AE$5,'Apr11-Mar12 Billed-RETAIL'!$C$5:$C$147,'Exh P6-Year-End Customer Adj'!$Q10)</f>
        <v>625</v>
      </c>
      <c r="AF10" s="439">
        <f>SUMIFS('Apr11-Mar12 Billed-RETAIL'!$G$5:$G$147,'Apr11-Mar12 Billed-RETAIL'!$B$5:$B$147,'Exh P6-Year-End Customer Adj'!AF$5,'Apr11-Mar12 Billed-RETAIL'!$C$5:$C$147,'Exh P6-Year-End Customer Adj'!$Q10)+SUMIFS('Apr11-Mar12 Billed-RETAIL'!$AE$5:$AE$147,'Apr11-Mar12 Billed-RETAIL'!$B$5:$B$147,'Exh P6-Year-End Customer Adj'!AF$5,'Apr11-Mar12 Billed-RETAIL'!$C$5:$C$147,'Exh P6-Year-End Customer Adj'!$Q10)+SUMIFS('Apr11-Mar12 Billed-RETAIL'!$H$5:$H$147,'Apr11-Mar12 Billed-RETAIL'!$B$5:$B$147,'Exh P6-Year-End Customer Adj'!AF$5,'Apr11-Mar12 Billed-RETAIL'!$C$5:$C$147,'Exh P6-Year-End Customer Adj'!$Q10)+SUMIFS('Apr11-Mar12 Billed-RETAIL'!$AF$5:$AF$147,'Apr11-Mar12 Billed-RETAIL'!$B$5:$B$147,'Exh P6-Year-End Customer Adj'!AF$5,'Apr11-Mar12 Billed-RETAIL'!$C$5:$C$147,'Exh P6-Year-End Customer Adj'!$Q10)</f>
        <v>639</v>
      </c>
      <c r="AG10" s="439">
        <f>SUMIFS('Apr11-Mar12 Billed-RETAIL'!$G$5:$G$147,'Apr11-Mar12 Billed-RETAIL'!$B$5:$B$147,'Exh P6-Year-End Customer Adj'!AG$5,'Apr11-Mar12 Billed-RETAIL'!$C$5:$C$147,'Exh P6-Year-End Customer Adj'!$Q10)+SUMIFS('Apr11-Mar12 Billed-RETAIL'!$AE$5:$AE$147,'Apr11-Mar12 Billed-RETAIL'!$B$5:$B$147,'Exh P6-Year-End Customer Adj'!AG$5,'Apr11-Mar12 Billed-RETAIL'!$C$5:$C$147,'Exh P6-Year-End Customer Adj'!$Q10)+SUMIFS('Apr11-Mar12 Billed-RETAIL'!$H$5:$H$147,'Apr11-Mar12 Billed-RETAIL'!$B$5:$B$147,'Exh P6-Year-End Customer Adj'!AG$5,'Apr11-Mar12 Billed-RETAIL'!$C$5:$C$147,'Exh P6-Year-End Customer Adj'!$Q10)+SUMIFS('Apr11-Mar12 Billed-RETAIL'!$AF$5:$AF$147,'Apr11-Mar12 Billed-RETAIL'!$B$5:$B$147,'Exh P6-Year-End Customer Adj'!AG$5,'Apr11-Mar12 Billed-RETAIL'!$C$5:$C$147,'Exh P6-Year-End Customer Adj'!$Q10)</f>
        <v>621</v>
      </c>
      <c r="AH10" s="439">
        <f>SUMIFS('Apr11-Mar12 Billed-RETAIL'!$G$5:$G$147,'Apr11-Mar12 Billed-RETAIL'!$B$5:$B$147,'Exh P6-Year-End Customer Adj'!AH$5,'Apr11-Mar12 Billed-RETAIL'!$C$5:$C$147,'Exh P6-Year-End Customer Adj'!$Q10)+SUMIFS('Apr11-Mar12 Billed-RETAIL'!$AE$5:$AE$147,'Apr11-Mar12 Billed-RETAIL'!$B$5:$B$147,'Exh P6-Year-End Customer Adj'!AH$5,'Apr11-Mar12 Billed-RETAIL'!$C$5:$C$147,'Exh P6-Year-End Customer Adj'!$Q10)+SUMIFS('Apr11-Mar12 Billed-RETAIL'!$H$5:$H$147,'Apr11-Mar12 Billed-RETAIL'!$B$5:$B$147,'Exh P6-Year-End Customer Adj'!AH$5,'Apr11-Mar12 Billed-RETAIL'!$C$5:$C$147,'Exh P6-Year-End Customer Adj'!$Q10)+SUMIFS('Apr11-Mar12 Billed-RETAIL'!$AF$5:$AF$147,'Apr11-Mar12 Billed-RETAIL'!$B$5:$B$147,'Exh P6-Year-End Customer Adj'!AH$5,'Apr11-Mar12 Billed-RETAIL'!$C$5:$C$147,'Exh P6-Year-End Customer Adj'!$Q10)</f>
        <v>620</v>
      </c>
      <c r="AI10" s="439">
        <f>SUMIFS('Apr11-Mar12 Billed-RETAIL'!$G$5:$G$147,'Apr11-Mar12 Billed-RETAIL'!$B$5:$B$147,'Exh P6-Year-End Customer Adj'!AI$5,'Apr11-Mar12 Billed-RETAIL'!$C$5:$C$147,'Exh P6-Year-End Customer Adj'!$Q10)+SUMIFS('Apr11-Mar12 Billed-RETAIL'!$AE$5:$AE$147,'Apr11-Mar12 Billed-RETAIL'!$B$5:$B$147,'Exh P6-Year-End Customer Adj'!AI$5,'Apr11-Mar12 Billed-RETAIL'!$C$5:$C$147,'Exh P6-Year-End Customer Adj'!$Q10)+SUMIFS('Apr11-Mar12 Billed-RETAIL'!$H$5:$H$147,'Apr11-Mar12 Billed-RETAIL'!$B$5:$B$147,'Exh P6-Year-End Customer Adj'!AI$5,'Apr11-Mar12 Billed-RETAIL'!$C$5:$C$147,'Exh P6-Year-End Customer Adj'!$Q10)+SUMIFS('Apr11-Mar12 Billed-RETAIL'!$AF$5:$AF$147,'Apr11-Mar12 Billed-RETAIL'!$B$5:$B$147,'Exh P6-Year-End Customer Adj'!AI$5,'Apr11-Mar12 Billed-RETAIL'!$C$5:$C$147,'Exh P6-Year-End Customer Adj'!$Q10)</f>
        <v>620</v>
      </c>
      <c r="AJ10" s="439">
        <f>SUMIFS('Apr11-Mar12 Billed-RETAIL'!$G$5:$G$147,'Apr11-Mar12 Billed-RETAIL'!$B$5:$B$147,'Exh P6-Year-End Customer Adj'!AJ$5,'Apr11-Mar12 Billed-RETAIL'!$C$5:$C$147,'Exh P6-Year-End Customer Adj'!$Q10)+SUMIFS('Apr11-Mar12 Billed-RETAIL'!$AE$5:$AE$147,'Apr11-Mar12 Billed-RETAIL'!$B$5:$B$147,'Exh P6-Year-End Customer Adj'!AJ$5,'Apr11-Mar12 Billed-RETAIL'!$C$5:$C$147,'Exh P6-Year-End Customer Adj'!$Q10)+SUMIFS('Apr11-Mar12 Billed-RETAIL'!$H$5:$H$147,'Apr11-Mar12 Billed-RETAIL'!$B$5:$B$147,'Exh P6-Year-End Customer Adj'!AJ$5,'Apr11-Mar12 Billed-RETAIL'!$C$5:$C$147,'Exh P6-Year-End Customer Adj'!$Q10)+SUMIFS('Apr11-Mar12 Billed-RETAIL'!$AF$5:$AF$147,'Apr11-Mar12 Billed-RETAIL'!$B$5:$B$147,'Exh P6-Year-End Customer Adj'!AJ$5,'Apr11-Mar12 Billed-RETAIL'!$C$5:$C$147,'Exh P6-Year-End Customer Adj'!$Q10)</f>
        <v>620</v>
      </c>
      <c r="AK10" s="439">
        <f>SUMIFS('Apr11-Mar12 Billed-RETAIL'!$G$5:$G$147,'Apr11-Mar12 Billed-RETAIL'!$B$5:$B$147,'Exh P6-Year-End Customer Adj'!AK$5,'Apr11-Mar12 Billed-RETAIL'!$C$5:$C$147,'Exh P6-Year-End Customer Adj'!$Q10)+SUMIFS('Apr11-Mar12 Billed-RETAIL'!$AE$5:$AE$147,'Apr11-Mar12 Billed-RETAIL'!$B$5:$B$147,'Exh P6-Year-End Customer Adj'!AK$5,'Apr11-Mar12 Billed-RETAIL'!$C$5:$C$147,'Exh P6-Year-End Customer Adj'!$Q10)+SUMIFS('Apr11-Mar12 Billed-RETAIL'!$H$5:$H$147,'Apr11-Mar12 Billed-RETAIL'!$B$5:$B$147,'Exh P6-Year-End Customer Adj'!AK$5,'Apr11-Mar12 Billed-RETAIL'!$C$5:$C$147,'Exh P6-Year-End Customer Adj'!$Q10)+SUMIFS('Apr11-Mar12 Billed-RETAIL'!$AF$5:$AF$147,'Apr11-Mar12 Billed-RETAIL'!$B$5:$B$147,'Exh P6-Year-End Customer Adj'!AK$5,'Apr11-Mar12 Billed-RETAIL'!$C$5:$C$147,'Exh P6-Year-End Customer Adj'!$Q10)</f>
        <v>616</v>
      </c>
      <c r="AL10" s="439">
        <f>SUMIFS('Apr11-Mar12 Billed-RETAIL'!$G$5:$G$147,'Apr11-Mar12 Billed-RETAIL'!$B$5:$B$147,'Exh P6-Year-End Customer Adj'!AL$5,'Apr11-Mar12 Billed-RETAIL'!$C$5:$C$147,'Exh P6-Year-End Customer Adj'!$Q10)+SUMIFS('Apr11-Mar12 Billed-RETAIL'!$AE$5:$AE$147,'Apr11-Mar12 Billed-RETAIL'!$B$5:$B$147,'Exh P6-Year-End Customer Adj'!AL$5,'Apr11-Mar12 Billed-RETAIL'!$C$5:$C$147,'Exh P6-Year-End Customer Adj'!$Q10)+SUMIFS('Apr11-Mar12 Billed-RETAIL'!$H$5:$H$147,'Apr11-Mar12 Billed-RETAIL'!$B$5:$B$147,'Exh P6-Year-End Customer Adj'!AL$5,'Apr11-Mar12 Billed-RETAIL'!$C$5:$C$147,'Exh P6-Year-End Customer Adj'!$Q10)+SUMIFS('Apr11-Mar12 Billed-RETAIL'!$AF$5:$AF$147,'Apr11-Mar12 Billed-RETAIL'!$B$5:$B$147,'Exh P6-Year-End Customer Adj'!AL$5,'Apr11-Mar12 Billed-RETAIL'!$C$5:$C$147,'Exh P6-Year-End Customer Adj'!$Q10)</f>
        <v>624</v>
      </c>
      <c r="AM10" s="439">
        <f>SUMIFS('Apr11-Mar12 Billed-RETAIL'!$G$5:$G$147,'Apr11-Mar12 Billed-RETAIL'!$B$5:$B$147,'Exh P6-Year-End Customer Adj'!AM$5,'Apr11-Mar12 Billed-RETAIL'!$C$5:$C$147,'Exh P6-Year-End Customer Adj'!$Q10)+SUMIFS('Apr11-Mar12 Billed-RETAIL'!$AE$5:$AE$147,'Apr11-Mar12 Billed-RETAIL'!$B$5:$B$147,'Exh P6-Year-End Customer Adj'!AM$5,'Apr11-Mar12 Billed-RETAIL'!$C$5:$C$147,'Exh P6-Year-End Customer Adj'!$Q10)+SUMIFS('Apr11-Mar12 Billed-RETAIL'!$H$5:$H$147,'Apr11-Mar12 Billed-RETAIL'!$B$5:$B$147,'Exh P6-Year-End Customer Adj'!AM$5,'Apr11-Mar12 Billed-RETAIL'!$C$5:$C$147,'Exh P6-Year-End Customer Adj'!$Q10)+SUMIFS('Apr11-Mar12 Billed-RETAIL'!$AF$5:$AF$147,'Apr11-Mar12 Billed-RETAIL'!$B$5:$B$147,'Exh P6-Year-End Customer Adj'!AM$5,'Apr11-Mar12 Billed-RETAIL'!$C$5:$C$147,'Exh P6-Year-End Customer Adj'!$Q10)</f>
        <v>620</v>
      </c>
      <c r="AN10" s="439">
        <f>SUMIFS('Apr11-Mar12 Billed-RETAIL'!$G$5:$G$147,'Apr11-Mar12 Billed-RETAIL'!$B$5:$B$147,'Exh P6-Year-End Customer Adj'!AN$5,'Apr11-Mar12 Billed-RETAIL'!$C$5:$C$147,'Exh P6-Year-End Customer Adj'!$Q10)+SUMIFS('Apr11-Mar12 Billed-RETAIL'!$AE$5:$AE$147,'Apr11-Mar12 Billed-RETAIL'!$B$5:$B$147,'Exh P6-Year-End Customer Adj'!AN$5,'Apr11-Mar12 Billed-RETAIL'!$C$5:$C$147,'Exh P6-Year-End Customer Adj'!$Q10)+SUMIFS('Apr11-Mar12 Billed-RETAIL'!$H$5:$H$147,'Apr11-Mar12 Billed-RETAIL'!$B$5:$B$147,'Exh P6-Year-End Customer Adj'!AN$5,'Apr11-Mar12 Billed-RETAIL'!$C$5:$C$147,'Exh P6-Year-End Customer Adj'!$Q10)+SUMIFS('Apr11-Mar12 Billed-RETAIL'!$AF$5:$AF$147,'Apr11-Mar12 Billed-RETAIL'!$B$5:$B$147,'Exh P6-Year-End Customer Adj'!AN$5,'Apr11-Mar12 Billed-RETAIL'!$C$5:$C$147,'Exh P6-Year-End Customer Adj'!$Q10)</f>
        <v>620</v>
      </c>
    </row>
    <row r="11" spans="4:40" x14ac:dyDescent="0.25">
      <c r="D11" s="388"/>
      <c r="J11" s="400"/>
      <c r="O11" s="389"/>
      <c r="Q11" s="399" t="s">
        <v>63</v>
      </c>
      <c r="R11" s="398" t="s">
        <v>210</v>
      </c>
      <c r="S11" s="398" t="s">
        <v>441</v>
      </c>
      <c r="T11" s="1077"/>
      <c r="U11" s="1077"/>
      <c r="V11" s="1077"/>
      <c r="W11" s="1077"/>
      <c r="X11" s="439"/>
      <c r="AA11" s="439"/>
      <c r="AB11" s="439">
        <v>0</v>
      </c>
      <c r="AC11" s="439">
        <f>SUMIFS('Apr11-Mar12 Billed-RETAIL'!$G$5:$G$147,'Apr11-Mar12 Billed-RETAIL'!$B$5:$B$147,'Exh P6-Year-End Customer Adj'!AC$5,'Apr11-Mar12 Billed-RETAIL'!$C$5:$C$147,'Exh P6-Year-End Customer Adj'!$Q11)+SUMIFS('Apr11-Mar12 Billed-RETAIL'!$AE$5:$AE$147,'Apr11-Mar12 Billed-RETAIL'!$B$5:$B$147,'Exh P6-Year-End Customer Adj'!AC$5,'Apr11-Mar12 Billed-RETAIL'!$C$5:$C$147,'Exh P6-Year-End Customer Adj'!$Q11)+SUMIFS('Apr11-Mar12 Billed-RETAIL'!$H$5:$H$147,'Apr11-Mar12 Billed-RETAIL'!$B$5:$B$147,'Exh P6-Year-End Customer Adj'!AC$5,'Apr11-Mar12 Billed-RETAIL'!$C$5:$C$147,'Exh P6-Year-End Customer Adj'!$Q11)+SUMIFS('Apr11-Mar12 Billed-RETAIL'!$AF$5:$AF$147,'Apr11-Mar12 Billed-RETAIL'!$B$5:$B$147,'Exh P6-Year-End Customer Adj'!AC$5,'Apr11-Mar12 Billed-RETAIL'!$C$5:$C$147,'Exh P6-Year-End Customer Adj'!$Q11)</f>
        <v>0</v>
      </c>
      <c r="AD11" s="439">
        <f>SUMIFS('Apr11-Mar12 Billed-RETAIL'!$G$5:$G$147,'Apr11-Mar12 Billed-RETAIL'!$B$5:$B$147,'Exh P6-Year-End Customer Adj'!AD$5,'Apr11-Mar12 Billed-RETAIL'!$C$5:$C$147,'Exh P6-Year-End Customer Adj'!$Q11)+SUMIFS('Apr11-Mar12 Billed-RETAIL'!$AE$5:$AE$147,'Apr11-Mar12 Billed-RETAIL'!$B$5:$B$147,'Exh P6-Year-End Customer Adj'!AD$5,'Apr11-Mar12 Billed-RETAIL'!$C$5:$C$147,'Exh P6-Year-End Customer Adj'!$Q11)+SUMIFS('Apr11-Mar12 Billed-RETAIL'!$H$5:$H$147,'Apr11-Mar12 Billed-RETAIL'!$B$5:$B$147,'Exh P6-Year-End Customer Adj'!AD$5,'Apr11-Mar12 Billed-RETAIL'!$C$5:$C$147,'Exh P6-Year-End Customer Adj'!$Q11)+SUMIFS('Apr11-Mar12 Billed-RETAIL'!$AF$5:$AF$147,'Apr11-Mar12 Billed-RETAIL'!$B$5:$B$147,'Exh P6-Year-End Customer Adj'!AD$5,'Apr11-Mar12 Billed-RETAIL'!$C$5:$C$147,'Exh P6-Year-End Customer Adj'!$Q11)</f>
        <v>0</v>
      </c>
      <c r="AE11" s="439">
        <f>SUMIFS('Apr11-Mar12 Billed-RETAIL'!$G$5:$G$147,'Apr11-Mar12 Billed-RETAIL'!$B$5:$B$147,'Exh P6-Year-End Customer Adj'!AE$5,'Apr11-Mar12 Billed-RETAIL'!$C$5:$C$147,'Exh P6-Year-End Customer Adj'!$Q11)+SUMIFS('Apr11-Mar12 Billed-RETAIL'!$AE$5:$AE$147,'Apr11-Mar12 Billed-RETAIL'!$B$5:$B$147,'Exh P6-Year-End Customer Adj'!AE$5,'Apr11-Mar12 Billed-RETAIL'!$C$5:$C$147,'Exh P6-Year-End Customer Adj'!$Q11)+SUMIFS('Apr11-Mar12 Billed-RETAIL'!$H$5:$H$147,'Apr11-Mar12 Billed-RETAIL'!$B$5:$B$147,'Exh P6-Year-End Customer Adj'!AE$5,'Apr11-Mar12 Billed-RETAIL'!$C$5:$C$147,'Exh P6-Year-End Customer Adj'!$Q11)+SUMIFS('Apr11-Mar12 Billed-RETAIL'!$AF$5:$AF$147,'Apr11-Mar12 Billed-RETAIL'!$B$5:$B$147,'Exh P6-Year-End Customer Adj'!AE$5,'Apr11-Mar12 Billed-RETAIL'!$C$5:$C$147,'Exh P6-Year-End Customer Adj'!$Q11)</f>
        <v>0</v>
      </c>
      <c r="AF11" s="439">
        <f>SUMIFS('Apr11-Mar12 Billed-RETAIL'!$G$5:$G$147,'Apr11-Mar12 Billed-RETAIL'!$B$5:$B$147,'Exh P6-Year-End Customer Adj'!AF$5,'Apr11-Mar12 Billed-RETAIL'!$C$5:$C$147,'Exh P6-Year-End Customer Adj'!$Q11)+SUMIFS('Apr11-Mar12 Billed-RETAIL'!$AE$5:$AE$147,'Apr11-Mar12 Billed-RETAIL'!$B$5:$B$147,'Exh P6-Year-End Customer Adj'!AF$5,'Apr11-Mar12 Billed-RETAIL'!$C$5:$C$147,'Exh P6-Year-End Customer Adj'!$Q11)+SUMIFS('Apr11-Mar12 Billed-RETAIL'!$H$5:$H$147,'Apr11-Mar12 Billed-RETAIL'!$B$5:$B$147,'Exh P6-Year-End Customer Adj'!AF$5,'Apr11-Mar12 Billed-RETAIL'!$C$5:$C$147,'Exh P6-Year-End Customer Adj'!$Q11)+SUMIFS('Apr11-Mar12 Billed-RETAIL'!$AF$5:$AF$147,'Apr11-Mar12 Billed-RETAIL'!$B$5:$B$147,'Exh P6-Year-End Customer Adj'!AF$5,'Apr11-Mar12 Billed-RETAIL'!$C$5:$C$147,'Exh P6-Year-End Customer Adj'!$Q11)</f>
        <v>0</v>
      </c>
      <c r="AG11" s="439">
        <f>SUMIFS('Apr11-Mar12 Billed-RETAIL'!$G$5:$G$147,'Apr11-Mar12 Billed-RETAIL'!$B$5:$B$147,'Exh P6-Year-End Customer Adj'!AG$5,'Apr11-Mar12 Billed-RETAIL'!$C$5:$C$147,'Exh P6-Year-End Customer Adj'!$Q11)+SUMIFS('Apr11-Mar12 Billed-RETAIL'!$AE$5:$AE$147,'Apr11-Mar12 Billed-RETAIL'!$B$5:$B$147,'Exh P6-Year-End Customer Adj'!AG$5,'Apr11-Mar12 Billed-RETAIL'!$C$5:$C$147,'Exh P6-Year-End Customer Adj'!$Q11)+SUMIFS('Apr11-Mar12 Billed-RETAIL'!$H$5:$H$147,'Apr11-Mar12 Billed-RETAIL'!$B$5:$B$147,'Exh P6-Year-End Customer Adj'!AG$5,'Apr11-Mar12 Billed-RETAIL'!$C$5:$C$147,'Exh P6-Year-End Customer Adj'!$Q11)+SUMIFS('Apr11-Mar12 Billed-RETAIL'!$AF$5:$AF$147,'Apr11-Mar12 Billed-RETAIL'!$B$5:$B$147,'Exh P6-Year-End Customer Adj'!AG$5,'Apr11-Mar12 Billed-RETAIL'!$C$5:$C$147,'Exh P6-Year-End Customer Adj'!$Q11)</f>
        <v>0</v>
      </c>
      <c r="AH11" s="439">
        <f>SUMIFS('Apr11-Mar12 Billed-RETAIL'!$G$5:$G$147,'Apr11-Mar12 Billed-RETAIL'!$B$5:$B$147,'Exh P6-Year-End Customer Adj'!AH$5,'Apr11-Mar12 Billed-RETAIL'!$C$5:$C$147,'Exh P6-Year-End Customer Adj'!$Q11)+SUMIFS('Apr11-Mar12 Billed-RETAIL'!$AE$5:$AE$147,'Apr11-Mar12 Billed-RETAIL'!$B$5:$B$147,'Exh P6-Year-End Customer Adj'!AH$5,'Apr11-Mar12 Billed-RETAIL'!$C$5:$C$147,'Exh P6-Year-End Customer Adj'!$Q11)+SUMIFS('Apr11-Mar12 Billed-RETAIL'!$H$5:$H$147,'Apr11-Mar12 Billed-RETAIL'!$B$5:$B$147,'Exh P6-Year-End Customer Adj'!AH$5,'Apr11-Mar12 Billed-RETAIL'!$C$5:$C$147,'Exh P6-Year-End Customer Adj'!$Q11)+SUMIFS('Apr11-Mar12 Billed-RETAIL'!$AF$5:$AF$147,'Apr11-Mar12 Billed-RETAIL'!$B$5:$B$147,'Exh P6-Year-End Customer Adj'!AH$5,'Apr11-Mar12 Billed-RETAIL'!$C$5:$C$147,'Exh P6-Year-End Customer Adj'!$Q11)</f>
        <v>0</v>
      </c>
      <c r="AI11" s="439">
        <f>SUMIFS('Apr11-Mar12 Billed-RETAIL'!$G$5:$G$147,'Apr11-Mar12 Billed-RETAIL'!$B$5:$B$147,'Exh P6-Year-End Customer Adj'!AI$5,'Apr11-Mar12 Billed-RETAIL'!$C$5:$C$147,'Exh P6-Year-End Customer Adj'!$Q11)+SUMIFS('Apr11-Mar12 Billed-RETAIL'!$AE$5:$AE$147,'Apr11-Mar12 Billed-RETAIL'!$B$5:$B$147,'Exh P6-Year-End Customer Adj'!AI$5,'Apr11-Mar12 Billed-RETAIL'!$C$5:$C$147,'Exh P6-Year-End Customer Adj'!$Q11)+SUMIFS('Apr11-Mar12 Billed-RETAIL'!$H$5:$H$147,'Apr11-Mar12 Billed-RETAIL'!$B$5:$B$147,'Exh P6-Year-End Customer Adj'!AI$5,'Apr11-Mar12 Billed-RETAIL'!$C$5:$C$147,'Exh P6-Year-End Customer Adj'!$Q11)+SUMIFS('Apr11-Mar12 Billed-RETAIL'!$AF$5:$AF$147,'Apr11-Mar12 Billed-RETAIL'!$B$5:$B$147,'Exh P6-Year-End Customer Adj'!AI$5,'Apr11-Mar12 Billed-RETAIL'!$C$5:$C$147,'Exh P6-Year-End Customer Adj'!$Q11)</f>
        <v>0</v>
      </c>
      <c r="AJ11" s="439">
        <f>SUMIFS('Apr11-Mar12 Billed-RETAIL'!$G$5:$G$147,'Apr11-Mar12 Billed-RETAIL'!$B$5:$B$147,'Exh P6-Year-End Customer Adj'!AJ$5,'Apr11-Mar12 Billed-RETAIL'!$C$5:$C$147,'Exh P6-Year-End Customer Adj'!$Q11)+SUMIFS('Apr11-Mar12 Billed-RETAIL'!$AE$5:$AE$147,'Apr11-Mar12 Billed-RETAIL'!$B$5:$B$147,'Exh P6-Year-End Customer Adj'!AJ$5,'Apr11-Mar12 Billed-RETAIL'!$C$5:$C$147,'Exh P6-Year-End Customer Adj'!$Q11)+SUMIFS('Apr11-Mar12 Billed-RETAIL'!$H$5:$H$147,'Apr11-Mar12 Billed-RETAIL'!$B$5:$B$147,'Exh P6-Year-End Customer Adj'!AJ$5,'Apr11-Mar12 Billed-RETAIL'!$C$5:$C$147,'Exh P6-Year-End Customer Adj'!$Q11)+SUMIFS('Apr11-Mar12 Billed-RETAIL'!$AF$5:$AF$147,'Apr11-Mar12 Billed-RETAIL'!$B$5:$B$147,'Exh P6-Year-End Customer Adj'!AJ$5,'Apr11-Mar12 Billed-RETAIL'!$C$5:$C$147,'Exh P6-Year-End Customer Adj'!$Q11)</f>
        <v>0</v>
      </c>
      <c r="AK11" s="439">
        <f>SUMIFS('Apr11-Mar12 Billed-RETAIL'!$G$5:$G$147,'Apr11-Mar12 Billed-RETAIL'!$B$5:$B$147,'Exh P6-Year-End Customer Adj'!AK$5,'Apr11-Mar12 Billed-RETAIL'!$C$5:$C$147,'Exh P6-Year-End Customer Adj'!$Q11)+SUMIFS('Apr11-Mar12 Billed-RETAIL'!$AE$5:$AE$147,'Apr11-Mar12 Billed-RETAIL'!$B$5:$B$147,'Exh P6-Year-End Customer Adj'!AK$5,'Apr11-Mar12 Billed-RETAIL'!$C$5:$C$147,'Exh P6-Year-End Customer Adj'!$Q11)+SUMIFS('Apr11-Mar12 Billed-RETAIL'!$H$5:$H$147,'Apr11-Mar12 Billed-RETAIL'!$B$5:$B$147,'Exh P6-Year-End Customer Adj'!AK$5,'Apr11-Mar12 Billed-RETAIL'!$C$5:$C$147,'Exh P6-Year-End Customer Adj'!$Q11)+SUMIFS('Apr11-Mar12 Billed-RETAIL'!$AF$5:$AF$147,'Apr11-Mar12 Billed-RETAIL'!$B$5:$B$147,'Exh P6-Year-End Customer Adj'!AK$5,'Apr11-Mar12 Billed-RETAIL'!$C$5:$C$147,'Exh P6-Year-End Customer Adj'!$Q11)</f>
        <v>0</v>
      </c>
      <c r="AL11" s="439">
        <f>SUMIFS('Apr11-Mar12 Billed-RETAIL'!$G$5:$G$147,'Apr11-Mar12 Billed-RETAIL'!$B$5:$B$147,'Exh P6-Year-End Customer Adj'!AL$5,'Apr11-Mar12 Billed-RETAIL'!$C$5:$C$147,'Exh P6-Year-End Customer Adj'!$Q11)+SUMIFS('Apr11-Mar12 Billed-RETAIL'!$AE$5:$AE$147,'Apr11-Mar12 Billed-RETAIL'!$B$5:$B$147,'Exh P6-Year-End Customer Adj'!AL$5,'Apr11-Mar12 Billed-RETAIL'!$C$5:$C$147,'Exh P6-Year-End Customer Adj'!$Q11)+SUMIFS('Apr11-Mar12 Billed-RETAIL'!$H$5:$H$147,'Apr11-Mar12 Billed-RETAIL'!$B$5:$B$147,'Exh P6-Year-End Customer Adj'!AL$5,'Apr11-Mar12 Billed-RETAIL'!$C$5:$C$147,'Exh P6-Year-End Customer Adj'!$Q11)+SUMIFS('Apr11-Mar12 Billed-RETAIL'!$AF$5:$AF$147,'Apr11-Mar12 Billed-RETAIL'!$B$5:$B$147,'Exh P6-Year-End Customer Adj'!AL$5,'Apr11-Mar12 Billed-RETAIL'!$C$5:$C$147,'Exh P6-Year-End Customer Adj'!$Q11)</f>
        <v>0</v>
      </c>
      <c r="AM11" s="439">
        <f>SUMIFS('Apr11-Mar12 Billed-RETAIL'!$G$5:$G$147,'Apr11-Mar12 Billed-RETAIL'!$B$5:$B$147,'Exh P6-Year-End Customer Adj'!AM$5,'Apr11-Mar12 Billed-RETAIL'!$C$5:$C$147,'Exh P6-Year-End Customer Adj'!$Q11)+SUMIFS('Apr11-Mar12 Billed-RETAIL'!$AE$5:$AE$147,'Apr11-Mar12 Billed-RETAIL'!$B$5:$B$147,'Exh P6-Year-End Customer Adj'!AM$5,'Apr11-Mar12 Billed-RETAIL'!$C$5:$C$147,'Exh P6-Year-End Customer Adj'!$Q11)+SUMIFS('Apr11-Mar12 Billed-RETAIL'!$H$5:$H$147,'Apr11-Mar12 Billed-RETAIL'!$B$5:$B$147,'Exh P6-Year-End Customer Adj'!AM$5,'Apr11-Mar12 Billed-RETAIL'!$C$5:$C$147,'Exh P6-Year-End Customer Adj'!$Q11)+SUMIFS('Apr11-Mar12 Billed-RETAIL'!$AF$5:$AF$147,'Apr11-Mar12 Billed-RETAIL'!$B$5:$B$147,'Exh P6-Year-End Customer Adj'!AM$5,'Apr11-Mar12 Billed-RETAIL'!$C$5:$C$147,'Exh P6-Year-End Customer Adj'!$Q11)</f>
        <v>0</v>
      </c>
      <c r="AN11" s="439">
        <f>SUMIFS('Apr11-Mar12 Billed-RETAIL'!$G$5:$G$147,'Apr11-Mar12 Billed-RETAIL'!$B$5:$B$147,'Exh P6-Year-End Customer Adj'!AN$5,'Apr11-Mar12 Billed-RETAIL'!$C$5:$C$147,'Exh P6-Year-End Customer Adj'!$Q11)+SUMIFS('Apr11-Mar12 Billed-RETAIL'!$AE$5:$AE$147,'Apr11-Mar12 Billed-RETAIL'!$B$5:$B$147,'Exh P6-Year-End Customer Adj'!AN$5,'Apr11-Mar12 Billed-RETAIL'!$C$5:$C$147,'Exh P6-Year-End Customer Adj'!$Q11)+SUMIFS('Apr11-Mar12 Billed-RETAIL'!$H$5:$H$147,'Apr11-Mar12 Billed-RETAIL'!$B$5:$B$147,'Exh P6-Year-End Customer Adj'!AN$5,'Apr11-Mar12 Billed-RETAIL'!$C$5:$C$147,'Exh P6-Year-End Customer Adj'!$Q11)+SUMIFS('Apr11-Mar12 Billed-RETAIL'!$AF$5:$AF$147,'Apr11-Mar12 Billed-RETAIL'!$B$5:$B$147,'Exh P6-Year-End Customer Adj'!AN$5,'Apr11-Mar12 Billed-RETAIL'!$C$5:$C$147,'Exh P6-Year-End Customer Adj'!$Q11)</f>
        <v>0</v>
      </c>
    </row>
    <row r="12" spans="4:40" x14ac:dyDescent="0.25">
      <c r="D12" s="389" t="s">
        <v>484</v>
      </c>
      <c r="F12" s="390">
        <f>SUM(W8:W10)</f>
        <v>25761</v>
      </c>
      <c r="G12" s="390">
        <f>SUM(X8:X10)</f>
        <v>25873</v>
      </c>
      <c r="H12" s="390">
        <f>G12-F12</f>
        <v>112</v>
      </c>
      <c r="I12" s="390">
        <f>SBR!D17+'Exh P12-Temp Adj'!B13</f>
        <v>10851886.700000001</v>
      </c>
      <c r="J12" s="400">
        <f>ROUND(I12/F12,1)</f>
        <v>421.3</v>
      </c>
      <c r="K12" s="390">
        <f>ROUND(H12*J12,1)</f>
        <v>47185.599999999999</v>
      </c>
      <c r="L12" s="441">
        <f ca="1">+'Exh R9-Reconst Billings Summary'!H18+'Exh P12-Temp Adj'!D13</f>
        <v>30863143.439470001</v>
      </c>
      <c r="M12" s="403">
        <f ca="1">ROUND(L12/I12,4)</f>
        <v>2.8439999999999999</v>
      </c>
      <c r="N12" s="390">
        <f ca="1">ROUND(K12*M12,0)</f>
        <v>134196</v>
      </c>
      <c r="O12" s="389"/>
      <c r="Q12" s="399" t="s">
        <v>45</v>
      </c>
      <c r="R12" s="398" t="s">
        <v>216</v>
      </c>
      <c r="S12" s="398" t="s">
        <v>190</v>
      </c>
      <c r="T12" s="1077">
        <f>SUM(AC12:AN12)</f>
        <v>2563</v>
      </c>
      <c r="U12" s="1077">
        <f t="shared" si="0"/>
        <v>228</v>
      </c>
      <c r="V12" s="1077">
        <f t="shared" si="1"/>
        <v>214</v>
      </c>
      <c r="W12" s="1077">
        <f t="shared" si="2"/>
        <v>215</v>
      </c>
      <c r="X12" s="439">
        <f>+AN12</f>
        <v>214</v>
      </c>
      <c r="AA12" s="439"/>
      <c r="AB12" s="439">
        <v>228</v>
      </c>
      <c r="AC12" s="439">
        <f>SUMIFS('Apr11-Mar12 Billed-RETAIL'!$G$5:$G$147,'Apr11-Mar12 Billed-RETAIL'!$B$5:$B$147,'Exh P6-Year-End Customer Adj'!AC$5,'Apr11-Mar12 Billed-RETAIL'!$C$5:$C$147,'Exh P6-Year-End Customer Adj'!$Q12)+SUMIFS('Apr11-Mar12 Billed-RETAIL'!$AE$5:$AE$147,'Apr11-Mar12 Billed-RETAIL'!$B$5:$B$147,'Exh P6-Year-End Customer Adj'!AC$5,'Apr11-Mar12 Billed-RETAIL'!$C$5:$C$147,'Exh P6-Year-End Customer Adj'!$Q12)+SUMIFS('Apr11-Mar12 Billed-RETAIL'!$H$5:$H$147,'Apr11-Mar12 Billed-RETAIL'!$B$5:$B$147,'Exh P6-Year-End Customer Adj'!AC$5,'Apr11-Mar12 Billed-RETAIL'!$C$5:$C$147,'Exh P6-Year-End Customer Adj'!$Q12)+SUMIFS('Apr11-Mar12 Billed-RETAIL'!$AF$5:$AF$147,'Apr11-Mar12 Billed-RETAIL'!$B$5:$B$147,'Exh P6-Year-End Customer Adj'!AC$5,'Apr11-Mar12 Billed-RETAIL'!$C$5:$C$147,'Exh P6-Year-End Customer Adj'!$Q12)</f>
        <v>202</v>
      </c>
      <c r="AD12" s="439">
        <f>SUMIFS('Apr11-Mar12 Billed-RETAIL'!$G$5:$G$147,'Apr11-Mar12 Billed-RETAIL'!$B$5:$B$147,'Exh P6-Year-End Customer Adj'!AD$5,'Apr11-Mar12 Billed-RETAIL'!$C$5:$C$147,'Exh P6-Year-End Customer Adj'!$Q12)+SUMIFS('Apr11-Mar12 Billed-RETAIL'!$AE$5:$AE$147,'Apr11-Mar12 Billed-RETAIL'!$B$5:$B$147,'Exh P6-Year-End Customer Adj'!AD$5,'Apr11-Mar12 Billed-RETAIL'!$C$5:$C$147,'Exh P6-Year-End Customer Adj'!$Q12)+SUMIFS('Apr11-Mar12 Billed-RETAIL'!$H$5:$H$147,'Apr11-Mar12 Billed-RETAIL'!$B$5:$B$147,'Exh P6-Year-End Customer Adj'!AD$5,'Apr11-Mar12 Billed-RETAIL'!$C$5:$C$147,'Exh P6-Year-End Customer Adj'!$Q12)+SUMIFS('Apr11-Mar12 Billed-RETAIL'!$AF$5:$AF$147,'Apr11-Mar12 Billed-RETAIL'!$B$5:$B$147,'Exh P6-Year-End Customer Adj'!AD$5,'Apr11-Mar12 Billed-RETAIL'!$C$5:$C$147,'Exh P6-Year-End Customer Adj'!$Q12)</f>
        <v>218</v>
      </c>
      <c r="AE12" s="439">
        <f>SUMIFS('Apr11-Mar12 Billed-RETAIL'!$G$5:$G$147,'Apr11-Mar12 Billed-RETAIL'!$B$5:$B$147,'Exh P6-Year-End Customer Adj'!AE$5,'Apr11-Mar12 Billed-RETAIL'!$C$5:$C$147,'Exh P6-Year-End Customer Adj'!$Q12)+SUMIFS('Apr11-Mar12 Billed-RETAIL'!$AE$5:$AE$147,'Apr11-Mar12 Billed-RETAIL'!$B$5:$B$147,'Exh P6-Year-End Customer Adj'!AE$5,'Apr11-Mar12 Billed-RETAIL'!$C$5:$C$147,'Exh P6-Year-End Customer Adj'!$Q12)+SUMIFS('Apr11-Mar12 Billed-RETAIL'!$H$5:$H$147,'Apr11-Mar12 Billed-RETAIL'!$B$5:$B$147,'Exh P6-Year-End Customer Adj'!AE$5,'Apr11-Mar12 Billed-RETAIL'!$C$5:$C$147,'Exh P6-Year-End Customer Adj'!$Q12)+SUMIFS('Apr11-Mar12 Billed-RETAIL'!$AF$5:$AF$147,'Apr11-Mar12 Billed-RETAIL'!$B$5:$B$147,'Exh P6-Year-End Customer Adj'!AE$5,'Apr11-Mar12 Billed-RETAIL'!$C$5:$C$147,'Exh P6-Year-End Customer Adj'!$Q12)</f>
        <v>211</v>
      </c>
      <c r="AF12" s="439">
        <f>SUMIFS('Apr11-Mar12 Billed-RETAIL'!$G$5:$G$147,'Apr11-Mar12 Billed-RETAIL'!$B$5:$B$147,'Exh P6-Year-End Customer Adj'!AF$5,'Apr11-Mar12 Billed-RETAIL'!$C$5:$C$147,'Exh P6-Year-End Customer Adj'!$Q12)+SUMIFS('Apr11-Mar12 Billed-RETAIL'!$AE$5:$AE$147,'Apr11-Mar12 Billed-RETAIL'!$B$5:$B$147,'Exh P6-Year-End Customer Adj'!AF$5,'Apr11-Mar12 Billed-RETAIL'!$C$5:$C$147,'Exh P6-Year-End Customer Adj'!$Q12)+SUMIFS('Apr11-Mar12 Billed-RETAIL'!$H$5:$H$147,'Apr11-Mar12 Billed-RETAIL'!$B$5:$B$147,'Exh P6-Year-End Customer Adj'!AF$5,'Apr11-Mar12 Billed-RETAIL'!$C$5:$C$147,'Exh P6-Year-End Customer Adj'!$Q12)+SUMIFS('Apr11-Mar12 Billed-RETAIL'!$AF$5:$AF$147,'Apr11-Mar12 Billed-RETAIL'!$B$5:$B$147,'Exh P6-Year-End Customer Adj'!AF$5,'Apr11-Mar12 Billed-RETAIL'!$C$5:$C$147,'Exh P6-Year-End Customer Adj'!$Q12)</f>
        <v>205</v>
      </c>
      <c r="AG12" s="439">
        <f>SUMIFS('Apr11-Mar12 Billed-RETAIL'!$G$5:$G$147,'Apr11-Mar12 Billed-RETAIL'!$B$5:$B$147,'Exh P6-Year-End Customer Adj'!AG$5,'Apr11-Mar12 Billed-RETAIL'!$C$5:$C$147,'Exh P6-Year-End Customer Adj'!$Q12)+SUMIFS('Apr11-Mar12 Billed-RETAIL'!$AE$5:$AE$147,'Apr11-Mar12 Billed-RETAIL'!$B$5:$B$147,'Exh P6-Year-End Customer Adj'!AG$5,'Apr11-Mar12 Billed-RETAIL'!$C$5:$C$147,'Exh P6-Year-End Customer Adj'!$Q12)+SUMIFS('Apr11-Mar12 Billed-RETAIL'!$H$5:$H$147,'Apr11-Mar12 Billed-RETAIL'!$B$5:$B$147,'Exh P6-Year-End Customer Adj'!AG$5,'Apr11-Mar12 Billed-RETAIL'!$C$5:$C$147,'Exh P6-Year-End Customer Adj'!$Q12)+SUMIFS('Apr11-Mar12 Billed-RETAIL'!$AF$5:$AF$147,'Apr11-Mar12 Billed-RETAIL'!$B$5:$B$147,'Exh P6-Year-End Customer Adj'!AG$5,'Apr11-Mar12 Billed-RETAIL'!$C$5:$C$147,'Exh P6-Year-End Customer Adj'!$Q12)</f>
        <v>233</v>
      </c>
      <c r="AH12" s="439">
        <f>SUMIFS('Apr11-Mar12 Billed-RETAIL'!$G$5:$G$147,'Apr11-Mar12 Billed-RETAIL'!$B$5:$B$147,'Exh P6-Year-End Customer Adj'!AH$5,'Apr11-Mar12 Billed-RETAIL'!$C$5:$C$147,'Exh P6-Year-End Customer Adj'!$Q12)+SUMIFS('Apr11-Mar12 Billed-RETAIL'!$AE$5:$AE$147,'Apr11-Mar12 Billed-RETAIL'!$B$5:$B$147,'Exh P6-Year-End Customer Adj'!AH$5,'Apr11-Mar12 Billed-RETAIL'!$C$5:$C$147,'Exh P6-Year-End Customer Adj'!$Q12)+SUMIFS('Apr11-Mar12 Billed-RETAIL'!$H$5:$H$147,'Apr11-Mar12 Billed-RETAIL'!$B$5:$B$147,'Exh P6-Year-End Customer Adj'!AH$5,'Apr11-Mar12 Billed-RETAIL'!$C$5:$C$147,'Exh P6-Year-End Customer Adj'!$Q12)+SUMIFS('Apr11-Mar12 Billed-RETAIL'!$AF$5:$AF$147,'Apr11-Mar12 Billed-RETAIL'!$B$5:$B$147,'Exh P6-Year-End Customer Adj'!AH$5,'Apr11-Mar12 Billed-RETAIL'!$C$5:$C$147,'Exh P6-Year-End Customer Adj'!$Q12)</f>
        <v>214</v>
      </c>
      <c r="AI12" s="439">
        <f>SUMIFS('Apr11-Mar12 Billed-RETAIL'!$G$5:$G$147,'Apr11-Mar12 Billed-RETAIL'!$B$5:$B$147,'Exh P6-Year-End Customer Adj'!AI$5,'Apr11-Mar12 Billed-RETAIL'!$C$5:$C$147,'Exh P6-Year-End Customer Adj'!$Q12)+SUMIFS('Apr11-Mar12 Billed-RETAIL'!$AE$5:$AE$147,'Apr11-Mar12 Billed-RETAIL'!$B$5:$B$147,'Exh P6-Year-End Customer Adj'!AI$5,'Apr11-Mar12 Billed-RETAIL'!$C$5:$C$147,'Exh P6-Year-End Customer Adj'!$Q12)+SUMIFS('Apr11-Mar12 Billed-RETAIL'!$H$5:$H$147,'Apr11-Mar12 Billed-RETAIL'!$B$5:$B$147,'Exh P6-Year-End Customer Adj'!AI$5,'Apr11-Mar12 Billed-RETAIL'!$C$5:$C$147,'Exh P6-Year-End Customer Adj'!$Q12)+SUMIFS('Apr11-Mar12 Billed-RETAIL'!$AF$5:$AF$147,'Apr11-Mar12 Billed-RETAIL'!$B$5:$B$147,'Exh P6-Year-End Customer Adj'!AI$5,'Apr11-Mar12 Billed-RETAIL'!$C$5:$C$147,'Exh P6-Year-End Customer Adj'!$Q12)</f>
        <v>216</v>
      </c>
      <c r="AJ12" s="439">
        <f>SUMIFS('Apr11-Mar12 Billed-RETAIL'!$G$5:$G$147,'Apr11-Mar12 Billed-RETAIL'!$B$5:$B$147,'Exh P6-Year-End Customer Adj'!AJ$5,'Apr11-Mar12 Billed-RETAIL'!$C$5:$C$147,'Exh P6-Year-End Customer Adj'!$Q12)+SUMIFS('Apr11-Mar12 Billed-RETAIL'!$AE$5:$AE$147,'Apr11-Mar12 Billed-RETAIL'!$B$5:$B$147,'Exh P6-Year-End Customer Adj'!AJ$5,'Apr11-Mar12 Billed-RETAIL'!$C$5:$C$147,'Exh P6-Year-End Customer Adj'!$Q12)+SUMIFS('Apr11-Mar12 Billed-RETAIL'!$H$5:$H$147,'Apr11-Mar12 Billed-RETAIL'!$B$5:$B$147,'Exh P6-Year-End Customer Adj'!AJ$5,'Apr11-Mar12 Billed-RETAIL'!$C$5:$C$147,'Exh P6-Year-End Customer Adj'!$Q12)+SUMIFS('Apr11-Mar12 Billed-RETAIL'!$AF$5:$AF$147,'Apr11-Mar12 Billed-RETAIL'!$B$5:$B$147,'Exh P6-Year-End Customer Adj'!AJ$5,'Apr11-Mar12 Billed-RETAIL'!$C$5:$C$147,'Exh P6-Year-End Customer Adj'!$Q12)</f>
        <v>218</v>
      </c>
      <c r="AK12" s="439">
        <f>SUMIFS('Apr11-Mar12 Billed-RETAIL'!$G$5:$G$147,'Apr11-Mar12 Billed-RETAIL'!$B$5:$B$147,'Exh P6-Year-End Customer Adj'!AK$5,'Apr11-Mar12 Billed-RETAIL'!$C$5:$C$147,'Exh P6-Year-End Customer Adj'!$Q12)+SUMIFS('Apr11-Mar12 Billed-RETAIL'!$AE$5:$AE$147,'Apr11-Mar12 Billed-RETAIL'!$B$5:$B$147,'Exh P6-Year-End Customer Adj'!AK$5,'Apr11-Mar12 Billed-RETAIL'!$C$5:$C$147,'Exh P6-Year-End Customer Adj'!$Q12)+SUMIFS('Apr11-Mar12 Billed-RETAIL'!$H$5:$H$147,'Apr11-Mar12 Billed-RETAIL'!$B$5:$B$147,'Exh P6-Year-End Customer Adj'!AK$5,'Apr11-Mar12 Billed-RETAIL'!$C$5:$C$147,'Exh P6-Year-End Customer Adj'!$Q12)+SUMIFS('Apr11-Mar12 Billed-RETAIL'!$AF$5:$AF$147,'Apr11-Mar12 Billed-RETAIL'!$B$5:$B$147,'Exh P6-Year-End Customer Adj'!AK$5,'Apr11-Mar12 Billed-RETAIL'!$C$5:$C$147,'Exh P6-Year-End Customer Adj'!$Q12)</f>
        <v>201</v>
      </c>
      <c r="AL12" s="439">
        <f>SUMIFS('Apr11-Mar12 Billed-RETAIL'!$G$5:$G$147,'Apr11-Mar12 Billed-RETAIL'!$B$5:$B$147,'Exh P6-Year-End Customer Adj'!AL$5,'Apr11-Mar12 Billed-RETAIL'!$C$5:$C$147,'Exh P6-Year-End Customer Adj'!$Q12)+SUMIFS('Apr11-Mar12 Billed-RETAIL'!$AE$5:$AE$147,'Apr11-Mar12 Billed-RETAIL'!$B$5:$B$147,'Exh P6-Year-End Customer Adj'!AL$5,'Apr11-Mar12 Billed-RETAIL'!$C$5:$C$147,'Exh P6-Year-End Customer Adj'!$Q12)+SUMIFS('Apr11-Mar12 Billed-RETAIL'!$H$5:$H$147,'Apr11-Mar12 Billed-RETAIL'!$B$5:$B$147,'Exh P6-Year-End Customer Adj'!AL$5,'Apr11-Mar12 Billed-RETAIL'!$C$5:$C$147,'Exh P6-Year-End Customer Adj'!$Q12)+SUMIFS('Apr11-Mar12 Billed-RETAIL'!$AF$5:$AF$147,'Apr11-Mar12 Billed-RETAIL'!$B$5:$B$147,'Exh P6-Year-End Customer Adj'!AL$5,'Apr11-Mar12 Billed-RETAIL'!$C$5:$C$147,'Exh P6-Year-End Customer Adj'!$Q12)</f>
        <v>223</v>
      </c>
      <c r="AM12" s="439">
        <f>SUMIFS('Apr11-Mar12 Billed-RETAIL'!$G$5:$G$147,'Apr11-Mar12 Billed-RETAIL'!$B$5:$B$147,'Exh P6-Year-End Customer Adj'!AM$5,'Apr11-Mar12 Billed-RETAIL'!$C$5:$C$147,'Exh P6-Year-End Customer Adj'!$Q12)+SUMIFS('Apr11-Mar12 Billed-RETAIL'!$AE$5:$AE$147,'Apr11-Mar12 Billed-RETAIL'!$B$5:$B$147,'Exh P6-Year-End Customer Adj'!AM$5,'Apr11-Mar12 Billed-RETAIL'!$C$5:$C$147,'Exh P6-Year-End Customer Adj'!$Q12)+SUMIFS('Apr11-Mar12 Billed-RETAIL'!$H$5:$H$147,'Apr11-Mar12 Billed-RETAIL'!$B$5:$B$147,'Exh P6-Year-End Customer Adj'!AM$5,'Apr11-Mar12 Billed-RETAIL'!$C$5:$C$147,'Exh P6-Year-End Customer Adj'!$Q12)+SUMIFS('Apr11-Mar12 Billed-RETAIL'!$AF$5:$AF$147,'Apr11-Mar12 Billed-RETAIL'!$B$5:$B$147,'Exh P6-Year-End Customer Adj'!AM$5,'Apr11-Mar12 Billed-RETAIL'!$C$5:$C$147,'Exh P6-Year-End Customer Adj'!$Q12)</f>
        <v>208</v>
      </c>
      <c r="AN12" s="439">
        <f>SUMIFS('Apr11-Mar12 Billed-RETAIL'!$G$5:$G$147,'Apr11-Mar12 Billed-RETAIL'!$B$5:$B$147,'Exh P6-Year-End Customer Adj'!AN$5,'Apr11-Mar12 Billed-RETAIL'!$C$5:$C$147,'Exh P6-Year-End Customer Adj'!$Q12)+SUMIFS('Apr11-Mar12 Billed-RETAIL'!$AE$5:$AE$147,'Apr11-Mar12 Billed-RETAIL'!$B$5:$B$147,'Exh P6-Year-End Customer Adj'!AN$5,'Apr11-Mar12 Billed-RETAIL'!$C$5:$C$147,'Exh P6-Year-End Customer Adj'!$Q12)+SUMIFS('Apr11-Mar12 Billed-RETAIL'!$H$5:$H$147,'Apr11-Mar12 Billed-RETAIL'!$B$5:$B$147,'Exh P6-Year-End Customer Adj'!AN$5,'Apr11-Mar12 Billed-RETAIL'!$C$5:$C$147,'Exh P6-Year-End Customer Adj'!$Q12)+SUMIFS('Apr11-Mar12 Billed-RETAIL'!$AF$5:$AF$147,'Apr11-Mar12 Billed-RETAIL'!$B$5:$B$147,'Exh P6-Year-End Customer Adj'!AN$5,'Apr11-Mar12 Billed-RETAIL'!$C$5:$C$147,'Exh P6-Year-End Customer Adj'!$Q12)</f>
        <v>214</v>
      </c>
    </row>
    <row r="13" spans="4:40" x14ac:dyDescent="0.25">
      <c r="D13" s="388"/>
      <c r="J13" s="400"/>
      <c r="M13" s="401"/>
      <c r="O13" s="389"/>
      <c r="Q13" s="399" t="s">
        <v>66</v>
      </c>
      <c r="R13" s="398" t="s">
        <v>218</v>
      </c>
      <c r="S13" s="398" t="s">
        <v>440</v>
      </c>
      <c r="T13" s="1077"/>
      <c r="U13" s="1077"/>
      <c r="V13" s="1077"/>
      <c r="W13" s="1077"/>
      <c r="X13" s="439"/>
      <c r="AA13" s="439"/>
      <c r="AB13" s="439">
        <v>0</v>
      </c>
      <c r="AC13" s="439">
        <f>SUMIFS('Apr11-Mar12 Billed-RETAIL'!$G$5:$G$147,'Apr11-Mar12 Billed-RETAIL'!$B$5:$B$147,'Exh P6-Year-End Customer Adj'!AC$5,'Apr11-Mar12 Billed-RETAIL'!$C$5:$C$147,'Exh P6-Year-End Customer Adj'!$Q13)+SUMIFS('Apr11-Mar12 Billed-RETAIL'!$AE$5:$AE$147,'Apr11-Mar12 Billed-RETAIL'!$B$5:$B$147,'Exh P6-Year-End Customer Adj'!AC$5,'Apr11-Mar12 Billed-RETAIL'!$C$5:$C$147,'Exh P6-Year-End Customer Adj'!$Q13)+SUMIFS('Apr11-Mar12 Billed-RETAIL'!$H$5:$H$147,'Apr11-Mar12 Billed-RETAIL'!$B$5:$B$147,'Exh P6-Year-End Customer Adj'!AC$5,'Apr11-Mar12 Billed-RETAIL'!$C$5:$C$147,'Exh P6-Year-End Customer Adj'!$Q13)+SUMIFS('Apr11-Mar12 Billed-RETAIL'!$AF$5:$AF$147,'Apr11-Mar12 Billed-RETAIL'!$B$5:$B$147,'Exh P6-Year-End Customer Adj'!AC$5,'Apr11-Mar12 Billed-RETAIL'!$C$5:$C$147,'Exh P6-Year-End Customer Adj'!$Q13)</f>
        <v>0</v>
      </c>
      <c r="AD13" s="439">
        <f>SUMIFS('Apr11-Mar12 Billed-RETAIL'!$G$5:$G$147,'Apr11-Mar12 Billed-RETAIL'!$B$5:$B$147,'Exh P6-Year-End Customer Adj'!AD$5,'Apr11-Mar12 Billed-RETAIL'!$C$5:$C$147,'Exh P6-Year-End Customer Adj'!$Q13)+SUMIFS('Apr11-Mar12 Billed-RETAIL'!$AE$5:$AE$147,'Apr11-Mar12 Billed-RETAIL'!$B$5:$B$147,'Exh P6-Year-End Customer Adj'!AD$5,'Apr11-Mar12 Billed-RETAIL'!$C$5:$C$147,'Exh P6-Year-End Customer Adj'!$Q13)+SUMIFS('Apr11-Mar12 Billed-RETAIL'!$H$5:$H$147,'Apr11-Mar12 Billed-RETAIL'!$B$5:$B$147,'Exh P6-Year-End Customer Adj'!AD$5,'Apr11-Mar12 Billed-RETAIL'!$C$5:$C$147,'Exh P6-Year-End Customer Adj'!$Q13)+SUMIFS('Apr11-Mar12 Billed-RETAIL'!$AF$5:$AF$147,'Apr11-Mar12 Billed-RETAIL'!$B$5:$B$147,'Exh P6-Year-End Customer Adj'!AD$5,'Apr11-Mar12 Billed-RETAIL'!$C$5:$C$147,'Exh P6-Year-End Customer Adj'!$Q13)</f>
        <v>0</v>
      </c>
      <c r="AE13" s="439">
        <f>SUMIFS('Apr11-Mar12 Billed-RETAIL'!$G$5:$G$147,'Apr11-Mar12 Billed-RETAIL'!$B$5:$B$147,'Exh P6-Year-End Customer Adj'!AE$5,'Apr11-Mar12 Billed-RETAIL'!$C$5:$C$147,'Exh P6-Year-End Customer Adj'!$Q13)+SUMIFS('Apr11-Mar12 Billed-RETAIL'!$AE$5:$AE$147,'Apr11-Mar12 Billed-RETAIL'!$B$5:$B$147,'Exh P6-Year-End Customer Adj'!AE$5,'Apr11-Mar12 Billed-RETAIL'!$C$5:$C$147,'Exh P6-Year-End Customer Adj'!$Q13)+SUMIFS('Apr11-Mar12 Billed-RETAIL'!$H$5:$H$147,'Apr11-Mar12 Billed-RETAIL'!$B$5:$B$147,'Exh P6-Year-End Customer Adj'!AE$5,'Apr11-Mar12 Billed-RETAIL'!$C$5:$C$147,'Exh P6-Year-End Customer Adj'!$Q13)+SUMIFS('Apr11-Mar12 Billed-RETAIL'!$AF$5:$AF$147,'Apr11-Mar12 Billed-RETAIL'!$B$5:$B$147,'Exh P6-Year-End Customer Adj'!AE$5,'Apr11-Mar12 Billed-RETAIL'!$C$5:$C$147,'Exh P6-Year-End Customer Adj'!$Q13)</f>
        <v>0</v>
      </c>
      <c r="AF13" s="439">
        <f>SUMIFS('Apr11-Mar12 Billed-RETAIL'!$G$5:$G$147,'Apr11-Mar12 Billed-RETAIL'!$B$5:$B$147,'Exh P6-Year-End Customer Adj'!AF$5,'Apr11-Mar12 Billed-RETAIL'!$C$5:$C$147,'Exh P6-Year-End Customer Adj'!$Q13)+SUMIFS('Apr11-Mar12 Billed-RETAIL'!$AE$5:$AE$147,'Apr11-Mar12 Billed-RETAIL'!$B$5:$B$147,'Exh P6-Year-End Customer Adj'!AF$5,'Apr11-Mar12 Billed-RETAIL'!$C$5:$C$147,'Exh P6-Year-End Customer Adj'!$Q13)+SUMIFS('Apr11-Mar12 Billed-RETAIL'!$H$5:$H$147,'Apr11-Mar12 Billed-RETAIL'!$B$5:$B$147,'Exh P6-Year-End Customer Adj'!AF$5,'Apr11-Mar12 Billed-RETAIL'!$C$5:$C$147,'Exh P6-Year-End Customer Adj'!$Q13)+SUMIFS('Apr11-Mar12 Billed-RETAIL'!$AF$5:$AF$147,'Apr11-Mar12 Billed-RETAIL'!$B$5:$B$147,'Exh P6-Year-End Customer Adj'!AF$5,'Apr11-Mar12 Billed-RETAIL'!$C$5:$C$147,'Exh P6-Year-End Customer Adj'!$Q13)</f>
        <v>0</v>
      </c>
      <c r="AG13" s="439">
        <f>SUMIFS('Apr11-Mar12 Billed-RETAIL'!$G$5:$G$147,'Apr11-Mar12 Billed-RETAIL'!$B$5:$B$147,'Exh P6-Year-End Customer Adj'!AG$5,'Apr11-Mar12 Billed-RETAIL'!$C$5:$C$147,'Exh P6-Year-End Customer Adj'!$Q13)+SUMIFS('Apr11-Mar12 Billed-RETAIL'!$AE$5:$AE$147,'Apr11-Mar12 Billed-RETAIL'!$B$5:$B$147,'Exh P6-Year-End Customer Adj'!AG$5,'Apr11-Mar12 Billed-RETAIL'!$C$5:$C$147,'Exh P6-Year-End Customer Adj'!$Q13)+SUMIFS('Apr11-Mar12 Billed-RETAIL'!$H$5:$H$147,'Apr11-Mar12 Billed-RETAIL'!$B$5:$B$147,'Exh P6-Year-End Customer Adj'!AG$5,'Apr11-Mar12 Billed-RETAIL'!$C$5:$C$147,'Exh P6-Year-End Customer Adj'!$Q13)+SUMIFS('Apr11-Mar12 Billed-RETAIL'!$AF$5:$AF$147,'Apr11-Mar12 Billed-RETAIL'!$B$5:$B$147,'Exh P6-Year-End Customer Adj'!AG$5,'Apr11-Mar12 Billed-RETAIL'!$C$5:$C$147,'Exh P6-Year-End Customer Adj'!$Q13)</f>
        <v>0</v>
      </c>
      <c r="AH13" s="439">
        <f>SUMIFS('Apr11-Mar12 Billed-RETAIL'!$G$5:$G$147,'Apr11-Mar12 Billed-RETAIL'!$B$5:$B$147,'Exh P6-Year-End Customer Adj'!AH$5,'Apr11-Mar12 Billed-RETAIL'!$C$5:$C$147,'Exh P6-Year-End Customer Adj'!$Q13)+SUMIFS('Apr11-Mar12 Billed-RETAIL'!$AE$5:$AE$147,'Apr11-Mar12 Billed-RETAIL'!$B$5:$B$147,'Exh P6-Year-End Customer Adj'!AH$5,'Apr11-Mar12 Billed-RETAIL'!$C$5:$C$147,'Exh P6-Year-End Customer Adj'!$Q13)+SUMIFS('Apr11-Mar12 Billed-RETAIL'!$H$5:$H$147,'Apr11-Mar12 Billed-RETAIL'!$B$5:$B$147,'Exh P6-Year-End Customer Adj'!AH$5,'Apr11-Mar12 Billed-RETAIL'!$C$5:$C$147,'Exh P6-Year-End Customer Adj'!$Q13)+SUMIFS('Apr11-Mar12 Billed-RETAIL'!$AF$5:$AF$147,'Apr11-Mar12 Billed-RETAIL'!$B$5:$B$147,'Exh P6-Year-End Customer Adj'!AH$5,'Apr11-Mar12 Billed-RETAIL'!$C$5:$C$147,'Exh P6-Year-End Customer Adj'!$Q13)</f>
        <v>0</v>
      </c>
      <c r="AI13" s="439">
        <f>SUMIFS('Apr11-Mar12 Billed-RETAIL'!$G$5:$G$147,'Apr11-Mar12 Billed-RETAIL'!$B$5:$B$147,'Exh P6-Year-End Customer Adj'!AI$5,'Apr11-Mar12 Billed-RETAIL'!$C$5:$C$147,'Exh P6-Year-End Customer Adj'!$Q13)+SUMIFS('Apr11-Mar12 Billed-RETAIL'!$AE$5:$AE$147,'Apr11-Mar12 Billed-RETAIL'!$B$5:$B$147,'Exh P6-Year-End Customer Adj'!AI$5,'Apr11-Mar12 Billed-RETAIL'!$C$5:$C$147,'Exh P6-Year-End Customer Adj'!$Q13)+SUMIFS('Apr11-Mar12 Billed-RETAIL'!$H$5:$H$147,'Apr11-Mar12 Billed-RETAIL'!$B$5:$B$147,'Exh P6-Year-End Customer Adj'!AI$5,'Apr11-Mar12 Billed-RETAIL'!$C$5:$C$147,'Exh P6-Year-End Customer Adj'!$Q13)+SUMIFS('Apr11-Mar12 Billed-RETAIL'!$AF$5:$AF$147,'Apr11-Mar12 Billed-RETAIL'!$B$5:$B$147,'Exh P6-Year-End Customer Adj'!AI$5,'Apr11-Mar12 Billed-RETAIL'!$C$5:$C$147,'Exh P6-Year-End Customer Adj'!$Q13)</f>
        <v>0</v>
      </c>
      <c r="AJ13" s="439">
        <f>SUMIFS('Apr11-Mar12 Billed-RETAIL'!$G$5:$G$147,'Apr11-Mar12 Billed-RETAIL'!$B$5:$B$147,'Exh P6-Year-End Customer Adj'!AJ$5,'Apr11-Mar12 Billed-RETAIL'!$C$5:$C$147,'Exh P6-Year-End Customer Adj'!$Q13)+SUMIFS('Apr11-Mar12 Billed-RETAIL'!$AE$5:$AE$147,'Apr11-Mar12 Billed-RETAIL'!$B$5:$B$147,'Exh P6-Year-End Customer Adj'!AJ$5,'Apr11-Mar12 Billed-RETAIL'!$C$5:$C$147,'Exh P6-Year-End Customer Adj'!$Q13)+SUMIFS('Apr11-Mar12 Billed-RETAIL'!$H$5:$H$147,'Apr11-Mar12 Billed-RETAIL'!$B$5:$B$147,'Exh P6-Year-End Customer Adj'!AJ$5,'Apr11-Mar12 Billed-RETAIL'!$C$5:$C$147,'Exh P6-Year-End Customer Adj'!$Q13)+SUMIFS('Apr11-Mar12 Billed-RETAIL'!$AF$5:$AF$147,'Apr11-Mar12 Billed-RETAIL'!$B$5:$B$147,'Exh P6-Year-End Customer Adj'!AJ$5,'Apr11-Mar12 Billed-RETAIL'!$C$5:$C$147,'Exh P6-Year-End Customer Adj'!$Q13)</f>
        <v>0</v>
      </c>
      <c r="AK13" s="439">
        <f>SUMIFS('Apr11-Mar12 Billed-RETAIL'!$G$5:$G$147,'Apr11-Mar12 Billed-RETAIL'!$B$5:$B$147,'Exh P6-Year-End Customer Adj'!AK$5,'Apr11-Mar12 Billed-RETAIL'!$C$5:$C$147,'Exh P6-Year-End Customer Adj'!$Q13)+SUMIFS('Apr11-Mar12 Billed-RETAIL'!$AE$5:$AE$147,'Apr11-Mar12 Billed-RETAIL'!$B$5:$B$147,'Exh P6-Year-End Customer Adj'!AK$5,'Apr11-Mar12 Billed-RETAIL'!$C$5:$C$147,'Exh P6-Year-End Customer Adj'!$Q13)+SUMIFS('Apr11-Mar12 Billed-RETAIL'!$H$5:$H$147,'Apr11-Mar12 Billed-RETAIL'!$B$5:$B$147,'Exh P6-Year-End Customer Adj'!AK$5,'Apr11-Mar12 Billed-RETAIL'!$C$5:$C$147,'Exh P6-Year-End Customer Adj'!$Q13)+SUMIFS('Apr11-Mar12 Billed-RETAIL'!$AF$5:$AF$147,'Apr11-Mar12 Billed-RETAIL'!$B$5:$B$147,'Exh P6-Year-End Customer Adj'!AK$5,'Apr11-Mar12 Billed-RETAIL'!$C$5:$C$147,'Exh P6-Year-End Customer Adj'!$Q13)</f>
        <v>0</v>
      </c>
      <c r="AL13" s="439">
        <f>SUMIFS('Apr11-Mar12 Billed-RETAIL'!$G$5:$G$147,'Apr11-Mar12 Billed-RETAIL'!$B$5:$B$147,'Exh P6-Year-End Customer Adj'!AL$5,'Apr11-Mar12 Billed-RETAIL'!$C$5:$C$147,'Exh P6-Year-End Customer Adj'!$Q13)+SUMIFS('Apr11-Mar12 Billed-RETAIL'!$AE$5:$AE$147,'Apr11-Mar12 Billed-RETAIL'!$B$5:$B$147,'Exh P6-Year-End Customer Adj'!AL$5,'Apr11-Mar12 Billed-RETAIL'!$C$5:$C$147,'Exh P6-Year-End Customer Adj'!$Q13)+SUMIFS('Apr11-Mar12 Billed-RETAIL'!$H$5:$H$147,'Apr11-Mar12 Billed-RETAIL'!$B$5:$B$147,'Exh P6-Year-End Customer Adj'!AL$5,'Apr11-Mar12 Billed-RETAIL'!$C$5:$C$147,'Exh P6-Year-End Customer Adj'!$Q13)+SUMIFS('Apr11-Mar12 Billed-RETAIL'!$AF$5:$AF$147,'Apr11-Mar12 Billed-RETAIL'!$B$5:$B$147,'Exh P6-Year-End Customer Adj'!AL$5,'Apr11-Mar12 Billed-RETAIL'!$C$5:$C$147,'Exh P6-Year-End Customer Adj'!$Q13)</f>
        <v>0</v>
      </c>
      <c r="AM13" s="439">
        <f>SUMIFS('Apr11-Mar12 Billed-RETAIL'!$G$5:$G$147,'Apr11-Mar12 Billed-RETAIL'!$B$5:$B$147,'Exh P6-Year-End Customer Adj'!AM$5,'Apr11-Mar12 Billed-RETAIL'!$C$5:$C$147,'Exh P6-Year-End Customer Adj'!$Q13)+SUMIFS('Apr11-Mar12 Billed-RETAIL'!$AE$5:$AE$147,'Apr11-Mar12 Billed-RETAIL'!$B$5:$B$147,'Exh P6-Year-End Customer Adj'!AM$5,'Apr11-Mar12 Billed-RETAIL'!$C$5:$C$147,'Exh P6-Year-End Customer Adj'!$Q13)+SUMIFS('Apr11-Mar12 Billed-RETAIL'!$H$5:$H$147,'Apr11-Mar12 Billed-RETAIL'!$B$5:$B$147,'Exh P6-Year-End Customer Adj'!AM$5,'Apr11-Mar12 Billed-RETAIL'!$C$5:$C$147,'Exh P6-Year-End Customer Adj'!$Q13)+SUMIFS('Apr11-Mar12 Billed-RETAIL'!$AF$5:$AF$147,'Apr11-Mar12 Billed-RETAIL'!$B$5:$B$147,'Exh P6-Year-End Customer Adj'!AM$5,'Apr11-Mar12 Billed-RETAIL'!$C$5:$C$147,'Exh P6-Year-End Customer Adj'!$Q13)</f>
        <v>0</v>
      </c>
      <c r="AN13" s="439">
        <f>SUMIFS('Apr11-Mar12 Billed-RETAIL'!$G$5:$G$147,'Apr11-Mar12 Billed-RETAIL'!$B$5:$B$147,'Exh P6-Year-End Customer Adj'!AN$5,'Apr11-Mar12 Billed-RETAIL'!$C$5:$C$147,'Exh P6-Year-End Customer Adj'!$Q13)+SUMIFS('Apr11-Mar12 Billed-RETAIL'!$AE$5:$AE$147,'Apr11-Mar12 Billed-RETAIL'!$B$5:$B$147,'Exh P6-Year-End Customer Adj'!AN$5,'Apr11-Mar12 Billed-RETAIL'!$C$5:$C$147,'Exh P6-Year-End Customer Adj'!$Q13)+SUMIFS('Apr11-Mar12 Billed-RETAIL'!$H$5:$H$147,'Apr11-Mar12 Billed-RETAIL'!$B$5:$B$147,'Exh P6-Year-End Customer Adj'!AN$5,'Apr11-Mar12 Billed-RETAIL'!$C$5:$C$147,'Exh P6-Year-End Customer Adj'!$Q13)+SUMIFS('Apr11-Mar12 Billed-RETAIL'!$AF$5:$AF$147,'Apr11-Mar12 Billed-RETAIL'!$B$5:$B$147,'Exh P6-Year-End Customer Adj'!AN$5,'Apr11-Mar12 Billed-RETAIL'!$C$5:$C$147,'Exh P6-Year-End Customer Adj'!$Q13)</f>
        <v>0</v>
      </c>
    </row>
    <row r="14" spans="4:40" x14ac:dyDescent="0.25">
      <c r="D14" s="389" t="s">
        <v>485</v>
      </c>
      <c r="F14" s="390">
        <f>+W12</f>
        <v>215</v>
      </c>
      <c r="G14" s="390">
        <f>+X12</f>
        <v>214</v>
      </c>
      <c r="H14" s="390">
        <f>G14-F14</f>
        <v>-1</v>
      </c>
      <c r="I14" s="390">
        <f>SBR!D22+'Exh P12-Temp Adj'!B15</f>
        <v>866503.06743983761</v>
      </c>
      <c r="J14" s="400">
        <f>ROUND(I14/F14,1)</f>
        <v>4030.2</v>
      </c>
      <c r="K14" s="390">
        <f>ROUND(H14*J14,1)</f>
        <v>-4030.2</v>
      </c>
      <c r="L14" s="441">
        <f ca="1">+'Exh R9-Reconst Billings Summary'!H22+'Exh P12-Temp Adj'!D15</f>
        <v>1809789.0985840606</v>
      </c>
      <c r="M14" s="403">
        <f ca="1">ROUND(L14/I14,4)</f>
        <v>2.0886</v>
      </c>
      <c r="N14" s="390">
        <f ca="1">ROUND(K14*M14,0)</f>
        <v>-8417</v>
      </c>
      <c r="O14" s="389"/>
      <c r="Q14" s="399" t="s">
        <v>52</v>
      </c>
      <c r="R14" s="398" t="s">
        <v>222</v>
      </c>
      <c r="S14" s="398" t="s">
        <v>205</v>
      </c>
      <c r="T14" s="1077">
        <f>SUM(AC14:AN14)</f>
        <v>3492362</v>
      </c>
      <c r="U14" s="1077">
        <f t="shared" si="0"/>
        <v>293604</v>
      </c>
      <c r="V14" s="1077">
        <f t="shared" si="1"/>
        <v>291030</v>
      </c>
      <c r="W14" s="1077">
        <f t="shared" si="2"/>
        <v>291228</v>
      </c>
      <c r="X14" s="439">
        <f>+AN14</f>
        <v>292094</v>
      </c>
      <c r="AA14" s="440"/>
      <c r="AB14" s="440">
        <v>293604</v>
      </c>
      <c r="AC14" s="440">
        <v>291768</v>
      </c>
      <c r="AD14" s="440">
        <v>291149</v>
      </c>
      <c r="AE14" s="440">
        <v>291181</v>
      </c>
      <c r="AF14" s="440">
        <v>290107</v>
      </c>
      <c r="AG14" s="440">
        <v>291137</v>
      </c>
      <c r="AH14" s="440">
        <v>290586</v>
      </c>
      <c r="AI14" s="440">
        <v>290078</v>
      </c>
      <c r="AJ14" s="440">
        <v>286991</v>
      </c>
      <c r="AK14" s="440">
        <v>291752</v>
      </c>
      <c r="AL14" s="440">
        <v>293808</v>
      </c>
      <c r="AM14" s="440">
        <v>291711</v>
      </c>
      <c r="AN14" s="439">
        <v>292094</v>
      </c>
    </row>
    <row r="15" spans="4:40" x14ac:dyDescent="0.25">
      <c r="D15" s="388"/>
      <c r="J15" s="400"/>
      <c r="L15" s="402"/>
      <c r="M15" s="403"/>
      <c r="O15" s="389"/>
      <c r="Q15" s="399" t="s">
        <v>55</v>
      </c>
      <c r="R15" s="398" t="s">
        <v>222</v>
      </c>
      <c r="S15" s="398" t="s">
        <v>205</v>
      </c>
      <c r="T15" s="1077"/>
      <c r="U15" s="1077"/>
      <c r="V15" s="1077"/>
      <c r="W15" s="1077"/>
      <c r="X15" s="439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</row>
    <row r="16" spans="4:40" x14ac:dyDescent="0.25">
      <c r="D16" s="397" t="s">
        <v>486</v>
      </c>
      <c r="F16" s="390">
        <f>SUM(W6:W7)</f>
        <v>14</v>
      </c>
      <c r="G16" s="390">
        <f>SUM(X6:X7)</f>
        <v>14</v>
      </c>
      <c r="H16" s="390">
        <f>G16-F16</f>
        <v>0</v>
      </c>
      <c r="J16" s="400"/>
      <c r="L16" s="402"/>
      <c r="M16" s="403"/>
      <c r="O16" s="389"/>
      <c r="Q16" s="399" t="s">
        <v>59</v>
      </c>
      <c r="R16" s="398" t="s">
        <v>223</v>
      </c>
      <c r="S16" s="398" t="s">
        <v>205</v>
      </c>
      <c r="T16" s="1077"/>
      <c r="U16" s="1077"/>
      <c r="V16" s="1077"/>
      <c r="W16" s="1077"/>
      <c r="X16" s="439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</row>
    <row r="17" spans="4:40" x14ac:dyDescent="0.25">
      <c r="D17" s="388"/>
      <c r="J17" s="400"/>
      <c r="L17" s="402"/>
      <c r="M17" s="403"/>
      <c r="O17" s="389"/>
      <c r="Q17" s="399" t="s">
        <v>49</v>
      </c>
      <c r="R17" s="398" t="s">
        <v>224</v>
      </c>
      <c r="S17" s="398" t="s">
        <v>205</v>
      </c>
      <c r="T17" s="1077"/>
      <c r="U17" s="1077"/>
      <c r="V17" s="1077"/>
      <c r="W17" s="1077"/>
      <c r="X17" s="439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</row>
    <row r="18" spans="4:40" x14ac:dyDescent="0.25">
      <c r="D18" s="389" t="s">
        <v>487</v>
      </c>
      <c r="F18" s="390">
        <v>76</v>
      </c>
      <c r="G18" s="390">
        <v>76</v>
      </c>
      <c r="H18" s="404">
        <f>G18-F18</f>
        <v>0</v>
      </c>
      <c r="J18" s="400"/>
      <c r="L18" s="402"/>
      <c r="M18" s="403"/>
      <c r="O18" s="389"/>
      <c r="Q18" s="399"/>
    </row>
    <row r="19" spans="4:40" x14ac:dyDescent="0.25">
      <c r="J19" s="400"/>
      <c r="L19" s="402"/>
      <c r="M19" s="403"/>
      <c r="O19" s="389"/>
      <c r="P19" s="508"/>
      <c r="Q19" s="1067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08"/>
      <c r="AN19" s="508"/>
    </row>
    <row r="20" spans="4:40" x14ac:dyDescent="0.25">
      <c r="D20" s="389" t="s">
        <v>488</v>
      </c>
      <c r="F20" s="390">
        <v>3</v>
      </c>
      <c r="G20" s="390">
        <v>3</v>
      </c>
      <c r="H20" s="390">
        <f>+F20-G20</f>
        <v>0</v>
      </c>
      <c r="I20" s="402"/>
      <c r="J20" s="400"/>
      <c r="L20" s="402"/>
      <c r="M20" s="403"/>
      <c r="O20" s="389"/>
      <c r="P20" s="508"/>
      <c r="Q20" s="1067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1068"/>
      <c r="AC20" s="1068"/>
      <c r="AD20" s="1068"/>
      <c r="AE20" s="1068"/>
      <c r="AF20" s="1068"/>
      <c r="AG20" s="1068"/>
      <c r="AH20" s="1068"/>
      <c r="AI20" s="1068"/>
      <c r="AJ20" s="1068"/>
      <c r="AK20" s="1068"/>
      <c r="AL20" s="1068"/>
      <c r="AM20" s="1068"/>
      <c r="AN20" s="1068"/>
    </row>
    <row r="21" spans="4:40" x14ac:dyDescent="0.25">
      <c r="D21" s="405"/>
      <c r="E21" s="405"/>
      <c r="F21" s="406"/>
      <c r="G21" s="406"/>
      <c r="H21" s="406"/>
      <c r="I21" s="406"/>
      <c r="J21" s="593"/>
      <c r="K21" s="406"/>
      <c r="L21" s="406"/>
      <c r="M21" s="594"/>
      <c r="N21" s="406"/>
      <c r="O21" s="389"/>
      <c r="P21" s="508"/>
      <c r="Q21" s="1067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B21" s="1069"/>
      <c r="AC21" s="1068"/>
      <c r="AD21" s="1068"/>
      <c r="AE21" s="1068"/>
      <c r="AF21" s="1068"/>
      <c r="AG21" s="1068"/>
      <c r="AH21" s="1068"/>
      <c r="AI21" s="1068"/>
      <c r="AJ21" s="1068"/>
      <c r="AK21" s="1068"/>
      <c r="AL21" s="1068"/>
      <c r="AM21" s="1068"/>
      <c r="AN21" s="1068"/>
    </row>
    <row r="22" spans="4:40" x14ac:dyDescent="0.25">
      <c r="D22" s="405" t="s">
        <v>375</v>
      </c>
      <c r="E22" s="405"/>
      <c r="F22" s="406">
        <v>2</v>
      </c>
      <c r="G22" s="406">
        <v>2</v>
      </c>
      <c r="H22" s="406">
        <f>SUM(H21:H21)</f>
        <v>0</v>
      </c>
      <c r="I22" s="406"/>
      <c r="J22" s="400"/>
      <c r="K22" s="406"/>
      <c r="L22" s="406"/>
      <c r="M22" s="408"/>
      <c r="N22" s="406"/>
      <c r="O22" s="389"/>
      <c r="P22" s="508"/>
      <c r="Q22" s="1067"/>
      <c r="R22" s="508"/>
      <c r="S22" s="508"/>
      <c r="T22" s="508"/>
      <c r="U22" s="508"/>
      <c r="V22" s="508"/>
      <c r="W22" s="508"/>
      <c r="X22" s="508"/>
      <c r="Y22" s="508"/>
      <c r="Z22" s="508"/>
      <c r="AA22" s="508"/>
      <c r="AB22" s="508"/>
      <c r="AC22" s="508"/>
      <c r="AD22" s="508"/>
      <c r="AE22" s="508"/>
      <c r="AF22" s="508"/>
      <c r="AG22" s="508"/>
      <c r="AH22" s="508"/>
      <c r="AI22" s="508"/>
      <c r="AJ22" s="508"/>
      <c r="AK22" s="508"/>
      <c r="AL22" s="508"/>
      <c r="AM22" s="508"/>
      <c r="AN22" s="508"/>
    </row>
    <row r="23" spans="4:40" x14ac:dyDescent="0.25">
      <c r="D23" s="405"/>
      <c r="E23" s="405"/>
      <c r="F23" s="406"/>
      <c r="G23" s="406"/>
      <c r="H23" s="406"/>
      <c r="I23" s="406"/>
      <c r="J23" s="406"/>
      <c r="K23" s="406"/>
      <c r="L23" s="406"/>
      <c r="M23" s="404"/>
      <c r="N23" s="406"/>
      <c r="O23" s="389"/>
      <c r="P23" s="508"/>
      <c r="Q23" s="1067"/>
      <c r="R23" s="508"/>
      <c r="S23" s="508"/>
      <c r="T23" s="508"/>
      <c r="U23" s="508"/>
      <c r="V23" s="508"/>
      <c r="W23" s="508"/>
      <c r="X23" s="508"/>
      <c r="Y23" s="508"/>
      <c r="Z23" s="508"/>
      <c r="AA23" s="508"/>
      <c r="AB23" s="508"/>
      <c r="AC23" s="508"/>
      <c r="AD23" s="508"/>
      <c r="AE23" s="508"/>
      <c r="AF23" s="508"/>
      <c r="AG23" s="508"/>
      <c r="AH23" s="508"/>
      <c r="AI23" s="508"/>
      <c r="AJ23" s="508"/>
      <c r="AK23" s="508"/>
      <c r="AL23" s="508"/>
      <c r="AM23" s="508"/>
      <c r="AN23" s="508"/>
    </row>
    <row r="24" spans="4:40" ht="16.5" thickBot="1" x14ac:dyDescent="0.3">
      <c r="D24" s="389" t="s">
        <v>406</v>
      </c>
      <c r="F24" s="409">
        <f>F10+F12+F14+F16+F18+F22+F20</f>
        <v>317299</v>
      </c>
      <c r="G24" s="409">
        <f>G10+G12+G14+G16+G18+G22+G20</f>
        <v>318276</v>
      </c>
      <c r="H24" s="409">
        <f>H10+H12+H14+H16+H18+H22</f>
        <v>977</v>
      </c>
      <c r="I24" s="410">
        <f>I10+I12+I14+I16+I18+I22</f>
        <v>31590147.267439842</v>
      </c>
      <c r="J24" s="409"/>
      <c r="K24" s="410">
        <f>K10+K12+K14+K16+K18+K22</f>
        <v>102216.59999999999</v>
      </c>
      <c r="L24" s="410">
        <f ca="1">L10+L12+L14+L16+L18+L22</f>
        <v>120812862.32733408</v>
      </c>
      <c r="M24" s="409"/>
      <c r="N24" s="409">
        <f ca="1">N10+N12+N14+N16+N18+N22</f>
        <v>387739</v>
      </c>
      <c r="O24" s="389"/>
      <c r="P24" s="508"/>
      <c r="Q24" s="1067"/>
      <c r="R24" s="508"/>
      <c r="S24" s="508"/>
      <c r="T24" s="508"/>
      <c r="U24" s="508"/>
      <c r="V24" s="508"/>
      <c r="W24" s="508"/>
      <c r="X24" s="508"/>
      <c r="Y24" s="508"/>
      <c r="Z24" s="508"/>
      <c r="AA24" s="508"/>
      <c r="AB24" s="508"/>
      <c r="AC24" s="508"/>
      <c r="AD24" s="1068"/>
      <c r="AE24" s="1068"/>
      <c r="AF24" s="1068"/>
      <c r="AG24" s="1068"/>
      <c r="AH24" s="1068"/>
      <c r="AI24" s="1068"/>
      <c r="AJ24" s="1068"/>
      <c r="AK24" s="1068"/>
      <c r="AL24" s="1068"/>
      <c r="AM24" s="1068"/>
      <c r="AN24" s="508"/>
    </row>
    <row r="25" spans="4:40" ht="16.5" thickTop="1" x14ac:dyDescent="0.25">
      <c r="O25" s="389"/>
      <c r="P25" s="508"/>
      <c r="Q25" s="1070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08"/>
      <c r="AD25" s="508"/>
      <c r="AE25" s="508"/>
      <c r="AF25" s="508"/>
      <c r="AG25" s="508"/>
      <c r="AH25" s="508"/>
      <c r="AI25" s="508"/>
      <c r="AJ25" s="508"/>
      <c r="AK25" s="508"/>
      <c r="AL25" s="508"/>
      <c r="AM25" s="508"/>
      <c r="AN25" s="508"/>
    </row>
    <row r="26" spans="4:40" x14ac:dyDescent="0.25">
      <c r="F26" s="411" t="s">
        <v>489</v>
      </c>
      <c r="G26" s="412">
        <f ca="1">I60</f>
        <v>0.23459914375223498</v>
      </c>
      <c r="H26" s="413" t="s">
        <v>490</v>
      </c>
      <c r="N26" s="407">
        <f ca="1">N24*G26</f>
        <v>90963.23739934784</v>
      </c>
      <c r="O26" s="389"/>
      <c r="P26" s="508"/>
      <c r="Q26" s="1067"/>
      <c r="R26" s="508"/>
      <c r="S26" s="508"/>
      <c r="T26" s="508"/>
      <c r="U26" s="1071"/>
      <c r="V26" s="508"/>
      <c r="W26" s="508"/>
      <c r="X26" s="508"/>
      <c r="Y26" s="508"/>
      <c r="Z26" s="508"/>
      <c r="AA26" s="508"/>
      <c r="AB26" s="508"/>
      <c r="AC26" s="508"/>
      <c r="AD26" s="508"/>
      <c r="AE26" s="508"/>
      <c r="AF26" s="508"/>
      <c r="AG26" s="508"/>
      <c r="AH26" s="508"/>
      <c r="AI26" s="508"/>
      <c r="AJ26" s="508"/>
      <c r="AK26" s="508"/>
      <c r="AL26" s="508"/>
      <c r="AM26" s="508"/>
      <c r="AN26" s="508"/>
    </row>
    <row r="27" spans="4:40" x14ac:dyDescent="0.25">
      <c r="O27" s="389"/>
      <c r="P27" s="508"/>
      <c r="Q27" s="1067"/>
      <c r="R27" s="508"/>
      <c r="S27" s="508"/>
      <c r="T27" s="508"/>
      <c r="U27" s="1071"/>
      <c r="V27" s="508"/>
      <c r="W27" s="508"/>
      <c r="X27" s="508"/>
      <c r="Y27" s="508"/>
      <c r="Z27" s="508"/>
      <c r="AA27" s="508"/>
      <c r="AB27" s="508"/>
      <c r="AC27" s="1072"/>
      <c r="AD27" s="1072"/>
      <c r="AE27" s="1072"/>
      <c r="AF27" s="1072"/>
      <c r="AG27" s="1072"/>
      <c r="AH27" s="1072"/>
      <c r="AI27" s="1072"/>
      <c r="AJ27" s="1072"/>
      <c r="AK27" s="1072"/>
      <c r="AL27" s="1072"/>
      <c r="AM27" s="1072"/>
      <c r="AN27" s="1072"/>
    </row>
    <row r="28" spans="4:40" ht="16.5" thickBot="1" x14ac:dyDescent="0.3">
      <c r="D28" s="389" t="s">
        <v>491</v>
      </c>
      <c r="N28" s="414">
        <f ca="1">N24-N26</f>
        <v>296775.76260065218</v>
      </c>
      <c r="O28" s="389"/>
      <c r="P28" s="508"/>
      <c r="Q28" s="1067"/>
      <c r="R28" s="508"/>
      <c r="S28" s="508"/>
      <c r="T28" s="508"/>
      <c r="U28" s="508"/>
      <c r="V28" s="508"/>
      <c r="W28" s="508"/>
      <c r="X28" s="1067"/>
      <c r="Y28" s="508"/>
      <c r="Z28" s="1067"/>
      <c r="AA28" s="1067"/>
      <c r="AB28" s="1067"/>
      <c r="AC28" s="1067"/>
      <c r="AD28" s="1067"/>
      <c r="AE28" s="1067"/>
      <c r="AF28" s="1067"/>
      <c r="AG28" s="1067"/>
      <c r="AH28" s="1067"/>
      <c r="AI28" s="1067"/>
      <c r="AJ28" s="1067"/>
      <c r="AK28" s="1067"/>
      <c r="AL28" s="1067"/>
      <c r="AM28" s="508"/>
      <c r="AN28" s="508"/>
    </row>
    <row r="29" spans="4:40" ht="16.5" thickTop="1" x14ac:dyDescent="0.25">
      <c r="O29" s="389"/>
      <c r="P29" s="508"/>
      <c r="Q29" s="1067"/>
      <c r="R29" s="508"/>
      <c r="S29" s="508"/>
      <c r="T29" s="1069"/>
      <c r="U29" s="1069"/>
      <c r="V29" s="1069"/>
      <c r="W29" s="1069"/>
      <c r="X29" s="1068"/>
      <c r="Y29" s="508"/>
      <c r="Z29" s="1068"/>
      <c r="AA29" s="1068"/>
      <c r="AB29" s="1068"/>
      <c r="AC29" s="1068"/>
      <c r="AD29" s="1068"/>
      <c r="AE29" s="1068"/>
      <c r="AF29" s="1068"/>
      <c r="AG29" s="1068"/>
      <c r="AH29" s="1068"/>
      <c r="AI29" s="1068"/>
      <c r="AJ29" s="1068"/>
      <c r="AK29" s="1068"/>
      <c r="AL29" s="508"/>
      <c r="AM29" s="508"/>
      <c r="AN29" s="508"/>
    </row>
    <row r="30" spans="4:40" x14ac:dyDescent="0.25">
      <c r="O30" s="389"/>
      <c r="P30" s="508"/>
      <c r="Q30" s="1067"/>
      <c r="R30" s="508"/>
      <c r="S30" s="508"/>
      <c r="T30" s="1069"/>
      <c r="U30" s="1069"/>
      <c r="V30" s="1069"/>
      <c r="W30" s="1069"/>
      <c r="X30" s="1068"/>
      <c r="Y30" s="508"/>
      <c r="Z30" s="1068"/>
      <c r="AA30" s="1068"/>
      <c r="AB30" s="1068"/>
      <c r="AC30" s="1068"/>
      <c r="AD30" s="1068"/>
      <c r="AE30" s="1068"/>
      <c r="AF30" s="1068"/>
      <c r="AG30" s="1068"/>
      <c r="AH30" s="1068"/>
      <c r="AI30" s="1068"/>
      <c r="AJ30" s="1068"/>
      <c r="AK30" s="1068"/>
      <c r="AL30" s="508"/>
      <c r="AM30" s="508"/>
      <c r="AN30" s="508"/>
    </row>
    <row r="31" spans="4:40" x14ac:dyDescent="0.25">
      <c r="D31" s="388"/>
      <c r="O31" s="389"/>
      <c r="P31" s="508"/>
      <c r="Q31" s="1067"/>
      <c r="R31" s="508"/>
      <c r="S31" s="508"/>
      <c r="T31" s="1069"/>
      <c r="U31" s="1069"/>
      <c r="V31" s="1069"/>
      <c r="W31" s="1069"/>
      <c r="X31" s="1068"/>
      <c r="Y31" s="508"/>
      <c r="Z31" s="1068"/>
      <c r="AA31" s="1068"/>
      <c r="AB31" s="1068"/>
      <c r="AC31" s="1068"/>
      <c r="AD31" s="1068"/>
      <c r="AE31" s="1068"/>
      <c r="AF31" s="1068"/>
      <c r="AG31" s="1068"/>
      <c r="AH31" s="1068"/>
      <c r="AI31" s="1068"/>
      <c r="AJ31" s="1068"/>
      <c r="AK31" s="1068"/>
      <c r="AL31" s="508"/>
      <c r="AM31" s="508"/>
      <c r="AN31" s="508"/>
    </row>
    <row r="32" spans="4:40" x14ac:dyDescent="0.25">
      <c r="D32" s="388"/>
      <c r="O32" s="389"/>
      <c r="P32" s="508"/>
      <c r="Q32" s="1067"/>
      <c r="R32" s="508"/>
      <c r="S32" s="508"/>
      <c r="T32" s="1068"/>
      <c r="U32" s="1068"/>
      <c r="V32" s="1068"/>
      <c r="W32" s="1068"/>
      <c r="X32" s="1068"/>
      <c r="Y32" s="508"/>
      <c r="Z32" s="1068"/>
      <c r="AA32" s="1068"/>
      <c r="AB32" s="1068"/>
      <c r="AC32" s="1068"/>
      <c r="AD32" s="1068"/>
      <c r="AE32" s="1068"/>
      <c r="AF32" s="1068"/>
      <c r="AG32" s="1068"/>
      <c r="AH32" s="1068"/>
      <c r="AI32" s="1068"/>
      <c r="AJ32" s="1068"/>
      <c r="AK32" s="1068"/>
      <c r="AL32" s="508"/>
      <c r="AM32" s="508"/>
      <c r="AN32" s="508"/>
    </row>
    <row r="33" spans="1:40" x14ac:dyDescent="0.25">
      <c r="D33" s="388"/>
      <c r="O33" s="389"/>
      <c r="P33" s="508"/>
      <c r="Q33" s="1067"/>
      <c r="R33" s="508"/>
      <c r="S33" s="508"/>
      <c r="T33" s="1068"/>
      <c r="U33" s="1068"/>
      <c r="V33" s="1068"/>
      <c r="W33" s="1068"/>
      <c r="X33" s="1068"/>
      <c r="Y33" s="508"/>
      <c r="Z33" s="1068"/>
      <c r="AA33" s="1068"/>
      <c r="AB33" s="1068"/>
      <c r="AC33" s="1068"/>
      <c r="AD33" s="1068"/>
      <c r="AE33" s="1068"/>
      <c r="AF33" s="1068"/>
      <c r="AG33" s="1068"/>
      <c r="AH33" s="1068"/>
      <c r="AI33" s="1068"/>
      <c r="AJ33" s="1068"/>
      <c r="AK33" s="1068"/>
      <c r="AL33" s="508"/>
      <c r="AM33" s="508"/>
      <c r="AN33" s="508"/>
    </row>
    <row r="34" spans="1:40" x14ac:dyDescent="0.25">
      <c r="D34" s="388"/>
      <c r="O34" s="389"/>
      <c r="P34" s="508"/>
      <c r="Q34" s="1067"/>
      <c r="R34" s="508"/>
      <c r="S34" s="508"/>
      <c r="T34" s="1069"/>
      <c r="U34" s="1069"/>
      <c r="V34" s="1069"/>
      <c r="W34" s="1069"/>
      <c r="X34" s="1069"/>
      <c r="Y34" s="508"/>
      <c r="Z34" s="1068"/>
      <c r="AA34" s="1068"/>
      <c r="AB34" s="1069"/>
      <c r="AC34" s="1069"/>
      <c r="AD34" s="1069"/>
      <c r="AE34" s="1069"/>
      <c r="AF34" s="1069"/>
      <c r="AG34" s="1069"/>
      <c r="AH34" s="1069"/>
      <c r="AI34" s="1069"/>
      <c r="AJ34" s="1069"/>
      <c r="AK34" s="1069"/>
      <c r="AL34" s="508"/>
      <c r="AM34" s="508"/>
      <c r="AN34" s="508"/>
    </row>
    <row r="35" spans="1:40" x14ac:dyDescent="0.25">
      <c r="D35" s="442" t="s">
        <v>492</v>
      </c>
      <c r="E35" s="388"/>
      <c r="F35" s="443"/>
      <c r="G35" s="443"/>
      <c r="O35" s="389"/>
      <c r="P35" s="508"/>
      <c r="Q35" s="106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</row>
    <row r="36" spans="1:40" x14ac:dyDescent="0.25">
      <c r="O36" s="389"/>
      <c r="P36" s="508"/>
      <c r="Q36" s="1067"/>
      <c r="R36" s="508"/>
      <c r="S36" s="508"/>
      <c r="T36" s="1069"/>
      <c r="U36" s="1069"/>
      <c r="V36" s="1069"/>
      <c r="W36" s="1069"/>
      <c r="X36" s="1068"/>
      <c r="Y36" s="508"/>
      <c r="Z36" s="1068"/>
      <c r="AA36" s="1068"/>
      <c r="AB36" s="1068"/>
      <c r="AC36" s="1068"/>
      <c r="AD36" s="1068"/>
      <c r="AE36" s="1068"/>
      <c r="AF36" s="1068"/>
      <c r="AG36" s="1068"/>
      <c r="AH36" s="1068"/>
      <c r="AI36" s="1068"/>
      <c r="AJ36" s="1068"/>
      <c r="AK36" s="1068"/>
      <c r="AL36" s="508"/>
      <c r="AM36" s="508"/>
      <c r="AN36" s="508"/>
    </row>
    <row r="37" spans="1:40" x14ac:dyDescent="0.25">
      <c r="O37" s="389"/>
      <c r="P37" s="508"/>
      <c r="Q37" s="1067"/>
      <c r="R37" s="508"/>
      <c r="S37" s="508"/>
      <c r="T37" s="1069"/>
      <c r="U37" s="1069"/>
      <c r="V37" s="1069"/>
      <c r="W37" s="1069"/>
      <c r="X37" s="1068"/>
      <c r="Y37" s="508"/>
      <c r="Z37" s="1068"/>
      <c r="AA37" s="1068"/>
      <c r="AB37" s="1068"/>
      <c r="AC37" s="1068"/>
      <c r="AD37" s="1068"/>
      <c r="AE37" s="1068"/>
      <c r="AF37" s="1068"/>
      <c r="AG37" s="1068"/>
      <c r="AH37" s="1068"/>
      <c r="AI37" s="1068"/>
      <c r="AJ37" s="1068"/>
      <c r="AK37" s="1068"/>
      <c r="AL37" s="508"/>
      <c r="AM37" s="508"/>
      <c r="AN37" s="508"/>
    </row>
    <row r="38" spans="1:40" x14ac:dyDescent="0.25">
      <c r="O38" s="389"/>
      <c r="P38" s="508"/>
      <c r="Q38" s="1067"/>
      <c r="R38" s="508"/>
      <c r="S38" s="508"/>
      <c r="T38" s="1069"/>
      <c r="U38" s="1069"/>
      <c r="V38" s="1069"/>
      <c r="W38" s="1069"/>
      <c r="X38" s="1069"/>
      <c r="Y38" s="508"/>
      <c r="Z38" s="1069"/>
      <c r="AA38" s="1069"/>
      <c r="AB38" s="1069"/>
      <c r="AC38" s="1069"/>
      <c r="AD38" s="1069"/>
      <c r="AE38" s="1069"/>
      <c r="AF38" s="1069"/>
      <c r="AG38" s="1069"/>
      <c r="AH38" s="1069"/>
      <c r="AI38" s="1069"/>
      <c r="AJ38" s="1069"/>
      <c r="AK38" s="1069"/>
      <c r="AL38" s="508"/>
      <c r="AM38" s="508"/>
      <c r="AN38" s="508"/>
    </row>
    <row r="39" spans="1:40" x14ac:dyDescent="0.25">
      <c r="O39" s="389"/>
      <c r="P39" s="508"/>
      <c r="Q39" s="1067"/>
      <c r="R39" s="508"/>
      <c r="S39" s="508"/>
      <c r="T39" s="1068"/>
      <c r="U39" s="1068"/>
      <c r="V39" s="1068"/>
      <c r="W39" s="1068"/>
      <c r="X39" s="1068"/>
      <c r="Y39" s="508"/>
      <c r="Z39" s="1068"/>
      <c r="AA39" s="1068"/>
      <c r="AB39" s="1068"/>
      <c r="AC39" s="1068"/>
      <c r="AD39" s="1068"/>
      <c r="AE39" s="1068"/>
      <c r="AF39" s="1068"/>
      <c r="AG39" s="1068"/>
      <c r="AH39" s="1068"/>
      <c r="AI39" s="1068"/>
      <c r="AJ39" s="1068"/>
      <c r="AK39" s="1068"/>
      <c r="AL39" s="508"/>
      <c r="AM39" s="508"/>
      <c r="AN39" s="508"/>
    </row>
    <row r="40" spans="1:40" x14ac:dyDescent="0.25">
      <c r="O40" s="389"/>
      <c r="P40" s="508"/>
      <c r="Q40" s="1067"/>
      <c r="R40" s="508"/>
      <c r="S40" s="508"/>
      <c r="T40" s="1069"/>
      <c r="U40" s="1069"/>
      <c r="V40" s="1069"/>
      <c r="W40" s="1069"/>
      <c r="X40" s="1069"/>
      <c r="Y40" s="508"/>
      <c r="Z40" s="1068"/>
      <c r="AA40" s="1068"/>
      <c r="AB40" s="1069"/>
      <c r="AC40" s="1069"/>
      <c r="AD40" s="1069"/>
      <c r="AE40" s="1069"/>
      <c r="AF40" s="1069"/>
      <c r="AG40" s="1069"/>
      <c r="AH40" s="1069"/>
      <c r="AI40" s="1069"/>
      <c r="AJ40" s="1069"/>
      <c r="AK40" s="1069"/>
      <c r="AL40" s="508"/>
      <c r="AM40" s="508"/>
      <c r="AN40" s="508"/>
    </row>
    <row r="41" spans="1:40" x14ac:dyDescent="0.25">
      <c r="O41" s="389"/>
      <c r="P41" s="508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</row>
    <row r="42" spans="1:40" x14ac:dyDescent="0.25">
      <c r="H42" s="395"/>
      <c r="O42" s="389"/>
      <c r="P42" s="508"/>
      <c r="Q42" s="1067"/>
      <c r="R42" s="508"/>
      <c r="S42" s="508"/>
      <c r="T42" s="1069"/>
      <c r="U42" s="1069"/>
      <c r="V42" s="1069"/>
      <c r="W42" s="1069"/>
      <c r="X42" s="1068"/>
      <c r="Y42" s="508"/>
      <c r="Z42" s="1069"/>
      <c r="AA42" s="1069"/>
      <c r="AB42" s="1069"/>
      <c r="AC42" s="1069"/>
      <c r="AD42" s="1069"/>
      <c r="AE42" s="1069"/>
      <c r="AF42" s="1069"/>
      <c r="AG42" s="1069"/>
      <c r="AH42" s="1069"/>
      <c r="AI42" s="1069"/>
      <c r="AJ42" s="1069"/>
      <c r="AK42" s="1069"/>
      <c r="AL42" s="1068"/>
      <c r="AM42" s="508"/>
      <c r="AN42" s="508"/>
    </row>
    <row r="43" spans="1:40" x14ac:dyDescent="0.25">
      <c r="A43" s="398" t="s">
        <v>1104</v>
      </c>
      <c r="H43" s="395"/>
      <c r="O43" s="389"/>
      <c r="P43" s="508"/>
      <c r="Q43" s="508"/>
      <c r="R43" s="508"/>
      <c r="S43" s="508"/>
      <c r="T43" s="1069"/>
      <c r="U43" s="1069"/>
      <c r="V43" s="1069"/>
      <c r="W43" s="1069"/>
      <c r="X43" s="1069"/>
      <c r="Y43" s="508"/>
      <c r="Z43" s="508"/>
      <c r="AA43" s="508"/>
      <c r="AB43" s="1069"/>
      <c r="AC43" s="1069"/>
      <c r="AD43" s="1069"/>
      <c r="AE43" s="1069"/>
      <c r="AF43" s="1069"/>
      <c r="AG43" s="1069"/>
      <c r="AH43" s="1069"/>
      <c r="AI43" s="1069"/>
      <c r="AJ43" s="1069"/>
      <c r="AK43" s="1069"/>
      <c r="AL43" s="508"/>
      <c r="AM43" s="508"/>
      <c r="AN43" s="508"/>
    </row>
    <row r="44" spans="1:40" x14ac:dyDescent="0.25">
      <c r="A44" s="398" t="s">
        <v>1105</v>
      </c>
      <c r="D44" s="389" t="s">
        <v>493</v>
      </c>
      <c r="I44" s="640">
        <v>200268748.72</v>
      </c>
      <c r="K44" s="639"/>
      <c r="O44" s="389"/>
      <c r="P44" s="508"/>
      <c r="Q44" s="508"/>
      <c r="R44" s="508"/>
      <c r="S44" s="508"/>
      <c r="T44" s="1069"/>
      <c r="U44" s="1069"/>
      <c r="V44" s="1069"/>
      <c r="W44" s="1069"/>
      <c r="X44" s="1069"/>
      <c r="Y44" s="508"/>
      <c r="Z44" s="508"/>
      <c r="AA44" s="508"/>
      <c r="AB44" s="1069"/>
      <c r="AC44" s="1069"/>
      <c r="AD44" s="1069"/>
      <c r="AE44" s="1069"/>
      <c r="AF44" s="1069"/>
      <c r="AG44" s="1069"/>
      <c r="AH44" s="1069"/>
      <c r="AI44" s="1069"/>
      <c r="AJ44" s="1069"/>
      <c r="AK44" s="1069"/>
      <c r="AL44" s="508"/>
      <c r="AM44" s="508"/>
      <c r="AN44" s="508"/>
    </row>
    <row r="45" spans="1:40" x14ac:dyDescent="0.25">
      <c r="D45" s="389" t="s">
        <v>494</v>
      </c>
      <c r="I45" s="640">
        <v>134952881.75</v>
      </c>
      <c r="O45" s="389"/>
      <c r="P45" s="508"/>
      <c r="Q45" s="508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</row>
    <row r="46" spans="1:40" x14ac:dyDescent="0.25">
      <c r="D46" s="389" t="s">
        <v>495</v>
      </c>
      <c r="I46" s="636">
        <v>24545027.129999999</v>
      </c>
      <c r="O46" s="389"/>
      <c r="P46" s="508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08"/>
      <c r="AD46" s="508"/>
      <c r="AE46" s="508"/>
      <c r="AF46" s="508"/>
      <c r="AG46" s="508"/>
      <c r="AH46" s="508"/>
      <c r="AI46" s="508"/>
      <c r="AJ46" s="508"/>
      <c r="AK46" s="508"/>
      <c r="AL46" s="508"/>
      <c r="AM46" s="508"/>
      <c r="AN46" s="508"/>
    </row>
    <row r="47" spans="1:40" x14ac:dyDescent="0.25">
      <c r="D47" s="389" t="s">
        <v>496</v>
      </c>
      <c r="I47" s="636">
        <v>9315863.8800000008</v>
      </c>
      <c r="O47" s="389"/>
      <c r="P47" s="508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08"/>
      <c r="AD47" s="508"/>
      <c r="AE47" s="508"/>
      <c r="AF47" s="508"/>
      <c r="AG47" s="508"/>
      <c r="AH47" s="508"/>
      <c r="AI47" s="508"/>
      <c r="AJ47" s="508"/>
      <c r="AK47" s="508"/>
      <c r="AL47" s="508"/>
      <c r="AM47" s="508"/>
      <c r="AN47" s="508"/>
    </row>
    <row r="48" spans="1:40" x14ac:dyDescent="0.25">
      <c r="D48" s="397" t="s">
        <v>497</v>
      </c>
      <c r="I48" s="637">
        <v>236218.75</v>
      </c>
      <c r="O48" s="389"/>
      <c r="P48" s="508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08"/>
      <c r="AD48" s="508"/>
      <c r="AE48" s="508"/>
      <c r="AF48" s="508"/>
      <c r="AG48" s="508"/>
      <c r="AH48" s="508"/>
      <c r="AI48" s="508"/>
      <c r="AJ48" s="508"/>
      <c r="AK48" s="508"/>
      <c r="AL48" s="508"/>
      <c r="AM48" s="508"/>
      <c r="AN48" s="508"/>
    </row>
    <row r="49" spans="4:15" x14ac:dyDescent="0.25">
      <c r="D49" s="444" t="s">
        <v>498</v>
      </c>
      <c r="I49" s="390">
        <f>I44-SUM(I45:I48)</f>
        <v>31218757.210000008</v>
      </c>
      <c r="L49" s="635"/>
      <c r="O49" s="389"/>
    </row>
    <row r="50" spans="4:15" x14ac:dyDescent="0.25">
      <c r="L50" s="634"/>
      <c r="O50" s="389"/>
    </row>
    <row r="51" spans="4:15" x14ac:dyDescent="0.25">
      <c r="L51" s="634"/>
      <c r="O51" s="389"/>
    </row>
    <row r="52" spans="4:15" x14ac:dyDescent="0.25">
      <c r="O52" s="389"/>
    </row>
    <row r="53" spans="4:15" x14ac:dyDescent="0.25">
      <c r="O53" s="389"/>
    </row>
    <row r="54" spans="4:15" x14ac:dyDescent="0.25">
      <c r="O54" s="389"/>
    </row>
    <row r="55" spans="4:15" x14ac:dyDescent="0.25">
      <c r="D55" s="389" t="s">
        <v>499</v>
      </c>
      <c r="I55" s="636">
        <f ca="1">+'Exh R9-Reconst Billings Summary'!C41</f>
        <v>279479120.29471999</v>
      </c>
      <c r="O55" s="389"/>
    </row>
    <row r="56" spans="4:15" x14ac:dyDescent="0.25">
      <c r="D56" s="389" t="s">
        <v>500</v>
      </c>
      <c r="I56" s="637">
        <f>+'Exh R9-Reconst Billings Summary'!D41</f>
        <v>146406353.23052821</v>
      </c>
      <c r="O56" s="389"/>
    </row>
    <row r="57" spans="4:15" x14ac:dyDescent="0.25">
      <c r="D57" s="444" t="s">
        <v>501</v>
      </c>
      <c r="I57" s="390">
        <f ca="1">I55-I56</f>
        <v>133072767.06419179</v>
      </c>
      <c r="O57" s="389"/>
    </row>
    <row r="58" spans="4:15" x14ac:dyDescent="0.25">
      <c r="O58" s="389"/>
    </row>
    <row r="59" spans="4:15" x14ac:dyDescent="0.25">
      <c r="O59" s="389"/>
    </row>
    <row r="60" spans="4:15" x14ac:dyDescent="0.25">
      <c r="E60" s="389" t="s">
        <v>502</v>
      </c>
      <c r="I60" s="638">
        <f ca="1">I49/I57</f>
        <v>0.23459914375223498</v>
      </c>
      <c r="O60" s="389"/>
    </row>
    <row r="61" spans="4:15" x14ac:dyDescent="0.25">
      <c r="O61" s="389"/>
    </row>
    <row r="62" spans="4:15" x14ac:dyDescent="0.25">
      <c r="O62" s="389"/>
    </row>
    <row r="63" spans="4:15" x14ac:dyDescent="0.25">
      <c r="O63" s="389"/>
    </row>
    <row r="64" spans="4:15" x14ac:dyDescent="0.25">
      <c r="O64" s="389"/>
    </row>
    <row r="65" spans="5:15" x14ac:dyDescent="0.25">
      <c r="O65" s="389"/>
    </row>
    <row r="76" spans="5:15" x14ac:dyDescent="0.25">
      <c r="E76" s="405"/>
      <c r="F76" s="406"/>
      <c r="G76" s="406"/>
      <c r="H76" s="406"/>
      <c r="I76" s="406"/>
      <c r="J76" s="406"/>
    </row>
    <row r="77" spans="5:15" x14ac:dyDescent="0.25">
      <c r="E77" s="405"/>
      <c r="F77" s="406"/>
      <c r="G77" s="406"/>
      <c r="H77" s="406"/>
      <c r="I77" s="406"/>
      <c r="J77" s="406"/>
      <c r="K77" s="406"/>
      <c r="L77" s="406"/>
      <c r="M77" s="406"/>
      <c r="N77" s="406"/>
    </row>
    <row r="78" spans="5:15" x14ac:dyDescent="0.25">
      <c r="E78" s="405"/>
      <c r="F78" s="406"/>
      <c r="G78" s="406"/>
      <c r="H78" s="406"/>
      <c r="I78" s="406"/>
      <c r="J78" s="406"/>
      <c r="K78" s="406"/>
      <c r="L78" s="406"/>
      <c r="M78" s="406"/>
      <c r="N78" s="406"/>
    </row>
    <row r="79" spans="5:15" x14ac:dyDescent="0.25">
      <c r="K79" s="406"/>
      <c r="L79" s="406"/>
      <c r="M79" s="406"/>
      <c r="N79" s="406"/>
    </row>
  </sheetData>
  <sortState ref="Q6:S28">
    <sortCondition ref="S6:S28"/>
  </sortState>
  <pageMargins left="0.7" right="0.7" top="1.5" bottom="0.75" header="1.05" footer="0.55000000000000004"/>
  <pageSetup scale="64" orientation="landscape" r:id="rId1"/>
  <headerFooter>
    <oddHeader>&amp;L&amp;"Times New Roman,Bold"&amp;12LOUISVILLE GAS AND ELECTRIC COMPANY
ADJUSTMENT TO REFLECT NUMBER OF YEAR-END GAS
CUSTOMERS OVER AVERAGE NUMBER OF CUSTOMERS
13-MONTHS ENDED MARCH 31, 2012</oddHeader>
    <oddFooter>&amp;R&amp;"Times New Roman,Bold"&amp;12Conroy Exhibit P6
Page &amp;P of &amp;N</oddFooter>
  </headerFooter>
  <rowBreaks count="1" manualBreakCount="1">
    <brk id="30" min="3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6" tint="0.39997558519241921"/>
    <pageSetUpPr fitToPage="1"/>
  </sheetPr>
  <dimension ref="A1:P31"/>
  <sheetViews>
    <sheetView zoomScaleNormal="100" zoomScaleSheetLayoutView="100" workbookViewId="0"/>
  </sheetViews>
  <sheetFormatPr defaultRowHeight="12.75" x14ac:dyDescent="0.2"/>
  <cols>
    <col min="1" max="1" width="2.140625" style="777" customWidth="1"/>
    <col min="2" max="2" width="14.140625" style="777" customWidth="1"/>
    <col min="3" max="3" width="1.7109375" style="777" customWidth="1"/>
    <col min="4" max="15" width="10" style="777" customWidth="1"/>
    <col min="16" max="16" width="11" style="777" bestFit="1" customWidth="1"/>
    <col min="17" max="16384" width="9.140625" style="777"/>
  </cols>
  <sheetData>
    <row r="1" spans="1:16" x14ac:dyDescent="0.2">
      <c r="A1" s="970" t="s">
        <v>405</v>
      </c>
    </row>
    <row r="2" spans="1:16" x14ac:dyDescent="0.2">
      <c r="A2" s="970" t="s">
        <v>1136</v>
      </c>
    </row>
    <row r="3" spans="1:16" x14ac:dyDescent="0.2">
      <c r="A3" s="970" t="s">
        <v>1111</v>
      </c>
    </row>
    <row r="4" spans="1:16" x14ac:dyDescent="0.2">
      <c r="A4" s="970"/>
    </row>
    <row r="6" spans="1:16" x14ac:dyDescent="0.2">
      <c r="P6" s="971" t="s">
        <v>1103</v>
      </c>
    </row>
    <row r="7" spans="1:16" x14ac:dyDescent="0.2">
      <c r="C7" s="972"/>
      <c r="D7" s="785">
        <v>40909</v>
      </c>
      <c r="E7" s="785">
        <v>40940</v>
      </c>
      <c r="F7" s="785">
        <v>40969</v>
      </c>
      <c r="G7" s="785">
        <v>40634</v>
      </c>
      <c r="H7" s="785">
        <v>40664</v>
      </c>
      <c r="I7" s="785">
        <v>40695</v>
      </c>
      <c r="J7" s="785">
        <v>40725</v>
      </c>
      <c r="K7" s="785">
        <v>40756</v>
      </c>
      <c r="L7" s="785">
        <v>40787</v>
      </c>
      <c r="M7" s="785">
        <v>40817</v>
      </c>
      <c r="N7" s="785">
        <v>40848</v>
      </c>
      <c r="O7" s="785">
        <v>40878</v>
      </c>
      <c r="P7" s="971" t="s">
        <v>406</v>
      </c>
    </row>
    <row r="9" spans="1:16" x14ac:dyDescent="0.2">
      <c r="A9" s="973" t="s">
        <v>1109</v>
      </c>
    </row>
    <row r="10" spans="1:16" x14ac:dyDescent="0.2">
      <c r="A10" s="973"/>
    </row>
    <row r="11" spans="1:16" x14ac:dyDescent="0.2">
      <c r="A11" s="973" t="s">
        <v>1101</v>
      </c>
    </row>
    <row r="12" spans="1:16" x14ac:dyDescent="0.2">
      <c r="A12" s="974"/>
      <c r="B12" s="975" t="s">
        <v>243</v>
      </c>
      <c r="C12" s="972"/>
      <c r="D12" s="976">
        <f>+'Apr11-Mar12 FT-TS-Cashout-LG&amp;E'!H104</f>
        <v>55023</v>
      </c>
      <c r="E12" s="976">
        <f>+'Apr11-Mar12 FT-TS-Cashout-LG&amp;E'!I104</f>
        <v>41951</v>
      </c>
      <c r="F12" s="976">
        <f>+'Apr11-Mar12 FT-TS-Cashout-LG&amp;E'!J104</f>
        <v>10915.999999999998</v>
      </c>
      <c r="G12" s="976">
        <f>+'Apr11-Mar12 FT-TS-Cashout-LG&amp;E'!K104</f>
        <v>11220.1</v>
      </c>
      <c r="H12" s="976">
        <f>+'Apr11-Mar12 FT-TS-Cashout-LG&amp;E'!L104</f>
        <v>5436.6</v>
      </c>
      <c r="I12" s="976">
        <f>+'Apr11-Mar12 FT-TS-Cashout-LG&amp;E'!M104</f>
        <v>1205.8</v>
      </c>
      <c r="J12" s="976">
        <f>+'Apr11-Mar12 FT-TS-Cashout-LG&amp;E'!N104</f>
        <v>637</v>
      </c>
      <c r="K12" s="976">
        <f>+'Apr11-Mar12 FT-TS-Cashout-LG&amp;E'!O104</f>
        <v>471.1</v>
      </c>
      <c r="L12" s="976">
        <f>+'Apr11-Mar12 FT-TS-Cashout-LG&amp;E'!P104</f>
        <v>258</v>
      </c>
      <c r="M12" s="976">
        <f>+'Apr11-Mar12 FT-TS-Cashout-LG&amp;E'!Q104</f>
        <v>7660</v>
      </c>
      <c r="N12" s="976">
        <f>+'Apr11-Mar12 FT-TS-Cashout-LG&amp;E'!R104</f>
        <v>18978</v>
      </c>
      <c r="O12" s="976">
        <f>+'Apr11-Mar12 FT-TS-Cashout-LG&amp;E'!S104</f>
        <v>41756</v>
      </c>
      <c r="P12" s="976">
        <f>SUM(D12:O12)</f>
        <v>195512.60000000003</v>
      </c>
    </row>
    <row r="13" spans="1:16" x14ac:dyDescent="0.2">
      <c r="A13" s="977"/>
      <c r="B13" s="972"/>
      <c r="C13" s="972"/>
    </row>
    <row r="14" spans="1:16" x14ac:dyDescent="0.2">
      <c r="B14" s="777" t="s">
        <v>1093</v>
      </c>
      <c r="C14" s="972"/>
      <c r="D14" s="799">
        <f>+'Apr11-Mar12 FT-TS-Cashout-LG&amp;E'!H116</f>
        <v>230</v>
      </c>
      <c r="E14" s="799">
        <f>+'Apr11-Mar12 FT-TS-Cashout-LG&amp;E'!I116</f>
        <v>230</v>
      </c>
      <c r="F14" s="799">
        <f>+'Apr11-Mar12 FT-TS-Cashout-LG&amp;E'!J116</f>
        <v>230</v>
      </c>
      <c r="G14" s="799">
        <f>+'Apr11-Mar12 FT-TS-Cashout-LG&amp;E'!K116</f>
        <v>230</v>
      </c>
      <c r="H14" s="799">
        <f>+'Apr11-Mar12 FT-TS-Cashout-LG&amp;E'!L116</f>
        <v>230</v>
      </c>
      <c r="I14" s="799">
        <f>+'Apr11-Mar12 FT-TS-Cashout-LG&amp;E'!M116</f>
        <v>230</v>
      </c>
      <c r="J14" s="799">
        <f>+'Apr11-Mar12 FT-TS-Cashout-LG&amp;E'!N116</f>
        <v>230</v>
      </c>
      <c r="K14" s="799">
        <f>+'Apr11-Mar12 FT-TS-Cashout-LG&amp;E'!O116</f>
        <v>230</v>
      </c>
      <c r="L14" s="799">
        <f>+'Apr11-Mar12 FT-TS-Cashout-LG&amp;E'!P116</f>
        <v>230</v>
      </c>
      <c r="M14" s="799">
        <f>+'Apr11-Mar12 FT-TS-Cashout-LG&amp;E'!Q116</f>
        <v>230</v>
      </c>
      <c r="N14" s="799">
        <f>+'Apr11-Mar12 FT-TS-Cashout-LG&amp;E'!R116</f>
        <v>230</v>
      </c>
      <c r="O14" s="799">
        <f>+'Apr11-Mar12 FT-TS-Cashout-LG&amp;E'!S116</f>
        <v>230</v>
      </c>
    </row>
    <row r="15" spans="1:16" x14ac:dyDescent="0.2">
      <c r="B15" s="777" t="s">
        <v>1094</v>
      </c>
      <c r="C15" s="972"/>
      <c r="D15" s="799">
        <f>+'Apr11-Mar12 FT-TS-Cashout-LG&amp;E'!H114</f>
        <v>2679.6201000000001</v>
      </c>
      <c r="E15" s="799">
        <f>+'Apr11-Mar12 FT-TS-Cashout-LG&amp;E'!I114</f>
        <v>2043.0137</v>
      </c>
      <c r="F15" s="799">
        <f>+'Apr11-Mar12 FT-TS-Cashout-LG&amp;E'!J114</f>
        <v>531.60919999999987</v>
      </c>
      <c r="G15" s="799">
        <f>+'Apr11-Mar12 FT-TS-Cashout-LG&amp;E'!K114</f>
        <v>546.41886999999997</v>
      </c>
      <c r="H15" s="799">
        <f>+'Apr11-Mar12 FT-TS-Cashout-LG&amp;E'!L114</f>
        <v>264.76242000000002</v>
      </c>
      <c r="I15" s="799">
        <f>+'Apr11-Mar12 FT-TS-Cashout-LG&amp;E'!M114</f>
        <v>58.722459999999998</v>
      </c>
      <c r="J15" s="799">
        <f>+'Apr11-Mar12 FT-TS-Cashout-LG&amp;E'!N114</f>
        <v>31.021899999999999</v>
      </c>
      <c r="K15" s="799">
        <f>+'Apr11-Mar12 FT-TS-Cashout-LG&amp;E'!O114</f>
        <v>22.94257</v>
      </c>
      <c r="L15" s="799">
        <f>+'Apr11-Mar12 FT-TS-Cashout-LG&amp;E'!P114</f>
        <v>12.5646</v>
      </c>
      <c r="M15" s="799">
        <f>+'Apr11-Mar12 FT-TS-Cashout-LG&amp;E'!Q114</f>
        <v>373.04200000000003</v>
      </c>
      <c r="N15" s="799">
        <f>+'Apr11-Mar12 FT-TS-Cashout-LG&amp;E'!R114</f>
        <v>924.22860000000003</v>
      </c>
      <c r="O15" s="799">
        <f>+'Apr11-Mar12 FT-TS-Cashout-LG&amp;E'!S114</f>
        <v>2033.5172</v>
      </c>
    </row>
    <row r="16" spans="1:16" x14ac:dyDescent="0.2">
      <c r="B16" s="777" t="s">
        <v>402</v>
      </c>
      <c r="C16" s="972"/>
      <c r="D16" s="799">
        <f>+'Apr11-Mar12 FT-TS-Cashout-LG&amp;E'!H113</f>
        <v>18225</v>
      </c>
      <c r="E16" s="799">
        <f>+'Apr11-Mar12 FT-TS-Cashout-LG&amp;E'!I113</f>
        <v>18225</v>
      </c>
      <c r="F16" s="799">
        <f>+'Apr11-Mar12 FT-TS-Cashout-LG&amp;E'!J113</f>
        <v>18225</v>
      </c>
      <c r="G16" s="799">
        <f>+'Apr11-Mar12 FT-TS-Cashout-LG&amp;E'!K113</f>
        <v>18225</v>
      </c>
      <c r="H16" s="799">
        <f>+'Apr11-Mar12 FT-TS-Cashout-LG&amp;E'!L113</f>
        <v>18225</v>
      </c>
      <c r="I16" s="799">
        <f>+'Apr11-Mar12 FT-TS-Cashout-LG&amp;E'!M113</f>
        <v>18225</v>
      </c>
      <c r="J16" s="799">
        <f>+'Apr11-Mar12 FT-TS-Cashout-LG&amp;E'!N113</f>
        <v>18225</v>
      </c>
      <c r="K16" s="799">
        <f>+'Apr11-Mar12 FT-TS-Cashout-LG&amp;E'!O113</f>
        <v>18225</v>
      </c>
      <c r="L16" s="799">
        <f>+'Apr11-Mar12 FT-TS-Cashout-LG&amp;E'!P113</f>
        <v>18225</v>
      </c>
      <c r="M16" s="799">
        <f>+'Apr11-Mar12 FT-TS-Cashout-LG&amp;E'!Q113</f>
        <v>18225</v>
      </c>
      <c r="N16" s="799">
        <f>+'Apr11-Mar12 FT-TS-Cashout-LG&amp;E'!R113</f>
        <v>18225</v>
      </c>
      <c r="O16" s="799">
        <f>+'Apr11-Mar12 FT-TS-Cashout-LG&amp;E'!S113</f>
        <v>18225</v>
      </c>
    </row>
    <row r="17" spans="1:16" x14ac:dyDescent="0.2">
      <c r="B17" s="777" t="s">
        <v>776</v>
      </c>
      <c r="C17" s="972"/>
      <c r="D17" s="978">
        <f>+'Apr11-Mar12 FT-TS-Cashout-LG&amp;E'!H119</f>
        <v>860.79512999999997</v>
      </c>
      <c r="E17" s="978">
        <f>+'Apr11-Mar12 FT-TS-Cashout-LG&amp;E'!I119</f>
        <v>708.60113999999999</v>
      </c>
      <c r="F17" s="978">
        <f>+'Apr11-Mar12 FT-TS-Cashout-LG&amp;E'!J119</f>
        <v>319.60198312236287</v>
      </c>
      <c r="G17" s="978">
        <f>+'Apr11-Mar12 FT-TS-Cashout-LG&amp;E'!K119</f>
        <v>875.97236999999984</v>
      </c>
      <c r="H17" s="978">
        <f>+'Apr11-Mar12 FT-TS-Cashout-LG&amp;E'!L119</f>
        <v>457.66344000000004</v>
      </c>
      <c r="I17" s="978">
        <f>+'Apr11-Mar12 FT-TS-Cashout-LG&amp;E'!M119</f>
        <v>200.10861</v>
      </c>
      <c r="J17" s="978">
        <f>+'Apr11-Mar12 FT-TS-Cashout-LG&amp;E'!N119</f>
        <v>93.70295999999999</v>
      </c>
      <c r="K17" s="978">
        <f>+'Apr11-Mar12 FT-TS-Cashout-LG&amp;E'!O119</f>
        <v>56.932980000000001</v>
      </c>
      <c r="L17" s="978">
        <f>+'Apr11-Mar12 FT-TS-Cashout-LG&amp;E'!P119</f>
        <v>92.383200000000002</v>
      </c>
      <c r="M17" s="978">
        <f>+'Apr11-Mar12 FT-TS-Cashout-LG&amp;E'!Q119</f>
        <v>815.59334999999999</v>
      </c>
      <c r="N17" s="978">
        <f>+'Apr11-Mar12 FT-TS-Cashout-LG&amp;E'!R119</f>
        <v>1283.3749499999999</v>
      </c>
      <c r="O17" s="978">
        <f>+'Apr11-Mar12 FT-TS-Cashout-LG&amp;E'!S119</f>
        <v>705.63167999999996</v>
      </c>
      <c r="P17" s="979"/>
    </row>
    <row r="18" spans="1:16" x14ac:dyDescent="0.2">
      <c r="B18" s="777" t="s">
        <v>1095</v>
      </c>
      <c r="C18" s="972"/>
      <c r="D18" s="799">
        <f t="shared" ref="D18:O18" si="0">SUM(D14:D17)</f>
        <v>21995.415229999999</v>
      </c>
      <c r="E18" s="799">
        <f t="shared" si="0"/>
        <v>21206.614839999998</v>
      </c>
      <c r="F18" s="799">
        <f t="shared" si="0"/>
        <v>19306.211183122363</v>
      </c>
      <c r="G18" s="799">
        <f t="shared" si="0"/>
        <v>19877.391240000001</v>
      </c>
      <c r="H18" s="799">
        <f t="shared" si="0"/>
        <v>19177.425859999999</v>
      </c>
      <c r="I18" s="799">
        <f t="shared" si="0"/>
        <v>18713.83107</v>
      </c>
      <c r="J18" s="799">
        <f t="shared" si="0"/>
        <v>18579.724859999998</v>
      </c>
      <c r="K18" s="799">
        <f t="shared" si="0"/>
        <v>18534.875550000001</v>
      </c>
      <c r="L18" s="799">
        <f t="shared" si="0"/>
        <v>18559.947800000002</v>
      </c>
      <c r="M18" s="799">
        <f t="shared" si="0"/>
        <v>19643.63535</v>
      </c>
      <c r="N18" s="799">
        <f t="shared" si="0"/>
        <v>20662.60355</v>
      </c>
      <c r="O18" s="799">
        <f t="shared" si="0"/>
        <v>21194.148880000001</v>
      </c>
      <c r="P18" s="799">
        <f>SUM(D18:O18)</f>
        <v>237451.82541312234</v>
      </c>
    </row>
    <row r="20" spans="1:16" x14ac:dyDescent="0.2">
      <c r="A20" s="973" t="s">
        <v>1102</v>
      </c>
    </row>
    <row r="21" spans="1:16" x14ac:dyDescent="0.2">
      <c r="B21" s="975" t="s">
        <v>243</v>
      </c>
      <c r="D21" s="976">
        <f>+'Apr11-Mar12 FT-TS-Cashout-LG&amp;E'!H291</f>
        <v>428.1</v>
      </c>
      <c r="E21" s="976">
        <f>+'Apr11-Mar12 FT-TS-Cashout-LG&amp;E'!I291</f>
        <v>1431.4</v>
      </c>
      <c r="F21" s="976">
        <f>+'Apr11-Mar12 FT-TS-Cashout-LG&amp;E'!J291</f>
        <v>998.6</v>
      </c>
      <c r="G21" s="976">
        <f>+'Apr11-Mar12 FT-TS-Cashout-LG&amp;E'!K291</f>
        <v>0</v>
      </c>
      <c r="H21" s="976">
        <f>+'Apr11-Mar12 FT-TS-Cashout-LG&amp;E'!L291</f>
        <v>0</v>
      </c>
      <c r="I21" s="976">
        <f>+'Apr11-Mar12 FT-TS-Cashout-LG&amp;E'!M291</f>
        <v>0</v>
      </c>
      <c r="J21" s="976">
        <f>+'Apr11-Mar12 FT-TS-Cashout-LG&amp;E'!N291</f>
        <v>0</v>
      </c>
      <c r="K21" s="976">
        <f>+'Apr11-Mar12 FT-TS-Cashout-LG&amp;E'!O291</f>
        <v>154.69999999999999</v>
      </c>
      <c r="L21" s="976">
        <f>+'Apr11-Mar12 FT-TS-Cashout-LG&amp;E'!P291</f>
        <v>0</v>
      </c>
      <c r="M21" s="976">
        <f>+'Apr11-Mar12 FT-TS-Cashout-LG&amp;E'!Q291</f>
        <v>70.8</v>
      </c>
      <c r="N21" s="976">
        <f>+'Apr11-Mar12 FT-TS-Cashout-LG&amp;E'!R291</f>
        <v>752.3</v>
      </c>
      <c r="O21" s="976">
        <f>+'Apr11-Mar12 FT-TS-Cashout-LG&amp;E'!S291</f>
        <v>380</v>
      </c>
      <c r="P21" s="976">
        <f>SUM(D21:O21)</f>
        <v>4215.8999999999996</v>
      </c>
    </row>
    <row r="22" spans="1:16" x14ac:dyDescent="0.2">
      <c r="B22" s="972"/>
    </row>
    <row r="23" spans="1:16" x14ac:dyDescent="0.2">
      <c r="B23" s="777" t="s">
        <v>1100</v>
      </c>
      <c r="D23" s="799">
        <f>+'Apr11-Mar12 FT-TS-Cashout-LG&amp;E'!H296</f>
        <v>781</v>
      </c>
      <c r="E23" s="799">
        <f>+'Apr11-Mar12 FT-TS-Cashout-LG&amp;E'!I296</f>
        <v>781</v>
      </c>
      <c r="F23" s="799">
        <f>+'Apr11-Mar12 FT-TS-Cashout-LG&amp;E'!J296</f>
        <v>781</v>
      </c>
      <c r="G23" s="799">
        <f>+'Apr11-Mar12 FT-TS-Cashout-LG&amp;E'!K296</f>
        <v>781</v>
      </c>
      <c r="H23" s="799">
        <f>+'Apr11-Mar12 FT-TS-Cashout-LG&amp;E'!L296</f>
        <v>781</v>
      </c>
      <c r="I23" s="799">
        <f>+'Apr11-Mar12 FT-TS-Cashout-LG&amp;E'!M296</f>
        <v>781</v>
      </c>
      <c r="J23" s="799">
        <f>+'Apr11-Mar12 FT-TS-Cashout-LG&amp;E'!N296</f>
        <v>781</v>
      </c>
      <c r="K23" s="799">
        <f>+'Apr11-Mar12 FT-TS-Cashout-LG&amp;E'!O296</f>
        <v>781</v>
      </c>
      <c r="L23" s="799">
        <f>+'Apr11-Mar12 FT-TS-Cashout-LG&amp;E'!P296</f>
        <v>781</v>
      </c>
      <c r="M23" s="799">
        <f>+'Apr11-Mar12 FT-TS-Cashout-LG&amp;E'!Q296</f>
        <v>781</v>
      </c>
      <c r="N23" s="799">
        <f>+'Apr11-Mar12 FT-TS-Cashout-LG&amp;E'!R296</f>
        <v>781</v>
      </c>
      <c r="O23" s="799">
        <f>+'Apr11-Mar12 FT-TS-Cashout-LG&amp;E'!S296</f>
        <v>781</v>
      </c>
    </row>
    <row r="24" spans="1:16" x14ac:dyDescent="0.2">
      <c r="B24" s="777" t="s">
        <v>1094</v>
      </c>
      <c r="D24" s="978">
        <f>+'Apr11-Mar12 FT-TS-Cashout-LG&amp;E'!H297</f>
        <v>20.85</v>
      </c>
      <c r="E24" s="978">
        <f>+'Apr11-Mar12 FT-TS-Cashout-LG&amp;E'!I297</f>
        <v>69.709999999999994</v>
      </c>
      <c r="F24" s="978">
        <f>+'Apr11-Mar12 FT-TS-Cashout-LG&amp;E'!J297</f>
        <v>48.63</v>
      </c>
      <c r="G24" s="978">
        <f>+'Apr11-Mar12 FT-TS-Cashout-LG&amp;E'!K297</f>
        <v>0</v>
      </c>
      <c r="H24" s="978">
        <f>+'Apr11-Mar12 FT-TS-Cashout-LG&amp;E'!L297</f>
        <v>0</v>
      </c>
      <c r="I24" s="978">
        <f>+'Apr11-Mar12 FT-TS-Cashout-LG&amp;E'!M297</f>
        <v>0</v>
      </c>
      <c r="J24" s="978">
        <f>+'Apr11-Mar12 FT-TS-Cashout-LG&amp;E'!N297</f>
        <v>0</v>
      </c>
      <c r="K24" s="978">
        <f>+'Apr11-Mar12 FT-TS-Cashout-LG&amp;E'!O297</f>
        <v>7.53</v>
      </c>
      <c r="L24" s="978">
        <f>+'Apr11-Mar12 FT-TS-Cashout-LG&amp;E'!P297</f>
        <v>0</v>
      </c>
      <c r="M24" s="978">
        <f>+'Apr11-Mar12 FT-TS-Cashout-LG&amp;E'!Q297</f>
        <v>3.45</v>
      </c>
      <c r="N24" s="978">
        <f>+'Apr11-Mar12 FT-TS-Cashout-LG&amp;E'!R297</f>
        <v>36.64</v>
      </c>
      <c r="O24" s="978">
        <f>+'Apr11-Mar12 FT-TS-Cashout-LG&amp;E'!S297</f>
        <v>18.510000000000002</v>
      </c>
      <c r="P24" s="979"/>
    </row>
    <row r="25" spans="1:16" x14ac:dyDescent="0.2">
      <c r="D25" s="799">
        <f t="shared" ref="D25:O25" si="1">SUM(D23:D24)</f>
        <v>801.85</v>
      </c>
      <c r="E25" s="799">
        <f t="shared" si="1"/>
        <v>850.71</v>
      </c>
      <c r="F25" s="799">
        <f t="shared" si="1"/>
        <v>829.63</v>
      </c>
      <c r="G25" s="799">
        <f t="shared" si="1"/>
        <v>781</v>
      </c>
      <c r="H25" s="799">
        <f t="shared" si="1"/>
        <v>781</v>
      </c>
      <c r="I25" s="799">
        <f t="shared" si="1"/>
        <v>781</v>
      </c>
      <c r="J25" s="799">
        <f t="shared" si="1"/>
        <v>781</v>
      </c>
      <c r="K25" s="799">
        <f t="shared" si="1"/>
        <v>788.53</v>
      </c>
      <c r="L25" s="799">
        <f t="shared" si="1"/>
        <v>781</v>
      </c>
      <c r="M25" s="799">
        <f t="shared" si="1"/>
        <v>784.45</v>
      </c>
      <c r="N25" s="799">
        <f t="shared" si="1"/>
        <v>817.64</v>
      </c>
      <c r="O25" s="799">
        <f t="shared" si="1"/>
        <v>799.51</v>
      </c>
      <c r="P25" s="799">
        <f>SUM(D25:O25)</f>
        <v>9577.32</v>
      </c>
    </row>
    <row r="26" spans="1:16" x14ac:dyDescent="0.2">
      <c r="D26" s="799"/>
      <c r="E26" s="799"/>
      <c r="F26" s="799"/>
      <c r="G26" s="799"/>
      <c r="H26" s="799"/>
      <c r="I26" s="799"/>
      <c r="J26" s="799"/>
      <c r="K26" s="799"/>
      <c r="L26" s="799"/>
      <c r="M26" s="799"/>
      <c r="N26" s="799"/>
      <c r="O26" s="799"/>
      <c r="P26" s="799"/>
    </row>
    <row r="28" spans="1:16" ht="13.5" thickBot="1" x14ac:dyDescent="0.25">
      <c r="A28" s="973" t="s">
        <v>1162</v>
      </c>
      <c r="D28" s="799"/>
      <c r="E28" s="799"/>
      <c r="F28" s="799"/>
      <c r="G28" s="799"/>
      <c r="H28" s="799"/>
      <c r="I28" s="799"/>
      <c r="J28" s="799"/>
      <c r="K28" s="799"/>
      <c r="L28" s="799"/>
      <c r="M28" s="799"/>
      <c r="N28" s="799"/>
      <c r="O28" s="799"/>
      <c r="P28" s="980">
        <f>+P18+P25</f>
        <v>247029.14541312234</v>
      </c>
    </row>
    <row r="29" spans="1:16" ht="13.5" thickTop="1" x14ac:dyDescent="0.2">
      <c r="P29" s="799"/>
    </row>
    <row r="31" spans="1:16" x14ac:dyDescent="0.2">
      <c r="B31" s="786"/>
    </row>
  </sheetData>
  <pageMargins left="0.75" right="0.75" top="1.25" bottom="1" header="0.55000000000000004" footer="0.55000000000000004"/>
  <pageSetup scale="81" orientation="landscape" r:id="rId1"/>
  <headerFooter>
    <oddFooter>&amp;R&amp;"Times New Roman,Bold"Conroy Exhibit P9
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45</vt:i4>
      </vt:variant>
    </vt:vector>
  </HeadingPairs>
  <TitlesOfParts>
    <vt:vector size="89" baseType="lpstr">
      <vt:lpstr>Exhibit &amp; Schedules===&gt;</vt:lpstr>
      <vt:lpstr>Class Summary-FOR NOTICES</vt:lpstr>
      <vt:lpstr>Rate Summary-FOR NOTICES</vt:lpstr>
      <vt:lpstr>Exh R10-Summary of Increase</vt:lpstr>
      <vt:lpstr>Exh R11Proposed Increase Detail</vt:lpstr>
      <vt:lpstr>Exh R9-Reconst Billings Summary</vt:lpstr>
      <vt:lpstr>Exh R9-Reconst Billings Detail</vt:lpstr>
      <vt:lpstr>Exh P6-Year-End Customer Adj</vt:lpstr>
      <vt:lpstr>Exh P9-SpecContCancel TY Detail</vt:lpstr>
      <vt:lpstr>Exh P10-Rate Switch Adj</vt:lpstr>
      <vt:lpstr>Exh P11-Gas Supply Rev</vt:lpstr>
      <vt:lpstr>Exh P11-Gas Supply Exp</vt:lpstr>
      <vt:lpstr>Exh P12-Temp Adj</vt:lpstr>
      <vt:lpstr>Exh C8-Demand Allocation Factor</vt:lpstr>
      <vt:lpstr>Support Schedules===&gt;</vt:lpstr>
      <vt:lpstr>Summary SBR-Transport</vt:lpstr>
      <vt:lpstr>SBR</vt:lpstr>
      <vt:lpstr>12-MO Billed Summary RETAIL</vt:lpstr>
      <vt:lpstr>Apr11-Mar12 Billed-RETAIL</vt:lpstr>
      <vt:lpstr>Apr11-Mar12 FT-TS-Cashout-LG&amp;E</vt:lpstr>
      <vt:lpstr>GSC Support</vt:lpstr>
      <vt:lpstr>SOURCE DATA===&gt;</vt:lpstr>
      <vt:lpstr>Data-Retail</vt:lpstr>
      <vt:lpstr>Adjustments</vt:lpstr>
      <vt:lpstr>Data FT-TS-Cashout-Paddys</vt:lpstr>
      <vt:lpstr>Data LGE SpecContract MC-CR</vt:lpstr>
      <vt:lpstr>Retail Rates</vt:lpstr>
      <vt:lpstr>Rate Categories</vt:lpstr>
      <vt:lpstr>GSC-DSM Factors</vt:lpstr>
      <vt:lpstr>Sales by Rates===&gt;</vt:lpstr>
      <vt:lpstr>FT_Cashouts_IntraCo-PR</vt:lpstr>
      <vt:lpstr>SBR Mar11</vt:lpstr>
      <vt:lpstr>SBR Apr11</vt:lpstr>
      <vt:lpstr>SBR May11</vt:lpstr>
      <vt:lpstr>SBR Jun11</vt:lpstr>
      <vt:lpstr>SBR Jul11</vt:lpstr>
      <vt:lpstr>SBR Aug11</vt:lpstr>
      <vt:lpstr>SBR Sep11</vt:lpstr>
      <vt:lpstr>SBR Oct11</vt:lpstr>
      <vt:lpstr>SBR Nov11</vt:lpstr>
      <vt:lpstr>SBR Dec11</vt:lpstr>
      <vt:lpstr>SBR Jan12</vt:lpstr>
      <vt:lpstr>SBR Feb12</vt:lpstr>
      <vt:lpstr>SBR Mar12</vt:lpstr>
      <vt:lpstr>'12-MO Billed Summary RETAIL'!Print_Area</vt:lpstr>
      <vt:lpstr>'Class Summary-FOR NOTICES'!Print_Area</vt:lpstr>
      <vt:lpstr>'Exh C8-Demand Allocation Factor'!Print_Area</vt:lpstr>
      <vt:lpstr>'Exh P10-Rate Switch Adj'!Print_Area</vt:lpstr>
      <vt:lpstr>'Exh P11-Gas Supply Exp'!Print_Area</vt:lpstr>
      <vt:lpstr>'Exh P11-Gas Supply Rev'!Print_Area</vt:lpstr>
      <vt:lpstr>'Exh P12-Temp Adj'!Print_Area</vt:lpstr>
      <vt:lpstr>'Exh P6-Year-End Customer Adj'!Print_Area</vt:lpstr>
      <vt:lpstr>'Exh P9-SpecContCancel TY Detail'!Print_Area</vt:lpstr>
      <vt:lpstr>'Exh R10-Summary of Increase'!Print_Area</vt:lpstr>
      <vt:lpstr>'Exh R11Proposed Increase Detail'!Print_Area</vt:lpstr>
      <vt:lpstr>'Exh R9-Reconst Billings Detail'!Print_Area</vt:lpstr>
      <vt:lpstr>'Exh R9-Reconst Billings Summary'!Print_Area</vt:lpstr>
      <vt:lpstr>'Rate Summary-FOR NOTICES'!Print_Area</vt:lpstr>
      <vt:lpstr>SBR!Print_Area</vt:lpstr>
      <vt:lpstr>'SBR Aug11'!Print_Area</vt:lpstr>
      <vt:lpstr>'SBR Dec11'!Print_Area</vt:lpstr>
      <vt:lpstr>'SBR Feb12'!Print_Area</vt:lpstr>
      <vt:lpstr>'SBR Jan12'!Print_Area</vt:lpstr>
      <vt:lpstr>'SBR Jul11'!Print_Area</vt:lpstr>
      <vt:lpstr>'SBR Jun11'!Print_Area</vt:lpstr>
      <vt:lpstr>'SBR Mar11'!Print_Area</vt:lpstr>
      <vt:lpstr>'SBR Mar12'!Print_Area</vt:lpstr>
      <vt:lpstr>'SBR Nov11'!Print_Area</vt:lpstr>
      <vt:lpstr>'SBR Oct11'!Print_Area</vt:lpstr>
      <vt:lpstr>'SBR Sep11'!Print_Area</vt:lpstr>
      <vt:lpstr>'12-MO Billed Summary RETAIL'!Print_Titles</vt:lpstr>
      <vt:lpstr>'Exh P11-Gas Supply Rev'!Print_Titles</vt:lpstr>
      <vt:lpstr>'Exh R11Proposed Increase Detail'!Print_Titles</vt:lpstr>
      <vt:lpstr>'Exh R9-Reconst Billings Detail'!Print_Titles</vt:lpstr>
      <vt:lpstr>'Exh R9-Reconst Billings Summary'!Print_Titles</vt:lpstr>
      <vt:lpstr>SBR!Print_Titles</vt:lpstr>
      <vt:lpstr>'SBR Apr11'!Print_Titles</vt:lpstr>
      <vt:lpstr>'SBR Aug11'!Print_Titles</vt:lpstr>
      <vt:lpstr>'SBR Dec11'!Print_Titles</vt:lpstr>
      <vt:lpstr>'SBR Feb12'!Print_Titles</vt:lpstr>
      <vt:lpstr>'SBR Jan12'!Print_Titles</vt:lpstr>
      <vt:lpstr>'SBR Jul11'!Print_Titles</vt:lpstr>
      <vt:lpstr>'SBR Jun11'!Print_Titles</vt:lpstr>
      <vt:lpstr>'SBR Mar11'!Print_Titles</vt:lpstr>
      <vt:lpstr>'SBR Mar12'!Print_Titles</vt:lpstr>
      <vt:lpstr>'SBR Nov11'!Print_Titles</vt:lpstr>
      <vt:lpstr>'SBR Oct11'!Print_Titles</vt:lpstr>
      <vt:lpstr>'SBR Sep11'!Print_Titles</vt:lpstr>
      <vt:lpstr>'Summary SBR-Transport'!Print_Titles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2012-08-14T02:16:01Z</dcterms:created>
  <dcterms:modified xsi:type="dcterms:W3CDTF">2012-08-14T03:06:31Z</dcterms:modified>
</cp:coreProperties>
</file>