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firstSheet="4" activeTab="7"/>
  </bookViews>
  <sheets>
    <sheet name="Summary" sheetId="1" r:id="rId1"/>
    <sheet name="Rate Base" sheetId="2" r:id="rId2"/>
    <sheet name="Expenses" sheetId="3" r:id="rId3"/>
    <sheet name="Revenues" sheetId="4" r:id="rId4"/>
    <sheet name="Labor" sheetId="5" r:id="rId5"/>
    <sheet name="Alloc Amt" sheetId="6" r:id="rId6"/>
    <sheet name="Alloc Pct" sheetId="7" r:id="rId7"/>
    <sheet name="Cust Cost" sheetId="8" r:id="rId8"/>
  </sheets>
  <definedNames>
    <definedName name="ALLOC">'Alloc Pct'!$F$8:$L$144</definedName>
    <definedName name="REVENUES">'Revenues'!$A$1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<sst xmlns="http://schemas.openxmlformats.org/spreadsheetml/2006/main" count="782" uniqueCount="422">
  <si>
    <t>Revenues</t>
  </si>
  <si>
    <t xml:space="preserve">   Operating Revenues</t>
  </si>
  <si>
    <t xml:space="preserve">   Total Revenue Adjustments</t>
  </si>
  <si>
    <t>Total Adjusted Revenues</t>
  </si>
  <si>
    <t>Expenses</t>
  </si>
  <si>
    <t>    Operation and Maintenance Expenses</t>
  </si>
  <si>
    <t xml:space="preserve">    Customer Accounting Expenses</t>
  </si>
  <si>
    <t xml:space="preserve">    Administrative &amp; General Expenses</t>
  </si>
  <si>
    <t>    Depreciation and Amortization Expenses</t>
  </si>
  <si>
    <t>    Other Expenses (ITC amortization, Reg    Credits, Accretion)</t>
  </si>
  <si>
    <t>    Other Taxes</t>
  </si>
  <si>
    <t>Total Operating Expenses</t>
  </si>
  <si>
    <t>Pro-Forma Adjustments to    Expenses</t>
  </si>
  <si>
    <t>    Eliminate DSM Expenses</t>
  </si>
  <si>
    <t>    Year-End Customer Adjustment</t>
  </si>
  <si>
    <t>    Depreciation Expenses</t>
  </si>
  <si>
    <t>    Labor Adjustment</t>
  </si>
  <si>
    <t>    Pensions/Post Retirement Benefits Adjmt.</t>
  </si>
  <si>
    <t xml:space="preserve">    Property Insurance Adjmt.</t>
  </si>
  <si>
    <t xml:space="preserve">    Liability Insurance Adjmt.</t>
  </si>
  <si>
    <t xml:space="preserve">    Eliminate Advertising Expenses </t>
  </si>
  <si>
    <t>    Rate Case Expenses</t>
  </si>
  <si>
    <t xml:space="preserve">    Retired Mainframe Adjmt.</t>
  </si>
  <si>
    <t xml:space="preserve">    2009 Winter Storm Adjmt</t>
  </si>
  <si>
    <t xml:space="preserve">    Interest Rate Swap Amortization</t>
  </si>
  <si>
    <t>    Normalize 925 Injuries/Damages Adjmt.    (See Func Assign)</t>
  </si>
  <si>
    <t xml:space="preserve">    Adjustment to correct Edison Electric invoice</t>
  </si>
  <si>
    <t xml:space="preserve">    Property Tax Adjmt.</t>
  </si>
  <si>
    <t xml:space="preserve">    Federal &amp; State Income Tax Adjmt.</t>
  </si>
  <si>
    <t xml:space="preserve">    Federal &amp; State Income Tax Interest Adjmt.</t>
  </si>
  <si>
    <t xml:space="preserve">    Prior Income tax true-ups &amp; adjustments</t>
  </si>
  <si>
    <t xml:space="preserve">    Tax Basis depreciation reduction Adjmt.</t>
  </si>
  <si>
    <t>Total Expense Adjustments</t>
  </si>
  <si>
    <t>Net Income Before Income Taxes</t>
  </si>
  <si>
    <t>Income Taxes</t>
  </si>
  <si>
    <t>Net Operating Income    (Pro-Forma)</t>
  </si>
  <si>
    <t>Unadjusted Net Cost Rate Base</t>
  </si>
  <si>
    <t>Depreciation Adjustment</t>
  </si>
  <si>
    <t>Cash Woking Capital Adjustment</t>
  </si>
  <si>
    <t>Net Cost Rate Base</t>
  </si>
  <si>
    <t>Rate of Return    -- Pro-Forma</t>
  </si>
  <si>
    <t>Indexed Rate of Return</t>
  </si>
  <si>
    <t>Account Description</t>
  </si>
  <si>
    <t>Allocator</t>
  </si>
  <si>
    <t>Alloc</t>
  </si>
  <si>
    <t>TXINC</t>
  </si>
  <si>
    <t>DET</t>
  </si>
  <si>
    <t>OMTT</t>
  </si>
  <si>
    <t>Total</t>
  </si>
  <si>
    <t>Residential (RGS)</t>
  </si>
  <si>
    <t>Commercial (CGS)</t>
  </si>
  <si>
    <t>Industrial (IGS)</t>
  </si>
  <si>
    <t>As Available Gas Service (AAGS)</t>
  </si>
  <si>
    <t>Firm Transportation Service (FT)</t>
  </si>
  <si>
    <t>Special Contracts (SP)</t>
  </si>
  <si>
    <t>check</t>
  </si>
  <si>
    <t>Acct.    No.  </t>
  </si>
  <si>
    <t>Plant-in-Service</t>
  </si>
  <si>
    <t>350-357</t>
  </si>
  <si>
    <t>365-371</t>
  </si>
  <si>
    <t>301-303</t>
  </si>
  <si>
    <t>389-399</t>
  </si>
  <si>
    <t>TOTAL PLANT-IN-SERVICE</t>
  </si>
  <si>
    <t>Construction Work In Progress</t>
  </si>
  <si>
    <t>TOTAL    GAS PLANT AT ORIGINAL COST</t>
  </si>
  <si>
    <t>LESS</t>
  </si>
  <si>
    <t>Depreciation    Reserve</t>
  </si>
  <si>
    <t>Other    Rate Base Items</t>
  </si>
  <si>
    <t>PLUS</t>
  </si>
  <si>
    <t>ADJUSTMENTS</t>
  </si>
  <si>
    <t>NET COST RATE BASE</t>
  </si>
  <si>
    <t>Memo: Used to develop Distrib. Depr. Reserve Allocation:</t>
  </si>
  <si>
    <t>Underground Storage Plant</t>
  </si>
  <si>
    <t>Asset Retire Obligations Gas    Plant</t>
  </si>
  <si>
    <t>Sub-total</t>
  </si>
  <si>
    <t>Transmission Plant</t>
  </si>
  <si>
    <t>Transmission</t>
  </si>
  <si>
    <t>Total Transmission Plant</t>
  </si>
  <si>
    <t>Distribution Plant</t>
  </si>
  <si>
    <t>Land and Land Rights</t>
  </si>
  <si>
    <t>Structures and Improvements</t>
  </si>
  <si>
    <t>Mains</t>
  </si>
  <si>
    <t>     L/M Pressure</t>
  </si>
  <si>
    <t>         Demand</t>
  </si>
  <si>
    <t>         Customer</t>
  </si>
  <si>
    <t>     H Pressure</t>
  </si>
  <si>
    <t>Meas. &amp; Reg. Station Equip.- Gen.</t>
  </si>
  <si>
    <t>Meas. &amp; Reg. Station Equip.- City Gate</t>
  </si>
  <si>
    <t>Services</t>
  </si>
  <si>
    <t>Meters</t>
  </si>
  <si>
    <t>Meter Installations</t>
  </si>
  <si>
    <t>House Regulators</t>
  </si>
  <si>
    <t>House Regulators Installations</t>
  </si>
  <si>
    <t>Indust. Meas. &amp; Reg. Station Equip.</t>
  </si>
  <si>
    <t>Other Equipment</t>
  </si>
  <si>
    <t>Asset Retire Obligations Gas Plant - City Gate</t>
  </si>
  <si>
    <t>Asset Retire Obligations Gas Plant - Mains</t>
  </si>
  <si>
    <t>Total Distribution Plant</t>
  </si>
  <si>
    <t>Other Plant-In-Service</t>
  </si>
  <si>
    <t>Gas Stored    Underground/Non-Current</t>
  </si>
  <si>
    <t>Intangible Plant</t>
  </si>
  <si>
    <t>General Plant</t>
  </si>
  <si>
    <t>Common Utility Plant</t>
  </si>
  <si>
    <t>Underground Storage</t>
  </si>
  <si>
    <t>Distribution Mains</t>
  </si>
  <si>
    <t>Other Distribution</t>
  </si>
  <si>
    <t>General</t>
  </si>
  <si>
    <t>Common</t>
  </si>
  <si>
    <t>Distribution</t>
  </si>
  <si>
    <t>General and Intangible</t>
  </si>
  <si>
    <t>Customer Advances for Construction</t>
  </si>
  <si>
    <t>Accum. Deferred Income Taxes</t>
  </si>
  <si>
    <t>FAS 109 Deferred Income Taxes</t>
  </si>
  <si>
    <t>Asset Retirement Obligation - Net Assets</t>
  </si>
  <si>
    <t>Asset Retirement Obligation - Liabilities</t>
  </si>
  <si>
    <t>Asset Retirement Obligation - Regulatory Assets</t>
  </si>
  <si>
    <t>Asset Retirement Obligation - Regulatory Liabilities</t>
  </si>
  <si>
    <t>Accum Depr. Reclassification</t>
  </si>
  <si>
    <t>Total Other Rate Base Items</t>
  </si>
  <si>
    <t>Materials and Supplies</t>
  </si>
  <si>
    <t>Prepayments</t>
  </si>
  <si>
    <t>Gas Stored Underground</t>
  </si>
  <si>
    <t>Cash Working Capital</t>
  </si>
  <si>
    <t>Unamortized Debt</t>
  </si>
  <si>
    <t>Regulatory</t>
  </si>
  <si>
    <t xml:space="preserve">   374 Land &amp; Land Rights</t>
  </si>
  <si>
    <t xml:space="preserve">   375 Structures &amp; Improvements</t>
  </si>
  <si>
    <t xml:space="preserve">   376 Mains</t>
  </si>
  <si>
    <t xml:space="preserve">   378 Meas, &amp; Reg. Sta. Equip. - General</t>
  </si>
  <si>
    <t xml:space="preserve">   379 Meas, &amp; Reg. Sta. Equip. - City Gate</t>
  </si>
  <si>
    <t xml:space="preserve">   380 Services</t>
  </si>
  <si>
    <t xml:space="preserve">   381 Meters</t>
  </si>
  <si>
    <t xml:space="preserve">   382 Meter Installations</t>
  </si>
  <si>
    <t xml:space="preserve">   383 House Regulators</t>
  </si>
  <si>
    <t xml:space="preserve">   384 House Regulator Installations</t>
  </si>
  <si>
    <t xml:space="preserve">   385 Industrial Meas. &amp; Reg. Equip.</t>
  </si>
  <si>
    <t xml:space="preserve">   387 Other Equipment</t>
  </si>
  <si>
    <t xml:space="preserve">   388 Asset Retire Obligations Gas Plant-City Gates</t>
  </si>
  <si>
    <t xml:space="preserve">   388 Asset Retire Obligations Gas Plant-Mains</t>
  </si>
  <si>
    <t>-</t>
  </si>
  <si>
    <t>TOTAL SYSTEM</t>
  </si>
  <si>
    <t>Residential</t>
  </si>
  <si>
    <t>(RGS)</t>
  </si>
  <si>
    <t>Commercial</t>
  </si>
  <si>
    <t>(CGS)</t>
  </si>
  <si>
    <t>Industrial</t>
  </si>
  <si>
    <t>(IGS)</t>
  </si>
  <si>
    <t>As Available Gas Service</t>
  </si>
  <si>
    <t>(AAGS)</t>
  </si>
  <si>
    <t>Firm Transportation Service</t>
  </si>
  <si>
    <t>(FT)</t>
  </si>
  <si>
    <t>Special Contracts</t>
  </si>
  <si>
    <t>(SP)</t>
  </si>
  <si>
    <t>duPont</t>
  </si>
  <si>
    <t>Ft Knox</t>
  </si>
  <si>
    <t>IntraCompany</t>
  </si>
  <si>
    <t>O &amp; M Expenses</t>
  </si>
  <si>
    <t>807-813</t>
  </si>
  <si>
    <t>850-867</t>
  </si>
  <si>
    <t>Total O&amp;M Expense</t>
  </si>
  <si>
    <t>Customer    Accounts Expense</t>
  </si>
  <si>
    <t>Customer    Service &amp; Information Expenses</t>
  </si>
  <si>
    <t>907-910</t>
  </si>
  <si>
    <t>Sales    Expenses</t>
  </si>
  <si>
    <t>911-916</t>
  </si>
  <si>
    <t>Total Customer Accounting Expenses</t>
  </si>
  <si>
    <t>Administrative    &amp; General Expenses</t>
  </si>
  <si>
    <t>Total Oper. &amp; Maint Expenses</t>
  </si>
  <si>
    <t>Depreciation    Expense</t>
  </si>
  <si>
    <t>TOTAL DEPRECIATION EXPENSE</t>
  </si>
  <si>
    <t>Regulatory Credits and    Accretion</t>
  </si>
  <si>
    <t>Taxes Other Than Income</t>
  </si>
  <si>
    <t>Total Expenses Before Proforma Adjustments</t>
  </si>
  <si>
    <t>Pro-Forma    Adjustments to Expenses</t>
  </si>
  <si>
    <t>    Property Insurance Adjmt.</t>
  </si>
  <si>
    <t>    General Management audit regulatory asset</t>
  </si>
  <si>
    <t>    Eliminate Advertising Expenses  </t>
  </si>
  <si>
    <t>    Swap termination regulatory asset</t>
  </si>
  <si>
    <t>    Gas Supply Uncollectible Accounts Expense</t>
  </si>
  <si>
    <t>    Interest Rate Swap Amortization</t>
  </si>
  <si>
    <t>    Normalize 925 Injuries/Damages Adjmt.</t>
  </si>
  <si>
    <t>    Adjustment to correct Edison Electric    invoice</t>
  </si>
  <si>
    <t>    Property Tax Adjmt.</t>
  </si>
  <si>
    <t>    Federal &amp; State Income Tax Adjmt.</t>
  </si>
  <si>
    <t>    Federal &amp; State Income Tax Interest    Adjmt.</t>
  </si>
  <si>
    <t>    Prior Income tax true-ups &amp;    adjustments</t>
  </si>
  <si>
    <t>    Adjustment for amortization of investment    tax credit</t>
  </si>
  <si>
    <t>    Remove out of period items.</t>
  </si>
  <si>
    <t>Operating Income Before Income    Taxes</t>
  </si>
  <si>
    <t>Taxable Income</t>
  </si>
  <si>
    <t>Cash Working Capital    Adjustment</t>
  </si>
  <si>
    <t>Procurement Expenses</t>
  </si>
  <si>
    <t>     Demand</t>
  </si>
  <si>
    <t>     Commodity</t>
  </si>
  <si>
    <t>Storage Operating Expenses</t>
  </si>
  <si>
    <t>Operations Supervision and Engineer</t>
  </si>
  <si>
    <t>Maps and Records</t>
  </si>
  <si>
    <t>Well Expenses</t>
  </si>
  <si>
    <t>Lines Expenses</t>
  </si>
  <si>
    <t>Compressor Station Exp - Payroll</t>
  </si>
  <si>
    <t>Compressor Station Fuel and Power</t>
  </si>
  <si>
    <t>Measurement and Regulator Station  </t>
  </si>
  <si>
    <t>Purification of Natural Gas</t>
  </si>
  <si>
    <t>Gas losses</t>
  </si>
  <si>
    <t>Other Expenses</t>
  </si>
  <si>
    <t>Storage Well Royalities</t>
  </si>
  <si>
    <t>Rents</t>
  </si>
  <si>
    <t>Storage Maintenance Expenses</t>
  </si>
  <si>
    <t>Maintenance Super and Eng.</t>
  </si>
  <si>
    <t>Maintenance of Structures</t>
  </si>
  <si>
    <t>Maintenance of Resevoirs</t>
  </si>
  <si>
    <t>Maintenance of Lines</t>
  </si>
  <si>
    <t>Main of Compressor Station Equipment</t>
  </si>
  <si>
    <t>Main of Meas and Reg Sta. Equip</t>
  </si>
  <si>
    <t>Main of Purification Equip</t>
  </si>
  <si>
    <t>Main of Other Equipment</t>
  </si>
  <si>
    <t>Transmission Expense</t>
  </si>
  <si>
    <t>Distribution Expense</t>
  </si>
  <si>
    <t>Operation Supr and Engr</t>
  </si>
  <si>
    <t>Dist Load Dispatching</t>
  </si>
  <si>
    <t>Compr. Station Labor and Exp.</t>
  </si>
  <si>
    <t>Compr. Station Fuel and Power</t>
  </si>
  <si>
    <t>Other Mains/Serv. Expenses</t>
  </si>
  <si>
    <t>Leak Survey-Mains</t>
  </si>
  <si>
    <t>Leak Survey - Service</t>
  </si>
  <si>
    <t>Locate Main per Request</t>
  </si>
  <si>
    <t>Check Stop Box Access</t>
  </si>
  <si>
    <t>Patrolling Mains</t>
  </si>
  <si>
    <t>Check/Grease Valves</t>
  </si>
  <si>
    <t>Opr. Odor Equipment</t>
  </si>
  <si>
    <t>Locate and Inspect Valve Boxes</t>
  </si>
  <si>
    <t>Cut Grass - Right of Way</t>
  </si>
  <si>
    <t>Meas and Reg Station Exp.- General</t>
  </si>
  <si>
    <t>Meas and Reg Station Exp.- Industrial</t>
  </si>
  <si>
    <t>Meas and Reg Station Exp. - City Gate</t>
  </si>
  <si>
    <t>Meter and House Reg. Expense</t>
  </si>
  <si>
    <t>Customer Installation Expense</t>
  </si>
  <si>
    <t>Distribution Maintenance Expenses</t>
  </si>
  <si>
    <t>Maintenance Supr and Engr</t>
  </si>
  <si>
    <t>Maintenance Structures</t>
  </si>
  <si>
    <t>Maintenance Mains</t>
  </si>
  <si>
    <t>Maintenance Comp. Station Equip.</t>
  </si>
  <si>
    <t>Maintenance Meas and Reg. General</t>
  </si>
  <si>
    <t>Maintenance Meas and Reg - Industrial</t>
  </si>
  <si>
    <t>Maintenance Meas and Reg.-City Gate</t>
  </si>
  <si>
    <t>Maintenance Services</t>
  </si>
  <si>
    <t>Maintenance Meters and House Reg.</t>
  </si>
  <si>
    <t>Maintenance Other Equipment</t>
  </si>
  <si>
    <t>Supervision</t>
  </si>
  <si>
    <t>Meter Reading</t>
  </si>
  <si>
    <t>Customer Records and Collection</t>
  </si>
  <si>
    <t>Uncollectible Accounts</t>
  </si>
  <si>
    <t>Misc. Cust Accounts Expense</t>
  </si>
  <si>
    <t>Customer Service</t>
  </si>
  <si>
    <t>Sales Expenses</t>
  </si>
  <si>
    <t>Admin and General Salaries</t>
  </si>
  <si>
    <t>Office Supplies and Expense</t>
  </si>
  <si>
    <t>Admin. Expenses Transferred</t>
  </si>
  <si>
    <t>Outside Services Employed</t>
  </si>
  <si>
    <t>Property Insurance</t>
  </si>
  <si>
    <t>Injuries and Damages</t>
  </si>
  <si>
    <t>Employee Pensions and Benefits</t>
  </si>
  <si>
    <t>Franchise Requirement</t>
  </si>
  <si>
    <t>Regulatory Commission Fee</t>
  </si>
  <si>
    <t>Duplicate Charges -Credit</t>
  </si>
  <si>
    <t>General Advertising Expense</t>
  </si>
  <si>
    <t>Misc. General Expense</t>
  </si>
  <si>
    <t>Maintenance of General Plant</t>
  </si>
  <si>
    <t>Common Utility Plant Amortization</t>
  </si>
  <si>
    <t>Regulatory Credits</t>
  </si>
  <si>
    <t>Accretion</t>
  </si>
  <si>
    <t>Amortization of Income Tax Credits</t>
  </si>
  <si>
    <t>Property Taxes</t>
  </si>
  <si>
    <t>Unemployment Insurance</t>
  </si>
  <si>
    <t>Federal Old Age &amp; Survivor Insurance</t>
  </si>
  <si>
    <t>Public Service Commission Fee</t>
  </si>
  <si>
    <t>Miscellaneous</t>
  </si>
  <si>
    <t>Interest Expense</t>
  </si>
  <si>
    <t>Net Pro Forma Adjustments</t>
  </si>
  <si>
    <t>Operating Revenues</t>
  </si>
  <si>
    <t>   Sales and Transportation</t>
  </si>
  <si>
    <t xml:space="preserve">    Interdepartmental Sales</t>
  </si>
  <si>
    <t>   Forfeited Discounts</t>
  </si>
  <si>
    <t>   Miscellaneous Revenue</t>
  </si>
  <si>
    <t xml:space="preserve">   Unbilled Revenue</t>
  </si>
  <si>
    <t xml:space="preserve">    Acrrued Revenue</t>
  </si>
  <si>
    <t xml:space="preserve">   Ft Knox Revenues</t>
  </si>
  <si>
    <t>Total    Operating Revenues</t>
  </si>
  <si>
    <t>Pro-Forma    Adjustments to Revenues</t>
  </si>
  <si>
    <t>     Temperature Normalization</t>
  </si>
  <si>
    <t>     Year-End Customer Adjustment</t>
  </si>
  <si>
    <t>     Rate Switching</t>
  </si>
  <si>
    <t xml:space="preserve">     Adjustment to reflect contract cancellation</t>
  </si>
  <si>
    <t>     Adjustment to eliminate Gas Supply Cost Recoveries</t>
  </si>
  <si>
    <t>     Adjustment to eliminate unbilled revenues</t>
  </si>
  <si>
    <t>     Adjustment to eliminate accrued revenues</t>
  </si>
  <si>
    <t>     Removal of DSM Revenues</t>
  </si>
  <si>
    <t>Total    Revenue Adjustments</t>
  </si>
  <si>
    <t>Total    Adjusted Revenue</t>
  </si>
  <si>
    <t>Dir</t>
  </si>
  <si>
    <t>REV01</t>
  </si>
  <si>
    <t>REVFD</t>
  </si>
  <si>
    <t>REVMISC</t>
  </si>
  <si>
    <t>Labor Expenses</t>
  </si>
  <si>
    <t>Storage    Expenses</t>
  </si>
  <si>
    <t>Operation</t>
  </si>
  <si>
    <t>Total    Storage Operation Labor</t>
  </si>
  <si>
    <t>Storage    Expense</t>
  </si>
  <si>
    <t>Maintenance</t>
  </si>
  <si>
    <t>Total    Maintenance Labor</t>
  </si>
  <si>
    <t>Total    Storage Labor</t>
  </si>
  <si>
    <t>Distribution    Expenses</t>
  </si>
  <si>
    <t>Total    Operations Distribution Labor</t>
  </si>
  <si>
    <t>Total    Operations Transmission and Distribution Labor</t>
  </si>
  <si>
    <t>Maintenance    Expense -- Distribution</t>
  </si>
  <si>
    <t>Total    Transmission &amp; Distribution Labor</t>
  </si>
  <si>
    <t>Total    Customer Accounts Labor</t>
  </si>
  <si>
    <t>Customer    Service Expenses</t>
  </si>
  <si>
    <t>Administrative    &amp; General</t>
  </si>
  <si>
    <t>Total    Administrative and General Labor</t>
  </si>
  <si>
    <t>Total    Labor Expense</t>
  </si>
  <si>
    <t>Transmission Expenses</t>
  </si>
  <si>
    <t>Customer Records and Collections</t>
  </si>
  <si>
    <t>Misc. Cust Account Expenses</t>
  </si>
  <si>
    <t>Louisville Gas and    Electric</t>
  </si>
  <si>
    <t>Gas CCOSS</t>
  </si>
  <si>
    <t>  (Allocation Amount)</t>
  </si>
  <si>
    <t>Storage</t>
  </si>
  <si>
    <t>Low Pressure Customer ThroughPut</t>
  </si>
  <si>
    <t>Distribution Structures</t>
  </si>
  <si>
    <t>High Pressure Distribution Mains</t>
  </si>
  <si>
    <t>Low/Medium Pressure Distribution Mains</t>
  </si>
  <si>
    <t>High Pressure Distrib Mains (yr-end cust.)</t>
  </si>
  <si>
    <t>Low/Med Pres. Distrib Mains (yr-end cust.)</t>
  </si>
  <si>
    <t>Customer Count (Average)</t>
  </si>
  <si>
    <t>Customer Accounts</t>
  </si>
  <si>
    <t>High Pressure Peak &amp; Avg</t>
  </si>
  <si>
    <t>Low/Med Pressure Peak &amp; Avg</t>
  </si>
  <si>
    <t>Actual Revenue</t>
  </si>
  <si>
    <t>Actual Net Revenue</t>
  </si>
  <si>
    <t>DSM Allocation</t>
  </si>
  <si>
    <t>Miscellaneous Revenue Allocation</t>
  </si>
  <si>
    <t>GSC Revenue</t>
  </si>
  <si>
    <t>PTD Plant</t>
  </si>
  <si>
    <t>Dist Plant</t>
  </si>
  <si>
    <t>Mains + Services</t>
  </si>
  <si>
    <t>Depreciation Reserve</t>
  </si>
  <si>
    <t>O&amp;M Expense</t>
  </si>
  <si>
    <t>Labor Excl. A&amp;G</t>
  </si>
  <si>
    <t>Total Plant + CWIP</t>
  </si>
  <si>
    <t>Total Labor</t>
  </si>
  <si>
    <t>Depreciation Expenses</t>
  </si>
  <si>
    <t>Rate Base</t>
  </si>
  <si>
    <t>Year-End Customer Adjustment</t>
  </si>
  <si>
    <t>DSM Revenue</t>
  </si>
  <si>
    <t>Labor Accts 815-826</t>
  </si>
  <si>
    <t>Labor Accts 831-837</t>
  </si>
  <si>
    <t>Distribution Depr Reserve Basis</t>
  </si>
  <si>
    <t>Memo:  Develop Peak &amp; Avg.</t>
  </si>
  <si>
    <t>High Pressure:</t>
  </si>
  <si>
    <t>Peak</t>
  </si>
  <si>
    <t>Avg</t>
  </si>
  <si>
    <t>Peak &amp; Avg.</t>
  </si>
  <si>
    <t>Low/Med Pressure</t>
  </si>
  <si>
    <t>COM01</t>
  </si>
  <si>
    <t>COM02</t>
  </si>
  <si>
    <t>COM03</t>
  </si>
  <si>
    <t>COM04</t>
  </si>
  <si>
    <t>DEM01</t>
  </si>
  <si>
    <t>DEM02</t>
  </si>
  <si>
    <t>DEM03</t>
  </si>
  <si>
    <t>DEM04</t>
  </si>
  <si>
    <t>DEM05</t>
  </si>
  <si>
    <t>DEM05a</t>
  </si>
  <si>
    <t>CUST01</t>
  </si>
  <si>
    <t>CUST01a</t>
  </si>
  <si>
    <t>CUST02</t>
  </si>
  <si>
    <t>CUST03</t>
  </si>
  <si>
    <t>CUST04</t>
  </si>
  <si>
    <t>CUST05</t>
  </si>
  <si>
    <t>REVUC</t>
  </si>
  <si>
    <t>REVADJ4</t>
  </si>
  <si>
    <t>REVGSC</t>
  </si>
  <si>
    <t>RBT</t>
  </si>
  <si>
    <t>REVADJ2</t>
  </si>
  <si>
    <t>Louisville Gas &amp; Electric</t>
  </si>
  <si>
    <t>Residential Gas Customer Charge</t>
  </si>
  <si>
    <t>Rate Base:</t>
  </si>
  <si>
    <t>Operation &amp; Maintenance Expenses</t>
  </si>
  <si>
    <t>Depreciation Expense</t>
  </si>
  <si>
    <t>Revenue Requirement</t>
  </si>
  <si>
    <t>Total Customer Revenue Requirement</t>
  </si>
  <si>
    <t>Number of Bills</t>
  </si>
  <si>
    <t>Monthly Cost</t>
  </si>
  <si>
    <t xml:space="preserve"> 1/ Calculated Per Company Response to OAG 1-340</t>
  </si>
  <si>
    <t xml:space="preserve"> 2/ Calculated Per Mr. Spanos Depreciation rates Exhibit JJS-LGE, Part III.</t>
  </si>
  <si>
    <t>Gross Plant</t>
  </si>
  <si>
    <t>Net Rate Base</t>
  </si>
  <si>
    <t>Meter &amp; House Regulators Expense</t>
  </si>
  <si>
    <t>Customer Installations</t>
  </si>
  <si>
    <t>Maint. Services</t>
  </si>
  <si>
    <t>Maint. Meters &amp; House Regulators</t>
  </si>
  <si>
    <t>Cust. Records &amp; Collections</t>
  </si>
  <si>
    <t>Misc. Cust Accounts</t>
  </si>
  <si>
    <t>Interest</t>
  </si>
  <si>
    <t>Equity Return</t>
  </si>
  <si>
    <t>Income Tax @ effective rate</t>
  </si>
  <si>
    <t>Revenue for Return</t>
  </si>
  <si>
    <t>Schedule GAW-9</t>
  </si>
  <si>
    <t xml:space="preserve">Residential </t>
  </si>
  <si>
    <t>Amount</t>
  </si>
  <si>
    <t xml:space="preserve"> 1/</t>
  </si>
  <si>
    <t xml:space="preserve"> 2/</t>
  </si>
  <si>
    <t>LT- Debt</t>
  </si>
  <si>
    <t>Equirty</t>
  </si>
  <si>
    <t>Effective Tax Rate</t>
  </si>
  <si>
    <t>Tax</t>
  </si>
  <si>
    <t>Pct</t>
  </si>
  <si>
    <t>Taxable</t>
  </si>
  <si>
    <t>Income</t>
  </si>
  <si>
    <t>Cost</t>
  </si>
  <si>
    <t>Weighted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</si>
</sst>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00%"/>
    <numFmt numFmtId="166" formatCode="0.0000%"/>
    <numFmt numFmtId="167" formatCode="#,##0.000000"/>
    <numFmt numFmtId="168" formatCode="[$$-409]#,##0.00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i/>
      <sz val="12"/>
      <name val="Arial"/>
      <family val="0"/>
    </font>
    <font>
      <sz val="12"/>
      <color indexed="10"/>
      <name val="Arial"/>
      <family val="0"/>
    </font>
    <font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>
      <alignment horizontal="right"/>
    </xf>
    <xf numFmtId="10" fontId="0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Continuous"/>
    </xf>
    <xf numFmtId="0" fontId="4" fillId="0" borderId="10" xfId="0" applyNumberFormat="1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8" fontId="4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2" width="39.6640625" style="1" customWidth="1"/>
    <col min="3" max="3" width="0" style="1" hidden="1" customWidth="1"/>
    <col min="4" max="4" width="9.6640625" style="1" customWidth="1"/>
    <col min="5" max="5" width="0" style="1" hidden="1" customWidth="1"/>
    <col min="6" max="6" width="12.6640625" style="1" customWidth="1"/>
    <col min="7" max="7" width="13.6640625" style="1" customWidth="1"/>
    <col min="8" max="8" width="12.6640625" style="1" customWidth="1"/>
    <col min="9" max="9" width="10.6640625" style="1" customWidth="1"/>
    <col min="10" max="10" width="12.6640625" style="1" customWidth="1"/>
    <col min="11" max="11" width="15.6640625" style="1" customWidth="1"/>
    <col min="12" max="12" width="11.6640625" style="1" customWidth="1"/>
    <col min="13" max="16384" width="9.6640625" style="1" customWidth="1"/>
  </cols>
  <sheetData>
    <row r="1" spans="7:12" ht="15"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</row>
    <row r="7" spans="1:14" ht="47.25">
      <c r="A7" s="2"/>
      <c r="B7" s="2" t="s">
        <v>42</v>
      </c>
      <c r="C7" s="2"/>
      <c r="D7" s="2" t="s">
        <v>43</v>
      </c>
      <c r="E7" s="2" t="s">
        <v>44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N7" s="1" t="s">
        <v>55</v>
      </c>
    </row>
    <row r="8" spans="1:12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5.75">
      <c r="A9" s="4" t="s">
        <v>0</v>
      </c>
    </row>
    <row r="10" spans="1:14" ht="15">
      <c r="A10" s="1" t="s">
        <v>1</v>
      </c>
      <c r="F10" s="5">
        <f>Revenues!G18</f>
        <v>0</v>
      </c>
      <c r="G10" s="5">
        <f>Revenues!H18</f>
        <v>185796910.39060378</v>
      </c>
      <c r="H10" s="5">
        <f>Revenues!I18</f>
        <v>76495761.02275217</v>
      </c>
      <c r="I10" s="5">
        <f>Revenues!J18</f>
        <v>6005473.183218973</v>
      </c>
      <c r="J10" s="5">
        <f>Revenues!K18</f>
        <v>2078778.935161478</v>
      </c>
      <c r="K10" s="5">
        <f>Revenues!L18</f>
        <v>5363186.318876187</v>
      </c>
      <c r="L10" s="5">
        <f>Revenues!M18</f>
        <v>201837.14938742795</v>
      </c>
      <c r="N10" s="5">
        <f aca="true" t="shared" si="0" ref="N10:N41">SUM(G10:L10)-F10</f>
        <v>275941947.00000006</v>
      </c>
    </row>
    <row r="11" spans="1:14" ht="15">
      <c r="A11" s="1" t="s">
        <v>2</v>
      </c>
      <c r="F11" s="5">
        <f>Revenues!G31</f>
        <v>0</v>
      </c>
      <c r="G11" s="5">
        <f>Revenues!H31</f>
        <v>-91902977.52325656</v>
      </c>
      <c r="H11" s="5">
        <f>Revenues!I31</f>
        <v>-43575580.01815725</v>
      </c>
      <c r="I11" s="5">
        <f>Revenues!J31</f>
        <v>-4105526.257157154</v>
      </c>
      <c r="J11" s="5">
        <f>Revenues!K31</f>
        <v>-1814204.1609878184</v>
      </c>
      <c r="K11" s="5">
        <f>Revenues!L31</f>
        <v>-171913.1336001105</v>
      </c>
      <c r="L11" s="5">
        <f>Revenues!M31</f>
        <v>-53636.90684110455</v>
      </c>
      <c r="N11" s="5">
        <f t="shared" si="0"/>
        <v>-141623838</v>
      </c>
    </row>
    <row r="12" spans="1:256" ht="15.75">
      <c r="A12" s="4" t="s">
        <v>3</v>
      </c>
      <c r="B12" s="4"/>
      <c r="C12" s="4"/>
      <c r="D12" s="4"/>
      <c r="E12" s="4"/>
      <c r="F12" s="6">
        <f aca="true" t="shared" si="1" ref="F12:L12">F10+F11</f>
        <v>0</v>
      </c>
      <c r="G12" s="6">
        <f t="shared" si="1"/>
        <v>93893932.86734723</v>
      </c>
      <c r="H12" s="6">
        <f t="shared" si="1"/>
        <v>32920181.004594915</v>
      </c>
      <c r="I12" s="6">
        <f t="shared" si="1"/>
        <v>1899946.9260618188</v>
      </c>
      <c r="J12" s="6">
        <f t="shared" si="1"/>
        <v>264574.7741736595</v>
      </c>
      <c r="K12" s="6">
        <f t="shared" si="1"/>
        <v>5191273.185276077</v>
      </c>
      <c r="L12" s="6">
        <f t="shared" si="1"/>
        <v>148200.2425463234</v>
      </c>
      <c r="M12" s="4"/>
      <c r="N12" s="5">
        <f t="shared" si="0"/>
        <v>134318109.00000003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6:14" ht="15">
      <c r="F13" s="5"/>
      <c r="G13" s="5"/>
      <c r="H13" s="5"/>
      <c r="I13" s="5"/>
      <c r="J13" s="5"/>
      <c r="K13" s="5"/>
      <c r="L13" s="5"/>
      <c r="N13" s="5">
        <f t="shared" si="0"/>
        <v>0</v>
      </c>
    </row>
    <row r="14" spans="1:14" ht="15.75">
      <c r="A14" s="4" t="s">
        <v>4</v>
      </c>
      <c r="F14" s="5"/>
      <c r="G14" s="5"/>
      <c r="H14" s="5"/>
      <c r="I14" s="5"/>
      <c r="J14" s="5"/>
      <c r="K14" s="5"/>
      <c r="L14" s="5"/>
      <c r="N14" s="5">
        <f t="shared" si="0"/>
        <v>0</v>
      </c>
    </row>
    <row r="15" spans="1:14" ht="15">
      <c r="A15" s="1" t="s">
        <v>5</v>
      </c>
      <c r="F15" s="5">
        <f>Expenses!G83</f>
        <v>0</v>
      </c>
      <c r="G15" s="5">
        <f>Expenses!H83</f>
        <v>21326618.079912618</v>
      </c>
      <c r="H15" s="5">
        <f>Expenses!I83</f>
        <v>8733562.278091563</v>
      </c>
      <c r="I15" s="5">
        <f>Expenses!J83</f>
        <v>617154.6105588923</v>
      </c>
      <c r="J15" s="5">
        <f>Expenses!K83</f>
        <v>112311.97716091052</v>
      </c>
      <c r="K15" s="5">
        <f>Expenses!L83</f>
        <v>1226721.3751486253</v>
      </c>
      <c r="L15" s="5">
        <f>Expenses!M83</f>
        <v>41965.03912738841</v>
      </c>
      <c r="N15" s="5">
        <f t="shared" si="0"/>
        <v>32058333.36</v>
      </c>
    </row>
    <row r="16" spans="1:14" ht="15">
      <c r="A16" s="1" t="s">
        <v>6</v>
      </c>
      <c r="F16" s="5">
        <f>Expenses!G101</f>
        <v>0</v>
      </c>
      <c r="G16" s="5">
        <f>Expenses!H101</f>
        <v>0</v>
      </c>
      <c r="H16" s="5">
        <f>Expenses!I101</f>
        <v>0</v>
      </c>
      <c r="I16" s="5">
        <f>Expenses!J101</f>
        <v>0</v>
      </c>
      <c r="J16" s="5">
        <f>Expenses!K101</f>
        <v>0</v>
      </c>
      <c r="K16" s="5">
        <f>Expenses!L101</f>
        <v>0</v>
      </c>
      <c r="L16" s="5">
        <f>Expenses!M101</f>
        <v>0</v>
      </c>
      <c r="N16" s="5">
        <f t="shared" si="0"/>
        <v>0</v>
      </c>
    </row>
    <row r="17" spans="1:14" ht="15">
      <c r="A17" s="1" t="s">
        <v>7</v>
      </c>
      <c r="F17" s="5">
        <f>Expenses!G121</f>
        <v>0</v>
      </c>
      <c r="G17" s="5">
        <f>Expenses!H121</f>
        <v>45165766.37568918</v>
      </c>
      <c r="H17" s="5">
        <f>Expenses!I121</f>
        <v>15423878.409595573</v>
      </c>
      <c r="I17" s="5">
        <f>Expenses!J121</f>
        <v>946298.3705967854</v>
      </c>
      <c r="J17" s="5">
        <f>Expenses!K121</f>
        <v>175145.0150623639</v>
      </c>
      <c r="K17" s="5">
        <f>Expenses!L121</f>
        <v>2069748.1093737786</v>
      </c>
      <c r="L17" s="5">
        <f>Expenses!M121</f>
        <v>68555.0796823148</v>
      </c>
      <c r="N17" s="5">
        <f t="shared" si="0"/>
        <v>63849391.35999999</v>
      </c>
    </row>
    <row r="18" spans="1:14" ht="15">
      <c r="A18" s="1" t="s">
        <v>8</v>
      </c>
      <c r="F18" s="5">
        <f>Expenses!G164</f>
        <v>0</v>
      </c>
      <c r="G18" s="5">
        <f>Expenses!H164</f>
        <v>17392543.275448274</v>
      </c>
      <c r="H18" s="5">
        <f>Expenses!I164</f>
        <v>5527754.789155057</v>
      </c>
      <c r="I18" s="5">
        <f>Expenses!J164</f>
        <v>311521.32296836923</v>
      </c>
      <c r="J18" s="5">
        <f>Expenses!K164</f>
        <v>67368.15681438163</v>
      </c>
      <c r="K18" s="5">
        <f>Expenses!L164</f>
        <v>540162.3114419186</v>
      </c>
      <c r="L18" s="5">
        <f>Expenses!M164</f>
        <v>12023.144172000444</v>
      </c>
      <c r="N18" s="5">
        <f t="shared" si="0"/>
        <v>23851372.999999996</v>
      </c>
    </row>
    <row r="19" spans="1:14" ht="15">
      <c r="A19" s="7" t="s">
        <v>9</v>
      </c>
      <c r="B19" s="7"/>
      <c r="C19" s="7"/>
      <c r="F19" s="5">
        <f>Expenses!G170</f>
        <v>0</v>
      </c>
      <c r="G19" s="5">
        <f>Expenses!H170</f>
        <v>-833307.8870153292</v>
      </c>
      <c r="H19" s="5">
        <f>Expenses!I170</f>
        <v>-290883.37967120286</v>
      </c>
      <c r="I19" s="5">
        <f>Expenses!J170</f>
        <v>-17971.86323287595</v>
      </c>
      <c r="J19" s="5">
        <f>Expenses!K170</f>
        <v>-3878.7852528108165</v>
      </c>
      <c r="K19" s="5">
        <f>Expenses!L170</f>
        <v>-31373.139540044293</v>
      </c>
      <c r="L19" s="5">
        <f>Expenses!M170</f>
        <v>-678.9452877370237</v>
      </c>
      <c r="N19" s="5">
        <f t="shared" si="0"/>
        <v>-1178094.0000000005</v>
      </c>
    </row>
    <row r="20" spans="1:14" ht="15">
      <c r="A20" s="1" t="s">
        <v>10</v>
      </c>
      <c r="F20" s="5">
        <f>Expenses!G178</f>
        <v>0</v>
      </c>
      <c r="G20" s="5">
        <f>Expenses!H178</f>
        <v>4633878.272199745</v>
      </c>
      <c r="H20" s="5">
        <f>Expenses!I178</f>
        <v>1634067.1996004789</v>
      </c>
      <c r="I20" s="5">
        <f>Expenses!J178</f>
        <v>101833.43020827825</v>
      </c>
      <c r="J20" s="5">
        <f>Expenses!K178</f>
        <v>21912.957833298846</v>
      </c>
      <c r="K20" s="5">
        <f>Expenses!L178</f>
        <v>177134.45129255753</v>
      </c>
      <c r="L20" s="5">
        <f>Expenses!M178</f>
        <v>3812.688865641597</v>
      </c>
      <c r="N20" s="5">
        <f t="shared" si="0"/>
        <v>6572638.999999999</v>
      </c>
    </row>
    <row r="21" spans="1:256" ht="15.75">
      <c r="A21" s="4" t="s">
        <v>11</v>
      </c>
      <c r="B21" s="4"/>
      <c r="C21" s="4"/>
      <c r="D21" s="4"/>
      <c r="E21" s="4"/>
      <c r="F21" s="6">
        <f aca="true" t="shared" si="2" ref="F21:L21">SUM(F15:F20)</f>
        <v>0</v>
      </c>
      <c r="G21" s="6">
        <f t="shared" si="2"/>
        <v>87685498.1162345</v>
      </c>
      <c r="H21" s="6">
        <f t="shared" si="2"/>
        <v>31028379.296771474</v>
      </c>
      <c r="I21" s="6">
        <f t="shared" si="2"/>
        <v>1958835.8710994495</v>
      </c>
      <c r="J21" s="6">
        <f t="shared" si="2"/>
        <v>372859.32161814405</v>
      </c>
      <c r="K21" s="6">
        <f t="shared" si="2"/>
        <v>3982393.1077168365</v>
      </c>
      <c r="L21" s="6">
        <f t="shared" si="2"/>
        <v>125677.00655960823</v>
      </c>
      <c r="M21" s="4"/>
      <c r="N21" s="5">
        <f t="shared" si="0"/>
        <v>125153642.72000001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6:14" ht="15">
      <c r="F22" s="5"/>
      <c r="G22" s="5"/>
      <c r="H22" s="5"/>
      <c r="I22" s="5"/>
      <c r="J22" s="5"/>
      <c r="K22" s="5"/>
      <c r="L22" s="5"/>
      <c r="N22" s="5">
        <f t="shared" si="0"/>
        <v>0</v>
      </c>
    </row>
    <row r="23" spans="1:14" ht="15.75">
      <c r="A23" s="4" t="s">
        <v>12</v>
      </c>
      <c r="F23" s="5"/>
      <c r="G23" s="5"/>
      <c r="H23" s="5"/>
      <c r="I23" s="5"/>
      <c r="J23" s="5"/>
      <c r="K23" s="5"/>
      <c r="L23" s="5"/>
      <c r="N23" s="5">
        <f t="shared" si="0"/>
        <v>0</v>
      </c>
    </row>
    <row r="24" spans="1:14" ht="15">
      <c r="A24" s="1" t="s">
        <v>13</v>
      </c>
      <c r="D24" s="1">
        <v>47</v>
      </c>
      <c r="F24" s="5">
        <v>-1898813</v>
      </c>
      <c r="G24" s="5">
        <f aca="true" t="shared" si="3" ref="G24:L33">INDEX(ALLOC,($D24)+1,(G$1)+1)*$F24</f>
        <v>-1850605.433605593</v>
      </c>
      <c r="H24" s="5">
        <f t="shared" si="3"/>
        <v>-44146.692625704825</v>
      </c>
      <c r="I24" s="5">
        <f t="shared" si="3"/>
        <v>0</v>
      </c>
      <c r="J24" s="5">
        <f t="shared" si="3"/>
        <v>-759.7393431549094</v>
      </c>
      <c r="K24" s="5">
        <f t="shared" si="3"/>
        <v>-3301.1344255471504</v>
      </c>
      <c r="L24" s="5">
        <f t="shared" si="3"/>
        <v>0</v>
      </c>
      <c r="N24" s="5">
        <f t="shared" si="0"/>
        <v>0</v>
      </c>
    </row>
    <row r="25" spans="1:256" ht="15">
      <c r="A25" s="8" t="s">
        <v>14</v>
      </c>
      <c r="B25" s="8"/>
      <c r="C25" s="8"/>
      <c r="D25" s="8">
        <v>44</v>
      </c>
      <c r="E25" s="8"/>
      <c r="F25" s="9">
        <v>541722</v>
      </c>
      <c r="G25" s="5">
        <f t="shared" si="3"/>
        <v>365992.3173062292</v>
      </c>
      <c r="H25" s="5">
        <f t="shared" si="3"/>
        <v>187489.33048261848</v>
      </c>
      <c r="I25" s="5">
        <f t="shared" si="3"/>
        <v>-11759.647788847653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8"/>
      <c r="N25" s="5">
        <f t="shared" si="0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14" ht="15">
      <c r="A26" s="1" t="s">
        <v>15</v>
      </c>
      <c r="D26" s="1">
        <v>42</v>
      </c>
      <c r="F26" s="5">
        <v>385987</v>
      </c>
      <c r="G26" s="5">
        <f t="shared" si="3"/>
        <v>281463.6960840977</v>
      </c>
      <c r="H26" s="5">
        <f t="shared" si="3"/>
        <v>89455.70922904913</v>
      </c>
      <c r="I26" s="5">
        <f t="shared" si="3"/>
        <v>5041.352583291199</v>
      </c>
      <c r="J26" s="5">
        <f t="shared" si="3"/>
        <v>1090.2195334546452</v>
      </c>
      <c r="K26" s="5">
        <f t="shared" si="3"/>
        <v>8741.451911658582</v>
      </c>
      <c r="L26" s="5">
        <f t="shared" si="3"/>
        <v>194.57065844880023</v>
      </c>
      <c r="N26" s="5">
        <f t="shared" si="0"/>
        <v>0</v>
      </c>
    </row>
    <row r="27" spans="1:14" ht="15">
      <c r="A27" s="1" t="s">
        <v>16</v>
      </c>
      <c r="D27" s="8">
        <v>41</v>
      </c>
      <c r="F27" s="5">
        <v>209494</v>
      </c>
      <c r="G27" s="5">
        <f t="shared" si="3"/>
        <v>146905.75316527495</v>
      </c>
      <c r="H27" s="5">
        <f t="shared" si="3"/>
        <v>50811.96406098004</v>
      </c>
      <c r="I27" s="5">
        <f t="shared" si="3"/>
        <v>3180.9927179294477</v>
      </c>
      <c r="J27" s="5">
        <f t="shared" si="3"/>
        <v>609.7862690846692</v>
      </c>
      <c r="K27" s="5">
        <f t="shared" si="3"/>
        <v>7701.311412342031</v>
      </c>
      <c r="L27" s="5">
        <f t="shared" si="3"/>
        <v>284.19237438880447</v>
      </c>
      <c r="N27" s="5">
        <f t="shared" si="0"/>
        <v>0</v>
      </c>
    </row>
    <row r="28" spans="1:14" ht="15">
      <c r="A28" s="10" t="s">
        <v>17</v>
      </c>
      <c r="B28" s="7"/>
      <c r="C28" s="7"/>
      <c r="D28" s="8">
        <v>42</v>
      </c>
      <c r="F28" s="5">
        <v>78706</v>
      </c>
      <c r="G28" s="5">
        <f t="shared" si="3"/>
        <v>57392.81805862631</v>
      </c>
      <c r="H28" s="5">
        <f t="shared" si="3"/>
        <v>18240.772488662937</v>
      </c>
      <c r="I28" s="5">
        <f t="shared" si="3"/>
        <v>1027.9742489268217</v>
      </c>
      <c r="J28" s="5">
        <f t="shared" si="3"/>
        <v>222.30494446725228</v>
      </c>
      <c r="K28" s="5">
        <f t="shared" si="3"/>
        <v>1782.4556634264893</v>
      </c>
      <c r="L28" s="5">
        <f t="shared" si="3"/>
        <v>39.674595890201665</v>
      </c>
      <c r="N28" s="5">
        <f t="shared" si="0"/>
        <v>0</v>
      </c>
    </row>
    <row r="29" spans="1:14" ht="15">
      <c r="A29" s="7" t="s">
        <v>18</v>
      </c>
      <c r="B29" s="7"/>
      <c r="C29" s="7"/>
      <c r="D29" s="8">
        <v>43</v>
      </c>
      <c r="F29" s="5">
        <v>88922</v>
      </c>
      <c r="G29" s="5">
        <f t="shared" si="3"/>
        <v>62754.88488695499</v>
      </c>
      <c r="H29" s="5">
        <f t="shared" si="3"/>
        <v>22230.447783028638</v>
      </c>
      <c r="I29" s="5">
        <f t="shared" si="3"/>
        <v>1388.8317702686547</v>
      </c>
      <c r="J29" s="5">
        <f t="shared" si="3"/>
        <v>273.7808767490381</v>
      </c>
      <c r="K29" s="5">
        <f t="shared" si="3"/>
        <v>2225.1176008890548</v>
      </c>
      <c r="L29" s="5">
        <f t="shared" si="3"/>
        <v>48.93708210962469</v>
      </c>
      <c r="N29" s="5">
        <f t="shared" si="0"/>
        <v>0</v>
      </c>
    </row>
    <row r="30" spans="1:14" ht="15">
      <c r="A30" s="7" t="s">
        <v>19</v>
      </c>
      <c r="B30" s="7"/>
      <c r="C30" s="7"/>
      <c r="D30" s="8">
        <v>43</v>
      </c>
      <c r="F30" s="5">
        <v>128741</v>
      </c>
      <c r="G30" s="5">
        <f t="shared" si="3"/>
        <v>90856.33066318203</v>
      </c>
      <c r="H30" s="5">
        <f t="shared" si="3"/>
        <v>32185.174400428354</v>
      </c>
      <c r="I30" s="5">
        <f t="shared" si="3"/>
        <v>2010.7463949996277</v>
      </c>
      <c r="J30" s="5">
        <f t="shared" si="3"/>
        <v>396.3791171312826</v>
      </c>
      <c r="K30" s="5">
        <f t="shared" si="3"/>
        <v>3221.5184662519714</v>
      </c>
      <c r="L30" s="5">
        <f t="shared" si="3"/>
        <v>70.85095800673841</v>
      </c>
      <c r="N30" s="5">
        <f t="shared" si="0"/>
        <v>0</v>
      </c>
    </row>
    <row r="31" spans="1:14" ht="15">
      <c r="A31" s="8" t="s">
        <v>20</v>
      </c>
      <c r="D31" s="1">
        <v>30</v>
      </c>
      <c r="F31" s="5">
        <v>-149398</v>
      </c>
      <c r="G31" s="5">
        <f t="shared" si="3"/>
        <v>-145605.0440827024</v>
      </c>
      <c r="H31" s="5">
        <f t="shared" si="3"/>
        <v>-3473.4476669872442</v>
      </c>
      <c r="I31" s="5">
        <f t="shared" si="3"/>
        <v>0</v>
      </c>
      <c r="J31" s="5">
        <f t="shared" si="3"/>
        <v>-59.776048714990445</v>
      </c>
      <c r="K31" s="5">
        <f t="shared" si="3"/>
        <v>-259.7322015953615</v>
      </c>
      <c r="L31" s="5">
        <f t="shared" si="3"/>
        <v>0</v>
      </c>
      <c r="N31" s="5">
        <f t="shared" si="0"/>
        <v>0</v>
      </c>
    </row>
    <row r="32" spans="1:14" ht="15">
      <c r="A32" s="1" t="s">
        <v>21</v>
      </c>
      <c r="D32" s="1">
        <v>38</v>
      </c>
      <c r="F32" s="5">
        <v>107664</v>
      </c>
      <c r="G32" s="5">
        <f t="shared" si="3"/>
        <v>76159.33319794454</v>
      </c>
      <c r="H32" s="5">
        <f t="shared" si="3"/>
        <v>26008.023094970627</v>
      </c>
      <c r="I32" s="5">
        <f t="shared" si="3"/>
        <v>1595.6654496123974</v>
      </c>
      <c r="J32" s="5">
        <f t="shared" si="3"/>
        <v>295.3326962093433</v>
      </c>
      <c r="K32" s="5">
        <f t="shared" si="3"/>
        <v>3490.046744395756</v>
      </c>
      <c r="L32" s="5">
        <f t="shared" si="3"/>
        <v>115.59881686735535</v>
      </c>
      <c r="N32" s="5">
        <f t="shared" si="0"/>
        <v>0</v>
      </c>
    </row>
    <row r="33" spans="1:14" ht="15">
      <c r="A33" s="1" t="s">
        <v>22</v>
      </c>
      <c r="D33" s="8">
        <v>43</v>
      </c>
      <c r="F33" s="5">
        <v>-352000</v>
      </c>
      <c r="G33" s="5">
        <f t="shared" si="3"/>
        <v>-248416.80889102985</v>
      </c>
      <c r="H33" s="5">
        <f t="shared" si="3"/>
        <v>-87999.79329778999</v>
      </c>
      <c r="I33" s="5">
        <f t="shared" si="3"/>
        <v>-5497.72590736338</v>
      </c>
      <c r="J33" s="5">
        <f t="shared" si="3"/>
        <v>-1083.7685681345606</v>
      </c>
      <c r="K33" s="5">
        <f t="shared" si="3"/>
        <v>-8808.184650738258</v>
      </c>
      <c r="L33" s="5">
        <f t="shared" si="3"/>
        <v>-193.71868494397216</v>
      </c>
      <c r="N33" s="5">
        <f t="shared" si="0"/>
        <v>0</v>
      </c>
    </row>
    <row r="34" spans="1:14" ht="15">
      <c r="A34" s="1" t="s">
        <v>23</v>
      </c>
      <c r="D34" s="8">
        <v>45</v>
      </c>
      <c r="F34" s="5">
        <v>33538</v>
      </c>
      <c r="G34" s="5">
        <f aca="true" t="shared" si="4" ref="G34:L42">INDEX(ALLOC,($D34)+1,(G$1)+1)*$F34</f>
        <v>20944.411386288197</v>
      </c>
      <c r="H34" s="5">
        <f t="shared" si="4"/>
        <v>9913.117323824776</v>
      </c>
      <c r="I34" s="5">
        <f t="shared" si="4"/>
        <v>773.3454173431084</v>
      </c>
      <c r="J34" s="5">
        <f t="shared" si="4"/>
        <v>208.8033185367975</v>
      </c>
      <c r="K34" s="5">
        <f t="shared" si="4"/>
        <v>1666.5958131712257</v>
      </c>
      <c r="L34" s="5">
        <f t="shared" si="4"/>
        <v>31.72674083589973</v>
      </c>
      <c r="N34" s="5">
        <f t="shared" si="0"/>
        <v>0</v>
      </c>
    </row>
    <row r="35" spans="1:14" ht="15">
      <c r="A35" s="8" t="s">
        <v>24</v>
      </c>
      <c r="D35" s="8">
        <v>43</v>
      </c>
      <c r="F35" s="5">
        <v>53039</v>
      </c>
      <c r="G35" s="5">
        <f t="shared" si="4"/>
        <v>37431.190701054926</v>
      </c>
      <c r="H35" s="5">
        <f t="shared" si="4"/>
        <v>13259.718854322395</v>
      </c>
      <c r="I35" s="5">
        <f t="shared" si="4"/>
        <v>828.3917170472906</v>
      </c>
      <c r="J35" s="5">
        <f t="shared" si="4"/>
        <v>163.30113944684365</v>
      </c>
      <c r="K35" s="5">
        <f t="shared" si="4"/>
        <v>1327.208254802575</v>
      </c>
      <c r="L35" s="5">
        <f t="shared" si="4"/>
        <v>29.189333325975394</v>
      </c>
      <c r="N35" s="5">
        <f t="shared" si="0"/>
        <v>0</v>
      </c>
    </row>
    <row r="36" spans="1:14" ht="15">
      <c r="A36" s="7" t="s">
        <v>25</v>
      </c>
      <c r="B36" s="7"/>
      <c r="C36" s="7"/>
      <c r="D36" s="8">
        <v>43</v>
      </c>
      <c r="F36" s="5">
        <v>38531</v>
      </c>
      <c r="G36" s="5">
        <f t="shared" si="4"/>
        <v>27192.4660891485</v>
      </c>
      <c r="H36" s="5">
        <f t="shared" si="4"/>
        <v>9632.727373741891</v>
      </c>
      <c r="I36" s="5">
        <f t="shared" si="4"/>
        <v>601.7979458426659</v>
      </c>
      <c r="J36" s="5">
        <f t="shared" si="4"/>
        <v>118.63263266702488</v>
      </c>
      <c r="K36" s="5">
        <f t="shared" si="4"/>
        <v>964.1709169818062</v>
      </c>
      <c r="L36" s="5">
        <f t="shared" si="4"/>
        <v>21.20504161811418</v>
      </c>
      <c r="N36" s="5">
        <f t="shared" si="0"/>
        <v>0</v>
      </c>
    </row>
    <row r="37" spans="1:14" ht="15">
      <c r="A37" s="7" t="s">
        <v>26</v>
      </c>
      <c r="B37" s="7"/>
      <c r="C37" s="7"/>
      <c r="D37" s="8">
        <v>43</v>
      </c>
      <c r="F37" s="5">
        <v>-62735</v>
      </c>
      <c r="G37" s="5">
        <f t="shared" si="4"/>
        <v>-44273.94461868965</v>
      </c>
      <c r="H37" s="5">
        <f t="shared" si="4"/>
        <v>-15683.713160616064</v>
      </c>
      <c r="I37" s="5">
        <f t="shared" si="4"/>
        <v>-979.8290761319365</v>
      </c>
      <c r="J37" s="5">
        <f t="shared" si="4"/>
        <v>-193.15403727818654</v>
      </c>
      <c r="K37" s="5">
        <f t="shared" si="4"/>
        <v>-1569.833704727456</v>
      </c>
      <c r="L37" s="5">
        <f t="shared" si="4"/>
        <v>-34.52540255670481</v>
      </c>
      <c r="N37" s="5">
        <f t="shared" si="0"/>
        <v>0</v>
      </c>
    </row>
    <row r="38" spans="1:14" ht="15">
      <c r="A38" s="7" t="s">
        <v>27</v>
      </c>
      <c r="B38" s="7"/>
      <c r="C38" s="7"/>
      <c r="D38" s="8">
        <v>43</v>
      </c>
      <c r="F38" s="5">
        <v>-29440</v>
      </c>
      <c r="G38" s="5">
        <f t="shared" si="4"/>
        <v>-20776.678561795226</v>
      </c>
      <c r="H38" s="5">
        <f t="shared" si="4"/>
        <v>-7359.9827121787985</v>
      </c>
      <c r="I38" s="5">
        <f t="shared" si="4"/>
        <v>-459.80980316130086</v>
      </c>
      <c r="J38" s="5">
        <f t="shared" si="4"/>
        <v>-90.64246206216326</v>
      </c>
      <c r="K38" s="5">
        <f t="shared" si="4"/>
        <v>-736.6845344253815</v>
      </c>
      <c r="L38" s="5">
        <f t="shared" si="4"/>
        <v>-16.201926377132217</v>
      </c>
      <c r="N38" s="5">
        <f t="shared" si="0"/>
        <v>0</v>
      </c>
    </row>
    <row r="39" spans="1:14" ht="15">
      <c r="A39" s="7" t="s">
        <v>28</v>
      </c>
      <c r="B39" s="7"/>
      <c r="C39" s="7"/>
      <c r="D39" s="8">
        <v>46</v>
      </c>
      <c r="F39" s="5">
        <v>3014150</v>
      </c>
      <c r="G39" s="5" t="e">
        <f t="shared" si="4"/>
        <v>#DIV/0!</v>
      </c>
      <c r="H39" s="5" t="e">
        <f t="shared" si="4"/>
        <v>#DIV/0!</v>
      </c>
      <c r="I39" s="5" t="e">
        <f t="shared" si="4"/>
        <v>#DIV/0!</v>
      </c>
      <c r="J39" s="5" t="e">
        <f t="shared" si="4"/>
        <v>#DIV/0!</v>
      </c>
      <c r="K39" s="5" t="e">
        <f t="shared" si="4"/>
        <v>#DIV/0!</v>
      </c>
      <c r="L39" s="5" t="e">
        <f t="shared" si="4"/>
        <v>#DIV/0!</v>
      </c>
      <c r="N39" s="5" t="e">
        <f t="shared" si="0"/>
        <v>#DIV/0!</v>
      </c>
    </row>
    <row r="40" spans="1:14" ht="15">
      <c r="A40" s="7" t="s">
        <v>29</v>
      </c>
      <c r="B40" s="7"/>
      <c r="C40" s="7"/>
      <c r="D40" s="8">
        <v>40</v>
      </c>
      <c r="F40" s="5">
        <v>-97159</v>
      </c>
      <c r="G40" s="5">
        <f t="shared" si="4"/>
        <v>-68499.57514000923</v>
      </c>
      <c r="H40" s="5">
        <f t="shared" si="4"/>
        <v>-24155.340806939636</v>
      </c>
      <c r="I40" s="5">
        <f t="shared" si="4"/>
        <v>-1505.3366304776678</v>
      </c>
      <c r="J40" s="5">
        <f t="shared" si="4"/>
        <v>-323.9248451231663</v>
      </c>
      <c r="K40" s="5">
        <f t="shared" si="4"/>
        <v>-2618.462105272113</v>
      </c>
      <c r="L40" s="5">
        <f t="shared" si="4"/>
        <v>-56.360472178203</v>
      </c>
      <c r="N40" s="5">
        <f t="shared" si="0"/>
        <v>0</v>
      </c>
    </row>
    <row r="41" spans="1:14" ht="15">
      <c r="A41" s="7" t="s">
        <v>30</v>
      </c>
      <c r="B41" s="7"/>
      <c r="C41" s="7"/>
      <c r="D41" s="1">
        <v>43</v>
      </c>
      <c r="F41" s="5">
        <v>232125</v>
      </c>
      <c r="G41" s="5">
        <f t="shared" si="4"/>
        <v>163817.47660179064</v>
      </c>
      <c r="H41" s="5">
        <f t="shared" si="4"/>
        <v>58031.113691049715</v>
      </c>
      <c r="I41" s="5">
        <f t="shared" si="4"/>
        <v>3625.4534836554676</v>
      </c>
      <c r="J41" s="5">
        <f t="shared" si="4"/>
        <v>714.6868718131673</v>
      </c>
      <c r="K41" s="5">
        <f t="shared" si="4"/>
        <v>5808.522335376755</v>
      </c>
      <c r="L41" s="5">
        <f t="shared" si="4"/>
        <v>127.74701631426005</v>
      </c>
      <c r="N41" s="5">
        <f t="shared" si="0"/>
        <v>0</v>
      </c>
    </row>
    <row r="42" spans="1:14" ht="15">
      <c r="A42" s="8" t="s">
        <v>31</v>
      </c>
      <c r="D42" s="1">
        <v>43</v>
      </c>
      <c r="F42" s="5">
        <v>13472</v>
      </c>
      <c r="G42" s="5">
        <f t="shared" si="4"/>
        <v>9507.588776647597</v>
      </c>
      <c r="H42" s="5">
        <f t="shared" si="4"/>
        <v>3367.9920889426894</v>
      </c>
      <c r="I42" s="5">
        <f t="shared" si="4"/>
        <v>210.41296427272573</v>
      </c>
      <c r="J42" s="5">
        <f t="shared" si="4"/>
        <v>41.47877883496818</v>
      </c>
      <c r="K42" s="5">
        <f t="shared" si="4"/>
        <v>337.1132489055278</v>
      </c>
      <c r="L42" s="5">
        <f t="shared" si="4"/>
        <v>7.414142396492025</v>
      </c>
      <c r="N42" s="5">
        <f aca="true" t="shared" si="5" ref="N42:N58">SUM(G42:L42)-F42</f>
        <v>0</v>
      </c>
    </row>
    <row r="43" spans="1:14" ht="15">
      <c r="A43" s="8"/>
      <c r="F43" s="5"/>
      <c r="G43" s="5"/>
      <c r="H43" s="5"/>
      <c r="I43" s="5"/>
      <c r="J43" s="5"/>
      <c r="K43" s="5"/>
      <c r="L43" s="5"/>
      <c r="N43" s="5">
        <f t="shared" si="5"/>
        <v>0</v>
      </c>
    </row>
    <row r="44" spans="1:14" ht="15">
      <c r="A44" s="1" t="s">
        <v>32</v>
      </c>
      <c r="F44" s="5">
        <f aca="true" t="shared" si="6" ref="F44:L44">SUM(F24:F42)</f>
        <v>2336546</v>
      </c>
      <c r="G44" s="5" t="e">
        <f t="shared" si="6"/>
        <v>#DIV/0!</v>
      </c>
      <c r="H44" s="5" t="e">
        <f t="shared" si="6"/>
        <v>#DIV/0!</v>
      </c>
      <c r="I44" s="5" t="e">
        <f t="shared" si="6"/>
        <v>#DIV/0!</v>
      </c>
      <c r="J44" s="5" t="e">
        <f t="shared" si="6"/>
        <v>#DIV/0!</v>
      </c>
      <c r="K44" s="5" t="e">
        <f t="shared" si="6"/>
        <v>#DIV/0!</v>
      </c>
      <c r="L44" s="5" t="e">
        <f t="shared" si="6"/>
        <v>#DIV/0!</v>
      </c>
      <c r="N44" s="5" t="e">
        <f t="shared" si="5"/>
        <v>#DIV/0!</v>
      </c>
    </row>
    <row r="45" spans="6:14" ht="15">
      <c r="F45" s="5"/>
      <c r="G45" s="5"/>
      <c r="H45" s="5"/>
      <c r="I45" s="5"/>
      <c r="J45" s="5"/>
      <c r="K45" s="5"/>
      <c r="L45" s="5"/>
      <c r="N45" s="5">
        <f t="shared" si="5"/>
        <v>0</v>
      </c>
    </row>
    <row r="46" spans="1:14" ht="15">
      <c r="A46" s="1" t="s">
        <v>33</v>
      </c>
      <c r="F46" s="5">
        <f aca="true" t="shared" si="7" ref="F46:L46">F12-F21-F44</f>
        <v>-2336546</v>
      </c>
      <c r="G46" s="5" t="e">
        <f t="shared" si="7"/>
        <v>#DIV/0!</v>
      </c>
      <c r="H46" s="5" t="e">
        <f t="shared" si="7"/>
        <v>#DIV/0!</v>
      </c>
      <c r="I46" s="5" t="e">
        <f t="shared" si="7"/>
        <v>#DIV/0!</v>
      </c>
      <c r="J46" s="5" t="e">
        <f t="shared" si="7"/>
        <v>#DIV/0!</v>
      </c>
      <c r="K46" s="5" t="e">
        <f t="shared" si="7"/>
        <v>#DIV/0!</v>
      </c>
      <c r="L46" s="5" t="e">
        <f t="shared" si="7"/>
        <v>#DIV/0!</v>
      </c>
      <c r="N46" s="5" t="e">
        <f t="shared" si="5"/>
        <v>#DIV/0!</v>
      </c>
    </row>
    <row r="47" spans="6:14" ht="15">
      <c r="F47" s="5"/>
      <c r="G47" s="5"/>
      <c r="H47" s="5"/>
      <c r="I47" s="5"/>
      <c r="J47" s="5"/>
      <c r="K47" s="5"/>
      <c r="L47" s="5"/>
      <c r="N47" s="5">
        <f t="shared" si="5"/>
        <v>0</v>
      </c>
    </row>
    <row r="48" spans="1:14" ht="15">
      <c r="A48" s="1" t="s">
        <v>34</v>
      </c>
      <c r="D48" s="1">
        <v>23</v>
      </c>
      <c r="E48" s="1" t="s">
        <v>45</v>
      </c>
      <c r="F48" s="5">
        <v>6084288</v>
      </c>
      <c r="G48" s="5" t="e">
        <f aca="true" t="shared" si="8" ref="G48:L48">INDEX(ALLOC,($D48)+1,(G$1)+1)*$F48</f>
        <v>#DIV/0!</v>
      </c>
      <c r="H48" s="5" t="e">
        <f t="shared" si="8"/>
        <v>#DIV/0!</v>
      </c>
      <c r="I48" s="5" t="e">
        <f t="shared" si="8"/>
        <v>#DIV/0!</v>
      </c>
      <c r="J48" s="5" t="e">
        <f t="shared" si="8"/>
        <v>#DIV/0!</v>
      </c>
      <c r="K48" s="5" t="e">
        <f t="shared" si="8"/>
        <v>#DIV/0!</v>
      </c>
      <c r="L48" s="5" t="e">
        <f t="shared" si="8"/>
        <v>#DIV/0!</v>
      </c>
      <c r="N48" s="5" t="e">
        <f t="shared" si="5"/>
        <v>#DIV/0!</v>
      </c>
    </row>
    <row r="49" spans="6:14" ht="15">
      <c r="F49" s="5"/>
      <c r="G49" s="5"/>
      <c r="H49" s="5"/>
      <c r="I49" s="5"/>
      <c r="J49" s="5"/>
      <c r="K49" s="5"/>
      <c r="L49" s="5"/>
      <c r="N49" s="5">
        <f t="shared" si="5"/>
        <v>0</v>
      </c>
    </row>
    <row r="50" spans="1:14" ht="15">
      <c r="A50" s="1" t="s">
        <v>35</v>
      </c>
      <c r="F50" s="5">
        <f aca="true" t="shared" si="9" ref="F50:L50">F46-F48</f>
        <v>-8420834</v>
      </c>
      <c r="G50" s="5" t="e">
        <f t="shared" si="9"/>
        <v>#DIV/0!</v>
      </c>
      <c r="H50" s="5" t="e">
        <f t="shared" si="9"/>
        <v>#DIV/0!</v>
      </c>
      <c r="I50" s="5" t="e">
        <f t="shared" si="9"/>
        <v>#DIV/0!</v>
      </c>
      <c r="J50" s="5" t="e">
        <f t="shared" si="9"/>
        <v>#DIV/0!</v>
      </c>
      <c r="K50" s="5" t="e">
        <f t="shared" si="9"/>
        <v>#DIV/0!</v>
      </c>
      <c r="L50" s="5" t="e">
        <f t="shared" si="9"/>
        <v>#DIV/0!</v>
      </c>
      <c r="N50" s="5" t="e">
        <f t="shared" si="5"/>
        <v>#DIV/0!</v>
      </c>
    </row>
    <row r="51" spans="6:14" ht="15">
      <c r="F51" s="5"/>
      <c r="G51" s="5"/>
      <c r="H51" s="5"/>
      <c r="I51" s="5"/>
      <c r="J51" s="5"/>
      <c r="K51" s="5"/>
      <c r="L51" s="5"/>
      <c r="N51" s="5">
        <f t="shared" si="5"/>
        <v>0</v>
      </c>
    </row>
    <row r="52" spans="1:14" ht="15">
      <c r="A52" s="1" t="s">
        <v>36</v>
      </c>
      <c r="F52" s="5">
        <f>'Rate Base'!G98</f>
        <v>0</v>
      </c>
      <c r="G52" s="5">
        <f>'Rate Base'!H98</f>
        <v>360167318.5608831</v>
      </c>
      <c r="H52" s="5">
        <f>'Rate Base'!I98</f>
        <v>127586574.06262761</v>
      </c>
      <c r="I52" s="5">
        <f>'Rate Base'!J98</f>
        <v>7970882.514259954</v>
      </c>
      <c r="J52" s="5">
        <f>'Rate Base'!K98</f>
        <v>1571302.7667818465</v>
      </c>
      <c r="K52" s="5" t="e">
        <f>#REF!</f>
        <v>#REF!</v>
      </c>
      <c r="L52" s="5">
        <f>'Rate Base'!L98</f>
        <v>12770553.897732161</v>
      </c>
      <c r="N52" s="5" t="e">
        <f t="shared" si="5"/>
        <v>#REF!</v>
      </c>
    </row>
    <row r="53" spans="1:14" ht="15">
      <c r="A53" s="1" t="s">
        <v>37</v>
      </c>
      <c r="D53" s="1">
        <v>42</v>
      </c>
      <c r="E53" s="1" t="s">
        <v>46</v>
      </c>
      <c r="F53" s="5">
        <v>-385987</v>
      </c>
      <c r="G53" s="5">
        <f aca="true" t="shared" si="10" ref="G53:L54">INDEX(ALLOC,($D53)+1,(G$1)+1)*$F53</f>
        <v>-281463.6960840977</v>
      </c>
      <c r="H53" s="5">
        <f t="shared" si="10"/>
        <v>-89455.70922904913</v>
      </c>
      <c r="I53" s="5">
        <f t="shared" si="10"/>
        <v>-5041.352583291199</v>
      </c>
      <c r="J53" s="5">
        <f t="shared" si="10"/>
        <v>-1090.2195334546452</v>
      </c>
      <c r="K53" s="5">
        <f t="shared" si="10"/>
        <v>-8741.451911658582</v>
      </c>
      <c r="L53" s="5">
        <f t="shared" si="10"/>
        <v>-194.57065844880023</v>
      </c>
      <c r="N53" s="5">
        <f t="shared" si="5"/>
        <v>0</v>
      </c>
    </row>
    <row r="54" spans="1:14" ht="15">
      <c r="A54" s="1" t="s">
        <v>38</v>
      </c>
      <c r="D54" s="1">
        <v>38</v>
      </c>
      <c r="E54" s="1" t="s">
        <v>47</v>
      </c>
      <c r="F54" s="5">
        <v>-94673</v>
      </c>
      <c r="G54" s="5">
        <f t="shared" si="10"/>
        <v>-66969.76289055769</v>
      </c>
      <c r="H54" s="5">
        <f t="shared" si="10"/>
        <v>-22869.831795866347</v>
      </c>
      <c r="I54" s="5">
        <f t="shared" si="10"/>
        <v>-1403.1285769723818</v>
      </c>
      <c r="J54" s="5">
        <f t="shared" si="10"/>
        <v>-259.6971350518944</v>
      </c>
      <c r="K54" s="5">
        <f t="shared" si="10"/>
        <v>-3068.9292189792263</v>
      </c>
      <c r="L54" s="5">
        <f t="shared" si="10"/>
        <v>-101.65038257247672</v>
      </c>
      <c r="N54" s="5">
        <f t="shared" si="5"/>
        <v>0</v>
      </c>
    </row>
    <row r="55" spans="1:14" ht="15">
      <c r="A55" s="1" t="s">
        <v>39</v>
      </c>
      <c r="F55" s="5">
        <f aca="true" t="shared" si="11" ref="F55:L55">SUM(F52:F54)</f>
        <v>-480660</v>
      </c>
      <c r="G55" s="5">
        <f t="shared" si="11"/>
        <v>359818885.10190845</v>
      </c>
      <c r="H55" s="5">
        <f t="shared" si="11"/>
        <v>127474248.52160269</v>
      </c>
      <c r="I55" s="5">
        <f t="shared" si="11"/>
        <v>7964438.03309969</v>
      </c>
      <c r="J55" s="5">
        <f t="shared" si="11"/>
        <v>1569952.85011334</v>
      </c>
      <c r="K55" s="5" t="e">
        <f t="shared" si="11"/>
        <v>#REF!</v>
      </c>
      <c r="L55" s="5">
        <f t="shared" si="11"/>
        <v>12770257.67669114</v>
      </c>
      <c r="N55" s="5" t="e">
        <f t="shared" si="5"/>
        <v>#REF!</v>
      </c>
    </row>
    <row r="56" spans="6:14" ht="15">
      <c r="F56" s="5"/>
      <c r="G56" s="5"/>
      <c r="H56" s="5"/>
      <c r="I56" s="5"/>
      <c r="J56" s="5"/>
      <c r="K56" s="5"/>
      <c r="L56" s="5"/>
      <c r="N56" s="5">
        <f t="shared" si="5"/>
        <v>0</v>
      </c>
    </row>
    <row r="57" spans="1:152" ht="15">
      <c r="A57" s="11" t="s">
        <v>40</v>
      </c>
      <c r="B57" s="11"/>
      <c r="C57" s="11"/>
      <c r="D57" s="11"/>
      <c r="E57" s="11"/>
      <c r="F57" s="12">
        <f aca="true" t="shared" si="12" ref="F57:L57">F50/F55</f>
        <v>17.519315108392625</v>
      </c>
      <c r="G57" s="12" t="e">
        <f t="shared" si="12"/>
        <v>#DIV/0!</v>
      </c>
      <c r="H57" s="12" t="e">
        <f t="shared" si="12"/>
        <v>#DIV/0!</v>
      </c>
      <c r="I57" s="12" t="e">
        <f t="shared" si="12"/>
        <v>#DIV/0!</v>
      </c>
      <c r="J57" s="12" t="e">
        <f t="shared" si="12"/>
        <v>#DIV/0!</v>
      </c>
      <c r="K57" s="12" t="e">
        <f t="shared" si="12"/>
        <v>#DIV/0!</v>
      </c>
      <c r="L57" s="12" t="e">
        <f t="shared" si="12"/>
        <v>#DIV/0!</v>
      </c>
      <c r="M57" s="13"/>
      <c r="N57" s="5" t="e">
        <f t="shared" si="5"/>
        <v>#DIV/0!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</row>
    <row r="58" spans="1:152" ht="15">
      <c r="A58" s="1" t="s">
        <v>41</v>
      </c>
      <c r="F58" s="13">
        <f aca="true" t="shared" si="13" ref="F58:L58">F57/$F57</f>
        <v>1</v>
      </c>
      <c r="G58" s="13" t="e">
        <f t="shared" si="13"/>
        <v>#DIV/0!</v>
      </c>
      <c r="H58" s="13" t="e">
        <f t="shared" si="13"/>
        <v>#DIV/0!</v>
      </c>
      <c r="I58" s="13" t="e">
        <f t="shared" si="13"/>
        <v>#DIV/0!</v>
      </c>
      <c r="J58" s="13" t="e">
        <f t="shared" si="13"/>
        <v>#DIV/0!</v>
      </c>
      <c r="K58" s="13" t="e">
        <f t="shared" si="13"/>
        <v>#DIV/0!</v>
      </c>
      <c r="L58" s="13" t="e">
        <f t="shared" si="13"/>
        <v>#DIV/0!</v>
      </c>
      <c r="M58" s="13"/>
      <c r="N58" s="5" t="e">
        <f t="shared" si="5"/>
        <v>#DIV/0!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</row>
  </sheetData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2"/>
  <sheetViews>
    <sheetView zoomScale="87" zoomScaleNormal="87" zoomScalePageLayoutView="0" workbookViewId="0" topLeftCell="A1">
      <selection activeCell="A22" sqref="A22"/>
    </sheetView>
  </sheetViews>
  <sheetFormatPr defaultColWidth="8.88671875" defaultRowHeight="15"/>
  <cols>
    <col min="1" max="1" width="7.6640625" style="1" customWidth="1"/>
    <col min="2" max="2" width="39.6640625" style="1" customWidth="1"/>
    <col min="3" max="4" width="9.6640625" style="1" customWidth="1"/>
    <col min="5" max="5" width="13.6640625" style="1" customWidth="1"/>
    <col min="6" max="6" width="14.6640625" style="5" customWidth="1"/>
    <col min="7" max="9" width="13.6640625" style="1" customWidth="1"/>
    <col min="10" max="12" width="11.6640625" style="1" customWidth="1"/>
    <col min="13" max="16384" width="9.6640625" style="1" customWidth="1"/>
  </cols>
  <sheetData>
    <row r="1" spans="8:13" ht="15"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</row>
    <row r="6" spans="8:16" ht="15">
      <c r="H6" s="1" t="s">
        <v>141</v>
      </c>
      <c r="I6" s="1" t="s">
        <v>143</v>
      </c>
      <c r="J6" s="1" t="s">
        <v>145</v>
      </c>
      <c r="K6" s="1" t="s">
        <v>147</v>
      </c>
      <c r="L6" s="1" t="s">
        <v>149</v>
      </c>
      <c r="M6" s="1" t="s">
        <v>151</v>
      </c>
      <c r="N6" s="1" t="s">
        <v>153</v>
      </c>
      <c r="O6" s="1" t="s">
        <v>154</v>
      </c>
      <c r="P6" s="1" t="s">
        <v>155</v>
      </c>
    </row>
    <row r="7" spans="1:16" ht="31.5">
      <c r="A7" s="2" t="s">
        <v>56</v>
      </c>
      <c r="B7" s="2" t="s">
        <v>42</v>
      </c>
      <c r="C7" s="2"/>
      <c r="D7" s="2" t="s">
        <v>43</v>
      </c>
      <c r="E7" s="2" t="s">
        <v>44</v>
      </c>
      <c r="F7" s="14" t="s">
        <v>140</v>
      </c>
      <c r="G7" s="2" t="s">
        <v>48</v>
      </c>
      <c r="H7" s="8" t="s">
        <v>142</v>
      </c>
      <c r="I7" s="8" t="s">
        <v>144</v>
      </c>
      <c r="J7" s="8" t="s">
        <v>146</v>
      </c>
      <c r="K7" s="8" t="s">
        <v>148</v>
      </c>
      <c r="L7" s="8" t="s">
        <v>150</v>
      </c>
      <c r="M7" s="8" t="s">
        <v>152</v>
      </c>
      <c r="N7" s="8" t="s">
        <v>152</v>
      </c>
      <c r="O7" s="8" t="s">
        <v>152</v>
      </c>
      <c r="P7" s="8" t="s">
        <v>152</v>
      </c>
    </row>
    <row r="8" spans="1:7" ht="15">
      <c r="A8" s="3"/>
      <c r="B8" s="3"/>
      <c r="C8" s="3"/>
      <c r="D8" s="3"/>
      <c r="E8" s="3"/>
      <c r="F8" s="15"/>
      <c r="G8" s="15"/>
    </row>
    <row r="9" spans="1:7" ht="15.75">
      <c r="A9" s="16" t="s">
        <v>57</v>
      </c>
      <c r="B9" s="7"/>
      <c r="C9" s="7"/>
      <c r="G9" s="5"/>
    </row>
    <row r="10" spans="2:13" ht="15.75">
      <c r="B10" s="4" t="s">
        <v>72</v>
      </c>
      <c r="G10" s="5"/>
      <c r="H10" s="17"/>
      <c r="I10" s="17"/>
      <c r="J10" s="17"/>
      <c r="K10" s="17"/>
      <c r="L10" s="17"/>
      <c r="M10" s="5"/>
    </row>
    <row r="11" spans="1:18" ht="15">
      <c r="A11" s="8" t="s">
        <v>58</v>
      </c>
      <c r="B11" s="1" t="s">
        <v>72</v>
      </c>
      <c r="D11" s="1">
        <v>7</v>
      </c>
      <c r="F11" s="5">
        <v>75948560</v>
      </c>
      <c r="G11" s="5"/>
      <c r="H11" s="5">
        <f aca="true" t="shared" si="0" ref="H11:M12">INDEX(ALLOC,($D11)+1,(H$1)+1)*$F11</f>
        <v>51228177.48266408</v>
      </c>
      <c r="I11" s="5">
        <f t="shared" si="0"/>
        <v>23151495.347228236</v>
      </c>
      <c r="J11" s="5">
        <f t="shared" si="0"/>
        <v>1568887.1701076857</v>
      </c>
      <c r="K11" s="5">
        <f t="shared" si="0"/>
        <v>0</v>
      </c>
      <c r="L11" s="5">
        <f t="shared" si="0"/>
        <v>0</v>
      </c>
      <c r="M11" s="5">
        <f t="shared" si="0"/>
        <v>0</v>
      </c>
      <c r="R11" s="5">
        <f aca="true" t="shared" si="1" ref="R11:R42">SUM(H11:M11)-F11</f>
        <v>0</v>
      </c>
    </row>
    <row r="12" spans="1:18" ht="15">
      <c r="A12" s="1">
        <v>358</v>
      </c>
      <c r="B12" s="1" t="s">
        <v>73</v>
      </c>
      <c r="D12" s="1">
        <v>7</v>
      </c>
      <c r="F12" s="5">
        <v>5201173</v>
      </c>
      <c r="G12" s="5"/>
      <c r="H12" s="5">
        <f t="shared" si="0"/>
        <v>3508251.0262477705</v>
      </c>
      <c r="I12" s="5">
        <f t="shared" si="0"/>
        <v>1585480.12641226</v>
      </c>
      <c r="J12" s="5">
        <f t="shared" si="0"/>
        <v>107441.84733996933</v>
      </c>
      <c r="K12" s="5">
        <f t="shared" si="0"/>
        <v>0</v>
      </c>
      <c r="L12" s="5">
        <f t="shared" si="0"/>
        <v>0</v>
      </c>
      <c r="M12" s="5">
        <f t="shared" si="0"/>
        <v>0</v>
      </c>
      <c r="R12" s="5">
        <f t="shared" si="1"/>
        <v>0</v>
      </c>
    </row>
    <row r="13" spans="2:18" ht="15">
      <c r="B13" s="18" t="s">
        <v>74</v>
      </c>
      <c r="C13" s="3"/>
      <c r="D13" s="3"/>
      <c r="E13" s="3"/>
      <c r="F13" s="15">
        <f>SUM(F11:F12)</f>
        <v>81149733</v>
      </c>
      <c r="G13" s="15"/>
      <c r="H13" s="5">
        <f aca="true" t="shared" si="2" ref="H13:M13">SUM(H11:H12)</f>
        <v>54736428.50891185</v>
      </c>
      <c r="I13" s="5">
        <f t="shared" si="2"/>
        <v>24736975.473640498</v>
      </c>
      <c r="J13" s="5">
        <f t="shared" si="2"/>
        <v>1676329.017447655</v>
      </c>
      <c r="K13" s="5">
        <f t="shared" si="2"/>
        <v>0</v>
      </c>
      <c r="L13" s="5">
        <f t="shared" si="2"/>
        <v>0</v>
      </c>
      <c r="M13" s="5">
        <f t="shared" si="2"/>
        <v>0</v>
      </c>
      <c r="R13" s="5">
        <f t="shared" si="1"/>
        <v>0</v>
      </c>
    </row>
    <row r="14" spans="7:18" ht="15">
      <c r="G14" s="5"/>
      <c r="H14" s="5"/>
      <c r="I14" s="5"/>
      <c r="J14" s="5"/>
      <c r="K14" s="5"/>
      <c r="L14" s="5"/>
      <c r="M14" s="5"/>
      <c r="R14" s="5">
        <f t="shared" si="1"/>
        <v>0</v>
      </c>
    </row>
    <row r="15" spans="2:18" ht="15.75">
      <c r="B15" s="4" t="s">
        <v>75</v>
      </c>
      <c r="G15" s="5"/>
      <c r="H15" s="5"/>
      <c r="I15" s="5"/>
      <c r="J15" s="5"/>
      <c r="K15" s="5"/>
      <c r="L15" s="5"/>
      <c r="M15" s="5"/>
      <c r="R15" s="5">
        <f t="shared" si="1"/>
        <v>0</v>
      </c>
    </row>
    <row r="16" spans="1:18" ht="15">
      <c r="A16" s="8" t="s">
        <v>59</v>
      </c>
      <c r="B16" s="1" t="s">
        <v>76</v>
      </c>
      <c r="D16" s="1">
        <v>8</v>
      </c>
      <c r="F16" s="5">
        <v>22558415</v>
      </c>
      <c r="G16" s="5"/>
      <c r="H16" s="5">
        <f aca="true" t="shared" si="3" ref="H16:M16">INDEX(ALLOC,($D16)+1,(H$1)+1)*$F16</f>
        <v>15215910.444484945</v>
      </c>
      <c r="I16" s="5">
        <f t="shared" si="3"/>
        <v>6876510.099906352</v>
      </c>
      <c r="J16" s="5">
        <f t="shared" si="3"/>
        <v>465994.45560870104</v>
      </c>
      <c r="K16" s="5">
        <f t="shared" si="3"/>
        <v>0</v>
      </c>
      <c r="L16" s="5">
        <f t="shared" si="3"/>
        <v>0</v>
      </c>
      <c r="M16" s="5">
        <f t="shared" si="3"/>
        <v>0</v>
      </c>
      <c r="R16" s="5">
        <f t="shared" si="1"/>
        <v>0</v>
      </c>
    </row>
    <row r="17" spans="2:18" ht="15.75">
      <c r="B17" s="19" t="s">
        <v>77</v>
      </c>
      <c r="C17" s="3"/>
      <c r="D17" s="3"/>
      <c r="E17" s="3"/>
      <c r="F17" s="15">
        <f>SUM(F16:F16)</f>
        <v>22558415</v>
      </c>
      <c r="G17" s="15"/>
      <c r="H17" s="15">
        <f aca="true" t="shared" si="4" ref="H17:M17">H16</f>
        <v>15215910.444484945</v>
      </c>
      <c r="I17" s="15">
        <f t="shared" si="4"/>
        <v>6876510.099906352</v>
      </c>
      <c r="J17" s="15">
        <f t="shared" si="4"/>
        <v>465994.45560870104</v>
      </c>
      <c r="K17" s="15">
        <f t="shared" si="4"/>
        <v>0</v>
      </c>
      <c r="L17" s="15">
        <f t="shared" si="4"/>
        <v>0</v>
      </c>
      <c r="M17" s="15">
        <f t="shared" si="4"/>
        <v>0</v>
      </c>
      <c r="R17" s="5">
        <f t="shared" si="1"/>
        <v>0</v>
      </c>
    </row>
    <row r="18" spans="7:18" ht="15">
      <c r="G18" s="5"/>
      <c r="H18" s="5"/>
      <c r="I18" s="5"/>
      <c r="J18" s="5"/>
      <c r="K18" s="5"/>
      <c r="L18" s="5"/>
      <c r="M18" s="5"/>
      <c r="R18" s="5">
        <f t="shared" si="1"/>
        <v>0</v>
      </c>
    </row>
    <row r="19" spans="2:18" ht="15.75">
      <c r="B19" s="4" t="s">
        <v>78</v>
      </c>
      <c r="G19" s="5"/>
      <c r="H19" s="5"/>
      <c r="I19" s="5"/>
      <c r="J19" s="5"/>
      <c r="K19" s="5"/>
      <c r="L19" s="5"/>
      <c r="M19" s="5"/>
      <c r="R19" s="5">
        <f t="shared" si="1"/>
        <v>0</v>
      </c>
    </row>
    <row r="20" spans="1:18" ht="15">
      <c r="A20" s="20">
        <v>374</v>
      </c>
      <c r="B20" s="1" t="s">
        <v>79</v>
      </c>
      <c r="D20" s="1">
        <v>9</v>
      </c>
      <c r="F20" s="5">
        <v>133743</v>
      </c>
      <c r="G20" s="5"/>
      <c r="H20" s="5">
        <f aca="true" t="shared" si="5" ref="H20:M21">INDEX(ALLOC,($D20)+1,(H$1)+1)*$F20</f>
        <v>78554.70458474316</v>
      </c>
      <c r="I20" s="5">
        <f t="shared" si="5"/>
        <v>34911.412463726454</v>
      </c>
      <c r="J20" s="5">
        <f t="shared" si="5"/>
        <v>2207.8435488444907</v>
      </c>
      <c r="K20" s="5">
        <f t="shared" si="5"/>
        <v>972.8643476200281</v>
      </c>
      <c r="L20" s="5">
        <f t="shared" si="5"/>
        <v>16403.090387655924</v>
      </c>
      <c r="M20" s="5">
        <f t="shared" si="5"/>
        <v>693.0846674099425</v>
      </c>
      <c r="R20" s="5">
        <f t="shared" si="1"/>
        <v>0</v>
      </c>
    </row>
    <row r="21" spans="1:18" ht="15">
      <c r="A21" s="20">
        <v>375</v>
      </c>
      <c r="B21" s="1" t="s">
        <v>80</v>
      </c>
      <c r="D21" s="1">
        <v>9</v>
      </c>
      <c r="F21" s="5">
        <v>900463</v>
      </c>
      <c r="G21" s="5"/>
      <c r="H21" s="5">
        <f t="shared" si="5"/>
        <v>528892.0164381806</v>
      </c>
      <c r="I21" s="5">
        <f t="shared" si="5"/>
        <v>235051.06959859215</v>
      </c>
      <c r="J21" s="5">
        <f t="shared" si="5"/>
        <v>14864.938168899731</v>
      </c>
      <c r="K21" s="5">
        <f t="shared" si="5"/>
        <v>6550.087474118072</v>
      </c>
      <c r="L21" s="5">
        <f t="shared" si="5"/>
        <v>110438.49756428236</v>
      </c>
      <c r="M21" s="5">
        <f t="shared" si="5"/>
        <v>4666.390755927107</v>
      </c>
      <c r="R21" s="5">
        <f t="shared" si="1"/>
        <v>0</v>
      </c>
    </row>
    <row r="22" spans="1:18" ht="15">
      <c r="A22" s="20"/>
      <c r="G22" s="5"/>
      <c r="H22" s="5"/>
      <c r="I22" s="5"/>
      <c r="J22" s="5"/>
      <c r="K22" s="5"/>
      <c r="L22" s="5"/>
      <c r="M22" s="5"/>
      <c r="R22" s="5">
        <f t="shared" si="1"/>
        <v>0</v>
      </c>
    </row>
    <row r="23" spans="1:18" ht="15">
      <c r="A23" s="20">
        <v>376</v>
      </c>
      <c r="B23" s="1" t="s">
        <v>81</v>
      </c>
      <c r="E23" s="5">
        <v>315318356</v>
      </c>
      <c r="F23" s="1"/>
      <c r="G23" s="5"/>
      <c r="H23" s="5"/>
      <c r="I23" s="5"/>
      <c r="J23" s="5"/>
      <c r="K23" s="5"/>
      <c r="L23" s="5"/>
      <c r="M23" s="5"/>
      <c r="R23" s="5">
        <f t="shared" si="1"/>
        <v>0</v>
      </c>
    </row>
    <row r="24" spans="1:18" ht="15">
      <c r="A24" s="20"/>
      <c r="E24" s="5"/>
      <c r="G24" s="5"/>
      <c r="H24" s="5"/>
      <c r="I24" s="5"/>
      <c r="J24" s="5"/>
      <c r="K24" s="5"/>
      <c r="L24" s="5"/>
      <c r="M24" s="5"/>
      <c r="R24" s="5">
        <f t="shared" si="1"/>
        <v>0</v>
      </c>
    </row>
    <row r="25" spans="2:18" ht="15">
      <c r="B25" s="1" t="s">
        <v>82</v>
      </c>
      <c r="E25" s="5">
        <f>97630819+189832099</f>
        <v>287462918</v>
      </c>
      <c r="G25" s="5"/>
      <c r="H25" s="5"/>
      <c r="I25" s="5"/>
      <c r="J25" s="5"/>
      <c r="K25" s="5"/>
      <c r="L25" s="5"/>
      <c r="M25" s="5"/>
      <c r="R25" s="5">
        <f t="shared" si="1"/>
        <v>0</v>
      </c>
    </row>
    <row r="26" spans="2:18" ht="15">
      <c r="B26" s="1" t="s">
        <v>83</v>
      </c>
      <c r="D26" s="1">
        <v>20</v>
      </c>
      <c r="E26" s="13">
        <v>1</v>
      </c>
      <c r="F26" s="5">
        <f>E26*E25</f>
        <v>287462918</v>
      </c>
      <c r="G26" s="5"/>
      <c r="H26" s="5">
        <f aca="true" t="shared" si="6" ref="H26:M27">INDEX(ALLOC,($D26)+1,(H$1)+1)*$F26</f>
        <v>182367647.75890604</v>
      </c>
      <c r="I26" s="5">
        <f t="shared" si="6"/>
        <v>86340952.22460671</v>
      </c>
      <c r="J26" s="5">
        <f t="shared" si="6"/>
        <v>6733869.388955671</v>
      </c>
      <c r="K26" s="5">
        <f t="shared" si="6"/>
        <v>1736346.1764654934</v>
      </c>
      <c r="L26" s="5">
        <f t="shared" si="6"/>
        <v>10284102.451066086</v>
      </c>
      <c r="M26" s="5">
        <f t="shared" si="6"/>
        <v>0</v>
      </c>
      <c r="R26" s="5">
        <f t="shared" si="1"/>
        <v>0</v>
      </c>
    </row>
    <row r="27" spans="2:18" ht="15">
      <c r="B27" s="1" t="s">
        <v>84</v>
      </c>
      <c r="D27" s="1">
        <v>13</v>
      </c>
      <c r="E27" s="13">
        <v>0</v>
      </c>
      <c r="F27" s="5">
        <f>E27*E25</f>
        <v>0</v>
      </c>
      <c r="G27" s="5"/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R27" s="5">
        <f t="shared" si="1"/>
        <v>0</v>
      </c>
    </row>
    <row r="28" spans="5:18" ht="15">
      <c r="E28" s="5"/>
      <c r="G28" s="5"/>
      <c r="H28" s="5"/>
      <c r="I28" s="5"/>
      <c r="J28" s="5"/>
      <c r="K28" s="5"/>
      <c r="L28" s="5"/>
      <c r="M28" s="5"/>
      <c r="R28" s="5">
        <f t="shared" si="1"/>
        <v>0</v>
      </c>
    </row>
    <row r="29" spans="2:18" ht="15">
      <c r="B29" s="1" t="s">
        <v>85</v>
      </c>
      <c r="E29" s="5">
        <f>15401007+12454432</f>
        <v>27855439</v>
      </c>
      <c r="G29" s="5"/>
      <c r="H29" s="5"/>
      <c r="I29" s="5"/>
      <c r="J29" s="5"/>
      <c r="K29" s="5"/>
      <c r="L29" s="5"/>
      <c r="M29" s="5"/>
      <c r="R29" s="5">
        <f t="shared" si="1"/>
        <v>0</v>
      </c>
    </row>
    <row r="30" spans="2:18" ht="15">
      <c r="B30" s="1" t="s">
        <v>83</v>
      </c>
      <c r="D30" s="1">
        <v>19</v>
      </c>
      <c r="E30" s="13">
        <v>1</v>
      </c>
      <c r="F30" s="5">
        <f>E30*E29</f>
        <v>27855439</v>
      </c>
      <c r="G30" s="5"/>
      <c r="H30" s="5">
        <f aca="true" ca="1" t="shared" si="7" ref="H30:M31">INDEX(ALLOC,($D30)+1,(H$1)+1)*$F30</f>
        <v>14548011.69176144</v>
      </c>
      <c r="I30" s="5">
        <f ca="1" t="shared" si="7"/>
        <v>6860427.323865616</v>
      </c>
      <c r="J30" s="5">
        <f ca="1" t="shared" si="7"/>
        <v>536987.739975935</v>
      </c>
      <c r="K30" s="5">
        <f ca="1" t="shared" si="7"/>
        <v>226785.7734769784</v>
      </c>
      <c r="L30" s="5">
        <f ca="1" t="shared" si="7"/>
        <v>5384937.252918341</v>
      </c>
      <c r="M30" s="5">
        <f ca="1" t="shared" si="7"/>
        <v>298289.2180016908</v>
      </c>
      <c r="R30" s="5">
        <f t="shared" si="1"/>
        <v>0</v>
      </c>
    </row>
    <row r="31" spans="2:18" ht="15">
      <c r="B31" s="1" t="s">
        <v>84</v>
      </c>
      <c r="D31" s="1">
        <v>12</v>
      </c>
      <c r="E31" s="13">
        <v>0</v>
      </c>
      <c r="F31" s="5">
        <f>E31*E29</f>
        <v>0</v>
      </c>
      <c r="H31" s="5">
        <f ca="1" t="shared" si="7"/>
        <v>0</v>
      </c>
      <c r="I31" s="5">
        <f ca="1" t="shared" si="7"/>
        <v>0</v>
      </c>
      <c r="J31" s="5">
        <f ca="1" t="shared" si="7"/>
        <v>0</v>
      </c>
      <c r="K31" s="5">
        <f ca="1" t="shared" si="7"/>
        <v>0</v>
      </c>
      <c r="L31" s="5">
        <f ca="1" t="shared" si="7"/>
        <v>0</v>
      </c>
      <c r="M31" s="5">
        <f ca="1" t="shared" si="7"/>
        <v>0</v>
      </c>
      <c r="R31" s="5">
        <f t="shared" si="1"/>
        <v>0</v>
      </c>
    </row>
    <row r="32" spans="5:18" ht="15">
      <c r="E32" s="5"/>
      <c r="H32" s="5"/>
      <c r="I32" s="5"/>
      <c r="J32" s="5"/>
      <c r="K32" s="5"/>
      <c r="L32" s="5"/>
      <c r="M32" s="5"/>
      <c r="R32" s="5">
        <f t="shared" si="1"/>
        <v>0</v>
      </c>
    </row>
    <row r="33" spans="1:18" ht="15">
      <c r="A33" s="20">
        <v>378</v>
      </c>
      <c r="B33" s="1" t="s">
        <v>86</v>
      </c>
      <c r="D33" s="1">
        <v>9</v>
      </c>
      <c r="F33" s="5">
        <v>11741524</v>
      </c>
      <c r="G33" s="5"/>
      <c r="H33" s="5">
        <f aca="true" t="shared" si="8" ref="H33:M36">INDEX(ALLOC,($D33)+1,(H$1)+1)*$F33</f>
        <v>6896450.2754886</v>
      </c>
      <c r="I33" s="5">
        <f t="shared" si="8"/>
        <v>3064931.901607884</v>
      </c>
      <c r="J33" s="5">
        <f t="shared" si="8"/>
        <v>193830.3164801355</v>
      </c>
      <c r="K33" s="5">
        <f t="shared" si="8"/>
        <v>85409.40524980673</v>
      </c>
      <c r="L33" s="5">
        <f t="shared" si="8"/>
        <v>1440055.0268861274</v>
      </c>
      <c r="M33" s="5">
        <f t="shared" si="8"/>
        <v>60847.074287445765</v>
      </c>
      <c r="R33" s="5">
        <f t="shared" si="1"/>
        <v>0</v>
      </c>
    </row>
    <row r="34" spans="1:18" ht="15">
      <c r="A34" s="20">
        <v>379</v>
      </c>
      <c r="B34" s="1" t="s">
        <v>87</v>
      </c>
      <c r="D34" s="1">
        <v>9</v>
      </c>
      <c r="F34" s="5">
        <v>4383870</v>
      </c>
      <c r="G34" s="5"/>
      <c r="H34" s="5">
        <f t="shared" si="8"/>
        <v>2574890.7440981437</v>
      </c>
      <c r="I34" s="5">
        <f t="shared" si="8"/>
        <v>1144337.2270500623</v>
      </c>
      <c r="J34" s="5">
        <f t="shared" si="8"/>
        <v>72369.38829301644</v>
      </c>
      <c r="K34" s="5">
        <f t="shared" si="8"/>
        <v>31888.852707065133</v>
      </c>
      <c r="L34" s="5">
        <f t="shared" si="8"/>
        <v>537665.6412502574</v>
      </c>
      <c r="M34" s="5">
        <f t="shared" si="8"/>
        <v>22718.146601455217</v>
      </c>
      <c r="R34" s="5">
        <f t="shared" si="1"/>
        <v>0</v>
      </c>
    </row>
    <row r="35" spans="1:18" ht="15">
      <c r="A35" s="20">
        <v>380</v>
      </c>
      <c r="B35" s="1" t="s">
        <v>88</v>
      </c>
      <c r="D35" s="1">
        <v>14</v>
      </c>
      <c r="F35" s="5">
        <v>187198266</v>
      </c>
      <c r="G35" s="5"/>
      <c r="H35" s="5">
        <f t="shared" si="8"/>
        <v>157404538.46406376</v>
      </c>
      <c r="I35" s="5">
        <f t="shared" si="8"/>
        <v>29237187.046127822</v>
      </c>
      <c r="J35" s="5">
        <f t="shared" si="8"/>
        <v>272185.84631561866</v>
      </c>
      <c r="K35" s="5">
        <f t="shared" si="8"/>
        <v>80682.17786997184</v>
      </c>
      <c r="L35" s="5">
        <f t="shared" si="8"/>
        <v>199179.38517481415</v>
      </c>
      <c r="M35" s="5">
        <f t="shared" si="8"/>
        <v>4493.080448006513</v>
      </c>
      <c r="R35" s="5">
        <f t="shared" si="1"/>
        <v>0</v>
      </c>
    </row>
    <row r="36" spans="1:18" ht="15">
      <c r="A36" s="20">
        <v>381</v>
      </c>
      <c r="B36" s="1" t="s">
        <v>89</v>
      </c>
      <c r="D36" s="1">
        <v>15</v>
      </c>
      <c r="F36" s="5">
        <v>39833752</v>
      </c>
      <c r="G36" s="5"/>
      <c r="H36" s="5">
        <f t="shared" si="8"/>
        <v>32895014.497244757</v>
      </c>
      <c r="I36" s="5">
        <f t="shared" si="8"/>
        <v>6602586.332403282</v>
      </c>
      <c r="J36" s="5">
        <f t="shared" si="8"/>
        <v>263972.8224502444</v>
      </c>
      <c r="K36" s="5">
        <f t="shared" si="8"/>
        <v>37008.735814341264</v>
      </c>
      <c r="L36" s="5">
        <f t="shared" si="8"/>
        <v>35169.612087377434</v>
      </c>
      <c r="M36" s="5">
        <f t="shared" si="8"/>
        <v>0</v>
      </c>
      <c r="R36" s="5">
        <f t="shared" si="1"/>
        <v>0</v>
      </c>
    </row>
    <row r="37" spans="1:18" ht="15">
      <c r="A37" s="20">
        <v>382</v>
      </c>
      <c r="B37" s="1" t="s">
        <v>90</v>
      </c>
      <c r="D37" s="1">
        <v>15</v>
      </c>
      <c r="G37" s="5"/>
      <c r="H37" s="5"/>
      <c r="I37" s="5"/>
      <c r="J37" s="5"/>
      <c r="K37" s="5"/>
      <c r="L37" s="5"/>
      <c r="M37" s="5"/>
      <c r="R37" s="5">
        <f t="shared" si="1"/>
        <v>0</v>
      </c>
    </row>
    <row r="38" spans="1:18" ht="15">
      <c r="A38" s="20">
        <v>383</v>
      </c>
      <c r="B38" s="1" t="s">
        <v>91</v>
      </c>
      <c r="D38" s="1">
        <v>15</v>
      </c>
      <c r="F38" s="5">
        <v>23145111</v>
      </c>
      <c r="G38" s="5"/>
      <c r="H38" s="5">
        <f aca="true" t="shared" si="9" ref="H38:M38">INDEX(ALLOC,($D38)+1,(H$1)+1)*$F38</f>
        <v>19113408.194270503</v>
      </c>
      <c r="I38" s="5">
        <f t="shared" si="9"/>
        <v>3836384.620523742</v>
      </c>
      <c r="J38" s="5">
        <f t="shared" si="9"/>
        <v>153379.4827209397</v>
      </c>
      <c r="K38" s="5">
        <f t="shared" si="9"/>
        <v>21503.655954693997</v>
      </c>
      <c r="L38" s="5">
        <f t="shared" si="9"/>
        <v>20435.0465301208</v>
      </c>
      <c r="M38" s="5">
        <f t="shared" si="9"/>
        <v>0</v>
      </c>
      <c r="R38" s="5">
        <f t="shared" si="1"/>
        <v>0</v>
      </c>
    </row>
    <row r="39" spans="1:18" ht="15">
      <c r="A39" s="20">
        <v>384</v>
      </c>
      <c r="B39" s="1" t="s">
        <v>92</v>
      </c>
      <c r="D39" s="1">
        <v>15</v>
      </c>
      <c r="G39" s="5"/>
      <c r="H39" s="5"/>
      <c r="I39" s="5"/>
      <c r="J39" s="5"/>
      <c r="K39" s="5"/>
      <c r="L39" s="5"/>
      <c r="M39" s="5"/>
      <c r="R39" s="5">
        <f t="shared" si="1"/>
        <v>0</v>
      </c>
    </row>
    <row r="40" spans="1:18" ht="15">
      <c r="A40" s="20">
        <v>385</v>
      </c>
      <c r="B40" s="1" t="s">
        <v>93</v>
      </c>
      <c r="D40" s="1">
        <v>15</v>
      </c>
      <c r="F40" s="5">
        <v>944360</v>
      </c>
      <c r="G40" s="5"/>
      <c r="H40" s="5">
        <f aca="true" t="shared" si="10" ref="H40:M43">INDEX(ALLOC,($D40)+1,(H$1)+1)*$F40</f>
        <v>779859.6499425427</v>
      </c>
      <c r="I40" s="5">
        <f t="shared" si="10"/>
        <v>156531.0350094152</v>
      </c>
      <c r="J40" s="5">
        <f t="shared" si="10"/>
        <v>6258.14446525431</v>
      </c>
      <c r="K40" s="5">
        <f t="shared" si="10"/>
        <v>877.3858348475765</v>
      </c>
      <c r="L40" s="5">
        <f t="shared" si="10"/>
        <v>833.7847479402833</v>
      </c>
      <c r="M40" s="5">
        <f t="shared" si="10"/>
        <v>0</v>
      </c>
      <c r="R40" s="5">
        <f t="shared" si="1"/>
        <v>0</v>
      </c>
    </row>
    <row r="41" spans="1:18" ht="15">
      <c r="A41" s="20">
        <v>387</v>
      </c>
      <c r="B41" s="1" t="s">
        <v>94</v>
      </c>
      <c r="D41" s="1">
        <v>15</v>
      </c>
      <c r="F41" s="5">
        <v>51112</v>
      </c>
      <c r="G41" s="5"/>
      <c r="H41" s="5">
        <f t="shared" si="10"/>
        <v>42208.67722887801</v>
      </c>
      <c r="I41" s="5">
        <f t="shared" si="10"/>
        <v>8471.996125843143</v>
      </c>
      <c r="J41" s="5">
        <f t="shared" si="10"/>
        <v>338.71222829014175</v>
      </c>
      <c r="K41" s="5">
        <f t="shared" si="10"/>
        <v>47.48712862756717</v>
      </c>
      <c r="L41" s="5">
        <f t="shared" si="10"/>
        <v>45.127288361137445</v>
      </c>
      <c r="M41" s="5">
        <f t="shared" si="10"/>
        <v>0</v>
      </c>
      <c r="R41" s="5">
        <f t="shared" si="1"/>
        <v>0</v>
      </c>
    </row>
    <row r="42" spans="1:18" ht="15">
      <c r="A42" s="20">
        <v>388</v>
      </c>
      <c r="B42" s="1" t="s">
        <v>95</v>
      </c>
      <c r="D42" s="1">
        <v>9</v>
      </c>
      <c r="F42" s="5">
        <v>2963</v>
      </c>
      <c r="G42" s="5"/>
      <c r="H42" s="5">
        <f t="shared" si="10"/>
        <v>1740.334744133106</v>
      </c>
      <c r="I42" s="5">
        <f t="shared" si="10"/>
        <v>773.4424615121649</v>
      </c>
      <c r="J42" s="5">
        <f t="shared" si="10"/>
        <v>48.91351648479716</v>
      </c>
      <c r="K42" s="5">
        <f t="shared" si="10"/>
        <v>21.553255587194418</v>
      </c>
      <c r="L42" s="5">
        <f t="shared" si="10"/>
        <v>363.4011261794973</v>
      </c>
      <c r="M42" s="5">
        <f t="shared" si="10"/>
        <v>15.354896103240243</v>
      </c>
      <c r="R42" s="5">
        <f t="shared" si="1"/>
        <v>0</v>
      </c>
    </row>
    <row r="43" spans="1:18" ht="15">
      <c r="A43" s="20">
        <v>388</v>
      </c>
      <c r="B43" s="1" t="s">
        <v>96</v>
      </c>
      <c r="D43" s="1">
        <v>45</v>
      </c>
      <c r="E43" s="1">
        <v>30405</v>
      </c>
      <c r="F43" s="5">
        <v>11928647</v>
      </c>
      <c r="G43" s="5"/>
      <c r="H43" s="5">
        <f t="shared" si="10"/>
        <v>7449415.291603928</v>
      </c>
      <c r="I43" s="5">
        <f t="shared" si="10"/>
        <v>3525853.5758092445</v>
      </c>
      <c r="J43" s="5">
        <f t="shared" si="10"/>
        <v>275060.06597154326</v>
      </c>
      <c r="K43" s="5">
        <f t="shared" si="10"/>
        <v>74266.2376782758</v>
      </c>
      <c r="L43" s="5">
        <f t="shared" si="10"/>
        <v>592767.4025582176</v>
      </c>
      <c r="M43" s="5">
        <f t="shared" si="10"/>
        <v>11284.4263787922</v>
      </c>
      <c r="R43" s="5">
        <f aca="true" t="shared" si="11" ref="R43:R70">SUM(H43:M43)-F43</f>
        <v>0</v>
      </c>
    </row>
    <row r="44" spans="2:18" ht="15.75">
      <c r="B44" s="19" t="s">
        <v>97</v>
      </c>
      <c r="C44" s="3"/>
      <c r="D44" s="3"/>
      <c r="E44" s="15"/>
      <c r="F44" s="15">
        <f>SUM(F20:F43)</f>
        <v>595582168</v>
      </c>
      <c r="G44" s="15"/>
      <c r="H44" s="15">
        <f aca="true" ca="1" t="shared" si="12" ref="H44:M44">SUM(H20:H43)</f>
        <v>424680632.30037564</v>
      </c>
      <c r="I44" s="15">
        <f ca="1" t="shared" si="12"/>
        <v>141048399.2076535</v>
      </c>
      <c r="J44" s="15">
        <f ca="1" t="shared" si="12"/>
        <v>8525373.603090879</v>
      </c>
      <c r="K44" s="15">
        <f ca="1" t="shared" si="12"/>
        <v>2302360.3932574275</v>
      </c>
      <c r="L44" s="15">
        <f ca="1" t="shared" si="12"/>
        <v>18622395.719585758</v>
      </c>
      <c r="M44" s="15">
        <f ca="1" t="shared" si="12"/>
        <v>403006.77603683085</v>
      </c>
      <c r="R44" s="5">
        <f t="shared" si="11"/>
        <v>0</v>
      </c>
    </row>
    <row r="45" spans="7:18" ht="15">
      <c r="G45" s="5"/>
      <c r="H45" s="5"/>
      <c r="I45" s="5"/>
      <c r="J45" s="5"/>
      <c r="K45" s="5"/>
      <c r="L45" s="5"/>
      <c r="M45" s="5"/>
      <c r="R45" s="5">
        <f t="shared" si="11"/>
        <v>0</v>
      </c>
    </row>
    <row r="46" spans="2:18" ht="15.75">
      <c r="B46" s="4" t="s">
        <v>98</v>
      </c>
      <c r="G46" s="5"/>
      <c r="H46" s="5"/>
      <c r="I46" s="5"/>
      <c r="J46" s="5"/>
      <c r="K46" s="5"/>
      <c r="L46" s="5"/>
      <c r="M46" s="5"/>
      <c r="R46" s="5">
        <f t="shared" si="11"/>
        <v>0</v>
      </c>
    </row>
    <row r="47" spans="1:18" ht="15">
      <c r="A47" s="1">
        <v>117</v>
      </c>
      <c r="B47" s="1" t="s">
        <v>99</v>
      </c>
      <c r="D47" s="1">
        <v>7</v>
      </c>
      <c r="F47" s="5">
        <v>2139990</v>
      </c>
      <c r="G47" s="5"/>
      <c r="H47" s="5">
        <f aca="true" t="shared" si="13" ref="H47:M50">INDEX(ALLOC,($D47)+1,(H$1)+1)*$F47</f>
        <v>1443447.874865913</v>
      </c>
      <c r="I47" s="5">
        <f t="shared" si="13"/>
        <v>652335.851109158</v>
      </c>
      <c r="J47" s="5">
        <f t="shared" si="13"/>
        <v>44206.274024928796</v>
      </c>
      <c r="K47" s="5">
        <f t="shared" si="13"/>
        <v>0</v>
      </c>
      <c r="L47" s="5">
        <f t="shared" si="13"/>
        <v>0</v>
      </c>
      <c r="M47" s="5">
        <f t="shared" si="13"/>
        <v>0</v>
      </c>
      <c r="R47" s="5">
        <f t="shared" si="11"/>
        <v>0</v>
      </c>
    </row>
    <row r="48" spans="1:18" ht="15">
      <c r="A48" s="8" t="s">
        <v>60</v>
      </c>
      <c r="B48" s="1" t="s">
        <v>100</v>
      </c>
      <c r="D48" s="1">
        <v>34</v>
      </c>
      <c r="F48" s="5">
        <v>387</v>
      </c>
      <c r="G48" s="5"/>
      <c r="H48" s="5">
        <f t="shared" si="13"/>
        <v>273.73889712954343</v>
      </c>
      <c r="I48" s="5">
        <f t="shared" si="13"/>
        <v>95.55423245747411</v>
      </c>
      <c r="J48" s="5">
        <f t="shared" si="13"/>
        <v>5.903697897725471</v>
      </c>
      <c r="K48" s="5">
        <f t="shared" si="13"/>
        <v>1.2741681842346926</v>
      </c>
      <c r="L48" s="5">
        <f t="shared" si="13"/>
        <v>10.305973039500362</v>
      </c>
      <c r="M48" s="5">
        <f t="shared" si="13"/>
        <v>0.22303129152192283</v>
      </c>
      <c r="R48" s="5">
        <f t="shared" si="11"/>
        <v>0</v>
      </c>
    </row>
    <row r="49" spans="1:18" ht="15">
      <c r="A49" s="8" t="s">
        <v>61</v>
      </c>
      <c r="B49" s="1" t="s">
        <v>101</v>
      </c>
      <c r="D49" s="1">
        <v>34</v>
      </c>
      <c r="F49" s="5">
        <v>8980221</v>
      </c>
      <c r="G49" s="5"/>
      <c r="H49" s="5">
        <f t="shared" si="13"/>
        <v>6352030.471626786</v>
      </c>
      <c r="I49" s="5">
        <f t="shared" si="13"/>
        <v>2217307.8164172885</v>
      </c>
      <c r="J49" s="5">
        <f t="shared" si="13"/>
        <v>136993.57064292024</v>
      </c>
      <c r="K49" s="5">
        <f t="shared" si="13"/>
        <v>29566.697378801695</v>
      </c>
      <c r="L49" s="5">
        <f t="shared" si="13"/>
        <v>239147.06851357876</v>
      </c>
      <c r="M49" s="5">
        <f t="shared" si="13"/>
        <v>5175.375420626081</v>
      </c>
      <c r="R49" s="5">
        <f t="shared" si="11"/>
        <v>0</v>
      </c>
    </row>
    <row r="50" spans="2:18" ht="15">
      <c r="B50" s="1" t="s">
        <v>102</v>
      </c>
      <c r="D50" s="1">
        <v>34</v>
      </c>
      <c r="F50" s="5">
        <v>66023986</v>
      </c>
      <c r="G50" s="5"/>
      <c r="H50" s="5">
        <f t="shared" si="13"/>
        <v>46701119.15177369</v>
      </c>
      <c r="I50" s="5">
        <f t="shared" si="13"/>
        <v>16301993.038793325</v>
      </c>
      <c r="J50" s="5">
        <f t="shared" si="13"/>
        <v>1007198.1068414882</v>
      </c>
      <c r="K50" s="5">
        <f t="shared" si="13"/>
        <v>217378.9725001467</v>
      </c>
      <c r="L50" s="5">
        <f t="shared" si="13"/>
        <v>1758246.562471187</v>
      </c>
      <c r="M50" s="5">
        <f t="shared" si="13"/>
        <v>38050.16762016887</v>
      </c>
      <c r="R50" s="5">
        <f t="shared" si="11"/>
        <v>0</v>
      </c>
    </row>
    <row r="51" spans="2:18" ht="15.75">
      <c r="B51" s="19" t="s">
        <v>74</v>
      </c>
      <c r="C51" s="3"/>
      <c r="D51" s="3"/>
      <c r="E51" s="3"/>
      <c r="F51" s="15">
        <f>SUM(F47:F50)</f>
        <v>77144584</v>
      </c>
      <c r="G51" s="15"/>
      <c r="H51" s="15">
        <f aca="true" t="shared" si="14" ref="H51:M51">SUM(H47:H50)</f>
        <v>54496871.23716352</v>
      </c>
      <c r="I51" s="15">
        <f t="shared" si="14"/>
        <v>19171732.260552227</v>
      </c>
      <c r="J51" s="15">
        <f t="shared" si="14"/>
        <v>1188403.8552072349</v>
      </c>
      <c r="K51" s="15">
        <f t="shared" si="14"/>
        <v>246946.94404713262</v>
      </c>
      <c r="L51" s="15">
        <f t="shared" si="14"/>
        <v>1997403.9369578052</v>
      </c>
      <c r="M51" s="15">
        <f t="shared" si="14"/>
        <v>43225.76607208647</v>
      </c>
      <c r="R51" s="5">
        <f t="shared" si="11"/>
        <v>0</v>
      </c>
    </row>
    <row r="52" spans="7:18" ht="15">
      <c r="G52" s="5"/>
      <c r="H52" s="5"/>
      <c r="I52" s="5"/>
      <c r="J52" s="5"/>
      <c r="K52" s="5"/>
      <c r="L52" s="5"/>
      <c r="M52" s="5"/>
      <c r="R52" s="5">
        <f t="shared" si="11"/>
        <v>0</v>
      </c>
    </row>
    <row r="53" spans="1:18" ht="15.75">
      <c r="A53" s="4" t="s">
        <v>62</v>
      </c>
      <c r="B53" s="4"/>
      <c r="C53" s="4"/>
      <c r="D53" s="4"/>
      <c r="E53" s="6"/>
      <c r="F53" s="6">
        <f>F51+F44+F17+F13</f>
        <v>776434900</v>
      </c>
      <c r="G53" s="6"/>
      <c r="H53" s="6">
        <f aca="true" t="shared" si="15" ref="H53:M53">H51+H44+H17+H13</f>
        <v>549129842.490936</v>
      </c>
      <c r="I53" s="6">
        <f t="shared" si="15"/>
        <v>191833617.04175258</v>
      </c>
      <c r="J53" s="6">
        <f t="shared" si="15"/>
        <v>11856100.93135447</v>
      </c>
      <c r="K53" s="6">
        <f t="shared" si="15"/>
        <v>2549307.33730456</v>
      </c>
      <c r="L53" s="6">
        <f t="shared" si="15"/>
        <v>20619799.656543564</v>
      </c>
      <c r="M53" s="6">
        <f t="shared" si="15"/>
        <v>446232.5421089173</v>
      </c>
      <c r="R53" s="5">
        <f t="shared" si="11"/>
        <v>0</v>
      </c>
    </row>
    <row r="54" spans="7:18" ht="15">
      <c r="G54" s="5"/>
      <c r="H54" s="5"/>
      <c r="I54" s="5"/>
      <c r="J54" s="5"/>
      <c r="K54" s="5"/>
      <c r="L54" s="5"/>
      <c r="M54" s="5"/>
      <c r="R54" s="5">
        <f t="shared" si="11"/>
        <v>0</v>
      </c>
    </row>
    <row r="55" spans="1:18" ht="15.75">
      <c r="A55" s="4" t="s">
        <v>63</v>
      </c>
      <c r="G55" s="5"/>
      <c r="H55" s="5"/>
      <c r="I55" s="5"/>
      <c r="J55" s="5"/>
      <c r="K55" s="5"/>
      <c r="L55" s="5"/>
      <c r="M55" s="5"/>
      <c r="R55" s="5">
        <f t="shared" si="11"/>
        <v>0</v>
      </c>
    </row>
    <row r="56" spans="2:18" ht="15">
      <c r="B56" s="1" t="s">
        <v>103</v>
      </c>
      <c r="D56" s="1">
        <v>7</v>
      </c>
      <c r="F56" s="5">
        <v>6808906</v>
      </c>
      <c r="G56" s="5"/>
      <c r="H56" s="5">
        <f aca="true" t="shared" si="16" ref="H56:M59">INDEX(ALLOC,($D56)+1,(H$1)+1)*$F56</f>
        <v>4592685.431175737</v>
      </c>
      <c r="I56" s="5">
        <f t="shared" si="16"/>
        <v>2075567.4048160282</v>
      </c>
      <c r="J56" s="5">
        <f t="shared" si="16"/>
        <v>140653.16400823454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R56" s="5">
        <f t="shared" si="11"/>
        <v>0</v>
      </c>
    </row>
    <row r="57" spans="2:18" ht="15">
      <c r="B57" s="1" t="s">
        <v>76</v>
      </c>
      <c r="D57" s="1">
        <v>8</v>
      </c>
      <c r="F57" s="5">
        <v>543238</v>
      </c>
      <c r="G57" s="5"/>
      <c r="H57" s="5">
        <f t="shared" si="16"/>
        <v>366420.28077066195</v>
      </c>
      <c r="I57" s="5">
        <f t="shared" si="16"/>
        <v>165595.92478695544</v>
      </c>
      <c r="J57" s="5">
        <f t="shared" si="16"/>
        <v>11221.794442382567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R57" s="5">
        <f t="shared" si="11"/>
        <v>0</v>
      </c>
    </row>
    <row r="58" spans="2:18" ht="15">
      <c r="B58" s="1" t="s">
        <v>104</v>
      </c>
      <c r="D58" s="1">
        <v>45</v>
      </c>
      <c r="F58" s="5">
        <v>20758360</v>
      </c>
      <c r="G58" s="5"/>
      <c r="H58" s="5">
        <f t="shared" si="16"/>
        <v>12963552.732562153</v>
      </c>
      <c r="I58" s="5">
        <f t="shared" si="16"/>
        <v>6135728.3717034785</v>
      </c>
      <c r="J58" s="5">
        <f t="shared" si="16"/>
        <v>478662.4896403628</v>
      </c>
      <c r="K58" s="5">
        <f t="shared" si="16"/>
        <v>129238.906773854</v>
      </c>
      <c r="L58" s="5">
        <f t="shared" si="16"/>
        <v>1031540.2189844667</v>
      </c>
      <c r="M58" s="5">
        <f t="shared" si="16"/>
        <v>19637.280335688098</v>
      </c>
      <c r="R58" s="5">
        <f t="shared" si="11"/>
        <v>0</v>
      </c>
    </row>
    <row r="59" spans="2:18" ht="15">
      <c r="B59" s="1" t="s">
        <v>105</v>
      </c>
      <c r="D59" s="1">
        <v>35</v>
      </c>
      <c r="F59" s="5">
        <v>10182047</v>
      </c>
      <c r="G59" s="5"/>
      <c r="H59" s="5">
        <f t="shared" si="16"/>
        <v>7260321.73292358</v>
      </c>
      <c r="I59" s="5">
        <f t="shared" si="16"/>
        <v>2411357.336015961</v>
      </c>
      <c r="J59" s="5">
        <f t="shared" si="16"/>
        <v>145749.41860789672</v>
      </c>
      <c r="K59" s="5">
        <f t="shared" si="16"/>
        <v>39361.053763257754</v>
      </c>
      <c r="L59" s="5">
        <f t="shared" si="16"/>
        <v>318367.67226620694</v>
      </c>
      <c r="M59" s="5">
        <f t="shared" si="16"/>
        <v>6889.786423097687</v>
      </c>
      <c r="R59" s="5">
        <f t="shared" si="11"/>
        <v>0</v>
      </c>
    </row>
    <row r="60" spans="2:18" ht="15">
      <c r="B60" s="1" t="s">
        <v>106</v>
      </c>
      <c r="D60" s="1">
        <v>34</v>
      </c>
      <c r="G60" s="5"/>
      <c r="H60" s="5"/>
      <c r="I60" s="5"/>
      <c r="J60" s="5"/>
      <c r="K60" s="5"/>
      <c r="L60" s="5"/>
      <c r="M60" s="5"/>
      <c r="R60" s="5">
        <f t="shared" si="11"/>
        <v>0</v>
      </c>
    </row>
    <row r="61" spans="2:18" ht="15">
      <c r="B61" s="1" t="s">
        <v>107</v>
      </c>
      <c r="D61" s="1">
        <v>34</v>
      </c>
      <c r="F61" s="5">
        <v>39317146</v>
      </c>
      <c r="G61" s="5"/>
      <c r="H61" s="5">
        <f aca="true" t="shared" si="17" ref="H61:M61">INDEX(ALLOC,($D61)+1,(H$1)+1)*$F61</f>
        <v>27810419.08093344</v>
      </c>
      <c r="I61" s="5">
        <f t="shared" si="17"/>
        <v>9707802.864207879</v>
      </c>
      <c r="J61" s="5">
        <f t="shared" si="17"/>
        <v>599784.3725704532</v>
      </c>
      <c r="K61" s="5">
        <f t="shared" si="17"/>
        <v>129448.72487883801</v>
      </c>
      <c r="L61" s="5">
        <f t="shared" si="17"/>
        <v>1047032.1619279056</v>
      </c>
      <c r="M61" s="5">
        <f t="shared" si="17"/>
        <v>22658.795481488378</v>
      </c>
      <c r="R61" s="5">
        <f t="shared" si="11"/>
        <v>0</v>
      </c>
    </row>
    <row r="62" spans="2:18" ht="15.75">
      <c r="B62" s="19" t="s">
        <v>74</v>
      </c>
      <c r="C62" s="3"/>
      <c r="D62" s="3"/>
      <c r="E62" s="15"/>
      <c r="F62" s="15">
        <f>SUM(F56:F61)</f>
        <v>77609697</v>
      </c>
      <c r="G62" s="15"/>
      <c r="H62" s="15">
        <f aca="true" t="shared" si="18" ref="H62:M62">SUM(H56:H61)</f>
        <v>52993399.25836557</v>
      </c>
      <c r="I62" s="15">
        <f t="shared" si="18"/>
        <v>20496051.901530303</v>
      </c>
      <c r="J62" s="15">
        <f t="shared" si="18"/>
        <v>1376071.2392693297</v>
      </c>
      <c r="K62" s="15">
        <f t="shared" si="18"/>
        <v>298048.6854159498</v>
      </c>
      <c r="L62" s="15">
        <f t="shared" si="18"/>
        <v>2396940.0531785795</v>
      </c>
      <c r="M62" s="15">
        <f t="shared" si="18"/>
        <v>49185.86224027416</v>
      </c>
      <c r="R62" s="5">
        <f t="shared" si="11"/>
        <v>0</v>
      </c>
    </row>
    <row r="63" spans="7:18" ht="15">
      <c r="G63" s="5"/>
      <c r="H63" s="5"/>
      <c r="I63" s="5"/>
      <c r="J63" s="5"/>
      <c r="K63" s="5"/>
      <c r="L63" s="5"/>
      <c r="M63" s="5"/>
      <c r="R63" s="5">
        <f t="shared" si="11"/>
        <v>0</v>
      </c>
    </row>
    <row r="64" spans="1:18" ht="15.75">
      <c r="A64" s="16" t="s">
        <v>64</v>
      </c>
      <c r="B64" s="16"/>
      <c r="C64" s="16"/>
      <c r="D64" s="4"/>
      <c r="E64" s="6"/>
      <c r="F64" s="6">
        <f>F62+F53</f>
        <v>854044597</v>
      </c>
      <c r="G64" s="6"/>
      <c r="H64" s="6">
        <f aca="true" t="shared" si="19" ref="H64:M64">H62+H53</f>
        <v>602123241.7493017</v>
      </c>
      <c r="I64" s="6">
        <f t="shared" si="19"/>
        <v>212329668.94328287</v>
      </c>
      <c r="J64" s="6">
        <f t="shared" si="19"/>
        <v>13232172.1706238</v>
      </c>
      <c r="K64" s="6">
        <f t="shared" si="19"/>
        <v>2847356.0227205097</v>
      </c>
      <c r="L64" s="6">
        <f t="shared" si="19"/>
        <v>23016739.709722143</v>
      </c>
      <c r="M64" s="6">
        <f t="shared" si="19"/>
        <v>495418.40434919146</v>
      </c>
      <c r="R64" s="5">
        <f t="shared" si="11"/>
        <v>0</v>
      </c>
    </row>
    <row r="65" spans="7:18" ht="15">
      <c r="G65" s="5"/>
      <c r="H65" s="5"/>
      <c r="I65" s="5"/>
      <c r="J65" s="5"/>
      <c r="K65" s="5"/>
      <c r="L65" s="5"/>
      <c r="M65" s="5"/>
      <c r="R65" s="5">
        <f t="shared" si="11"/>
        <v>0</v>
      </c>
    </row>
    <row r="66" spans="1:18" ht="15">
      <c r="A66" s="1" t="s">
        <v>65</v>
      </c>
      <c r="G66" s="5"/>
      <c r="H66" s="5"/>
      <c r="I66" s="5"/>
      <c r="J66" s="5"/>
      <c r="K66" s="5"/>
      <c r="L66" s="5"/>
      <c r="M66" s="5"/>
      <c r="R66" s="5">
        <f t="shared" si="11"/>
        <v>0</v>
      </c>
    </row>
    <row r="67" spans="1:18" ht="15.75">
      <c r="A67" s="16" t="s">
        <v>66</v>
      </c>
      <c r="B67" s="7"/>
      <c r="C67" s="7"/>
      <c r="G67" s="5"/>
      <c r="H67" s="5"/>
      <c r="I67" s="5"/>
      <c r="J67" s="5"/>
      <c r="K67" s="5"/>
      <c r="L67" s="5"/>
      <c r="M67" s="5"/>
      <c r="R67" s="5">
        <f t="shared" si="11"/>
        <v>0</v>
      </c>
    </row>
    <row r="68" spans="7:18" ht="15">
      <c r="G68" s="5"/>
      <c r="H68" s="5"/>
      <c r="I68" s="5"/>
      <c r="J68" s="5"/>
      <c r="K68" s="5"/>
      <c r="L68" s="5"/>
      <c r="M68" s="5"/>
      <c r="R68" s="5">
        <f t="shared" si="11"/>
        <v>0</v>
      </c>
    </row>
    <row r="69" spans="2:18" ht="15">
      <c r="B69" s="1" t="s">
        <v>103</v>
      </c>
      <c r="D69" s="1">
        <v>7</v>
      </c>
      <c r="F69" s="5">
        <v>31115896</v>
      </c>
      <c r="G69" s="5"/>
      <c r="H69" s="5">
        <f aca="true" t="shared" si="20" ref="H69:M73">INDEX(ALLOC,($D69)+1,(H$1)+1)*$F69</f>
        <v>20988029.829928536</v>
      </c>
      <c r="I69" s="5">
        <f t="shared" si="20"/>
        <v>9485097.827645944</v>
      </c>
      <c r="J69" s="5">
        <f t="shared" si="20"/>
        <v>642768.3424255188</v>
      </c>
      <c r="K69" s="5">
        <f t="shared" si="20"/>
        <v>0</v>
      </c>
      <c r="L69" s="5">
        <f t="shared" si="20"/>
        <v>0</v>
      </c>
      <c r="M69" s="5">
        <f t="shared" si="20"/>
        <v>0</v>
      </c>
      <c r="R69" s="5">
        <f t="shared" si="11"/>
        <v>0</v>
      </c>
    </row>
    <row r="70" spans="2:18" ht="15">
      <c r="B70" s="1" t="s">
        <v>76</v>
      </c>
      <c r="D70" s="1">
        <v>8</v>
      </c>
      <c r="F70" s="5">
        <v>12306066</v>
      </c>
      <c r="G70" s="5"/>
      <c r="H70" s="5">
        <f t="shared" si="20"/>
        <v>8300583.09415449</v>
      </c>
      <c r="I70" s="5">
        <f t="shared" si="20"/>
        <v>3751273.6217998546</v>
      </c>
      <c r="J70" s="5">
        <f t="shared" si="20"/>
        <v>254209.28404565415</v>
      </c>
      <c r="K70" s="5">
        <f t="shared" si="20"/>
        <v>0</v>
      </c>
      <c r="L70" s="5">
        <f t="shared" si="20"/>
        <v>0</v>
      </c>
      <c r="M70" s="5">
        <f t="shared" si="20"/>
        <v>0</v>
      </c>
      <c r="R70" s="5">
        <f t="shared" si="11"/>
        <v>0</v>
      </c>
    </row>
    <row r="71" spans="2:18" ht="15">
      <c r="B71" s="1" t="s">
        <v>108</v>
      </c>
      <c r="D71" s="1">
        <v>50</v>
      </c>
      <c r="F71" s="5">
        <v>192425924</v>
      </c>
      <c r="G71" s="5"/>
      <c r="H71" s="5">
        <f t="shared" si="20"/>
        <v>135388468.7193016</v>
      </c>
      <c r="I71" s="5">
        <f t="shared" si="20"/>
        <v>46798488.0084625</v>
      </c>
      <c r="J71" s="5">
        <f t="shared" si="20"/>
        <v>2896105.5252751457</v>
      </c>
      <c r="K71" s="5">
        <f t="shared" si="20"/>
        <v>791314.5064466635</v>
      </c>
      <c r="L71" s="5">
        <f t="shared" si="20"/>
        <v>6416047.816117321</v>
      </c>
      <c r="M71" s="5">
        <f t="shared" si="20"/>
        <v>135499.42439675197</v>
      </c>
      <c r="R71" s="5"/>
    </row>
    <row r="72" spans="2:18" ht="15">
      <c r="B72" s="1" t="s">
        <v>109</v>
      </c>
      <c r="D72" s="1">
        <v>34</v>
      </c>
      <c r="F72" s="5">
        <v>4908558</v>
      </c>
      <c r="G72" s="5"/>
      <c r="H72" s="5">
        <f t="shared" si="20"/>
        <v>3471998.0708434046</v>
      </c>
      <c r="I72" s="5">
        <f t="shared" si="20"/>
        <v>1211972.8479663935</v>
      </c>
      <c r="J72" s="5">
        <f t="shared" si="20"/>
        <v>74880.21587975076</v>
      </c>
      <c r="K72" s="5">
        <f t="shared" si="20"/>
        <v>16161.055385195541</v>
      </c>
      <c r="L72" s="5">
        <f t="shared" si="20"/>
        <v>130716.96746982899</v>
      </c>
      <c r="M72" s="5">
        <f t="shared" si="20"/>
        <v>2828.842455427045</v>
      </c>
      <c r="R72" s="5">
        <f aca="true" t="shared" si="21" ref="R72:R103">SUM(H72:M72)-F72</f>
        <v>0</v>
      </c>
    </row>
    <row r="73" spans="2:18" ht="15">
      <c r="B73" s="1" t="s">
        <v>107</v>
      </c>
      <c r="D73" s="1">
        <v>34</v>
      </c>
      <c r="F73" s="5">
        <v>29360397</v>
      </c>
      <c r="G73" s="5"/>
      <c r="H73" s="5">
        <f t="shared" si="20"/>
        <v>20767655.540221076</v>
      </c>
      <c r="I73" s="5">
        <f t="shared" si="20"/>
        <v>7249380.361709886</v>
      </c>
      <c r="J73" s="5">
        <f t="shared" si="20"/>
        <v>447893.8347423391</v>
      </c>
      <c r="K73" s="5">
        <f t="shared" si="20"/>
        <v>96666.8830333326</v>
      </c>
      <c r="L73" s="5">
        <f t="shared" si="20"/>
        <v>781879.7413721635</v>
      </c>
      <c r="M73" s="5">
        <f t="shared" si="20"/>
        <v>16920.63892120514</v>
      </c>
      <c r="R73" s="5">
        <f t="shared" si="21"/>
        <v>0</v>
      </c>
    </row>
    <row r="74" spans="2:18" ht="15.75">
      <c r="B74" s="19" t="s">
        <v>74</v>
      </c>
      <c r="C74" s="3"/>
      <c r="D74" s="3"/>
      <c r="E74" s="3"/>
      <c r="F74" s="15">
        <f>SUM(F69:F73)</f>
        <v>270116841</v>
      </c>
      <c r="G74" s="15"/>
      <c r="H74" s="15">
        <f aca="true" t="shared" si="22" ref="H74:M74">SUM(H69:H73)</f>
        <v>188916735.2544491</v>
      </c>
      <c r="I74" s="15">
        <f t="shared" si="22"/>
        <v>68496212.66758458</v>
      </c>
      <c r="J74" s="15">
        <f t="shared" si="22"/>
        <v>4315857.202368408</v>
      </c>
      <c r="K74" s="15">
        <f t="shared" si="22"/>
        <v>904142.4448651917</v>
      </c>
      <c r="L74" s="15">
        <f t="shared" si="22"/>
        <v>7328644.524959314</v>
      </c>
      <c r="M74" s="15">
        <f t="shared" si="22"/>
        <v>155248.90577338415</v>
      </c>
      <c r="R74" s="5">
        <f t="shared" si="21"/>
        <v>0</v>
      </c>
    </row>
    <row r="75" spans="7:18" ht="15">
      <c r="G75" s="5"/>
      <c r="H75" s="5"/>
      <c r="I75" s="5"/>
      <c r="J75" s="5"/>
      <c r="K75" s="5"/>
      <c r="L75" s="5"/>
      <c r="M75" s="5"/>
      <c r="R75" s="5">
        <f t="shared" si="21"/>
        <v>0</v>
      </c>
    </row>
    <row r="76" spans="1:18" ht="15.75">
      <c r="A76" s="16" t="s">
        <v>67</v>
      </c>
      <c r="B76" s="7"/>
      <c r="C76" s="7"/>
      <c r="G76" s="5"/>
      <c r="H76" s="5"/>
      <c r="I76" s="5"/>
      <c r="J76" s="5"/>
      <c r="K76" s="5"/>
      <c r="L76" s="5"/>
      <c r="M76" s="5"/>
      <c r="R76" s="5">
        <f t="shared" si="21"/>
        <v>0</v>
      </c>
    </row>
    <row r="77" spans="2:18" ht="15">
      <c r="B77" s="1" t="s">
        <v>110</v>
      </c>
      <c r="D77" s="1">
        <v>36</v>
      </c>
      <c r="F77" s="5">
        <v>6368917</v>
      </c>
      <c r="G77" s="5"/>
      <c r="H77" s="5">
        <f aca="true" t="shared" si="23" ref="H77:M80">INDEX(ALLOC,($D77)+1,(H$1)+1)*$F77</f>
        <v>4490669.220991116</v>
      </c>
      <c r="I77" s="5">
        <f t="shared" si="23"/>
        <v>1551791.5876784457</v>
      </c>
      <c r="J77" s="5">
        <f t="shared" si="23"/>
        <v>95600.84669434433</v>
      </c>
      <c r="K77" s="5">
        <f t="shared" si="23"/>
        <v>25903.386968086117</v>
      </c>
      <c r="L77" s="5">
        <f t="shared" si="23"/>
        <v>201114.4819714169</v>
      </c>
      <c r="M77" s="5">
        <f t="shared" si="23"/>
        <v>3837.475696590739</v>
      </c>
      <c r="R77" s="5">
        <f t="shared" si="21"/>
        <v>0</v>
      </c>
    </row>
    <row r="78" spans="2:18" ht="15">
      <c r="B78" s="1" t="s">
        <v>111</v>
      </c>
      <c r="D78" s="1">
        <v>34</v>
      </c>
      <c r="F78" s="5">
        <v>86384999</v>
      </c>
      <c r="G78" s="5"/>
      <c r="H78" s="5">
        <f t="shared" si="23"/>
        <v>61103189.54727833</v>
      </c>
      <c r="I78" s="5">
        <f t="shared" si="23"/>
        <v>21329334.044663228</v>
      </c>
      <c r="J78" s="5">
        <f t="shared" si="23"/>
        <v>1317806.038737253</v>
      </c>
      <c r="K78" s="5">
        <f t="shared" si="23"/>
        <v>284416.06542880036</v>
      </c>
      <c r="L78" s="5">
        <f t="shared" si="23"/>
        <v>2300468.916566578</v>
      </c>
      <c r="M78" s="5">
        <f t="shared" si="23"/>
        <v>49784.38732581399</v>
      </c>
      <c r="R78" s="5">
        <f t="shared" si="21"/>
        <v>0</v>
      </c>
    </row>
    <row r="79" spans="2:18" ht="15">
      <c r="B79" s="1" t="s">
        <v>112</v>
      </c>
      <c r="D79" s="1">
        <v>34</v>
      </c>
      <c r="F79" s="5">
        <v>3417946</v>
      </c>
      <c r="G79" s="5"/>
      <c r="H79" s="5">
        <f t="shared" si="23"/>
        <v>2417635.060693371</v>
      </c>
      <c r="I79" s="5">
        <f t="shared" si="23"/>
        <v>843925.5984782786</v>
      </c>
      <c r="J79" s="5">
        <f t="shared" si="23"/>
        <v>52140.88014144492</v>
      </c>
      <c r="K79" s="5">
        <f t="shared" si="23"/>
        <v>11253.328291039355</v>
      </c>
      <c r="L79" s="5">
        <f t="shared" si="23"/>
        <v>91021.34192885815</v>
      </c>
      <c r="M79" s="5">
        <f t="shared" si="23"/>
        <v>1969.790467008243</v>
      </c>
      <c r="R79" s="5">
        <f t="shared" si="21"/>
        <v>0</v>
      </c>
    </row>
    <row r="80" spans="2:18" ht="15">
      <c r="B80" s="1" t="s">
        <v>113</v>
      </c>
      <c r="D80" s="1">
        <v>37</v>
      </c>
      <c r="F80" s="5">
        <v>20308114</v>
      </c>
      <c r="G80" s="5"/>
      <c r="H80" s="5">
        <f t="shared" si="23"/>
        <v>14203270.635965904</v>
      </c>
      <c r="I80" s="5">
        <f t="shared" si="23"/>
        <v>5149730.354730277</v>
      </c>
      <c r="J80" s="5">
        <f t="shared" si="23"/>
        <v>324477.80652602366</v>
      </c>
      <c r="K80" s="5">
        <f t="shared" si="23"/>
        <v>67975.87212476332</v>
      </c>
      <c r="L80" s="5">
        <f t="shared" si="23"/>
        <v>550987.2984126509</v>
      </c>
      <c r="M80" s="5">
        <f t="shared" si="23"/>
        <v>11672.032240378316</v>
      </c>
      <c r="R80" s="5">
        <f t="shared" si="21"/>
        <v>0</v>
      </c>
    </row>
    <row r="81" spans="2:18" ht="15">
      <c r="B81" s="1" t="s">
        <v>114</v>
      </c>
      <c r="D81" s="1">
        <v>37</v>
      </c>
      <c r="G81" s="5"/>
      <c r="H81" s="5"/>
      <c r="I81" s="5"/>
      <c r="J81" s="5"/>
      <c r="K81" s="5"/>
      <c r="L81" s="5"/>
      <c r="M81" s="5"/>
      <c r="R81" s="5">
        <f t="shared" si="21"/>
        <v>0</v>
      </c>
    </row>
    <row r="82" spans="2:18" ht="15">
      <c r="B82" s="1" t="s">
        <v>115</v>
      </c>
      <c r="D82" s="1">
        <v>37</v>
      </c>
      <c r="G82" s="5"/>
      <c r="H82" s="5"/>
      <c r="I82" s="5"/>
      <c r="J82" s="5"/>
      <c r="K82" s="5"/>
      <c r="L82" s="5"/>
      <c r="M82" s="5"/>
      <c r="R82" s="5">
        <f t="shared" si="21"/>
        <v>0</v>
      </c>
    </row>
    <row r="83" spans="2:18" ht="15">
      <c r="B83" s="1" t="s">
        <v>116</v>
      </c>
      <c r="D83" s="1">
        <v>37</v>
      </c>
      <c r="F83" s="5">
        <v>2155824</v>
      </c>
      <c r="G83" s="5"/>
      <c r="H83" s="5">
        <f aca="true" t="shared" si="24" ref="H83:M83">INDEX(ALLOC,($D83)+1,(H$1)+1)*$F83</f>
        <v>1507759.4953184999</v>
      </c>
      <c r="I83" s="5">
        <f t="shared" si="24"/>
        <v>546673.7232347644</v>
      </c>
      <c r="J83" s="5">
        <f t="shared" si="24"/>
        <v>34445.19972539836</v>
      </c>
      <c r="K83" s="5">
        <f t="shared" si="24"/>
        <v>7216.032791006382</v>
      </c>
      <c r="L83" s="5">
        <f t="shared" si="24"/>
        <v>58490.495060898065</v>
      </c>
      <c r="M83" s="5">
        <f t="shared" si="24"/>
        <v>1239.053869432747</v>
      </c>
      <c r="R83" s="5">
        <f t="shared" si="21"/>
        <v>0</v>
      </c>
    </row>
    <row r="84" spans="2:18" ht="15">
      <c r="B84" s="1" t="s">
        <v>117</v>
      </c>
      <c r="D84" s="1">
        <v>34</v>
      </c>
      <c r="G84" s="5"/>
      <c r="H84" s="5"/>
      <c r="I84" s="5"/>
      <c r="J84" s="5"/>
      <c r="K84" s="5"/>
      <c r="L84" s="5"/>
      <c r="M84" s="5"/>
      <c r="R84" s="5">
        <f t="shared" si="21"/>
        <v>0</v>
      </c>
    </row>
    <row r="85" spans="2:18" ht="15">
      <c r="B85" s="1" t="s">
        <v>118</v>
      </c>
      <c r="F85" s="5">
        <f>SUM(F77:F84)</f>
        <v>118635800</v>
      </c>
      <c r="G85" s="5"/>
      <c r="H85" s="5">
        <f aca="true" t="shared" si="25" ref="H85:M85">SUM(H77:H84)</f>
        <v>83722523.96024722</v>
      </c>
      <c r="I85" s="5">
        <f t="shared" si="25"/>
        <v>29421455.308785</v>
      </c>
      <c r="J85" s="5">
        <f t="shared" si="25"/>
        <v>1824470.7718244644</v>
      </c>
      <c r="K85" s="5">
        <f t="shared" si="25"/>
        <v>396764.6856036955</v>
      </c>
      <c r="L85" s="5">
        <f t="shared" si="25"/>
        <v>3202082.5339404023</v>
      </c>
      <c r="M85" s="5">
        <f t="shared" si="25"/>
        <v>68502.73959922402</v>
      </c>
      <c r="R85" s="5">
        <f t="shared" si="21"/>
        <v>0</v>
      </c>
    </row>
    <row r="86" spans="1:18" ht="15">
      <c r="A86" s="1" t="s">
        <v>68</v>
      </c>
      <c r="G86" s="5"/>
      <c r="H86" s="5"/>
      <c r="I86" s="5"/>
      <c r="J86" s="5"/>
      <c r="K86" s="5"/>
      <c r="L86" s="5"/>
      <c r="M86" s="5"/>
      <c r="R86" s="5">
        <f t="shared" si="21"/>
        <v>0</v>
      </c>
    </row>
    <row r="87" spans="2:18" ht="15">
      <c r="B87" s="1" t="s">
        <v>119</v>
      </c>
      <c r="D87" s="1">
        <v>34</v>
      </c>
      <c r="F87" s="5">
        <v>55133</v>
      </c>
      <c r="G87" s="5"/>
      <c r="H87" s="5">
        <f aca="true" t="shared" si="26" ref="H87:M90">INDEX(ALLOC,($D87)+1,(H$1)+1)*$F87</f>
        <v>38997.53647401323</v>
      </c>
      <c r="I87" s="5">
        <f t="shared" si="26"/>
        <v>13612.897927849925</v>
      </c>
      <c r="J87" s="5">
        <f t="shared" si="26"/>
        <v>841.0557524426315</v>
      </c>
      <c r="K87" s="5">
        <f t="shared" si="26"/>
        <v>181.521226101838</v>
      </c>
      <c r="L87" s="5">
        <f t="shared" si="26"/>
        <v>1468.2150170200864</v>
      </c>
      <c r="M87" s="5">
        <f t="shared" si="26"/>
        <v>31.77360257229502</v>
      </c>
      <c r="R87" s="5">
        <f t="shared" si="21"/>
        <v>0</v>
      </c>
    </row>
    <row r="88" spans="2:18" ht="15">
      <c r="B88" s="1" t="s">
        <v>120</v>
      </c>
      <c r="D88" s="1">
        <v>34</v>
      </c>
      <c r="F88" s="5">
        <v>691403</v>
      </c>
      <c r="G88" s="5"/>
      <c r="H88" s="5">
        <f t="shared" si="26"/>
        <v>489053.99145234557</v>
      </c>
      <c r="I88" s="5">
        <f t="shared" si="26"/>
        <v>170714.4263147157</v>
      </c>
      <c r="J88" s="5">
        <f t="shared" si="26"/>
        <v>10547.37580770306</v>
      </c>
      <c r="K88" s="5">
        <f t="shared" si="26"/>
        <v>2276.3920028021166</v>
      </c>
      <c r="L88" s="5">
        <f t="shared" si="26"/>
        <v>18412.35317165289</v>
      </c>
      <c r="M88" s="5">
        <f t="shared" si="26"/>
        <v>398.46125078070287</v>
      </c>
      <c r="R88" s="5">
        <f t="shared" si="21"/>
        <v>0</v>
      </c>
    </row>
    <row r="89" spans="2:18" ht="15">
      <c r="B89" s="1" t="s">
        <v>121</v>
      </c>
      <c r="D89" s="1">
        <v>7</v>
      </c>
      <c r="F89" s="5">
        <v>36144520</v>
      </c>
      <c r="G89" s="5"/>
      <c r="H89" s="5">
        <f t="shared" si="26"/>
        <v>24379894.570558038</v>
      </c>
      <c r="I89" s="5">
        <f t="shared" si="26"/>
        <v>11017979.624732818</v>
      </c>
      <c r="J89" s="5">
        <f t="shared" si="26"/>
        <v>746645.8047091432</v>
      </c>
      <c r="K89" s="5">
        <f t="shared" si="26"/>
        <v>0</v>
      </c>
      <c r="L89" s="5">
        <f t="shared" si="26"/>
        <v>0</v>
      </c>
      <c r="M89" s="5">
        <f t="shared" si="26"/>
        <v>0</v>
      </c>
      <c r="R89" s="5">
        <f t="shared" si="21"/>
        <v>0</v>
      </c>
    </row>
    <row r="90" spans="2:18" ht="15">
      <c r="B90" s="1" t="s">
        <v>122</v>
      </c>
      <c r="D90" s="1">
        <v>38</v>
      </c>
      <c r="F90" s="5">
        <v>8164483</v>
      </c>
      <c r="G90" s="5"/>
      <c r="H90" s="5">
        <f t="shared" si="26"/>
        <v>5775389.927793448</v>
      </c>
      <c r="I90" s="5">
        <f t="shared" si="26"/>
        <v>1972266.1467388826</v>
      </c>
      <c r="J90" s="5">
        <f t="shared" si="26"/>
        <v>121004.08155973934</v>
      </c>
      <c r="K90" s="5">
        <f t="shared" si="26"/>
        <v>22395.96130132029</v>
      </c>
      <c r="L90" s="5">
        <f t="shared" si="26"/>
        <v>264660.6787210627</v>
      </c>
      <c r="M90" s="5">
        <f t="shared" si="26"/>
        <v>8766.203885547964</v>
      </c>
      <c r="R90" s="5">
        <f t="shared" si="21"/>
        <v>0</v>
      </c>
    </row>
    <row r="91" spans="1:18" ht="15.75">
      <c r="A91" s="3"/>
      <c r="B91" s="19" t="s">
        <v>74</v>
      </c>
      <c r="C91" s="3"/>
      <c r="D91" s="3"/>
      <c r="E91" s="3"/>
      <c r="F91" s="15">
        <f>SUM(F87:F90)</f>
        <v>45055539</v>
      </c>
      <c r="G91" s="15"/>
      <c r="H91" s="15">
        <f aca="true" t="shared" si="27" ref="H91:M91">SUM(H87:H90)</f>
        <v>30683336.026277844</v>
      </c>
      <c r="I91" s="15">
        <f t="shared" si="27"/>
        <v>13174573.095714267</v>
      </c>
      <c r="J91" s="15">
        <f t="shared" si="27"/>
        <v>879038.3178290282</v>
      </c>
      <c r="K91" s="15">
        <f t="shared" si="27"/>
        <v>24853.874530224246</v>
      </c>
      <c r="L91" s="15">
        <f t="shared" si="27"/>
        <v>284541.2469097357</v>
      </c>
      <c r="M91" s="15">
        <f t="shared" si="27"/>
        <v>9196.438738900963</v>
      </c>
      <c r="R91" s="5">
        <f t="shared" si="21"/>
        <v>0</v>
      </c>
    </row>
    <row r="92" spans="1:18" ht="15">
      <c r="A92" s="7" t="s">
        <v>69</v>
      </c>
      <c r="B92" s="7"/>
      <c r="C92" s="7"/>
      <c r="G92" s="5"/>
      <c r="H92" s="5"/>
      <c r="I92" s="5"/>
      <c r="J92" s="5"/>
      <c r="K92" s="5"/>
      <c r="L92" s="5"/>
      <c r="M92" s="5"/>
      <c r="R92" s="5">
        <f t="shared" si="21"/>
        <v>0</v>
      </c>
    </row>
    <row r="93" spans="2:18" ht="15">
      <c r="B93" s="1" t="s">
        <v>123</v>
      </c>
      <c r="D93" s="8" t="s">
        <v>139</v>
      </c>
      <c r="G93" s="5"/>
      <c r="H93" s="5"/>
      <c r="I93" s="5"/>
      <c r="J93" s="5"/>
      <c r="K93" s="5"/>
      <c r="L93" s="5"/>
      <c r="M93" s="5"/>
      <c r="R93" s="5">
        <f t="shared" si="21"/>
        <v>0</v>
      </c>
    </row>
    <row r="94" spans="2:18" ht="15">
      <c r="B94" s="1" t="s">
        <v>124</v>
      </c>
      <c r="D94" s="8" t="s">
        <v>139</v>
      </c>
      <c r="G94" s="5"/>
      <c r="H94" s="5"/>
      <c r="I94" s="5"/>
      <c r="J94" s="5"/>
      <c r="K94" s="5"/>
      <c r="L94" s="5"/>
      <c r="M94" s="5"/>
      <c r="R94" s="5">
        <f t="shared" si="21"/>
        <v>0</v>
      </c>
    </row>
    <row r="95" spans="2:18" ht="15">
      <c r="B95" s="1" t="s">
        <v>110</v>
      </c>
      <c r="D95" s="8" t="s">
        <v>139</v>
      </c>
      <c r="G95" s="5"/>
      <c r="H95" s="5"/>
      <c r="I95" s="5"/>
      <c r="J95" s="5"/>
      <c r="K95" s="5"/>
      <c r="L95" s="5"/>
      <c r="M95" s="5"/>
      <c r="R95" s="5">
        <f t="shared" si="21"/>
        <v>0</v>
      </c>
    </row>
    <row r="96" spans="2:18" ht="15">
      <c r="B96" s="1" t="s">
        <v>37</v>
      </c>
      <c r="D96" s="8" t="s">
        <v>139</v>
      </c>
      <c r="G96" s="5"/>
      <c r="H96" s="5"/>
      <c r="I96" s="5"/>
      <c r="J96" s="5"/>
      <c r="K96" s="5"/>
      <c r="L96" s="5"/>
      <c r="M96" s="5"/>
      <c r="R96" s="5">
        <f t="shared" si="21"/>
        <v>0</v>
      </c>
    </row>
    <row r="97" spans="4:18" ht="15">
      <c r="D97" s="8"/>
      <c r="G97" s="5"/>
      <c r="H97" s="5"/>
      <c r="I97" s="5"/>
      <c r="J97" s="5"/>
      <c r="K97" s="5"/>
      <c r="L97" s="5"/>
      <c r="M97" s="5"/>
      <c r="R97" s="5">
        <f t="shared" si="21"/>
        <v>0</v>
      </c>
    </row>
    <row r="98" spans="1:18" ht="15.75">
      <c r="A98" s="21" t="s">
        <v>70</v>
      </c>
      <c r="B98" s="21"/>
      <c r="C98" s="21"/>
      <c r="D98" s="22"/>
      <c r="E98" s="23"/>
      <c r="F98" s="23">
        <f>F64-F74-F77-F78-F79-F80-F81-F82-F83-F84+F87+F88+F89+F90</f>
        <v>510347495</v>
      </c>
      <c r="G98" s="23"/>
      <c r="H98" s="23">
        <f aca="true" t="shared" si="28" ref="H98:M98">H64-H74-H77-H78-H79-H80-H81-H82-H83-H84+H87+H88+H89+H90</f>
        <v>360167318.5608831</v>
      </c>
      <c r="I98" s="23">
        <f t="shared" si="28"/>
        <v>127586574.06262761</v>
      </c>
      <c r="J98" s="23">
        <f t="shared" si="28"/>
        <v>7970882.514259954</v>
      </c>
      <c r="K98" s="23">
        <f t="shared" si="28"/>
        <v>1571302.7667818465</v>
      </c>
      <c r="L98" s="23">
        <f t="shared" si="28"/>
        <v>12770553.897732161</v>
      </c>
      <c r="M98" s="23">
        <f t="shared" si="28"/>
        <v>280863.1977154842</v>
      </c>
      <c r="R98" s="5">
        <f t="shared" si="21"/>
        <v>0</v>
      </c>
    </row>
    <row r="99" spans="8:18" ht="15">
      <c r="H99" s="5"/>
      <c r="I99" s="5"/>
      <c r="J99" s="5"/>
      <c r="K99" s="5"/>
      <c r="L99" s="5"/>
      <c r="M99" s="5"/>
      <c r="R99" s="5">
        <f t="shared" si="21"/>
        <v>0</v>
      </c>
    </row>
    <row r="100" spans="8:18" ht="15">
      <c r="H100" s="5"/>
      <c r="I100" s="5"/>
      <c r="J100" s="5"/>
      <c r="K100" s="5"/>
      <c r="L100" s="5"/>
      <c r="M100" s="5"/>
      <c r="R100" s="5">
        <f t="shared" si="21"/>
        <v>0</v>
      </c>
    </row>
    <row r="101" spans="8:18" ht="15">
      <c r="H101" s="5"/>
      <c r="I101" s="5"/>
      <c r="J101" s="5"/>
      <c r="K101" s="5"/>
      <c r="L101" s="5"/>
      <c r="M101" s="5"/>
      <c r="R101" s="5">
        <f t="shared" si="21"/>
        <v>0</v>
      </c>
    </row>
    <row r="102" spans="8:18" ht="15">
      <c r="H102" s="5"/>
      <c r="I102" s="5"/>
      <c r="J102" s="5"/>
      <c r="K102" s="5"/>
      <c r="L102" s="5"/>
      <c r="M102" s="5"/>
      <c r="R102" s="5">
        <f t="shared" si="21"/>
        <v>0</v>
      </c>
    </row>
    <row r="103" spans="8:18" ht="15">
      <c r="H103" s="5"/>
      <c r="I103" s="5"/>
      <c r="J103" s="5"/>
      <c r="K103" s="5"/>
      <c r="L103" s="5"/>
      <c r="M103" s="5"/>
      <c r="R103" s="5">
        <f t="shared" si="21"/>
        <v>0</v>
      </c>
    </row>
    <row r="104" spans="8:18" ht="15">
      <c r="H104" s="5"/>
      <c r="I104" s="5"/>
      <c r="J104" s="5"/>
      <c r="K104" s="5"/>
      <c r="L104" s="5"/>
      <c r="M104" s="5"/>
      <c r="R104" s="5">
        <f aca="true" t="shared" si="29" ref="R104:R135">SUM(H104:M104)-F104</f>
        <v>0</v>
      </c>
    </row>
    <row r="105" spans="8:18" ht="15">
      <c r="H105" s="5"/>
      <c r="I105" s="5"/>
      <c r="J105" s="5"/>
      <c r="K105" s="5"/>
      <c r="L105" s="5"/>
      <c r="M105" s="5"/>
      <c r="R105" s="5">
        <f t="shared" si="29"/>
        <v>0</v>
      </c>
    </row>
    <row r="106" spans="8:18" ht="15">
      <c r="H106" s="5"/>
      <c r="I106" s="5"/>
      <c r="J106" s="5"/>
      <c r="K106" s="5"/>
      <c r="L106" s="5"/>
      <c r="M106" s="5"/>
      <c r="R106" s="5">
        <f t="shared" si="29"/>
        <v>0</v>
      </c>
    </row>
    <row r="107" spans="1:18" ht="15">
      <c r="A107" s="1" t="s">
        <v>71</v>
      </c>
      <c r="H107" s="5"/>
      <c r="I107" s="5"/>
      <c r="J107" s="5"/>
      <c r="K107" s="5"/>
      <c r="L107" s="5"/>
      <c r="M107" s="5"/>
      <c r="R107" s="5">
        <f t="shared" si="29"/>
        <v>0</v>
      </c>
    </row>
    <row r="108" spans="8:18" ht="15">
      <c r="H108" s="5"/>
      <c r="I108" s="5"/>
      <c r="J108" s="5"/>
      <c r="K108" s="5"/>
      <c r="L108" s="5"/>
      <c r="M108" s="5"/>
      <c r="R108" s="5">
        <f t="shared" si="29"/>
        <v>0</v>
      </c>
    </row>
    <row r="109" spans="8:18" ht="15">
      <c r="H109" s="5"/>
      <c r="I109" s="5"/>
      <c r="J109" s="5"/>
      <c r="K109" s="5"/>
      <c r="L109" s="5"/>
      <c r="M109" s="5"/>
      <c r="R109" s="5">
        <f t="shared" si="29"/>
        <v>0</v>
      </c>
    </row>
    <row r="110" spans="2:18" ht="15">
      <c r="B110" s="1" t="s">
        <v>125</v>
      </c>
      <c r="D110" s="1">
        <v>9</v>
      </c>
      <c r="F110" s="5">
        <v>75686</v>
      </c>
      <c r="G110" s="5"/>
      <c r="H110" s="5">
        <f aca="true" t="shared" si="30" ref="H110:M123">INDEX(ALLOC,($D110)+1,(H$1)+1)*$F110</f>
        <v>44454.59853002304</v>
      </c>
      <c r="I110" s="5">
        <f t="shared" si="30"/>
        <v>19756.586615595585</v>
      </c>
      <c r="J110" s="5">
        <f t="shared" si="30"/>
        <v>1249.4324700196955</v>
      </c>
      <c r="K110" s="5">
        <f t="shared" si="30"/>
        <v>550.550017675463</v>
      </c>
      <c r="L110" s="5">
        <f t="shared" si="30"/>
        <v>9282.61141951449</v>
      </c>
      <c r="M110" s="5">
        <f t="shared" si="30"/>
        <v>392.2209471717317</v>
      </c>
      <c r="R110" s="5">
        <f t="shared" si="29"/>
        <v>0</v>
      </c>
    </row>
    <row r="111" spans="2:18" ht="15">
      <c r="B111" s="1" t="s">
        <v>126</v>
      </c>
      <c r="D111" s="1">
        <v>9</v>
      </c>
      <c r="F111" s="5">
        <v>242491</v>
      </c>
      <c r="G111" s="5"/>
      <c r="H111" s="5">
        <f t="shared" si="30"/>
        <v>142428.45509266993</v>
      </c>
      <c r="I111" s="5">
        <f t="shared" si="30"/>
        <v>63298.29089927316</v>
      </c>
      <c r="J111" s="5">
        <f t="shared" si="30"/>
        <v>4003.067001658774</v>
      </c>
      <c r="K111" s="5">
        <f t="shared" si="30"/>
        <v>1763.9117450537838</v>
      </c>
      <c r="L111" s="5">
        <f t="shared" si="30"/>
        <v>29740.635331890808</v>
      </c>
      <c r="M111" s="5">
        <f t="shared" si="30"/>
        <v>1256.639929453537</v>
      </c>
      <c r="R111" s="5">
        <f t="shared" si="29"/>
        <v>0</v>
      </c>
    </row>
    <row r="112" spans="2:18" ht="15">
      <c r="B112" s="1" t="s">
        <v>127</v>
      </c>
      <c r="D112" s="1">
        <v>45</v>
      </c>
      <c r="F112" s="5">
        <v>98386956</v>
      </c>
      <c r="G112" s="5"/>
      <c r="H112" s="5">
        <f t="shared" si="30"/>
        <v>61442449.80346579</v>
      </c>
      <c r="I112" s="5">
        <f t="shared" si="30"/>
        <v>29081085.275269426</v>
      </c>
      <c r="J112" s="5">
        <f t="shared" si="30"/>
        <v>2268683.3308169255</v>
      </c>
      <c r="K112" s="5">
        <f t="shared" si="30"/>
        <v>612544.6631741272</v>
      </c>
      <c r="L112" s="5">
        <f t="shared" si="30"/>
        <v>4889119.474633598</v>
      </c>
      <c r="M112" s="5">
        <f t="shared" si="30"/>
        <v>93073.45264014162</v>
      </c>
      <c r="R112" s="5">
        <f t="shared" si="29"/>
        <v>0</v>
      </c>
    </row>
    <row r="113" spans="2:18" ht="15">
      <c r="B113" s="1" t="s">
        <v>128</v>
      </c>
      <c r="D113" s="1">
        <v>9</v>
      </c>
      <c r="F113" s="5">
        <v>2182410</v>
      </c>
      <c r="G113" s="5"/>
      <c r="H113" s="5">
        <f t="shared" si="30"/>
        <v>1281850.8096333216</v>
      </c>
      <c r="I113" s="5">
        <f t="shared" si="30"/>
        <v>569682.2687913479</v>
      </c>
      <c r="J113" s="5">
        <f t="shared" si="30"/>
        <v>36027.454441979804</v>
      </c>
      <c r="K113" s="5">
        <f t="shared" si="30"/>
        <v>15875.140238288548</v>
      </c>
      <c r="L113" s="5">
        <f t="shared" si="30"/>
        <v>267664.61416989425</v>
      </c>
      <c r="M113" s="5">
        <f t="shared" si="30"/>
        <v>11309.712725167918</v>
      </c>
      <c r="R113" s="5">
        <f t="shared" si="29"/>
        <v>0</v>
      </c>
    </row>
    <row r="114" spans="2:18" ht="15">
      <c r="B114" s="8" t="s">
        <v>129</v>
      </c>
      <c r="D114" s="1">
        <v>9</v>
      </c>
      <c r="F114" s="5">
        <v>1438212</v>
      </c>
      <c r="G114" s="5"/>
      <c r="H114" s="5">
        <f t="shared" si="30"/>
        <v>844741.9213733252</v>
      </c>
      <c r="I114" s="5">
        <f t="shared" si="30"/>
        <v>375421.6096713917</v>
      </c>
      <c r="J114" s="5">
        <f t="shared" si="30"/>
        <v>23742.155373146503</v>
      </c>
      <c r="K114" s="5">
        <f t="shared" si="30"/>
        <v>10461.745131478252</v>
      </c>
      <c r="L114" s="5">
        <f t="shared" si="30"/>
        <v>176391.4480205424</v>
      </c>
      <c r="M114" s="5">
        <f t="shared" si="30"/>
        <v>7453.120430115881</v>
      </c>
      <c r="R114" s="5">
        <f t="shared" si="29"/>
        <v>0</v>
      </c>
    </row>
    <row r="115" spans="2:18" ht="15">
      <c r="B115" s="1" t="s">
        <v>130</v>
      </c>
      <c r="D115" s="1">
        <v>14</v>
      </c>
      <c r="F115" s="5">
        <v>54595308</v>
      </c>
      <c r="G115" s="5"/>
      <c r="H115" s="5">
        <f t="shared" si="30"/>
        <v>45906137.06883059</v>
      </c>
      <c r="I115" s="5">
        <f t="shared" si="30"/>
        <v>8526859.067364218</v>
      </c>
      <c r="J115" s="5">
        <f t="shared" si="30"/>
        <v>79381.45171089281</v>
      </c>
      <c r="K115" s="5">
        <f t="shared" si="30"/>
        <v>23530.497611136507</v>
      </c>
      <c r="L115" s="5">
        <f t="shared" si="30"/>
        <v>58089.53316303481</v>
      </c>
      <c r="M115" s="5">
        <f t="shared" si="30"/>
        <v>1310.3813201330272</v>
      </c>
      <c r="R115" s="5">
        <f t="shared" si="29"/>
        <v>0</v>
      </c>
    </row>
    <row r="116" spans="2:18" ht="15">
      <c r="B116" s="1" t="s">
        <v>131</v>
      </c>
      <c r="D116" s="1">
        <v>15</v>
      </c>
      <c r="F116" s="5">
        <v>4765655</v>
      </c>
      <c r="G116" s="5"/>
      <c r="H116" s="5">
        <f t="shared" si="30"/>
        <v>3935514.041305146</v>
      </c>
      <c r="I116" s="5">
        <f t="shared" si="30"/>
        <v>789924.2975642707</v>
      </c>
      <c r="J116" s="5">
        <f t="shared" si="30"/>
        <v>31581.343408828758</v>
      </c>
      <c r="K116" s="5">
        <f t="shared" si="30"/>
        <v>4427.673970488508</v>
      </c>
      <c r="L116" s="5">
        <f t="shared" si="30"/>
        <v>4207.6437512657785</v>
      </c>
      <c r="M116" s="5">
        <f t="shared" si="30"/>
        <v>0</v>
      </c>
      <c r="R116" s="5">
        <f t="shared" si="29"/>
        <v>0</v>
      </c>
    </row>
    <row r="117" spans="2:18" ht="15">
      <c r="B117" s="1" t="s">
        <v>132</v>
      </c>
      <c r="D117" s="1">
        <v>15</v>
      </c>
      <c r="F117" s="5">
        <v>-429081</v>
      </c>
      <c r="G117" s="5"/>
      <c r="H117" s="5">
        <f t="shared" si="30"/>
        <v>-354338.3439122751</v>
      </c>
      <c r="I117" s="5">
        <f t="shared" si="30"/>
        <v>-71121.70468134491</v>
      </c>
      <c r="J117" s="5">
        <f t="shared" si="30"/>
        <v>-2843.4610585960695</v>
      </c>
      <c r="K117" s="5">
        <f t="shared" si="30"/>
        <v>-398.65050552991755</v>
      </c>
      <c r="L117" s="5">
        <f t="shared" si="30"/>
        <v>-378.8398422539759</v>
      </c>
      <c r="M117" s="5">
        <f t="shared" si="30"/>
        <v>0</v>
      </c>
      <c r="R117" s="5">
        <f t="shared" si="29"/>
        <v>0</v>
      </c>
    </row>
    <row r="118" spans="2:18" ht="15">
      <c r="B118" s="1" t="s">
        <v>133</v>
      </c>
      <c r="D118" s="1">
        <v>15</v>
      </c>
      <c r="F118" s="5">
        <v>1082141</v>
      </c>
      <c r="G118" s="5"/>
      <c r="H118" s="5">
        <f t="shared" si="30"/>
        <v>893640.2446614353</v>
      </c>
      <c r="I118" s="5">
        <f t="shared" si="30"/>
        <v>179368.72671028378</v>
      </c>
      <c r="J118" s="5">
        <f t="shared" si="30"/>
        <v>7171.2002941407545</v>
      </c>
      <c r="K118" s="5">
        <f t="shared" si="30"/>
        <v>1005.395383866101</v>
      </c>
      <c r="L118" s="5">
        <f t="shared" si="30"/>
        <v>955.4329502740968</v>
      </c>
      <c r="M118" s="5">
        <f t="shared" si="30"/>
        <v>0</v>
      </c>
      <c r="R118" s="5">
        <f t="shared" si="29"/>
        <v>0</v>
      </c>
    </row>
    <row r="119" spans="2:18" ht="15">
      <c r="B119" s="1" t="s">
        <v>134</v>
      </c>
      <c r="D119" s="1">
        <v>15</v>
      </c>
      <c r="F119" s="5">
        <v>560004</v>
      </c>
      <c r="G119" s="5"/>
      <c r="H119" s="5">
        <f t="shared" si="30"/>
        <v>462455.5502207036</v>
      </c>
      <c r="I119" s="5">
        <f t="shared" si="30"/>
        <v>92822.65844530957</v>
      </c>
      <c r="J119" s="5">
        <f t="shared" si="30"/>
        <v>3711.0698601383733</v>
      </c>
      <c r="K119" s="5">
        <f t="shared" si="30"/>
        <v>520.2884250264541</v>
      </c>
      <c r="L119" s="5">
        <f t="shared" si="30"/>
        <v>494.43304882200687</v>
      </c>
      <c r="M119" s="5">
        <f t="shared" si="30"/>
        <v>0</v>
      </c>
      <c r="R119" s="5">
        <f t="shared" si="29"/>
        <v>0</v>
      </c>
    </row>
    <row r="120" spans="2:18" ht="15">
      <c r="B120" s="1" t="s">
        <v>135</v>
      </c>
      <c r="D120" s="1">
        <v>15</v>
      </c>
      <c r="F120" s="5">
        <v>122229</v>
      </c>
      <c r="G120" s="5"/>
      <c r="H120" s="5">
        <f t="shared" si="30"/>
        <v>100937.635173903</v>
      </c>
      <c r="I120" s="5">
        <f t="shared" si="30"/>
        <v>20259.89228489751</v>
      </c>
      <c r="J120" s="5">
        <f t="shared" si="30"/>
        <v>809.9948534918558</v>
      </c>
      <c r="K120" s="5">
        <f t="shared" si="30"/>
        <v>113.56049939385872</v>
      </c>
      <c r="L120" s="5">
        <f t="shared" si="30"/>
        <v>107.9171883137711</v>
      </c>
      <c r="M120" s="5">
        <f t="shared" si="30"/>
        <v>0</v>
      </c>
      <c r="R120" s="5">
        <f t="shared" si="29"/>
        <v>0</v>
      </c>
    </row>
    <row r="121" spans="2:18" ht="15">
      <c r="B121" s="8" t="s">
        <v>136</v>
      </c>
      <c r="D121" s="1">
        <v>15</v>
      </c>
      <c r="F121" s="5">
        <v>12411</v>
      </c>
      <c r="G121" s="5"/>
      <c r="H121" s="5">
        <f t="shared" si="30"/>
        <v>10249.09792392403</v>
      </c>
      <c r="I121" s="5">
        <f t="shared" si="30"/>
        <v>2057.16747374079</v>
      </c>
      <c r="J121" s="5">
        <f t="shared" si="30"/>
        <v>82.24599830390024</v>
      </c>
      <c r="K121" s="5">
        <f t="shared" si="30"/>
        <v>11.530809856721241</v>
      </c>
      <c r="L121" s="5">
        <f t="shared" si="30"/>
        <v>10.957794174559337</v>
      </c>
      <c r="M121" s="5">
        <f t="shared" si="30"/>
        <v>0</v>
      </c>
      <c r="R121" s="5">
        <f t="shared" si="29"/>
        <v>0</v>
      </c>
    </row>
    <row r="122" spans="2:18" ht="15">
      <c r="B122" s="1" t="s">
        <v>137</v>
      </c>
      <c r="D122" s="1">
        <v>9</v>
      </c>
      <c r="F122" s="5">
        <v>663</v>
      </c>
      <c r="G122" s="5"/>
      <c r="H122" s="5">
        <f t="shared" si="30"/>
        <v>389.4167854742657</v>
      </c>
      <c r="I122" s="5">
        <f t="shared" si="30"/>
        <v>173.06525547842233</v>
      </c>
      <c r="J122" s="5">
        <f t="shared" si="30"/>
        <v>10.944873921505405</v>
      </c>
      <c r="K122" s="5">
        <f t="shared" si="30"/>
        <v>4.822750068953729</v>
      </c>
      <c r="L122" s="5">
        <f t="shared" si="30"/>
        <v>81.31452806513894</v>
      </c>
      <c r="M122" s="5">
        <f t="shared" si="30"/>
        <v>3.4358069917138985</v>
      </c>
      <c r="R122" s="5">
        <f t="shared" si="29"/>
        <v>0</v>
      </c>
    </row>
    <row r="123" spans="2:18" ht="15">
      <c r="B123" s="1" t="s">
        <v>138</v>
      </c>
      <c r="D123" s="1">
        <v>45</v>
      </c>
      <c r="F123" s="5">
        <v>18556</v>
      </c>
      <c r="G123" s="5"/>
      <c r="H123" s="5">
        <f t="shared" si="30"/>
        <v>11588.183483927598</v>
      </c>
      <c r="I123" s="5">
        <f t="shared" si="30"/>
        <v>5484.757739307429</v>
      </c>
      <c r="J123" s="5">
        <f t="shared" si="30"/>
        <v>427.8787513930085</v>
      </c>
      <c r="K123" s="5">
        <f t="shared" si="30"/>
        <v>115.52729377925976</v>
      </c>
      <c r="L123" s="5">
        <f t="shared" si="30"/>
        <v>922.0988702130498</v>
      </c>
      <c r="M123" s="5">
        <f t="shared" si="30"/>
        <v>17.55386137965756</v>
      </c>
      <c r="R123" s="5">
        <f t="shared" si="29"/>
        <v>0</v>
      </c>
    </row>
    <row r="124" ht="15">
      <c r="R124" s="5">
        <f t="shared" si="29"/>
        <v>0</v>
      </c>
    </row>
    <row r="125" spans="2:18" ht="15">
      <c r="B125" s="1" t="s">
        <v>48</v>
      </c>
      <c r="F125" s="5">
        <f>SUM(F110:F123)</f>
        <v>163053641</v>
      </c>
      <c r="H125" s="5">
        <f aca="true" t="shared" si="31" ref="H125:M125">SUM(H110:H123)</f>
        <v>114722498.48256794</v>
      </c>
      <c r="I125" s="5">
        <f t="shared" si="31"/>
        <v>39655071.95940319</v>
      </c>
      <c r="J125" s="5">
        <f t="shared" si="31"/>
        <v>2454038.108796245</v>
      </c>
      <c r="K125" s="5">
        <f t="shared" si="31"/>
        <v>670526.6565447098</v>
      </c>
      <c r="L125" s="5">
        <f t="shared" si="31"/>
        <v>5436689.275027348</v>
      </c>
      <c r="M125" s="5">
        <f t="shared" si="31"/>
        <v>114816.5176605551</v>
      </c>
      <c r="R125" s="5">
        <f t="shared" si="29"/>
        <v>0</v>
      </c>
    </row>
    <row r="126" spans="6:18" ht="15">
      <c r="F126" s="24">
        <f>SUM(H126:M126)</f>
        <v>1</v>
      </c>
      <c r="H126" s="24">
        <f aca="true" t="shared" si="32" ref="H126:M126">H125/$F$125</f>
        <v>0.7035874683875838</v>
      </c>
      <c r="I126" s="24">
        <f t="shared" si="32"/>
        <v>0.24320261550861771</v>
      </c>
      <c r="J126" s="24">
        <f t="shared" si="32"/>
        <v>0.01505049561448459</v>
      </c>
      <c r="K126" s="24">
        <f t="shared" si="32"/>
        <v>0.004112307167337096</v>
      </c>
      <c r="L126" s="24">
        <f t="shared" si="32"/>
        <v>0.033342949238572034</v>
      </c>
      <c r="M126" s="24">
        <f t="shared" si="32"/>
        <v>0.0007041640834046453</v>
      </c>
      <c r="R126" s="5">
        <f t="shared" si="29"/>
        <v>0</v>
      </c>
    </row>
    <row r="127" ht="15">
      <c r="R127" s="5">
        <f t="shared" si="29"/>
        <v>0</v>
      </c>
    </row>
    <row r="128" ht="15">
      <c r="R128" s="5">
        <f t="shared" si="29"/>
        <v>0</v>
      </c>
    </row>
    <row r="129" ht="15">
      <c r="R129" s="5">
        <f t="shared" si="29"/>
        <v>0</v>
      </c>
    </row>
    <row r="130" ht="15">
      <c r="R130" s="5">
        <f t="shared" si="29"/>
        <v>0</v>
      </c>
    </row>
    <row r="131" ht="15">
      <c r="R131" s="5">
        <f t="shared" si="29"/>
        <v>0</v>
      </c>
    </row>
    <row r="132" ht="15">
      <c r="R132" s="5">
        <f t="shared" si="29"/>
        <v>0</v>
      </c>
    </row>
    <row r="133" ht="15">
      <c r="R133" s="5">
        <f t="shared" si="29"/>
        <v>0</v>
      </c>
    </row>
    <row r="134" ht="15">
      <c r="R134" s="5">
        <f t="shared" si="29"/>
        <v>0</v>
      </c>
    </row>
    <row r="135" ht="15">
      <c r="R135" s="5">
        <f t="shared" si="29"/>
        <v>0</v>
      </c>
    </row>
    <row r="136" ht="15">
      <c r="R136" s="5">
        <f aca="true" t="shared" si="33" ref="R136:R167">SUM(H136:M136)-F136</f>
        <v>0</v>
      </c>
    </row>
    <row r="137" ht="15">
      <c r="R137" s="5">
        <f t="shared" si="33"/>
        <v>0</v>
      </c>
    </row>
    <row r="138" ht="15">
      <c r="R138" s="5">
        <f t="shared" si="33"/>
        <v>0</v>
      </c>
    </row>
    <row r="139" ht="15">
      <c r="R139" s="5">
        <f t="shared" si="33"/>
        <v>0</v>
      </c>
    </row>
    <row r="140" ht="15">
      <c r="R140" s="5">
        <f t="shared" si="33"/>
        <v>0</v>
      </c>
    </row>
    <row r="141" ht="15">
      <c r="R141" s="5">
        <f t="shared" si="33"/>
        <v>0</v>
      </c>
    </row>
    <row r="142" ht="15">
      <c r="R142" s="5">
        <f t="shared" si="33"/>
        <v>0</v>
      </c>
    </row>
    <row r="143" ht="15">
      <c r="R143" s="5">
        <f t="shared" si="33"/>
        <v>0</v>
      </c>
    </row>
    <row r="144" ht="15">
      <c r="R144" s="5">
        <f t="shared" si="33"/>
        <v>0</v>
      </c>
    </row>
    <row r="145" ht="15">
      <c r="R145" s="5">
        <f t="shared" si="33"/>
        <v>0</v>
      </c>
    </row>
    <row r="146" ht="15">
      <c r="R146" s="5">
        <f t="shared" si="33"/>
        <v>0</v>
      </c>
    </row>
    <row r="147" ht="15">
      <c r="R147" s="5">
        <f t="shared" si="33"/>
        <v>0</v>
      </c>
    </row>
    <row r="148" ht="15">
      <c r="R148" s="5">
        <f t="shared" si="33"/>
        <v>0</v>
      </c>
    </row>
    <row r="149" ht="15">
      <c r="R149" s="5">
        <f t="shared" si="33"/>
        <v>0</v>
      </c>
    </row>
    <row r="150" ht="15">
      <c r="R150" s="5">
        <f t="shared" si="33"/>
        <v>0</v>
      </c>
    </row>
    <row r="151" ht="15">
      <c r="R151" s="5">
        <f t="shared" si="33"/>
        <v>0</v>
      </c>
    </row>
    <row r="152" ht="15">
      <c r="R152" s="5">
        <f t="shared" si="33"/>
        <v>0</v>
      </c>
    </row>
    <row r="153" ht="15">
      <c r="R153" s="5">
        <f t="shared" si="33"/>
        <v>0</v>
      </c>
    </row>
    <row r="154" ht="15">
      <c r="R154" s="5">
        <f t="shared" si="33"/>
        <v>0</v>
      </c>
    </row>
    <row r="155" ht="15">
      <c r="R155" s="5">
        <f t="shared" si="33"/>
        <v>0</v>
      </c>
    </row>
    <row r="156" ht="15">
      <c r="R156" s="5">
        <f t="shared" si="33"/>
        <v>0</v>
      </c>
    </row>
    <row r="157" ht="15">
      <c r="R157" s="5">
        <f t="shared" si="33"/>
        <v>0</v>
      </c>
    </row>
    <row r="158" ht="15">
      <c r="R158" s="5">
        <f t="shared" si="33"/>
        <v>0</v>
      </c>
    </row>
    <row r="159" ht="15">
      <c r="R159" s="5">
        <f t="shared" si="33"/>
        <v>0</v>
      </c>
    </row>
    <row r="160" ht="15">
      <c r="R160" s="5">
        <f t="shared" si="33"/>
        <v>0</v>
      </c>
    </row>
    <row r="161" ht="15">
      <c r="R161" s="5">
        <f t="shared" si="33"/>
        <v>0</v>
      </c>
    </row>
    <row r="162" ht="15">
      <c r="R162" s="5">
        <f t="shared" si="33"/>
        <v>0</v>
      </c>
    </row>
    <row r="163" ht="15">
      <c r="R163" s="5">
        <f t="shared" si="33"/>
        <v>0</v>
      </c>
    </row>
    <row r="164" ht="15">
      <c r="R164" s="5">
        <f t="shared" si="33"/>
        <v>0</v>
      </c>
    </row>
    <row r="165" ht="15">
      <c r="R165" s="5">
        <f t="shared" si="33"/>
        <v>0</v>
      </c>
    </row>
    <row r="166" ht="15">
      <c r="R166" s="5">
        <f t="shared" si="33"/>
        <v>0</v>
      </c>
    </row>
    <row r="167" ht="15">
      <c r="R167" s="5">
        <f t="shared" si="33"/>
        <v>0</v>
      </c>
    </row>
    <row r="168" ht="15">
      <c r="R168" s="5">
        <f aca="true" t="shared" si="34" ref="R168:R182">SUM(H168:M168)-F168</f>
        <v>0</v>
      </c>
    </row>
    <row r="169" ht="15">
      <c r="R169" s="5">
        <f t="shared" si="34"/>
        <v>0</v>
      </c>
    </row>
    <row r="170" ht="15">
      <c r="R170" s="5">
        <f t="shared" si="34"/>
        <v>0</v>
      </c>
    </row>
    <row r="171" ht="15">
      <c r="R171" s="5">
        <f t="shared" si="34"/>
        <v>0</v>
      </c>
    </row>
    <row r="172" ht="15">
      <c r="R172" s="5">
        <f t="shared" si="34"/>
        <v>0</v>
      </c>
    </row>
    <row r="173" ht="15">
      <c r="R173" s="5">
        <f t="shared" si="34"/>
        <v>0</v>
      </c>
    </row>
    <row r="174" ht="15">
      <c r="R174" s="5">
        <f t="shared" si="34"/>
        <v>0</v>
      </c>
    </row>
    <row r="175" ht="15">
      <c r="R175" s="5">
        <f t="shared" si="34"/>
        <v>0</v>
      </c>
    </row>
    <row r="176" ht="15">
      <c r="R176" s="5">
        <f t="shared" si="34"/>
        <v>0</v>
      </c>
    </row>
    <row r="177" ht="15">
      <c r="R177" s="5">
        <f t="shared" si="34"/>
        <v>0</v>
      </c>
    </row>
    <row r="178" ht="15">
      <c r="R178" s="5">
        <f t="shared" si="34"/>
        <v>0</v>
      </c>
    </row>
    <row r="179" ht="15">
      <c r="R179" s="5">
        <f t="shared" si="34"/>
        <v>0</v>
      </c>
    </row>
    <row r="180" ht="15">
      <c r="R180" s="5">
        <f t="shared" si="34"/>
        <v>0</v>
      </c>
    </row>
    <row r="181" ht="15">
      <c r="R181" s="5">
        <f t="shared" si="34"/>
        <v>0</v>
      </c>
    </row>
    <row r="182" ht="15">
      <c r="R182" s="5">
        <f t="shared" si="34"/>
        <v>0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4"/>
  <sheetViews>
    <sheetView zoomScale="87" zoomScaleNormal="87" zoomScalePageLayoutView="0" workbookViewId="0" topLeftCell="A1">
      <selection activeCell="L215" sqref="L215"/>
    </sheetView>
  </sheetViews>
  <sheetFormatPr defaultColWidth="8.88671875" defaultRowHeight="15"/>
  <cols>
    <col min="1" max="1" width="8.6640625" style="1" customWidth="1"/>
    <col min="2" max="2" width="35.6640625" style="1" customWidth="1"/>
    <col min="3" max="4" width="9.6640625" style="1" customWidth="1"/>
    <col min="5" max="6" width="11.6640625" style="1" customWidth="1"/>
    <col min="7" max="7" width="14.6640625" style="1" customWidth="1"/>
    <col min="8" max="9" width="12.6640625" style="1" customWidth="1"/>
    <col min="10" max="10" width="10.6640625" style="1" customWidth="1"/>
    <col min="11" max="11" width="11.6640625" style="1" customWidth="1"/>
    <col min="12" max="12" width="14.6640625" style="1" customWidth="1"/>
    <col min="13" max="13" width="11.6640625" style="1" customWidth="1"/>
    <col min="14" max="16384" width="9.6640625" style="1" customWidth="1"/>
  </cols>
  <sheetData>
    <row r="1" spans="6:13" ht="15">
      <c r="F1" s="5"/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</row>
    <row r="2" ht="15">
      <c r="F2" s="5"/>
    </row>
    <row r="3" ht="15">
      <c r="F3" s="5"/>
    </row>
    <row r="4" ht="15">
      <c r="F4" s="5"/>
    </row>
    <row r="5" ht="15">
      <c r="F5" s="5"/>
    </row>
    <row r="6" ht="15">
      <c r="F6" s="5"/>
    </row>
    <row r="7" spans="1:15" ht="47.25">
      <c r="A7" s="2" t="s">
        <v>56</v>
      </c>
      <c r="B7" s="2" t="s">
        <v>42</v>
      </c>
      <c r="C7" s="2"/>
      <c r="D7" s="2" t="s">
        <v>43</v>
      </c>
      <c r="E7" s="2" t="s">
        <v>44</v>
      </c>
      <c r="F7" s="25" t="s">
        <v>140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O7" s="1" t="s">
        <v>55</v>
      </c>
    </row>
    <row r="8" spans="1:13" ht="15">
      <c r="A8" s="3"/>
      <c r="B8" s="3"/>
      <c r="C8" s="3"/>
      <c r="D8" s="3"/>
      <c r="E8" s="3"/>
      <c r="F8" s="15"/>
      <c r="G8" s="3"/>
      <c r="H8" s="3"/>
      <c r="I8" s="3"/>
      <c r="J8" s="3"/>
      <c r="K8" s="3"/>
      <c r="L8" s="3"/>
      <c r="M8" s="3"/>
    </row>
    <row r="9" spans="1:13" ht="15.75">
      <c r="A9" s="16" t="s">
        <v>156</v>
      </c>
      <c r="B9" s="7"/>
      <c r="C9" s="7"/>
      <c r="E9" s="5"/>
      <c r="F9" s="5"/>
      <c r="G9" s="5"/>
      <c r="H9" s="5"/>
      <c r="I9" s="5"/>
      <c r="J9" s="5"/>
      <c r="K9" s="5"/>
      <c r="L9" s="5"/>
      <c r="M9" s="5"/>
    </row>
    <row r="10" spans="5:13" ht="15">
      <c r="E10" s="5"/>
      <c r="F10" s="5"/>
      <c r="G10" s="5"/>
      <c r="H10" s="5"/>
      <c r="I10" s="5"/>
      <c r="J10" s="5"/>
      <c r="K10" s="5"/>
      <c r="L10" s="5"/>
      <c r="M10" s="5"/>
    </row>
    <row r="11" spans="1:13" ht="15.75">
      <c r="A11" s="8" t="s">
        <v>157</v>
      </c>
      <c r="B11" s="4" t="s">
        <v>191</v>
      </c>
      <c r="E11" s="5">
        <v>744962</v>
      </c>
      <c r="G11" s="5"/>
      <c r="H11" s="5"/>
      <c r="I11" s="5"/>
      <c r="J11" s="5"/>
      <c r="K11" s="5"/>
      <c r="L11" s="5"/>
      <c r="M11" s="5"/>
    </row>
    <row r="12" spans="2:15" ht="15">
      <c r="B12" s="1" t="s">
        <v>192</v>
      </c>
      <c r="D12" s="1">
        <v>6</v>
      </c>
      <c r="E12" s="13">
        <f>87459/E11</f>
        <v>0.11740061909198053</v>
      </c>
      <c r="F12" s="5">
        <f>E12*E11</f>
        <v>87459</v>
      </c>
      <c r="G12" s="5"/>
      <c r="H12" s="5">
        <f aca="true" t="shared" si="0" ref="H12:M13">INDEX(ALLOC,($D12)+1,(H$1)+1)*$F12</f>
        <v>51369.5364114537</v>
      </c>
      <c r="I12" s="5">
        <f t="shared" si="0"/>
        <v>22829.734809784823</v>
      </c>
      <c r="J12" s="5">
        <f t="shared" si="0"/>
        <v>1443.7823956273623</v>
      </c>
      <c r="K12" s="5">
        <f t="shared" si="0"/>
        <v>636.1883835303532</v>
      </c>
      <c r="L12" s="5">
        <f t="shared" si="0"/>
        <v>10726.526862818984</v>
      </c>
      <c r="M12" s="5">
        <f t="shared" si="0"/>
        <v>453.231136784775</v>
      </c>
      <c r="O12" s="5">
        <f aca="true" t="shared" si="1" ref="O12:O75">SUM(H12:M12)-F12</f>
        <v>0</v>
      </c>
    </row>
    <row r="13" spans="2:15" ht="15">
      <c r="B13" s="1" t="s">
        <v>193</v>
      </c>
      <c r="D13" s="1">
        <v>1</v>
      </c>
      <c r="E13" s="13">
        <f>1-E12</f>
        <v>0.8825993809080195</v>
      </c>
      <c r="F13" s="5">
        <f>E13*E11</f>
        <v>657503</v>
      </c>
      <c r="G13" s="5"/>
      <c r="H13" s="5">
        <f t="shared" si="0"/>
        <v>300597.8055471844</v>
      </c>
      <c r="I13" s="5">
        <f t="shared" si="0"/>
        <v>152238.28417413973</v>
      </c>
      <c r="J13" s="5">
        <f t="shared" si="0"/>
        <v>14496.11242802328</v>
      </c>
      <c r="K13" s="5">
        <f t="shared" si="0"/>
        <v>5923.3910298555365</v>
      </c>
      <c r="L13" s="5">
        <f t="shared" si="0"/>
        <v>173573.02086971904</v>
      </c>
      <c r="M13" s="5">
        <f t="shared" si="0"/>
        <v>10674.385951078017</v>
      </c>
      <c r="O13" s="5">
        <f t="shared" si="1"/>
        <v>0</v>
      </c>
    </row>
    <row r="14" spans="2:15" ht="15.75">
      <c r="B14" s="19" t="s">
        <v>74</v>
      </c>
      <c r="C14" s="3"/>
      <c r="D14" s="3"/>
      <c r="E14" s="15"/>
      <c r="F14" s="15">
        <f>F13+F12</f>
        <v>744962</v>
      </c>
      <c r="G14" s="15"/>
      <c r="H14" s="15">
        <f aca="true" t="shared" si="2" ref="H14:M14">H13+H12</f>
        <v>351967.3419586381</v>
      </c>
      <c r="I14" s="15">
        <f t="shared" si="2"/>
        <v>175068.01898392456</v>
      </c>
      <c r="J14" s="15">
        <f t="shared" si="2"/>
        <v>15939.894823650642</v>
      </c>
      <c r="K14" s="15">
        <f t="shared" si="2"/>
        <v>6559.57941338589</v>
      </c>
      <c r="L14" s="15">
        <f t="shared" si="2"/>
        <v>184299.54773253802</v>
      </c>
      <c r="M14" s="15">
        <f t="shared" si="2"/>
        <v>11127.61708786279</v>
      </c>
      <c r="O14" s="5">
        <f t="shared" si="1"/>
        <v>0</v>
      </c>
    </row>
    <row r="15" spans="5:15" ht="15">
      <c r="E15" s="5"/>
      <c r="F15" s="5"/>
      <c r="G15" s="5"/>
      <c r="H15" s="5"/>
      <c r="I15" s="5"/>
      <c r="J15" s="5"/>
      <c r="K15" s="5"/>
      <c r="L15" s="5"/>
      <c r="M15" s="5"/>
      <c r="O15" s="5">
        <f t="shared" si="1"/>
        <v>0</v>
      </c>
    </row>
    <row r="16" spans="2:15" ht="15.75">
      <c r="B16" s="4" t="s">
        <v>194</v>
      </c>
      <c r="E16" s="5"/>
      <c r="F16" s="5"/>
      <c r="G16" s="5"/>
      <c r="H16" s="5"/>
      <c r="I16" s="5"/>
      <c r="J16" s="5"/>
      <c r="K16" s="5"/>
      <c r="L16" s="5"/>
      <c r="M16" s="5"/>
      <c r="O16" s="5">
        <f t="shared" si="1"/>
        <v>0</v>
      </c>
    </row>
    <row r="17" spans="1:15" ht="15">
      <c r="A17" s="20">
        <v>814</v>
      </c>
      <c r="B17" s="1" t="s">
        <v>195</v>
      </c>
      <c r="D17" s="1">
        <v>48</v>
      </c>
      <c r="E17" s="5">
        <v>466755</v>
      </c>
      <c r="F17" s="5">
        <v>524636.67</v>
      </c>
      <c r="G17" s="5"/>
      <c r="H17" s="5">
        <f aca="true" t="shared" si="3" ref="H17:M17">INDEX(ALLOC,($D17)+1,(H$1)+1)*$F17</f>
        <v>349662.12687105517</v>
      </c>
      <c r="I17" s="5">
        <f t="shared" si="3"/>
        <v>162690.00388150715</v>
      </c>
      <c r="J17" s="5">
        <f t="shared" si="3"/>
        <v>12284.539247437731</v>
      </c>
      <c r="K17" s="5">
        <f t="shared" si="3"/>
        <v>0</v>
      </c>
      <c r="L17" s="5">
        <f t="shared" si="3"/>
        <v>0</v>
      </c>
      <c r="M17" s="5">
        <f t="shared" si="3"/>
        <v>0</v>
      </c>
      <c r="O17" s="5">
        <f t="shared" si="1"/>
        <v>0</v>
      </c>
    </row>
    <row r="18" spans="1:15" ht="15">
      <c r="A18" s="20">
        <v>815</v>
      </c>
      <c r="B18" s="1" t="s">
        <v>196</v>
      </c>
      <c r="D18" s="8" t="s">
        <v>139</v>
      </c>
      <c r="E18" s="5"/>
      <c r="F18" s="5"/>
      <c r="G18" s="5"/>
      <c r="H18" s="5"/>
      <c r="I18" s="5"/>
      <c r="J18" s="5"/>
      <c r="K18" s="5"/>
      <c r="L18" s="5"/>
      <c r="M18" s="5"/>
      <c r="O18" s="5">
        <f t="shared" si="1"/>
        <v>0</v>
      </c>
    </row>
    <row r="19" spans="1:15" ht="15">
      <c r="A19" s="20">
        <v>816</v>
      </c>
      <c r="B19" s="1" t="s">
        <v>197</v>
      </c>
      <c r="D19" s="1">
        <v>7</v>
      </c>
      <c r="E19" s="5"/>
      <c r="F19" s="5">
        <v>364845.62</v>
      </c>
      <c r="G19" s="5"/>
      <c r="H19" s="5">
        <f aca="true" t="shared" si="4" ref="H19:M22">INDEX(ALLOC,($D19)+1,(H$1)+1)*$F19</f>
        <v>246092.56811626992</v>
      </c>
      <c r="I19" s="5">
        <f t="shared" si="4"/>
        <v>111216.35056525891</v>
      </c>
      <c r="J19" s="5">
        <f t="shared" si="4"/>
        <v>7536.701318471134</v>
      </c>
      <c r="K19" s="5">
        <f t="shared" si="4"/>
        <v>0</v>
      </c>
      <c r="L19" s="5">
        <f t="shared" si="4"/>
        <v>0</v>
      </c>
      <c r="M19" s="5">
        <f t="shared" si="4"/>
        <v>0</v>
      </c>
      <c r="O19" s="5">
        <f t="shared" si="1"/>
        <v>0</v>
      </c>
    </row>
    <row r="20" spans="1:15" ht="15">
      <c r="A20" s="20">
        <v>817</v>
      </c>
      <c r="B20" s="1" t="s">
        <v>198</v>
      </c>
      <c r="D20" s="1">
        <v>7</v>
      </c>
      <c r="E20" s="5"/>
      <c r="F20" s="5">
        <v>553668.23</v>
      </c>
      <c r="G20" s="5"/>
      <c r="H20" s="5">
        <f t="shared" si="4"/>
        <v>373455.5909019536</v>
      </c>
      <c r="I20" s="5">
        <f t="shared" si="4"/>
        <v>168775.38495467315</v>
      </c>
      <c r="J20" s="5">
        <f t="shared" si="4"/>
        <v>11437.25414337324</v>
      </c>
      <c r="K20" s="5">
        <f t="shared" si="4"/>
        <v>0</v>
      </c>
      <c r="L20" s="5">
        <f t="shared" si="4"/>
        <v>0</v>
      </c>
      <c r="M20" s="5">
        <f t="shared" si="4"/>
        <v>0</v>
      </c>
      <c r="O20" s="5">
        <f t="shared" si="1"/>
        <v>0</v>
      </c>
    </row>
    <row r="21" spans="1:15" ht="15">
      <c r="A21" s="20">
        <v>818</v>
      </c>
      <c r="B21" s="1" t="s">
        <v>199</v>
      </c>
      <c r="D21" s="1">
        <v>2</v>
      </c>
      <c r="E21" s="5"/>
      <c r="F21" s="5">
        <v>1522428.93</v>
      </c>
      <c r="G21" s="5"/>
      <c r="H21" s="5">
        <f t="shared" si="4"/>
        <v>1009176.2751851417</v>
      </c>
      <c r="I21" s="5">
        <f t="shared" si="4"/>
        <v>475715.1323274734</v>
      </c>
      <c r="J21" s="5">
        <f t="shared" si="4"/>
        <v>37537.52248738481</v>
      </c>
      <c r="K21" s="5">
        <f t="shared" si="4"/>
        <v>0</v>
      </c>
      <c r="L21" s="5">
        <f t="shared" si="4"/>
        <v>0</v>
      </c>
      <c r="M21" s="5">
        <f t="shared" si="4"/>
        <v>0</v>
      </c>
      <c r="O21" s="5">
        <f t="shared" si="1"/>
        <v>0</v>
      </c>
    </row>
    <row r="22" spans="1:15" ht="15">
      <c r="A22" s="20">
        <v>819</v>
      </c>
      <c r="B22" s="1" t="s">
        <v>200</v>
      </c>
      <c r="D22" s="1">
        <v>2</v>
      </c>
      <c r="E22" s="5"/>
      <c r="F22" s="5">
        <v>627559.43</v>
      </c>
      <c r="G22" s="5"/>
      <c r="H22" s="5">
        <f t="shared" si="4"/>
        <v>415991.89002846315</v>
      </c>
      <c r="I22" s="5">
        <f t="shared" si="4"/>
        <v>196094.22246449548</v>
      </c>
      <c r="J22" s="5">
        <f t="shared" si="4"/>
        <v>15473.317507041462</v>
      </c>
      <c r="K22" s="5">
        <f t="shared" si="4"/>
        <v>0</v>
      </c>
      <c r="L22" s="5">
        <f t="shared" si="4"/>
        <v>0</v>
      </c>
      <c r="M22" s="5">
        <f t="shared" si="4"/>
        <v>0</v>
      </c>
      <c r="O22" s="5">
        <f t="shared" si="1"/>
        <v>0</v>
      </c>
    </row>
    <row r="23" spans="1:15" ht="15">
      <c r="A23" s="20">
        <v>820</v>
      </c>
      <c r="B23" s="1" t="s">
        <v>201</v>
      </c>
      <c r="D23" s="8" t="s">
        <v>139</v>
      </c>
      <c r="E23" s="5"/>
      <c r="F23" s="5"/>
      <c r="G23" s="5"/>
      <c r="H23" s="5"/>
      <c r="I23" s="5"/>
      <c r="J23" s="5"/>
      <c r="K23" s="5"/>
      <c r="L23" s="5"/>
      <c r="M23" s="5"/>
      <c r="O23" s="5">
        <f t="shared" si="1"/>
        <v>0</v>
      </c>
    </row>
    <row r="24" spans="1:15" ht="15">
      <c r="A24" s="20">
        <v>821</v>
      </c>
      <c r="B24" s="1" t="s">
        <v>202</v>
      </c>
      <c r="D24" s="1">
        <v>2</v>
      </c>
      <c r="E24" s="5"/>
      <c r="F24" s="5">
        <v>1270760.28</v>
      </c>
      <c r="G24" s="5"/>
      <c r="H24" s="5">
        <f aca="true" t="shared" si="5" ref="H24:M24">INDEX(ALLOC,($D24)+1,(H$1)+1)*$F24</f>
        <v>842352.047279887</v>
      </c>
      <c r="I24" s="5">
        <f t="shared" si="5"/>
        <v>397075.93756556977</v>
      </c>
      <c r="J24" s="5">
        <f t="shared" si="5"/>
        <v>31332.295154543226</v>
      </c>
      <c r="K24" s="5">
        <f t="shared" si="5"/>
        <v>0</v>
      </c>
      <c r="L24" s="5">
        <f t="shared" si="5"/>
        <v>0</v>
      </c>
      <c r="M24" s="5">
        <f t="shared" si="5"/>
        <v>0</v>
      </c>
      <c r="O24" s="5">
        <f t="shared" si="1"/>
        <v>0</v>
      </c>
    </row>
    <row r="25" spans="1:15" ht="15">
      <c r="A25" s="20">
        <v>823</v>
      </c>
      <c r="B25" s="1" t="s">
        <v>203</v>
      </c>
      <c r="D25" s="8" t="s">
        <v>139</v>
      </c>
      <c r="E25" s="5"/>
      <c r="F25" s="5"/>
      <c r="G25" s="5"/>
      <c r="H25" s="5"/>
      <c r="I25" s="5"/>
      <c r="J25" s="5"/>
      <c r="K25" s="5"/>
      <c r="L25" s="5"/>
      <c r="M25" s="5"/>
      <c r="O25" s="5">
        <f t="shared" si="1"/>
        <v>0</v>
      </c>
    </row>
    <row r="26" spans="1:15" ht="15">
      <c r="A26" s="20">
        <v>824</v>
      </c>
      <c r="B26" s="1" t="s">
        <v>204</v>
      </c>
      <c r="D26" s="1">
        <v>2</v>
      </c>
      <c r="E26" s="5"/>
      <c r="F26" s="5">
        <v>15691.23</v>
      </c>
      <c r="G26" s="5"/>
      <c r="H26" s="5">
        <f aca="true" t="shared" si="6" ref="H26:M28">INDEX(ALLOC,($D26)+1,(H$1)+1)*$F26</f>
        <v>10401.284902326017</v>
      </c>
      <c r="I26" s="5">
        <f t="shared" si="6"/>
        <v>4903.056825011083</v>
      </c>
      <c r="J26" s="5">
        <f t="shared" si="6"/>
        <v>386.8882726629001</v>
      </c>
      <c r="K26" s="5">
        <f t="shared" si="6"/>
        <v>0</v>
      </c>
      <c r="L26" s="5">
        <f t="shared" si="6"/>
        <v>0</v>
      </c>
      <c r="M26" s="5">
        <f t="shared" si="6"/>
        <v>0</v>
      </c>
      <c r="O26" s="5">
        <f t="shared" si="1"/>
        <v>0</v>
      </c>
    </row>
    <row r="27" spans="1:15" ht="15">
      <c r="A27" s="20">
        <v>825</v>
      </c>
      <c r="B27" s="1" t="s">
        <v>205</v>
      </c>
      <c r="D27" s="1">
        <v>7</v>
      </c>
      <c r="E27" s="5"/>
      <c r="F27" s="5">
        <v>47558.37</v>
      </c>
      <c r="G27" s="5"/>
      <c r="H27" s="5">
        <f t="shared" si="6"/>
        <v>32078.667708067234</v>
      </c>
      <c r="I27" s="5">
        <f t="shared" si="6"/>
        <v>14497.277917800666</v>
      </c>
      <c r="J27" s="5">
        <f t="shared" si="6"/>
        <v>982.4243741321002</v>
      </c>
      <c r="K27" s="5">
        <f t="shared" si="6"/>
        <v>0</v>
      </c>
      <c r="L27" s="5">
        <f t="shared" si="6"/>
        <v>0</v>
      </c>
      <c r="M27" s="5">
        <f t="shared" si="6"/>
        <v>0</v>
      </c>
      <c r="O27" s="5">
        <f t="shared" si="1"/>
        <v>0</v>
      </c>
    </row>
    <row r="28" spans="1:15" ht="15">
      <c r="A28" s="20">
        <v>826</v>
      </c>
      <c r="B28" s="1" t="s">
        <v>206</v>
      </c>
      <c r="D28" s="1">
        <v>7</v>
      </c>
      <c r="E28" s="5"/>
      <c r="F28" s="5">
        <v>35483.02</v>
      </c>
      <c r="G28" s="5"/>
      <c r="H28" s="5">
        <f t="shared" si="6"/>
        <v>23933.7052102228</v>
      </c>
      <c r="I28" s="5">
        <f t="shared" si="6"/>
        <v>10816.33374530875</v>
      </c>
      <c r="J28" s="5">
        <f t="shared" si="6"/>
        <v>732.9810444684456</v>
      </c>
      <c r="K28" s="5">
        <f t="shared" si="6"/>
        <v>0</v>
      </c>
      <c r="L28" s="5">
        <f t="shared" si="6"/>
        <v>0</v>
      </c>
      <c r="M28" s="5">
        <f t="shared" si="6"/>
        <v>0</v>
      </c>
      <c r="O28" s="5">
        <f t="shared" si="1"/>
        <v>0</v>
      </c>
    </row>
    <row r="29" spans="2:15" ht="15.75">
      <c r="B29" s="19" t="s">
        <v>74</v>
      </c>
      <c r="C29" s="3"/>
      <c r="D29" s="3"/>
      <c r="E29" s="15"/>
      <c r="F29" s="15">
        <f>SUM(F17:F28)</f>
        <v>4962631.78</v>
      </c>
      <c r="G29" s="15"/>
      <c r="H29" s="15">
        <f aca="true" t="shared" si="7" ref="H29:M29">SUM(H17:H28)</f>
        <v>3303144.1562033864</v>
      </c>
      <c r="I29" s="15">
        <f t="shared" si="7"/>
        <v>1541783.7002470982</v>
      </c>
      <c r="J29" s="15">
        <f t="shared" si="7"/>
        <v>117703.92354951504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O29" s="5">
        <f t="shared" si="1"/>
        <v>0</v>
      </c>
    </row>
    <row r="30" spans="5:15" ht="15">
      <c r="E30" s="5"/>
      <c r="F30" s="5"/>
      <c r="G30" s="5"/>
      <c r="H30" s="5"/>
      <c r="I30" s="5"/>
      <c r="J30" s="5"/>
      <c r="K30" s="5"/>
      <c r="L30" s="5"/>
      <c r="M30" s="5"/>
      <c r="O30" s="5">
        <f t="shared" si="1"/>
        <v>0</v>
      </c>
    </row>
    <row r="31" spans="2:15" ht="15.75">
      <c r="B31" s="4" t="s">
        <v>207</v>
      </c>
      <c r="E31" s="5"/>
      <c r="F31" s="5"/>
      <c r="G31" s="5"/>
      <c r="H31" s="5"/>
      <c r="I31" s="5"/>
      <c r="J31" s="5"/>
      <c r="K31" s="5"/>
      <c r="L31" s="5"/>
      <c r="M31" s="5"/>
      <c r="O31" s="5">
        <f t="shared" si="1"/>
        <v>0</v>
      </c>
    </row>
    <row r="32" spans="1:15" ht="15">
      <c r="A32" s="1">
        <v>830</v>
      </c>
      <c r="B32" s="1" t="s">
        <v>208</v>
      </c>
      <c r="D32" s="1">
        <v>49</v>
      </c>
      <c r="E32" s="5">
        <v>324950</v>
      </c>
      <c r="F32" s="5">
        <v>383841</v>
      </c>
      <c r="G32" s="5"/>
      <c r="H32" s="5">
        <f aca="true" t="shared" si="8" ref="H32:M32">INDEX(ALLOC,($D32)+1,(H$1)+1)*$F32</f>
        <v>255657.01568111868</v>
      </c>
      <c r="I32" s="5">
        <f t="shared" si="8"/>
        <v>119138.84086749991</v>
      </c>
      <c r="J32" s="5">
        <f t="shared" si="8"/>
        <v>9045.143451381424</v>
      </c>
      <c r="K32" s="5">
        <f t="shared" si="8"/>
        <v>0</v>
      </c>
      <c r="L32" s="5">
        <f t="shared" si="8"/>
        <v>0</v>
      </c>
      <c r="M32" s="5">
        <f t="shared" si="8"/>
        <v>0</v>
      </c>
      <c r="O32" s="5">
        <f t="shared" si="1"/>
        <v>0</v>
      </c>
    </row>
    <row r="33" spans="1:15" ht="15">
      <c r="A33" s="1">
        <v>831</v>
      </c>
      <c r="B33" s="1" t="s">
        <v>209</v>
      </c>
      <c r="D33" s="8" t="s">
        <v>139</v>
      </c>
      <c r="E33" s="5"/>
      <c r="F33" s="5"/>
      <c r="G33" s="5"/>
      <c r="H33" s="5"/>
      <c r="I33" s="5"/>
      <c r="J33" s="5"/>
      <c r="K33" s="5"/>
      <c r="L33" s="5"/>
      <c r="M33" s="5"/>
      <c r="O33" s="5">
        <f t="shared" si="1"/>
        <v>0</v>
      </c>
    </row>
    <row r="34" spans="1:15" ht="15">
      <c r="A34" s="1">
        <v>832</v>
      </c>
      <c r="B34" s="1" t="s">
        <v>210</v>
      </c>
      <c r="D34" s="1">
        <v>7</v>
      </c>
      <c r="E34" s="5"/>
      <c r="F34" s="5">
        <v>814234.57</v>
      </c>
      <c r="G34" s="5"/>
      <c r="H34" s="5">
        <f aca="true" t="shared" si="9" ref="H34:M39">INDEX(ALLOC,($D34)+1,(H$1)+1)*$F34</f>
        <v>549210.584960145</v>
      </c>
      <c r="I34" s="5">
        <f t="shared" si="9"/>
        <v>248204.15105839242</v>
      </c>
      <c r="J34" s="5">
        <f t="shared" si="9"/>
        <v>16819.83398146256</v>
      </c>
      <c r="K34" s="5">
        <f t="shared" si="9"/>
        <v>0</v>
      </c>
      <c r="L34" s="5">
        <f t="shared" si="9"/>
        <v>0</v>
      </c>
      <c r="M34" s="5">
        <f t="shared" si="9"/>
        <v>0</v>
      </c>
      <c r="O34" s="5">
        <f t="shared" si="1"/>
        <v>0</v>
      </c>
    </row>
    <row r="35" spans="1:15" ht="15">
      <c r="A35" s="1">
        <v>833</v>
      </c>
      <c r="B35" s="1" t="s">
        <v>211</v>
      </c>
      <c r="D35" s="1">
        <v>7</v>
      </c>
      <c r="E35" s="5"/>
      <c r="F35" s="5">
        <v>173505.99</v>
      </c>
      <c r="G35" s="5"/>
      <c r="H35" s="5">
        <f t="shared" si="9"/>
        <v>117031.78638311691</v>
      </c>
      <c r="I35" s="5">
        <f t="shared" si="9"/>
        <v>52890.04979424532</v>
      </c>
      <c r="J35" s="5">
        <f t="shared" si="9"/>
        <v>3584.1538226377484</v>
      </c>
      <c r="K35" s="5">
        <f t="shared" si="9"/>
        <v>0</v>
      </c>
      <c r="L35" s="5">
        <f t="shared" si="9"/>
        <v>0</v>
      </c>
      <c r="M35" s="5">
        <f t="shared" si="9"/>
        <v>0</v>
      </c>
      <c r="O35" s="5">
        <f t="shared" si="1"/>
        <v>0</v>
      </c>
    </row>
    <row r="36" spans="1:15" ht="15">
      <c r="A36" s="1">
        <v>834</v>
      </c>
      <c r="B36" s="1" t="s">
        <v>212</v>
      </c>
      <c r="D36" s="1">
        <v>2</v>
      </c>
      <c r="E36" s="5"/>
      <c r="F36" s="5">
        <v>691884.59</v>
      </c>
      <c r="G36" s="5"/>
      <c r="H36" s="5">
        <f t="shared" si="9"/>
        <v>458631.26983155723</v>
      </c>
      <c r="I36" s="5">
        <f t="shared" si="9"/>
        <v>216193.97976573504</v>
      </c>
      <c r="J36" s="5">
        <f t="shared" si="9"/>
        <v>17059.34040270768</v>
      </c>
      <c r="K36" s="5">
        <f t="shared" si="9"/>
        <v>0</v>
      </c>
      <c r="L36" s="5">
        <f t="shared" si="9"/>
        <v>0</v>
      </c>
      <c r="M36" s="5">
        <f t="shared" si="9"/>
        <v>0</v>
      </c>
      <c r="O36" s="5">
        <f t="shared" si="1"/>
        <v>0</v>
      </c>
    </row>
    <row r="37" spans="1:15" ht="15">
      <c r="A37" s="1">
        <v>835</v>
      </c>
      <c r="B37" s="1" t="s">
        <v>213</v>
      </c>
      <c r="D37" s="1">
        <v>7</v>
      </c>
      <c r="E37" s="5"/>
      <c r="F37" s="5">
        <v>32819.51</v>
      </c>
      <c r="G37" s="5"/>
      <c r="H37" s="5">
        <f t="shared" si="9"/>
        <v>22137.13707243519</v>
      </c>
      <c r="I37" s="5">
        <f t="shared" si="9"/>
        <v>10004.412632225161</v>
      </c>
      <c r="J37" s="5">
        <f t="shared" si="9"/>
        <v>677.9602953396469</v>
      </c>
      <c r="K37" s="5">
        <f t="shared" si="9"/>
        <v>0</v>
      </c>
      <c r="L37" s="5">
        <f t="shared" si="9"/>
        <v>0</v>
      </c>
      <c r="M37" s="5">
        <f t="shared" si="9"/>
        <v>0</v>
      </c>
      <c r="O37" s="5">
        <f t="shared" si="1"/>
        <v>0</v>
      </c>
    </row>
    <row r="38" spans="1:15" ht="15">
      <c r="A38" s="1">
        <v>836</v>
      </c>
      <c r="B38" s="1" t="s">
        <v>214</v>
      </c>
      <c r="D38" s="1">
        <v>2</v>
      </c>
      <c r="E38" s="5"/>
      <c r="F38" s="5">
        <v>880091.73</v>
      </c>
      <c r="G38" s="5"/>
      <c r="H38" s="5">
        <f t="shared" si="9"/>
        <v>583388.6077707729</v>
      </c>
      <c r="I38" s="5">
        <f t="shared" si="9"/>
        <v>275003.28294291213</v>
      </c>
      <c r="J38" s="5">
        <f t="shared" si="9"/>
        <v>21699.83928631493</v>
      </c>
      <c r="K38" s="5">
        <f t="shared" si="9"/>
        <v>0</v>
      </c>
      <c r="L38" s="5">
        <f t="shared" si="9"/>
        <v>0</v>
      </c>
      <c r="M38" s="5">
        <f t="shared" si="9"/>
        <v>0</v>
      </c>
      <c r="O38" s="5">
        <f t="shared" si="1"/>
        <v>0</v>
      </c>
    </row>
    <row r="39" spans="1:15" ht="15">
      <c r="A39" s="1">
        <v>837</v>
      </c>
      <c r="B39" s="1" t="s">
        <v>215</v>
      </c>
      <c r="D39" s="1">
        <v>7</v>
      </c>
      <c r="E39" s="5"/>
      <c r="F39" s="5">
        <v>43201.19</v>
      </c>
      <c r="G39" s="5"/>
      <c r="H39" s="5">
        <f t="shared" si="9"/>
        <v>29139.69967017535</v>
      </c>
      <c r="I39" s="5">
        <f t="shared" si="9"/>
        <v>13169.07324220134</v>
      </c>
      <c r="J39" s="5">
        <f t="shared" si="9"/>
        <v>892.4170876233131</v>
      </c>
      <c r="K39" s="5">
        <f t="shared" si="9"/>
        <v>0</v>
      </c>
      <c r="L39" s="5">
        <f t="shared" si="9"/>
        <v>0</v>
      </c>
      <c r="M39" s="5">
        <f t="shared" si="9"/>
        <v>0</v>
      </c>
      <c r="O39" s="5">
        <f t="shared" si="1"/>
        <v>0</v>
      </c>
    </row>
    <row r="40" spans="2:15" ht="15.75">
      <c r="B40" s="19" t="s">
        <v>74</v>
      </c>
      <c r="C40" s="3"/>
      <c r="D40" s="3"/>
      <c r="E40" s="15"/>
      <c r="F40" s="15">
        <f>SUM(F32:F39)</f>
        <v>3019578.5799999996</v>
      </c>
      <c r="G40" s="15"/>
      <c r="H40" s="15">
        <f aca="true" t="shared" si="10" ref="H40:M40">SUM(H32:H39)</f>
        <v>2015196.101369321</v>
      </c>
      <c r="I40" s="15">
        <f t="shared" si="10"/>
        <v>934603.7903032113</v>
      </c>
      <c r="J40" s="15">
        <f t="shared" si="10"/>
        <v>69778.6883274673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O40" s="5">
        <f t="shared" si="1"/>
        <v>0</v>
      </c>
    </row>
    <row r="41" spans="5:15" ht="15">
      <c r="E41" s="5"/>
      <c r="F41" s="5"/>
      <c r="G41" s="5"/>
      <c r="H41" s="5"/>
      <c r="I41" s="5"/>
      <c r="J41" s="5"/>
      <c r="K41" s="5"/>
      <c r="L41" s="5"/>
      <c r="M41" s="5"/>
      <c r="O41" s="5">
        <f t="shared" si="1"/>
        <v>0</v>
      </c>
    </row>
    <row r="42" spans="2:15" ht="15.75">
      <c r="B42" s="4" t="s">
        <v>216</v>
      </c>
      <c r="E42" s="5"/>
      <c r="F42" s="5"/>
      <c r="G42" s="5"/>
      <c r="H42" s="5"/>
      <c r="I42" s="5"/>
      <c r="J42" s="5"/>
      <c r="K42" s="5"/>
      <c r="L42" s="5"/>
      <c r="M42" s="5"/>
      <c r="O42" s="5">
        <f t="shared" si="1"/>
        <v>0</v>
      </c>
    </row>
    <row r="43" spans="1:15" ht="15">
      <c r="A43" s="8" t="s">
        <v>158</v>
      </c>
      <c r="B43" s="1" t="s">
        <v>216</v>
      </c>
      <c r="D43" s="1">
        <v>8</v>
      </c>
      <c r="E43" s="5"/>
      <c r="F43" s="5">
        <v>2026620</v>
      </c>
      <c r="G43" s="5"/>
      <c r="H43" s="5">
        <f aca="true" t="shared" si="11" ref="H43:M43">INDEX(ALLOC,($D43)+1,(H$1)+1)*$F43</f>
        <v>1366978.5055821554</v>
      </c>
      <c r="I43" s="5">
        <f t="shared" si="11"/>
        <v>617777.1310028747</v>
      </c>
      <c r="J43" s="5">
        <f t="shared" si="11"/>
        <v>41864.36341496979</v>
      </c>
      <c r="K43" s="5">
        <f t="shared" si="11"/>
        <v>0</v>
      </c>
      <c r="L43" s="5">
        <f t="shared" si="11"/>
        <v>0</v>
      </c>
      <c r="M43" s="5">
        <f t="shared" si="11"/>
        <v>0</v>
      </c>
      <c r="O43" s="5">
        <f t="shared" si="1"/>
        <v>0</v>
      </c>
    </row>
    <row r="44" spans="2:15" ht="15.75">
      <c r="B44" s="19" t="s">
        <v>74</v>
      </c>
      <c r="C44" s="3"/>
      <c r="D44" s="3"/>
      <c r="E44" s="15"/>
      <c r="F44" s="15">
        <f>F43</f>
        <v>2026620</v>
      </c>
      <c r="G44" s="15"/>
      <c r="H44" s="15">
        <f aca="true" t="shared" si="12" ref="H44:M44">H43</f>
        <v>1366978.5055821554</v>
      </c>
      <c r="I44" s="15">
        <f t="shared" si="12"/>
        <v>617777.1310028747</v>
      </c>
      <c r="J44" s="15">
        <f t="shared" si="12"/>
        <v>41864.36341496979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O44" s="5">
        <f t="shared" si="1"/>
        <v>0</v>
      </c>
    </row>
    <row r="45" spans="5:15" ht="15">
      <c r="E45" s="5"/>
      <c r="F45" s="5"/>
      <c r="G45" s="5"/>
      <c r="H45" s="5"/>
      <c r="I45" s="5"/>
      <c r="J45" s="5"/>
      <c r="K45" s="5"/>
      <c r="L45" s="5"/>
      <c r="M45" s="5"/>
      <c r="O45" s="5">
        <f t="shared" si="1"/>
        <v>0</v>
      </c>
    </row>
    <row r="46" spans="2:15" ht="15.75">
      <c r="B46" s="4" t="s">
        <v>217</v>
      </c>
      <c r="E46" s="5"/>
      <c r="F46" s="5"/>
      <c r="G46" s="5"/>
      <c r="H46" s="5"/>
      <c r="I46" s="5"/>
      <c r="J46" s="5"/>
      <c r="K46" s="5"/>
      <c r="L46" s="5"/>
      <c r="M46" s="5"/>
      <c r="O46" s="5">
        <f t="shared" si="1"/>
        <v>0</v>
      </c>
    </row>
    <row r="47" spans="1:15" ht="15">
      <c r="A47" s="1">
        <v>870</v>
      </c>
      <c r="B47" s="1" t="s">
        <v>218</v>
      </c>
      <c r="D47" s="8" t="s">
        <v>139</v>
      </c>
      <c r="E47" s="5"/>
      <c r="F47" s="5"/>
      <c r="G47" s="5"/>
      <c r="H47" s="5"/>
      <c r="I47" s="5"/>
      <c r="J47" s="5"/>
      <c r="K47" s="5"/>
      <c r="L47" s="5"/>
      <c r="M47" s="5"/>
      <c r="O47" s="5">
        <f t="shared" si="1"/>
        <v>0</v>
      </c>
    </row>
    <row r="48" spans="1:15" ht="15">
      <c r="A48" s="1">
        <v>871</v>
      </c>
      <c r="B48" s="1" t="s">
        <v>219</v>
      </c>
      <c r="D48" s="1">
        <v>4</v>
      </c>
      <c r="E48" s="5"/>
      <c r="F48" s="5">
        <v>481434</v>
      </c>
      <c r="G48" s="5"/>
      <c r="H48" s="5">
        <f aca="true" t="shared" si="13" ref="H48:M48">INDEX(ALLOC,($D48)+1,(H$1)+1)*$F48</f>
        <v>220102.4237392121</v>
      </c>
      <c r="I48" s="5">
        <f t="shared" si="13"/>
        <v>111471.25732216093</v>
      </c>
      <c r="J48" s="5">
        <f t="shared" si="13"/>
        <v>10614.28068111166</v>
      </c>
      <c r="K48" s="5">
        <f t="shared" si="13"/>
        <v>4337.199734552497</v>
      </c>
      <c r="L48" s="5">
        <f t="shared" si="13"/>
        <v>127092.88585663079</v>
      </c>
      <c r="M48" s="5">
        <f t="shared" si="13"/>
        <v>7815.9526663320075</v>
      </c>
      <c r="O48" s="5">
        <f t="shared" si="1"/>
        <v>0</v>
      </c>
    </row>
    <row r="49" spans="1:15" ht="15">
      <c r="A49" s="1">
        <v>872</v>
      </c>
      <c r="B49" s="1" t="s">
        <v>220</v>
      </c>
      <c r="D49" s="8" t="s">
        <v>139</v>
      </c>
      <c r="E49" s="5"/>
      <c r="F49" s="5"/>
      <c r="G49" s="5"/>
      <c r="H49" s="5"/>
      <c r="I49" s="5"/>
      <c r="J49" s="5"/>
      <c r="K49" s="5"/>
      <c r="L49" s="5"/>
      <c r="M49" s="5"/>
      <c r="O49" s="5">
        <f t="shared" si="1"/>
        <v>0</v>
      </c>
    </row>
    <row r="50" spans="1:15" ht="15">
      <c r="A50" s="1">
        <v>873</v>
      </c>
      <c r="B50" s="1" t="s">
        <v>221</v>
      </c>
      <c r="D50" s="8" t="s">
        <v>139</v>
      </c>
      <c r="E50" s="5"/>
      <c r="F50" s="5"/>
      <c r="G50" s="5"/>
      <c r="H50" s="5"/>
      <c r="I50" s="5"/>
      <c r="J50" s="5"/>
      <c r="K50" s="5"/>
      <c r="L50" s="5"/>
      <c r="M50" s="5"/>
      <c r="O50" s="5">
        <f t="shared" si="1"/>
        <v>0</v>
      </c>
    </row>
    <row r="51" spans="1:15" ht="15">
      <c r="A51" s="1">
        <v>874.01</v>
      </c>
      <c r="B51" s="1" t="s">
        <v>222</v>
      </c>
      <c r="D51" s="1">
        <v>36</v>
      </c>
      <c r="E51" s="5"/>
      <c r="F51" s="5">
        <v>2952758</v>
      </c>
      <c r="G51" s="5"/>
      <c r="H51" s="5">
        <f aca="true" t="shared" si="14" ref="H51:M51">INDEX(ALLOC,($D51)+1,(H$1)+1)*$F51</f>
        <v>2081964.5581242912</v>
      </c>
      <c r="I51" s="5">
        <f t="shared" si="14"/>
        <v>719441.7865471056</v>
      </c>
      <c r="J51" s="5">
        <f t="shared" si="14"/>
        <v>44322.475058710734</v>
      </c>
      <c r="K51" s="5">
        <f t="shared" si="14"/>
        <v>12009.331115025054</v>
      </c>
      <c r="L51" s="5">
        <f t="shared" si="14"/>
        <v>93240.71825036456</v>
      </c>
      <c r="M51" s="5">
        <f t="shared" si="14"/>
        <v>1779.130904502897</v>
      </c>
      <c r="O51" s="5">
        <f t="shared" si="1"/>
        <v>0</v>
      </c>
    </row>
    <row r="52" spans="1:15" ht="15">
      <c r="A52" s="1">
        <v>874.02</v>
      </c>
      <c r="B52" s="1" t="s">
        <v>223</v>
      </c>
      <c r="D52" s="8" t="s">
        <v>139</v>
      </c>
      <c r="E52" s="5"/>
      <c r="F52" s="5"/>
      <c r="G52" s="5"/>
      <c r="H52" s="5"/>
      <c r="I52" s="5"/>
      <c r="J52" s="5"/>
      <c r="K52" s="5"/>
      <c r="L52" s="5"/>
      <c r="M52" s="5"/>
      <c r="O52" s="5">
        <f t="shared" si="1"/>
        <v>0</v>
      </c>
    </row>
    <row r="53" spans="1:15" ht="15">
      <c r="A53" s="1">
        <v>874.03</v>
      </c>
      <c r="B53" s="1" t="s">
        <v>224</v>
      </c>
      <c r="D53" s="8" t="s">
        <v>139</v>
      </c>
      <c r="E53" s="5"/>
      <c r="F53" s="5"/>
      <c r="G53" s="5"/>
      <c r="H53" s="5"/>
      <c r="I53" s="5"/>
      <c r="J53" s="5"/>
      <c r="K53" s="5"/>
      <c r="L53" s="5"/>
      <c r="M53" s="5"/>
      <c r="O53" s="5">
        <f t="shared" si="1"/>
        <v>0</v>
      </c>
    </row>
    <row r="54" spans="1:15" ht="15">
      <c r="A54" s="1">
        <v>874.04</v>
      </c>
      <c r="B54" s="1" t="s">
        <v>225</v>
      </c>
      <c r="D54" s="8" t="s">
        <v>139</v>
      </c>
      <c r="E54" s="5"/>
      <c r="F54" s="5"/>
      <c r="G54" s="5"/>
      <c r="H54" s="5"/>
      <c r="I54" s="5"/>
      <c r="J54" s="5"/>
      <c r="K54" s="5"/>
      <c r="L54" s="5"/>
      <c r="M54" s="5"/>
      <c r="O54" s="5">
        <f t="shared" si="1"/>
        <v>0</v>
      </c>
    </row>
    <row r="55" spans="1:15" ht="15">
      <c r="A55" s="1">
        <v>874.05</v>
      </c>
      <c r="B55" s="1" t="s">
        <v>226</v>
      </c>
      <c r="D55" s="8" t="s">
        <v>139</v>
      </c>
      <c r="E55" s="5"/>
      <c r="F55" s="5"/>
      <c r="G55" s="5"/>
      <c r="H55" s="5"/>
      <c r="I55" s="5"/>
      <c r="J55" s="5"/>
      <c r="K55" s="5"/>
      <c r="L55" s="5"/>
      <c r="M55" s="5"/>
      <c r="O55" s="5">
        <f t="shared" si="1"/>
        <v>0</v>
      </c>
    </row>
    <row r="56" spans="1:15" ht="15">
      <c r="A56" s="1">
        <v>874.06</v>
      </c>
      <c r="B56" s="1" t="s">
        <v>227</v>
      </c>
      <c r="D56" s="8" t="s">
        <v>139</v>
      </c>
      <c r="E56" s="5"/>
      <c r="F56" s="5"/>
      <c r="G56" s="5"/>
      <c r="H56" s="5"/>
      <c r="I56" s="5"/>
      <c r="J56" s="5"/>
      <c r="K56" s="5"/>
      <c r="L56" s="5"/>
      <c r="M56" s="5"/>
      <c r="O56" s="5">
        <f t="shared" si="1"/>
        <v>0</v>
      </c>
    </row>
    <row r="57" spans="1:15" ht="15">
      <c r="A57" s="1">
        <v>874.07</v>
      </c>
      <c r="B57" s="1" t="s">
        <v>228</v>
      </c>
      <c r="D57" s="8" t="s">
        <v>139</v>
      </c>
      <c r="E57" s="5"/>
      <c r="F57" s="5"/>
      <c r="G57" s="5"/>
      <c r="H57" s="5"/>
      <c r="I57" s="5"/>
      <c r="J57" s="5"/>
      <c r="K57" s="5"/>
      <c r="L57" s="5"/>
      <c r="M57" s="5"/>
      <c r="O57" s="5">
        <f t="shared" si="1"/>
        <v>0</v>
      </c>
    </row>
    <row r="58" spans="1:15" ht="15">
      <c r="A58" s="1">
        <v>874.08</v>
      </c>
      <c r="B58" s="1" t="s">
        <v>229</v>
      </c>
      <c r="D58" s="8" t="s">
        <v>139</v>
      </c>
      <c r="E58" s="5"/>
      <c r="F58" s="5"/>
      <c r="G58" s="5"/>
      <c r="H58" s="5"/>
      <c r="I58" s="5"/>
      <c r="J58" s="5"/>
      <c r="K58" s="5"/>
      <c r="L58" s="5"/>
      <c r="M58" s="5"/>
      <c r="O58" s="5">
        <f t="shared" si="1"/>
        <v>0</v>
      </c>
    </row>
    <row r="59" spans="1:15" ht="15">
      <c r="A59" s="1">
        <v>874.09</v>
      </c>
      <c r="B59" s="1" t="s">
        <v>230</v>
      </c>
      <c r="D59" s="8" t="s">
        <v>139</v>
      </c>
      <c r="E59" s="5"/>
      <c r="F59" s="5"/>
      <c r="G59" s="5"/>
      <c r="H59" s="5"/>
      <c r="I59" s="5"/>
      <c r="J59" s="5"/>
      <c r="K59" s="5"/>
      <c r="L59" s="5"/>
      <c r="M59" s="5"/>
      <c r="O59" s="5">
        <f t="shared" si="1"/>
        <v>0</v>
      </c>
    </row>
    <row r="60" spans="1:15" ht="15">
      <c r="A60" s="1">
        <v>874.1</v>
      </c>
      <c r="B60" s="1" t="s">
        <v>231</v>
      </c>
      <c r="D60" s="8" t="s">
        <v>139</v>
      </c>
      <c r="E60" s="5"/>
      <c r="F60" s="5"/>
      <c r="G60" s="5"/>
      <c r="H60" s="5"/>
      <c r="I60" s="5"/>
      <c r="J60" s="5"/>
      <c r="K60" s="5"/>
      <c r="L60" s="5"/>
      <c r="M60" s="5"/>
      <c r="O60" s="5">
        <f t="shared" si="1"/>
        <v>0</v>
      </c>
    </row>
    <row r="61" spans="1:15" ht="15">
      <c r="A61" s="1">
        <v>875</v>
      </c>
      <c r="B61" s="1" t="s">
        <v>232</v>
      </c>
      <c r="D61" s="1">
        <v>9</v>
      </c>
      <c r="E61" s="5"/>
      <c r="F61" s="5">
        <v>754896</v>
      </c>
      <c r="G61" s="5"/>
      <c r="H61" s="5">
        <f aca="true" t="shared" si="15" ref="H61:M67">INDEX(ALLOC,($D61)+1,(H$1)+1)*$F61</f>
        <v>443392.41883466253</v>
      </c>
      <c r="I61" s="5">
        <f t="shared" si="15"/>
        <v>197053.19622871658</v>
      </c>
      <c r="J61" s="5">
        <f t="shared" si="15"/>
        <v>12461.902781068997</v>
      </c>
      <c r="K61" s="5">
        <f t="shared" si="15"/>
        <v>5491.213779868619</v>
      </c>
      <c r="L61" s="5">
        <f t="shared" si="15"/>
        <v>92585.23676962462</v>
      </c>
      <c r="M61" s="5">
        <f t="shared" si="15"/>
        <v>3912.031606058605</v>
      </c>
      <c r="O61" s="5">
        <f t="shared" si="1"/>
        <v>0</v>
      </c>
    </row>
    <row r="62" spans="1:15" ht="15">
      <c r="A62" s="1">
        <v>876</v>
      </c>
      <c r="B62" s="1" t="s">
        <v>233</v>
      </c>
      <c r="D62" s="1">
        <v>15</v>
      </c>
      <c r="E62" s="5"/>
      <c r="F62" s="5">
        <v>285484</v>
      </c>
      <c r="G62" s="5"/>
      <c r="H62" s="5">
        <f t="shared" si="15"/>
        <v>235754.85228535393</v>
      </c>
      <c r="I62" s="5">
        <f t="shared" si="15"/>
        <v>47319.99025649952</v>
      </c>
      <c r="J62" s="5">
        <f t="shared" si="15"/>
        <v>1891.8633937467291</v>
      </c>
      <c r="K62" s="5">
        <f t="shared" si="15"/>
        <v>265.23742817953485</v>
      </c>
      <c r="L62" s="5">
        <f t="shared" si="15"/>
        <v>252.05663622028024</v>
      </c>
      <c r="M62" s="5">
        <f t="shared" si="15"/>
        <v>0</v>
      </c>
      <c r="O62" s="5">
        <f t="shared" si="1"/>
        <v>0</v>
      </c>
    </row>
    <row r="63" spans="1:15" ht="15">
      <c r="A63" s="1">
        <v>877</v>
      </c>
      <c r="B63" s="1" t="s">
        <v>234</v>
      </c>
      <c r="D63" s="1">
        <v>9</v>
      </c>
      <c r="E63" s="5"/>
      <c r="F63" s="5">
        <v>122422</v>
      </c>
      <c r="G63" s="5"/>
      <c r="H63" s="5">
        <f t="shared" si="15"/>
        <v>71905.25144997067</v>
      </c>
      <c r="I63" s="5">
        <f t="shared" si="15"/>
        <v>31956.251442201232</v>
      </c>
      <c r="J63" s="5">
        <f t="shared" si="15"/>
        <v>2020.9552869057839</v>
      </c>
      <c r="K63" s="5">
        <f t="shared" si="15"/>
        <v>890.5138898061138</v>
      </c>
      <c r="L63" s="5">
        <f t="shared" si="15"/>
        <v>15014.61109319825</v>
      </c>
      <c r="M63" s="5">
        <f t="shared" si="15"/>
        <v>634.416837917947</v>
      </c>
      <c r="O63" s="5">
        <f t="shared" si="1"/>
        <v>0</v>
      </c>
    </row>
    <row r="64" spans="1:15" ht="15">
      <c r="A64" s="1">
        <v>878</v>
      </c>
      <c r="B64" s="1" t="s">
        <v>235</v>
      </c>
      <c r="D64" s="1">
        <v>15</v>
      </c>
      <c r="E64" s="5"/>
      <c r="F64" s="5">
        <v>718284</v>
      </c>
      <c r="G64" s="5"/>
      <c r="H64" s="5">
        <f t="shared" si="15"/>
        <v>593164.3746021955</v>
      </c>
      <c r="I64" s="5">
        <f t="shared" si="15"/>
        <v>119058.13243964461</v>
      </c>
      <c r="J64" s="5">
        <f t="shared" si="15"/>
        <v>4759.969756322511</v>
      </c>
      <c r="K64" s="5">
        <f t="shared" si="15"/>
        <v>667.3431816231697</v>
      </c>
      <c r="L64" s="5">
        <f t="shared" si="15"/>
        <v>634.1800202142599</v>
      </c>
      <c r="M64" s="5">
        <f t="shared" si="15"/>
        <v>0</v>
      </c>
      <c r="O64" s="5">
        <f t="shared" si="1"/>
        <v>0</v>
      </c>
    </row>
    <row r="65" spans="1:15" ht="15">
      <c r="A65" s="1">
        <v>879</v>
      </c>
      <c r="B65" s="1" t="s">
        <v>236</v>
      </c>
      <c r="D65" s="1">
        <v>15</v>
      </c>
      <c r="E65" s="5"/>
      <c r="F65" s="5">
        <v>485598</v>
      </c>
      <c r="G65" s="5"/>
      <c r="H65" s="5">
        <f t="shared" si="15"/>
        <v>401010.5111321941</v>
      </c>
      <c r="I65" s="5">
        <f t="shared" si="15"/>
        <v>80489.59881666102</v>
      </c>
      <c r="J65" s="5">
        <f t="shared" si="15"/>
        <v>3217.9914821027596</v>
      </c>
      <c r="K65" s="5">
        <f t="shared" si="15"/>
        <v>451.1593106763453</v>
      </c>
      <c r="L65" s="5">
        <f t="shared" si="15"/>
        <v>428.7392583657776</v>
      </c>
      <c r="M65" s="5">
        <f t="shared" si="15"/>
        <v>0</v>
      </c>
      <c r="O65" s="5">
        <f t="shared" si="1"/>
        <v>0</v>
      </c>
    </row>
    <row r="66" spans="1:15" ht="15">
      <c r="A66" s="1">
        <v>880</v>
      </c>
      <c r="B66" s="1" t="s">
        <v>204</v>
      </c>
      <c r="D66" s="1">
        <v>35</v>
      </c>
      <c r="E66" s="5"/>
      <c r="F66" s="5">
        <v>3223073</v>
      </c>
      <c r="G66" s="5"/>
      <c r="H66" s="5">
        <f t="shared" si="15"/>
        <v>2298216.355581466</v>
      </c>
      <c r="I66" s="5">
        <f t="shared" si="15"/>
        <v>763302.381443041</v>
      </c>
      <c r="J66" s="5">
        <f t="shared" si="15"/>
        <v>46136.205802311604</v>
      </c>
      <c r="K66" s="5">
        <f t="shared" si="15"/>
        <v>12459.532904916316</v>
      </c>
      <c r="L66" s="5">
        <f t="shared" si="15"/>
        <v>100777.59890069849</v>
      </c>
      <c r="M66" s="5">
        <f t="shared" si="15"/>
        <v>2180.925367566338</v>
      </c>
      <c r="O66" s="5">
        <f t="shared" si="1"/>
        <v>0</v>
      </c>
    </row>
    <row r="67" spans="1:15" ht="15">
      <c r="A67" s="1">
        <v>881</v>
      </c>
      <c r="B67" s="1" t="s">
        <v>206</v>
      </c>
      <c r="D67" s="1">
        <v>35</v>
      </c>
      <c r="E67" s="5"/>
      <c r="F67" s="5">
        <v>9921</v>
      </c>
      <c r="G67" s="5"/>
      <c r="H67" s="5">
        <f t="shared" si="15"/>
        <v>7074.181833214367</v>
      </c>
      <c r="I67" s="5">
        <f t="shared" si="15"/>
        <v>2349.535032652506</v>
      </c>
      <c r="J67" s="5">
        <f t="shared" si="15"/>
        <v>142.0126996083345</v>
      </c>
      <c r="K67" s="5">
        <f t="shared" si="15"/>
        <v>38.35191630772085</v>
      </c>
      <c r="L67" s="5">
        <f t="shared" si="15"/>
        <v>310.20537192109197</v>
      </c>
      <c r="M67" s="5">
        <f t="shared" si="15"/>
        <v>6.713146295980774</v>
      </c>
      <c r="O67" s="5">
        <f t="shared" si="1"/>
        <v>0</v>
      </c>
    </row>
    <row r="68" spans="2:15" ht="15.75">
      <c r="B68" s="19" t="s">
        <v>74</v>
      </c>
      <c r="C68" s="3"/>
      <c r="D68" s="3"/>
      <c r="E68" s="15"/>
      <c r="F68" s="15">
        <f>SUM(F47:F67)</f>
        <v>9033870</v>
      </c>
      <c r="G68" s="15"/>
      <c r="H68" s="15">
        <f aca="true" t="shared" si="16" ref="H68:M68">SUM(H47:H67)</f>
        <v>6352584.92758256</v>
      </c>
      <c r="I68" s="15">
        <f t="shared" si="16"/>
        <v>2072442.129528683</v>
      </c>
      <c r="J68" s="15">
        <f t="shared" si="16"/>
        <v>125567.6569418891</v>
      </c>
      <c r="K68" s="15">
        <f t="shared" si="16"/>
        <v>36609.88326095537</v>
      </c>
      <c r="L68" s="15">
        <f t="shared" si="16"/>
        <v>430336.232157238</v>
      </c>
      <c r="M68" s="15">
        <f t="shared" si="16"/>
        <v>16329.170528673774</v>
      </c>
      <c r="O68" s="5">
        <f t="shared" si="1"/>
        <v>0</v>
      </c>
    </row>
    <row r="69" spans="5:15" ht="15">
      <c r="E69" s="5"/>
      <c r="F69" s="5"/>
      <c r="G69" s="5"/>
      <c r="H69" s="5"/>
      <c r="I69" s="5"/>
      <c r="J69" s="5"/>
      <c r="K69" s="5"/>
      <c r="L69" s="5"/>
      <c r="M69" s="5"/>
      <c r="O69" s="5">
        <f t="shared" si="1"/>
        <v>0</v>
      </c>
    </row>
    <row r="70" spans="2:15" ht="15.75">
      <c r="B70" s="4" t="s">
        <v>237</v>
      </c>
      <c r="E70" s="5"/>
      <c r="F70" s="5"/>
      <c r="G70" s="5"/>
      <c r="H70" s="5"/>
      <c r="I70" s="5"/>
      <c r="J70" s="5"/>
      <c r="K70" s="5"/>
      <c r="L70" s="5"/>
      <c r="M70" s="5"/>
      <c r="O70" s="5">
        <f t="shared" si="1"/>
        <v>0</v>
      </c>
    </row>
    <row r="71" spans="1:15" ht="15">
      <c r="A71" s="1">
        <v>885</v>
      </c>
      <c r="B71" s="1" t="s">
        <v>238</v>
      </c>
      <c r="D71" s="8" t="s">
        <v>139</v>
      </c>
      <c r="E71" s="5"/>
      <c r="F71" s="5"/>
      <c r="G71" s="5"/>
      <c r="H71" s="5"/>
      <c r="I71" s="5"/>
      <c r="J71" s="5"/>
      <c r="K71" s="5"/>
      <c r="L71" s="5"/>
      <c r="M71" s="5"/>
      <c r="O71" s="5">
        <f t="shared" si="1"/>
        <v>0</v>
      </c>
    </row>
    <row r="72" spans="1:15" ht="15">
      <c r="A72" s="1">
        <v>886</v>
      </c>
      <c r="B72" s="1" t="s">
        <v>239</v>
      </c>
      <c r="D72" s="1">
        <v>9</v>
      </c>
      <c r="E72" s="5"/>
      <c r="F72" s="5">
        <v>570798</v>
      </c>
      <c r="G72" s="5"/>
      <c r="H72" s="5">
        <f aca="true" t="shared" si="17" ref="H72:M73">INDEX(ALLOC,($D72)+1,(H$1)+1)*$F72</f>
        <v>335261.4212898038</v>
      </c>
      <c r="I72" s="5">
        <f t="shared" si="17"/>
        <v>148997.43845636878</v>
      </c>
      <c r="J72" s="5">
        <f t="shared" si="17"/>
        <v>9422.79358167035</v>
      </c>
      <c r="K72" s="5">
        <f t="shared" si="17"/>
        <v>4152.06047339163</v>
      </c>
      <c r="L72" s="5">
        <f t="shared" si="17"/>
        <v>70006.28957846935</v>
      </c>
      <c r="M72" s="5">
        <f t="shared" si="17"/>
        <v>2957.996620296093</v>
      </c>
      <c r="O72" s="5">
        <f t="shared" si="1"/>
        <v>0</v>
      </c>
    </row>
    <row r="73" spans="1:15" ht="15">
      <c r="A73" s="1">
        <v>887</v>
      </c>
      <c r="B73" s="1" t="s">
        <v>240</v>
      </c>
      <c r="D73" s="1">
        <v>45</v>
      </c>
      <c r="E73" s="5"/>
      <c r="F73" s="5">
        <v>9579520</v>
      </c>
      <c r="G73" s="5"/>
      <c r="H73" s="5">
        <f t="shared" si="17"/>
        <v>5982390.356108758</v>
      </c>
      <c r="I73" s="5">
        <f t="shared" si="17"/>
        <v>2831501.7492374596</v>
      </c>
      <c r="J73" s="5">
        <f t="shared" si="17"/>
        <v>220892.05952491664</v>
      </c>
      <c r="K73" s="5">
        <f t="shared" si="17"/>
        <v>59640.87202545239</v>
      </c>
      <c r="L73" s="5">
        <f t="shared" si="17"/>
        <v>476032.79635607434</v>
      </c>
      <c r="M73" s="5">
        <f t="shared" si="17"/>
        <v>9062.166747340872</v>
      </c>
      <c r="O73" s="5">
        <f t="shared" si="1"/>
        <v>0</v>
      </c>
    </row>
    <row r="74" spans="1:15" ht="15">
      <c r="A74" s="1">
        <v>888</v>
      </c>
      <c r="B74" s="1" t="s">
        <v>241</v>
      </c>
      <c r="D74" s="8" t="s">
        <v>139</v>
      </c>
      <c r="E74" s="5"/>
      <c r="F74" s="5"/>
      <c r="G74" s="5"/>
      <c r="H74" s="5"/>
      <c r="I74" s="5"/>
      <c r="J74" s="5"/>
      <c r="K74" s="5"/>
      <c r="L74" s="5"/>
      <c r="M74" s="5"/>
      <c r="O74" s="5">
        <f t="shared" si="1"/>
        <v>0</v>
      </c>
    </row>
    <row r="75" spans="1:15" ht="15">
      <c r="A75" s="1">
        <v>889</v>
      </c>
      <c r="B75" s="1" t="s">
        <v>242</v>
      </c>
      <c r="D75" s="1">
        <v>9</v>
      </c>
      <c r="E75" s="5"/>
      <c r="F75" s="5">
        <v>100383</v>
      </c>
      <c r="G75" s="5"/>
      <c r="H75" s="5">
        <f aca="true" t="shared" si="18" ref="H75:M78">INDEX(ALLOC,($D75)+1,(H$1)+1)*$F75</f>
        <v>58960.52062784798</v>
      </c>
      <c r="I75" s="5">
        <f t="shared" si="18"/>
        <v>26203.332640558776</v>
      </c>
      <c r="J75" s="5">
        <f t="shared" si="18"/>
        <v>1657.1331506221375</v>
      </c>
      <c r="K75" s="5">
        <f t="shared" si="18"/>
        <v>730.1992762771979</v>
      </c>
      <c r="L75" s="5">
        <f t="shared" si="18"/>
        <v>12311.608251527665</v>
      </c>
      <c r="M75" s="5">
        <f t="shared" si="18"/>
        <v>520.2060531662387</v>
      </c>
      <c r="O75" s="5">
        <f t="shared" si="1"/>
        <v>0</v>
      </c>
    </row>
    <row r="76" spans="1:15" ht="15">
      <c r="A76" s="1">
        <v>890</v>
      </c>
      <c r="B76" s="1" t="s">
        <v>243</v>
      </c>
      <c r="D76" s="1">
        <v>15</v>
      </c>
      <c r="E76" s="5"/>
      <c r="F76" s="5">
        <v>221727</v>
      </c>
      <c r="G76" s="5"/>
      <c r="H76" s="5">
        <f t="shared" si="18"/>
        <v>183103.83815791662</v>
      </c>
      <c r="I76" s="5">
        <f t="shared" si="18"/>
        <v>36752.04032311047</v>
      </c>
      <c r="J76" s="5">
        <f t="shared" si="18"/>
        <v>1469.354481180315</v>
      </c>
      <c r="K76" s="5">
        <f t="shared" si="18"/>
        <v>206.0020850133938</v>
      </c>
      <c r="L76" s="5">
        <f t="shared" si="18"/>
        <v>195.7649527791893</v>
      </c>
      <c r="M76" s="5">
        <f t="shared" si="18"/>
        <v>0</v>
      </c>
      <c r="O76" s="5">
        <f aca="true" t="shared" si="19" ref="O76:O139">SUM(H76:M76)-F76</f>
        <v>0</v>
      </c>
    </row>
    <row r="77" spans="1:15" ht="15">
      <c r="A77" s="1">
        <v>891</v>
      </c>
      <c r="B77" s="1" t="s">
        <v>244</v>
      </c>
      <c r="D77" s="1">
        <v>9</v>
      </c>
      <c r="E77" s="5"/>
      <c r="F77" s="5">
        <v>319701</v>
      </c>
      <c r="G77" s="5"/>
      <c r="H77" s="5">
        <f t="shared" si="18"/>
        <v>187778.183609213</v>
      </c>
      <c r="I77" s="5">
        <f t="shared" si="18"/>
        <v>83452.69267225807</v>
      </c>
      <c r="J77" s="5">
        <f t="shared" si="18"/>
        <v>5277.657824403016</v>
      </c>
      <c r="K77" s="5">
        <f t="shared" si="18"/>
        <v>2325.5475411682896</v>
      </c>
      <c r="L77" s="5">
        <f t="shared" si="18"/>
        <v>39210.15978424281</v>
      </c>
      <c r="M77" s="5">
        <f t="shared" si="18"/>
        <v>1656.7585687148191</v>
      </c>
      <c r="O77" s="5">
        <f t="shared" si="19"/>
        <v>0</v>
      </c>
    </row>
    <row r="78" spans="1:15" ht="15">
      <c r="A78" s="1">
        <v>892</v>
      </c>
      <c r="B78" s="1" t="s">
        <v>245</v>
      </c>
      <c r="D78" s="1">
        <v>14</v>
      </c>
      <c r="E78" s="5"/>
      <c r="F78" s="5">
        <v>1056214</v>
      </c>
      <c r="G78" s="5"/>
      <c r="H78" s="5">
        <f t="shared" si="18"/>
        <v>888111.2028531432</v>
      </c>
      <c r="I78" s="5">
        <f t="shared" si="18"/>
        <v>164962.672671011</v>
      </c>
      <c r="J78" s="5">
        <f t="shared" si="18"/>
        <v>1535.732716030633</v>
      </c>
      <c r="K78" s="5">
        <f t="shared" si="18"/>
        <v>455.22668365290536</v>
      </c>
      <c r="L78" s="5">
        <f t="shared" si="18"/>
        <v>1123.8141230059853</v>
      </c>
      <c r="M78" s="5">
        <f t="shared" si="18"/>
        <v>25.350953156322245</v>
      </c>
      <c r="O78" s="5">
        <f t="shared" si="19"/>
        <v>0</v>
      </c>
    </row>
    <row r="79" spans="1:15" ht="15">
      <c r="A79" s="1">
        <v>893</v>
      </c>
      <c r="B79" s="1" t="s">
        <v>246</v>
      </c>
      <c r="D79" s="8" t="s">
        <v>139</v>
      </c>
      <c r="E79" s="5"/>
      <c r="F79" s="5"/>
      <c r="G79" s="5"/>
      <c r="H79" s="5"/>
      <c r="I79" s="5"/>
      <c r="J79" s="5"/>
      <c r="K79" s="5"/>
      <c r="L79" s="5"/>
      <c r="M79" s="5"/>
      <c r="O79" s="5">
        <f t="shared" si="19"/>
        <v>0</v>
      </c>
    </row>
    <row r="80" spans="1:15" ht="15">
      <c r="A80" s="1">
        <v>894</v>
      </c>
      <c r="B80" s="1" t="s">
        <v>247</v>
      </c>
      <c r="D80" s="1">
        <v>35</v>
      </c>
      <c r="E80" s="5"/>
      <c r="F80" s="5">
        <v>422328</v>
      </c>
      <c r="G80" s="5"/>
      <c r="H80" s="5">
        <f aca="true" t="shared" si="20" ref="H80:M80">INDEX(ALLOC,($D80)+1,(H$1)+1)*$F80</f>
        <v>301141.5245698777</v>
      </c>
      <c r="I80" s="5">
        <f t="shared" si="20"/>
        <v>100017.58202500429</v>
      </c>
      <c r="J80" s="5">
        <f t="shared" si="20"/>
        <v>6045.3522225772285</v>
      </c>
      <c r="K80" s="5">
        <f t="shared" si="20"/>
        <v>1632.6064016134594</v>
      </c>
      <c r="L80" s="5">
        <f t="shared" si="20"/>
        <v>13205.162212749818</v>
      </c>
      <c r="M80" s="5">
        <f t="shared" si="20"/>
        <v>285.77256817749907</v>
      </c>
      <c r="O80" s="5">
        <f t="shared" si="19"/>
        <v>0</v>
      </c>
    </row>
    <row r="81" spans="2:15" ht="15.75">
      <c r="B81" s="19" t="s">
        <v>74</v>
      </c>
      <c r="C81" s="3"/>
      <c r="D81" s="3"/>
      <c r="E81" s="15"/>
      <c r="F81" s="15">
        <f>SUM(F71:F80)</f>
        <v>12270671</v>
      </c>
      <c r="G81" s="15"/>
      <c r="H81" s="15">
        <f aca="true" t="shared" si="21" ref="H81:M81">SUM(H71:H80)</f>
        <v>7936747.047216559</v>
      </c>
      <c r="I81" s="15">
        <f t="shared" si="21"/>
        <v>3391887.508025771</v>
      </c>
      <c r="J81" s="15">
        <f t="shared" si="21"/>
        <v>246300.08350140034</v>
      </c>
      <c r="K81" s="15">
        <f t="shared" si="21"/>
        <v>69142.51448656927</v>
      </c>
      <c r="L81" s="15">
        <f t="shared" si="21"/>
        <v>612085.5952588492</v>
      </c>
      <c r="M81" s="15">
        <f t="shared" si="21"/>
        <v>14508.251510851844</v>
      </c>
      <c r="O81" s="5">
        <f t="shared" si="19"/>
        <v>0</v>
      </c>
    </row>
    <row r="82" spans="5:15" ht="15">
      <c r="E82" s="5"/>
      <c r="F82" s="5"/>
      <c r="G82" s="5"/>
      <c r="H82" s="5"/>
      <c r="I82" s="5"/>
      <c r="J82" s="5"/>
      <c r="K82" s="5"/>
      <c r="L82" s="5"/>
      <c r="M82" s="5"/>
      <c r="O82" s="5">
        <f t="shared" si="19"/>
        <v>0</v>
      </c>
    </row>
    <row r="83" spans="1:256" ht="15.75">
      <c r="A83" s="4" t="s">
        <v>159</v>
      </c>
      <c r="B83" s="4"/>
      <c r="C83" s="4"/>
      <c r="D83" s="4"/>
      <c r="E83" s="6"/>
      <c r="F83" s="6">
        <f>F81+F68+F44+F40+F29+F14</f>
        <v>32058333.36</v>
      </c>
      <c r="G83" s="6"/>
      <c r="H83" s="6">
        <f aca="true" t="shared" si="22" ref="H83:M83">H81+H68+H44+H40+H29+H14</f>
        <v>21326618.079912618</v>
      </c>
      <c r="I83" s="6">
        <f t="shared" si="22"/>
        <v>8733562.278091563</v>
      </c>
      <c r="J83" s="6">
        <f t="shared" si="22"/>
        <v>617154.6105588923</v>
      </c>
      <c r="K83" s="6">
        <f t="shared" si="22"/>
        <v>112311.97716091052</v>
      </c>
      <c r="L83" s="6">
        <f t="shared" si="22"/>
        <v>1226721.3751486253</v>
      </c>
      <c r="M83" s="6">
        <f t="shared" si="22"/>
        <v>41965.03912738841</v>
      </c>
      <c r="N83" s="4"/>
      <c r="O83" s="5">
        <f t="shared" si="19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5:15" ht="15">
      <c r="E84" s="5"/>
      <c r="F84" s="5"/>
      <c r="G84" s="5"/>
      <c r="H84" s="5"/>
      <c r="I84" s="5"/>
      <c r="J84" s="5"/>
      <c r="K84" s="5"/>
      <c r="L84" s="5"/>
      <c r="M84" s="5"/>
      <c r="O84" s="5">
        <f t="shared" si="19"/>
        <v>0</v>
      </c>
    </row>
    <row r="85" spans="1:15" ht="15.75">
      <c r="A85" s="16" t="s">
        <v>160</v>
      </c>
      <c r="B85" s="7"/>
      <c r="C85" s="7"/>
      <c r="E85" s="5"/>
      <c r="F85" s="5"/>
      <c r="G85" s="5"/>
      <c r="H85" s="5"/>
      <c r="I85" s="5"/>
      <c r="J85" s="5"/>
      <c r="K85" s="5"/>
      <c r="L85" s="5"/>
      <c r="M85" s="5"/>
      <c r="O85" s="5">
        <f t="shared" si="19"/>
        <v>0</v>
      </c>
    </row>
    <row r="86" spans="1:15" ht="15">
      <c r="A86" s="1">
        <v>901</v>
      </c>
      <c r="B86" s="1" t="s">
        <v>248</v>
      </c>
      <c r="D86" s="1">
        <v>17</v>
      </c>
      <c r="E86" s="5"/>
      <c r="F86" s="5">
        <v>832776</v>
      </c>
      <c r="G86" s="5"/>
      <c r="H86" s="5">
        <f aca="true" t="shared" si="23" ref="H86:M90">INDEX(ALLOC,($D86)+1,(H$1)+1)*$F86</f>
        <v>698810.2534100929</v>
      </c>
      <c r="I86" s="5">
        <f t="shared" si="23"/>
        <v>123628.5723769514</v>
      </c>
      <c r="J86" s="5">
        <f t="shared" si="23"/>
        <v>1031.7977974862993</v>
      </c>
      <c r="K86" s="5">
        <f t="shared" si="23"/>
        <v>67.18683332468925</v>
      </c>
      <c r="L86" s="5">
        <f t="shared" si="23"/>
        <v>9118.21309406497</v>
      </c>
      <c r="M86" s="5">
        <f t="shared" si="23"/>
        <v>119.97648807980222</v>
      </c>
      <c r="O86" s="5">
        <f t="shared" si="19"/>
        <v>0</v>
      </c>
    </row>
    <row r="87" spans="1:15" ht="15">
      <c r="A87" s="1">
        <v>902</v>
      </c>
      <c r="B87" s="1" t="s">
        <v>249</v>
      </c>
      <c r="D87" s="1">
        <v>17</v>
      </c>
      <c r="E87" s="5"/>
      <c r="F87" s="5">
        <v>1768816</v>
      </c>
      <c r="G87" s="5"/>
      <c r="H87" s="5">
        <f t="shared" si="23"/>
        <v>1484272.7902771295</v>
      </c>
      <c r="I87" s="5">
        <f t="shared" si="23"/>
        <v>262587.05447504454</v>
      </c>
      <c r="J87" s="5">
        <f t="shared" si="23"/>
        <v>2191.5382443280373</v>
      </c>
      <c r="K87" s="5">
        <f t="shared" si="23"/>
        <v>142.70481590973264</v>
      </c>
      <c r="L87" s="5">
        <f t="shared" si="23"/>
        <v>19367.082159178004</v>
      </c>
      <c r="M87" s="5">
        <f t="shared" si="23"/>
        <v>254.8300284102369</v>
      </c>
      <c r="O87" s="5">
        <f t="shared" si="19"/>
        <v>0</v>
      </c>
    </row>
    <row r="88" spans="1:15" ht="15">
      <c r="A88" s="1">
        <v>903</v>
      </c>
      <c r="B88" s="1" t="s">
        <v>250</v>
      </c>
      <c r="D88" s="1">
        <v>17</v>
      </c>
      <c r="E88" s="5"/>
      <c r="F88" s="5">
        <v>4364163</v>
      </c>
      <c r="G88" s="5"/>
      <c r="H88" s="5">
        <f t="shared" si="23"/>
        <v>3662115.4451532597</v>
      </c>
      <c r="I88" s="5">
        <f t="shared" si="23"/>
        <v>647875.5887661428</v>
      </c>
      <c r="J88" s="5">
        <f t="shared" si="23"/>
        <v>5407.1368186297395</v>
      </c>
      <c r="K88" s="5">
        <f t="shared" si="23"/>
        <v>352.09263005030857</v>
      </c>
      <c r="L88" s="5">
        <f t="shared" si="23"/>
        <v>47783.99979254188</v>
      </c>
      <c r="M88" s="5">
        <f t="shared" si="23"/>
        <v>628.7368393755511</v>
      </c>
      <c r="O88" s="5">
        <f t="shared" si="19"/>
        <v>0</v>
      </c>
    </row>
    <row r="89" spans="1:15" ht="15">
      <c r="A89" s="1">
        <v>904</v>
      </c>
      <c r="B89" s="1" t="s">
        <v>251</v>
      </c>
      <c r="D89" s="1">
        <v>17</v>
      </c>
      <c r="E89" s="5"/>
      <c r="F89" s="5">
        <v>828312</v>
      </c>
      <c r="G89" s="5"/>
      <c r="H89" s="5">
        <f t="shared" si="23"/>
        <v>695064.361392044</v>
      </c>
      <c r="I89" s="5">
        <f t="shared" si="23"/>
        <v>122965.87562885742</v>
      </c>
      <c r="J89" s="5">
        <f t="shared" si="23"/>
        <v>1026.2669640233046</v>
      </c>
      <c r="K89" s="5">
        <f t="shared" si="23"/>
        <v>66.82668602942447</v>
      </c>
      <c r="L89" s="5">
        <f t="shared" si="23"/>
        <v>9069.33596113618</v>
      </c>
      <c r="M89" s="5">
        <f t="shared" si="23"/>
        <v>119.33336790968656</v>
      </c>
      <c r="O89" s="5">
        <f t="shared" si="19"/>
        <v>0</v>
      </c>
    </row>
    <row r="90" spans="1:15" ht="15">
      <c r="A90" s="1">
        <v>905</v>
      </c>
      <c r="B90" s="1" t="s">
        <v>252</v>
      </c>
      <c r="D90" s="1">
        <v>17</v>
      </c>
      <c r="E90" s="5"/>
      <c r="F90" s="5">
        <v>320243</v>
      </c>
      <c r="G90" s="5"/>
      <c r="H90" s="5">
        <f t="shared" si="23"/>
        <v>268726.63475269265</v>
      </c>
      <c r="I90" s="5">
        <f t="shared" si="23"/>
        <v>47541.21745068548</v>
      </c>
      <c r="J90" s="5">
        <f t="shared" si="23"/>
        <v>396.77659065631684</v>
      </c>
      <c r="K90" s="5">
        <f t="shared" si="23"/>
        <v>25.836615205527604</v>
      </c>
      <c r="L90" s="5">
        <f t="shared" si="23"/>
        <v>3506.397777893032</v>
      </c>
      <c r="M90" s="5">
        <f t="shared" si="23"/>
        <v>46.13681286701358</v>
      </c>
      <c r="O90" s="5">
        <f t="shared" si="19"/>
        <v>0</v>
      </c>
    </row>
    <row r="91" spans="2:15" ht="15.75">
      <c r="B91" s="19" t="s">
        <v>74</v>
      </c>
      <c r="C91" s="3"/>
      <c r="D91" s="3"/>
      <c r="E91" s="15"/>
      <c r="F91" s="15">
        <f>SUM(F86:F90)</f>
        <v>8114310</v>
      </c>
      <c r="G91" s="15"/>
      <c r="H91" s="15">
        <f aca="true" t="shared" si="24" ref="H91:M91">SUM(H86:H90)</f>
        <v>6808989.484985219</v>
      </c>
      <c r="I91" s="15">
        <f t="shared" si="24"/>
        <v>1204598.3086976819</v>
      </c>
      <c r="J91" s="15">
        <f t="shared" si="24"/>
        <v>10053.516415123697</v>
      </c>
      <c r="K91" s="15">
        <f t="shared" si="24"/>
        <v>654.6475805196825</v>
      </c>
      <c r="L91" s="15">
        <f t="shared" si="24"/>
        <v>88845.02878481406</v>
      </c>
      <c r="M91" s="15">
        <f t="shared" si="24"/>
        <v>1169.0135366422903</v>
      </c>
      <c r="O91" s="5">
        <f t="shared" si="19"/>
        <v>0</v>
      </c>
    </row>
    <row r="92" spans="5:15" ht="15">
      <c r="E92" s="5"/>
      <c r="F92" s="5"/>
      <c r="G92" s="5"/>
      <c r="H92" s="5"/>
      <c r="I92" s="5"/>
      <c r="J92" s="5"/>
      <c r="K92" s="5"/>
      <c r="L92" s="5"/>
      <c r="M92" s="5"/>
      <c r="O92" s="5">
        <f t="shared" si="19"/>
        <v>0</v>
      </c>
    </row>
    <row r="93" spans="1:15" ht="15.75">
      <c r="A93" s="16" t="s">
        <v>161</v>
      </c>
      <c r="B93" s="7"/>
      <c r="C93" s="7"/>
      <c r="E93" s="5"/>
      <c r="F93" s="5"/>
      <c r="G93" s="5"/>
      <c r="H93" s="5"/>
      <c r="I93" s="5"/>
      <c r="J93" s="5"/>
      <c r="K93" s="5"/>
      <c r="L93" s="5"/>
      <c r="M93" s="5"/>
      <c r="O93" s="5">
        <f t="shared" si="19"/>
        <v>0</v>
      </c>
    </row>
    <row r="94" spans="1:15" ht="15">
      <c r="A94" s="8" t="s">
        <v>162</v>
      </c>
      <c r="B94" s="1" t="s">
        <v>253</v>
      </c>
      <c r="D94" s="1">
        <v>18</v>
      </c>
      <c r="E94" s="5"/>
      <c r="F94" s="5">
        <v>2938592</v>
      </c>
      <c r="G94" s="5"/>
      <c r="H94" s="5">
        <f aca="true" t="shared" si="25" ref="H94:M94">INDEX(ALLOC,($D94)+1,(H$1)+1)*$F94</f>
        <v>2465871.0387773803</v>
      </c>
      <c r="I94" s="5">
        <f t="shared" si="25"/>
        <v>436244.48081876803</v>
      </c>
      <c r="J94" s="5">
        <f t="shared" si="25"/>
        <v>3640.874320718727</v>
      </c>
      <c r="K94" s="5">
        <f t="shared" si="25"/>
        <v>237.08018832587058</v>
      </c>
      <c r="L94" s="5">
        <f t="shared" si="25"/>
        <v>32175.168415653865</v>
      </c>
      <c r="M94" s="5">
        <f t="shared" si="25"/>
        <v>423.35747915334036</v>
      </c>
      <c r="O94" s="5">
        <f t="shared" si="19"/>
        <v>0</v>
      </c>
    </row>
    <row r="95" spans="2:15" ht="15.75">
      <c r="B95" s="19" t="s">
        <v>74</v>
      </c>
      <c r="C95" s="3"/>
      <c r="D95" s="3"/>
      <c r="E95" s="15"/>
      <c r="F95" s="15">
        <f>F94</f>
        <v>2938592</v>
      </c>
      <c r="G95" s="15"/>
      <c r="H95" s="15">
        <f aca="true" t="shared" si="26" ref="H95:M95">H94</f>
        <v>2465871.0387773803</v>
      </c>
      <c r="I95" s="15">
        <f t="shared" si="26"/>
        <v>436244.48081876803</v>
      </c>
      <c r="J95" s="15">
        <f t="shared" si="26"/>
        <v>3640.874320718727</v>
      </c>
      <c r="K95" s="15">
        <f t="shared" si="26"/>
        <v>237.08018832587058</v>
      </c>
      <c r="L95" s="15">
        <f t="shared" si="26"/>
        <v>32175.168415653865</v>
      </c>
      <c r="M95" s="15">
        <f t="shared" si="26"/>
        <v>423.35747915334036</v>
      </c>
      <c r="O95" s="5">
        <f t="shared" si="19"/>
        <v>0</v>
      </c>
    </row>
    <row r="96" spans="5:15" ht="15">
      <c r="E96" s="5"/>
      <c r="F96" s="5"/>
      <c r="G96" s="5"/>
      <c r="H96" s="5"/>
      <c r="I96" s="5"/>
      <c r="J96" s="5"/>
      <c r="K96" s="5"/>
      <c r="L96" s="5"/>
      <c r="M96" s="5"/>
      <c r="O96" s="5">
        <f t="shared" si="19"/>
        <v>0</v>
      </c>
    </row>
    <row r="97" spans="1:15" ht="15.75">
      <c r="A97" s="16" t="s">
        <v>163</v>
      </c>
      <c r="B97" s="7"/>
      <c r="C97" s="7"/>
      <c r="E97" s="5"/>
      <c r="F97" s="5"/>
      <c r="G97" s="5"/>
      <c r="H97" s="5"/>
      <c r="I97" s="5"/>
      <c r="J97" s="5"/>
      <c r="K97" s="5"/>
      <c r="L97" s="5"/>
      <c r="M97" s="5"/>
      <c r="O97" s="5">
        <f t="shared" si="19"/>
        <v>0</v>
      </c>
    </row>
    <row r="98" spans="1:15" ht="15">
      <c r="A98" s="8" t="s">
        <v>164</v>
      </c>
      <c r="B98" s="1" t="s">
        <v>254</v>
      </c>
      <c r="D98" s="1">
        <v>18</v>
      </c>
      <c r="E98" s="5"/>
      <c r="F98" s="5">
        <v>6347</v>
      </c>
      <c r="G98" s="5"/>
      <c r="H98" s="5">
        <f aca="true" t="shared" si="27" ref="H98:M98">INDEX(ALLOC,($D98)+1,(H$1)+1)*$F98</f>
        <v>5325.980429784071</v>
      </c>
      <c r="I98" s="5">
        <f t="shared" si="27"/>
        <v>942.2348253029753</v>
      </c>
      <c r="J98" s="5">
        <f t="shared" si="27"/>
        <v>7.863844083697826</v>
      </c>
      <c r="K98" s="5">
        <f t="shared" si="27"/>
        <v>0.5120642659152073</v>
      </c>
      <c r="L98" s="5">
        <f t="shared" si="27"/>
        <v>69.4944360884924</v>
      </c>
      <c r="M98" s="5">
        <f t="shared" si="27"/>
        <v>0.9144004748485843</v>
      </c>
      <c r="O98" s="5">
        <f t="shared" si="19"/>
        <v>0</v>
      </c>
    </row>
    <row r="99" spans="2:15" ht="15.75">
      <c r="B99" s="19" t="s">
        <v>74</v>
      </c>
      <c r="C99" s="3"/>
      <c r="D99" s="3"/>
      <c r="E99" s="15"/>
      <c r="F99" s="15">
        <f>F98</f>
        <v>6347</v>
      </c>
      <c r="G99" s="15"/>
      <c r="H99" s="15">
        <f aca="true" t="shared" si="28" ref="H99:M99">H98</f>
        <v>5325.980429784071</v>
      </c>
      <c r="I99" s="15">
        <f t="shared" si="28"/>
        <v>942.2348253029753</v>
      </c>
      <c r="J99" s="15">
        <f t="shared" si="28"/>
        <v>7.863844083697826</v>
      </c>
      <c r="K99" s="15">
        <f t="shared" si="28"/>
        <v>0.5120642659152073</v>
      </c>
      <c r="L99" s="15">
        <f t="shared" si="28"/>
        <v>69.4944360884924</v>
      </c>
      <c r="M99" s="15">
        <f t="shared" si="28"/>
        <v>0.9144004748485843</v>
      </c>
      <c r="O99" s="5">
        <f t="shared" si="19"/>
        <v>0</v>
      </c>
    </row>
    <row r="100" spans="5:15" ht="15">
      <c r="E100" s="5"/>
      <c r="F100" s="5"/>
      <c r="G100" s="5"/>
      <c r="H100" s="5"/>
      <c r="I100" s="5"/>
      <c r="J100" s="5"/>
      <c r="K100" s="5"/>
      <c r="L100" s="5"/>
      <c r="M100" s="5"/>
      <c r="O100" s="5">
        <f t="shared" si="19"/>
        <v>0</v>
      </c>
    </row>
    <row r="101" spans="1:256" ht="15.75">
      <c r="A101" s="4" t="s">
        <v>165</v>
      </c>
      <c r="B101" s="4"/>
      <c r="C101" s="4"/>
      <c r="D101" s="4"/>
      <c r="E101" s="6"/>
      <c r="F101" s="6"/>
      <c r="G101" s="6"/>
      <c r="H101" s="6"/>
      <c r="I101" s="6"/>
      <c r="J101" s="6"/>
      <c r="K101" s="6"/>
      <c r="L101" s="6"/>
      <c r="M101" s="6"/>
      <c r="N101" s="4"/>
      <c r="O101" s="5">
        <f t="shared" si="19"/>
        <v>0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5:15" ht="15">
      <c r="E102" s="5"/>
      <c r="F102" s="5"/>
      <c r="G102" s="5"/>
      <c r="H102" s="5"/>
      <c r="I102" s="5"/>
      <c r="J102" s="5"/>
      <c r="K102" s="5"/>
      <c r="L102" s="5"/>
      <c r="M102" s="5"/>
      <c r="O102" s="5">
        <f t="shared" si="19"/>
        <v>0</v>
      </c>
    </row>
    <row r="103" spans="1:15" ht="15.75">
      <c r="A103" s="16" t="s">
        <v>166</v>
      </c>
      <c r="B103" s="7"/>
      <c r="C103" s="7"/>
      <c r="E103" s="5"/>
      <c r="F103" s="5"/>
      <c r="G103" s="5"/>
      <c r="H103" s="5"/>
      <c r="I103" s="5"/>
      <c r="J103" s="5"/>
      <c r="K103" s="5"/>
      <c r="L103" s="5"/>
      <c r="M103" s="5"/>
      <c r="O103" s="5">
        <f t="shared" si="19"/>
        <v>0</v>
      </c>
    </row>
    <row r="104" spans="5:15" ht="15">
      <c r="E104" s="5"/>
      <c r="F104" s="5"/>
      <c r="G104" s="5"/>
      <c r="H104" s="5"/>
      <c r="I104" s="5"/>
      <c r="J104" s="5"/>
      <c r="K104" s="5"/>
      <c r="L104" s="5"/>
      <c r="M104" s="5"/>
      <c r="O104" s="5">
        <f t="shared" si="19"/>
        <v>0</v>
      </c>
    </row>
    <row r="105" spans="1:15" ht="15">
      <c r="A105" s="1">
        <v>920</v>
      </c>
      <c r="B105" s="1" t="s">
        <v>255</v>
      </c>
      <c r="D105" s="1">
        <v>39</v>
      </c>
      <c r="E105" s="5"/>
      <c r="F105" s="5">
        <v>3861279</v>
      </c>
      <c r="G105" s="5"/>
      <c r="H105" s="5">
        <f aca="true" t="shared" si="29" ref="H105:M118">INDEX(ALLOC,($D105)+1,(H$1)+1)*$F105</f>
        <v>2705960.7169095227</v>
      </c>
      <c r="I105" s="5">
        <f t="shared" si="29"/>
        <v>935302.5904493298</v>
      </c>
      <c r="J105" s="5">
        <f t="shared" si="29"/>
        <v>58610.254076195364</v>
      </c>
      <c r="K105" s="5">
        <f t="shared" si="29"/>
        <v>11131.168698478778</v>
      </c>
      <c r="L105" s="5">
        <f t="shared" si="29"/>
        <v>144815.24106697447</v>
      </c>
      <c r="M105" s="5">
        <f t="shared" si="29"/>
        <v>5459.028799499081</v>
      </c>
      <c r="O105" s="5">
        <f t="shared" si="19"/>
        <v>0</v>
      </c>
    </row>
    <row r="106" spans="1:15" ht="15">
      <c r="A106" s="1">
        <v>921</v>
      </c>
      <c r="B106" s="1" t="s">
        <v>256</v>
      </c>
      <c r="D106" s="1">
        <v>39</v>
      </c>
      <c r="E106" s="5"/>
      <c r="F106" s="5">
        <v>1253647</v>
      </c>
      <c r="G106" s="5"/>
      <c r="H106" s="5">
        <f t="shared" si="29"/>
        <v>878548.1533117582</v>
      </c>
      <c r="I106" s="5">
        <f t="shared" si="29"/>
        <v>303666.03568637</v>
      </c>
      <c r="J106" s="5">
        <f t="shared" si="29"/>
        <v>19029.075389750415</v>
      </c>
      <c r="K106" s="5">
        <f t="shared" si="29"/>
        <v>3613.9725322469117</v>
      </c>
      <c r="L106" s="5">
        <f t="shared" si="29"/>
        <v>47017.372357161796</v>
      </c>
      <c r="M106" s="5">
        <f t="shared" si="29"/>
        <v>1772.3907227127656</v>
      </c>
      <c r="O106" s="5">
        <f t="shared" si="19"/>
        <v>0</v>
      </c>
    </row>
    <row r="107" spans="1:15" ht="15">
      <c r="A107" s="1">
        <v>922</v>
      </c>
      <c r="B107" s="1" t="s">
        <v>257</v>
      </c>
      <c r="D107" s="1">
        <v>39</v>
      </c>
      <c r="E107" s="5"/>
      <c r="F107" s="5">
        <v>-389615</v>
      </c>
      <c r="G107" s="5"/>
      <c r="H107" s="5">
        <f t="shared" si="29"/>
        <v>-273039.8100522401</v>
      </c>
      <c r="I107" s="5">
        <f t="shared" si="29"/>
        <v>-94374.92571189899</v>
      </c>
      <c r="J107" s="5">
        <f t="shared" si="29"/>
        <v>-5913.956008332177</v>
      </c>
      <c r="K107" s="5">
        <f t="shared" si="29"/>
        <v>-1123.1693675742697</v>
      </c>
      <c r="L107" s="5">
        <f t="shared" si="29"/>
        <v>-14612.30596087702</v>
      </c>
      <c r="M107" s="5">
        <f t="shared" si="29"/>
        <v>-550.8328990774389</v>
      </c>
      <c r="O107" s="5">
        <f t="shared" si="19"/>
        <v>0</v>
      </c>
    </row>
    <row r="108" spans="1:15" ht="15">
      <c r="A108" s="1">
        <v>923</v>
      </c>
      <c r="B108" s="1" t="s">
        <v>258</v>
      </c>
      <c r="D108" s="1">
        <v>39</v>
      </c>
      <c r="E108" s="5"/>
      <c r="F108" s="5">
        <v>1156536</v>
      </c>
      <c r="G108" s="5"/>
      <c r="H108" s="5">
        <f t="shared" si="29"/>
        <v>810493.3582089436</v>
      </c>
      <c r="I108" s="5">
        <f t="shared" si="29"/>
        <v>280143.21595199575</v>
      </c>
      <c r="J108" s="5">
        <f t="shared" si="29"/>
        <v>17555.030032345938</v>
      </c>
      <c r="K108" s="5">
        <f t="shared" si="29"/>
        <v>3334.0241204698887</v>
      </c>
      <c r="L108" s="5">
        <f t="shared" si="29"/>
        <v>43375.27530194901</v>
      </c>
      <c r="M108" s="5">
        <f t="shared" si="29"/>
        <v>1635.0963842958433</v>
      </c>
      <c r="O108" s="5">
        <f t="shared" si="19"/>
        <v>0</v>
      </c>
    </row>
    <row r="109" spans="1:15" ht="15">
      <c r="A109" s="1">
        <v>924</v>
      </c>
      <c r="B109" s="1" t="s">
        <v>259</v>
      </c>
      <c r="D109" s="1">
        <v>40</v>
      </c>
      <c r="E109" s="5"/>
      <c r="F109" s="5">
        <v>107371</v>
      </c>
      <c r="G109" s="5"/>
      <c r="H109" s="5">
        <f t="shared" si="29"/>
        <v>75699.29581776191</v>
      </c>
      <c r="I109" s="5">
        <f t="shared" si="29"/>
        <v>26694.213585791495</v>
      </c>
      <c r="J109" s="5">
        <f t="shared" si="29"/>
        <v>1663.5566375839362</v>
      </c>
      <c r="K109" s="5">
        <f t="shared" si="29"/>
        <v>357.9713103852395</v>
      </c>
      <c r="L109" s="5">
        <f t="shared" si="29"/>
        <v>2893.678348945255</v>
      </c>
      <c r="M109" s="5">
        <f t="shared" si="29"/>
        <v>62.28429953216721</v>
      </c>
      <c r="O109" s="5">
        <f t="shared" si="19"/>
        <v>0</v>
      </c>
    </row>
    <row r="110" spans="1:15" ht="15">
      <c r="A110" s="1">
        <v>925</v>
      </c>
      <c r="B110" s="1" t="s">
        <v>260</v>
      </c>
      <c r="D110" s="1">
        <v>39</v>
      </c>
      <c r="E110" s="5"/>
      <c r="F110" s="5">
        <v>621607</v>
      </c>
      <c r="G110" s="5"/>
      <c r="H110" s="5">
        <f t="shared" si="29"/>
        <v>435618.38534743997</v>
      </c>
      <c r="I110" s="5">
        <f t="shared" si="29"/>
        <v>150569.44534218754</v>
      </c>
      <c r="J110" s="5">
        <f t="shared" si="29"/>
        <v>9435.356576290285</v>
      </c>
      <c r="K110" s="5">
        <f t="shared" si="29"/>
        <v>1791.948310690654</v>
      </c>
      <c r="L110" s="5">
        <f t="shared" si="29"/>
        <v>23313.044085630383</v>
      </c>
      <c r="M110" s="5">
        <f t="shared" si="29"/>
        <v>878.8203377611992</v>
      </c>
      <c r="O110" s="5">
        <f t="shared" si="19"/>
        <v>0</v>
      </c>
    </row>
    <row r="111" spans="1:15" ht="15">
      <c r="A111" s="1">
        <v>926</v>
      </c>
      <c r="B111" s="1" t="s">
        <v>261</v>
      </c>
      <c r="D111" s="1">
        <v>39</v>
      </c>
      <c r="E111" s="5"/>
      <c r="F111" s="5">
        <v>9315870</v>
      </c>
      <c r="G111" s="5"/>
      <c r="H111" s="5">
        <f t="shared" si="29"/>
        <v>6528504.742557042</v>
      </c>
      <c r="I111" s="5">
        <f t="shared" si="29"/>
        <v>2256546.948119832</v>
      </c>
      <c r="J111" s="5">
        <f t="shared" si="29"/>
        <v>141405.34979233725</v>
      </c>
      <c r="K111" s="5">
        <f t="shared" si="29"/>
        <v>26855.485071940537</v>
      </c>
      <c r="L111" s="5">
        <f t="shared" si="29"/>
        <v>349386.81193423097</v>
      </c>
      <c r="M111" s="5">
        <f t="shared" si="29"/>
        <v>13170.662524616715</v>
      </c>
      <c r="O111" s="5">
        <f t="shared" si="19"/>
        <v>0</v>
      </c>
    </row>
    <row r="112" spans="1:15" ht="15">
      <c r="A112" s="1">
        <v>927</v>
      </c>
      <c r="B112" s="1" t="s">
        <v>262</v>
      </c>
      <c r="D112" s="1">
        <v>40</v>
      </c>
      <c r="E112" s="5"/>
      <c r="F112" s="5">
        <v>567069</v>
      </c>
      <c r="G112" s="5"/>
      <c r="H112" s="5">
        <f t="shared" si="29"/>
        <v>399798.12034983776</v>
      </c>
      <c r="I112" s="5">
        <f t="shared" si="29"/>
        <v>140982.77005784799</v>
      </c>
      <c r="J112" s="5">
        <f t="shared" si="29"/>
        <v>8785.904936324381</v>
      </c>
      <c r="K112" s="5">
        <f t="shared" si="29"/>
        <v>1890.5890138756963</v>
      </c>
      <c r="L112" s="5">
        <f t="shared" si="29"/>
        <v>15282.667458233946</v>
      </c>
      <c r="M112" s="5">
        <f t="shared" si="29"/>
        <v>328.9481838802519</v>
      </c>
      <c r="O112" s="5">
        <f t="shared" si="19"/>
        <v>0</v>
      </c>
    </row>
    <row r="113" spans="1:15" ht="15">
      <c r="A113" s="1">
        <v>928</v>
      </c>
      <c r="B113" s="1" t="s">
        <v>263</v>
      </c>
      <c r="D113" s="1">
        <v>40</v>
      </c>
      <c r="E113" s="5"/>
      <c r="F113" s="5">
        <v>236219</v>
      </c>
      <c r="G113" s="5"/>
      <c r="H113" s="5">
        <f t="shared" si="29"/>
        <v>166540.42487055072</v>
      </c>
      <c r="I113" s="5">
        <f t="shared" si="29"/>
        <v>58727.96601523764</v>
      </c>
      <c r="J113" s="5">
        <f t="shared" si="29"/>
        <v>3659.8679845902507</v>
      </c>
      <c r="K113" s="5">
        <f t="shared" si="29"/>
        <v>787.5462179535526</v>
      </c>
      <c r="L113" s="5">
        <f t="shared" si="29"/>
        <v>6366.16782845926</v>
      </c>
      <c r="M113" s="5">
        <f t="shared" si="29"/>
        <v>137.02708320858522</v>
      </c>
      <c r="O113" s="5">
        <f t="shared" si="19"/>
        <v>0</v>
      </c>
    </row>
    <row r="114" spans="1:15" ht="15">
      <c r="A114" s="1">
        <v>929</v>
      </c>
      <c r="B114" s="1" t="s">
        <v>264</v>
      </c>
      <c r="D114" s="1">
        <v>39</v>
      </c>
      <c r="E114" s="5"/>
      <c r="F114" s="5">
        <v>-527144</v>
      </c>
      <c r="G114" s="5"/>
      <c r="H114" s="5">
        <f t="shared" si="29"/>
        <v>-369419.2924558296</v>
      </c>
      <c r="I114" s="5">
        <f t="shared" si="29"/>
        <v>-127688.04034617066</v>
      </c>
      <c r="J114" s="5">
        <f t="shared" si="29"/>
        <v>-8001.505142400208</v>
      </c>
      <c r="K114" s="5">
        <f t="shared" si="29"/>
        <v>-1519.6334666287767</v>
      </c>
      <c r="L114" s="5">
        <f t="shared" si="29"/>
        <v>-19770.25887976735</v>
      </c>
      <c r="M114" s="5">
        <f t="shared" si="29"/>
        <v>-745.2697092033867</v>
      </c>
      <c r="O114" s="5">
        <f t="shared" si="19"/>
        <v>0</v>
      </c>
    </row>
    <row r="115" spans="1:15" ht="15">
      <c r="A115" s="1">
        <v>930.1</v>
      </c>
      <c r="B115" s="1" t="s">
        <v>265</v>
      </c>
      <c r="D115" s="1">
        <v>40</v>
      </c>
      <c r="E115" s="5"/>
      <c r="F115" s="5">
        <v>205864</v>
      </c>
      <c r="G115" s="5"/>
      <c r="H115" s="5">
        <f t="shared" si="29"/>
        <v>145139.37501027036</v>
      </c>
      <c r="I115" s="5">
        <f t="shared" si="29"/>
        <v>51181.20894492349</v>
      </c>
      <c r="J115" s="5">
        <f t="shared" si="29"/>
        <v>3189.5616473682785</v>
      </c>
      <c r="K115" s="5">
        <f t="shared" si="29"/>
        <v>686.3436667363343</v>
      </c>
      <c r="L115" s="5">
        <f t="shared" si="29"/>
        <v>5548.092125688184</v>
      </c>
      <c r="M115" s="5">
        <f t="shared" si="29"/>
        <v>119.41860501336552</v>
      </c>
      <c r="O115" s="5">
        <f t="shared" si="19"/>
        <v>0</v>
      </c>
    </row>
    <row r="116" spans="1:15" ht="15">
      <c r="A116" s="1">
        <v>930.2</v>
      </c>
      <c r="B116" s="1" t="s">
        <v>266</v>
      </c>
      <c r="D116" s="1">
        <v>39</v>
      </c>
      <c r="E116" s="5"/>
      <c r="F116" s="5">
        <v>282072</v>
      </c>
      <c r="G116" s="5"/>
      <c r="H116" s="5">
        <f t="shared" si="29"/>
        <v>197674.33312643372</v>
      </c>
      <c r="I116" s="5">
        <f t="shared" si="29"/>
        <v>68325.2032016395</v>
      </c>
      <c r="J116" s="5">
        <f t="shared" si="29"/>
        <v>4281.563592731988</v>
      </c>
      <c r="K116" s="5">
        <f t="shared" si="29"/>
        <v>813.1479276989064</v>
      </c>
      <c r="L116" s="5">
        <f t="shared" si="29"/>
        <v>10578.962224238037</v>
      </c>
      <c r="M116" s="5">
        <f t="shared" si="29"/>
        <v>398.7899272578606</v>
      </c>
      <c r="O116" s="5">
        <f t="shared" si="19"/>
        <v>0</v>
      </c>
    </row>
    <row r="117" spans="1:15" ht="15">
      <c r="A117" s="1">
        <v>931</v>
      </c>
      <c r="B117" s="1" t="s">
        <v>206</v>
      </c>
      <c r="D117" s="1">
        <v>40</v>
      </c>
      <c r="E117" s="5"/>
      <c r="F117" s="5">
        <v>399731</v>
      </c>
      <c r="G117" s="5"/>
      <c r="H117" s="5">
        <f t="shared" si="29"/>
        <v>281820.5587777872</v>
      </c>
      <c r="I117" s="5">
        <f t="shared" si="29"/>
        <v>99379.76446956831</v>
      </c>
      <c r="J117" s="5">
        <f t="shared" si="29"/>
        <v>6193.247322815885</v>
      </c>
      <c r="K117" s="5">
        <f t="shared" si="29"/>
        <v>1332.6897381192518</v>
      </c>
      <c r="L117" s="5">
        <f t="shared" si="29"/>
        <v>10772.8617606452</v>
      </c>
      <c r="M117" s="5">
        <f t="shared" si="29"/>
        <v>231.87793106418613</v>
      </c>
      <c r="O117" s="5">
        <f t="shared" si="19"/>
        <v>0</v>
      </c>
    </row>
    <row r="118" spans="1:15" ht="15">
      <c r="A118" s="1">
        <v>935</v>
      </c>
      <c r="B118" s="1" t="s">
        <v>267</v>
      </c>
      <c r="D118" s="1">
        <v>34</v>
      </c>
      <c r="E118" s="5"/>
      <c r="F118" s="5">
        <v>3641303</v>
      </c>
      <c r="G118" s="5"/>
      <c r="H118" s="5">
        <f t="shared" si="29"/>
        <v>2575623.4298049044</v>
      </c>
      <c r="I118" s="5">
        <f t="shared" si="29"/>
        <v>899074.7113956017</v>
      </c>
      <c r="J118" s="5">
        <f t="shared" si="29"/>
        <v>55548.1986203655</v>
      </c>
      <c r="K118" s="5">
        <f t="shared" si="29"/>
        <v>11988.714293949197</v>
      </c>
      <c r="L118" s="5">
        <f t="shared" si="29"/>
        <v>96969.43293708471</v>
      </c>
      <c r="M118" s="5">
        <f t="shared" si="29"/>
        <v>2098.5129480947085</v>
      </c>
      <c r="O118" s="5">
        <f t="shared" si="19"/>
        <v>0</v>
      </c>
    </row>
    <row r="119" spans="2:15" ht="15.75">
      <c r="B119" s="19" t="s">
        <v>74</v>
      </c>
      <c r="C119" s="3"/>
      <c r="D119" s="3"/>
      <c r="E119" s="15"/>
      <c r="F119" s="15">
        <f>SUM(F105:F118)</f>
        <v>20731809</v>
      </c>
      <c r="G119" s="15"/>
      <c r="H119" s="15">
        <f aca="true" t="shared" si="30" ref="H119:M119">SUM(H105:H118)</f>
        <v>14558961.791584183</v>
      </c>
      <c r="I119" s="15">
        <f t="shared" si="30"/>
        <v>5048531.107162256</v>
      </c>
      <c r="J119" s="15">
        <f t="shared" si="30"/>
        <v>315441.50545796705</v>
      </c>
      <c r="K119" s="15">
        <f t="shared" si="30"/>
        <v>61940.79806834191</v>
      </c>
      <c r="L119" s="15">
        <f t="shared" si="30"/>
        <v>721937.0425885968</v>
      </c>
      <c r="M119" s="15">
        <f t="shared" si="30"/>
        <v>24996.755138655906</v>
      </c>
      <c r="O119" s="5">
        <f t="shared" si="19"/>
        <v>0</v>
      </c>
    </row>
    <row r="120" spans="5:15" ht="15">
      <c r="E120" s="5"/>
      <c r="F120" s="5"/>
      <c r="G120" s="5"/>
      <c r="H120" s="5"/>
      <c r="I120" s="5"/>
      <c r="J120" s="5"/>
      <c r="K120" s="5"/>
      <c r="L120" s="5"/>
      <c r="M120" s="5"/>
      <c r="O120" s="5">
        <f t="shared" si="19"/>
        <v>0</v>
      </c>
    </row>
    <row r="121" spans="1:256" ht="15.75">
      <c r="A121" s="16" t="s">
        <v>167</v>
      </c>
      <c r="B121" s="16"/>
      <c r="C121" s="16"/>
      <c r="D121" s="4"/>
      <c r="E121" s="6"/>
      <c r="F121" s="6">
        <f>F81+F68+F44+F40+F29+F14+F91+F95+F99+F119</f>
        <v>63849391.36</v>
      </c>
      <c r="G121" s="6"/>
      <c r="H121" s="6">
        <f aca="true" t="shared" si="31" ref="H121:M121">H81+H68+H44+H40+H29+H14+H91+H95+H99+H119</f>
        <v>45165766.37568918</v>
      </c>
      <c r="I121" s="6">
        <f t="shared" si="31"/>
        <v>15423878.409595573</v>
      </c>
      <c r="J121" s="6">
        <f t="shared" si="31"/>
        <v>946298.3705967854</v>
      </c>
      <c r="K121" s="6">
        <f t="shared" si="31"/>
        <v>175145.0150623639</v>
      </c>
      <c r="L121" s="6">
        <f t="shared" si="31"/>
        <v>2069748.1093737786</v>
      </c>
      <c r="M121" s="6">
        <f t="shared" si="31"/>
        <v>68555.0796823148</v>
      </c>
      <c r="N121" s="4"/>
      <c r="O121" s="5">
        <f t="shared" si="19"/>
        <v>0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5:15" ht="15">
      <c r="E122" s="5"/>
      <c r="F122" s="5"/>
      <c r="G122" s="5"/>
      <c r="H122" s="5"/>
      <c r="I122" s="5"/>
      <c r="J122" s="5"/>
      <c r="K122" s="5"/>
      <c r="L122" s="5"/>
      <c r="M122" s="5"/>
      <c r="O122" s="5">
        <f t="shared" si="19"/>
        <v>0</v>
      </c>
    </row>
    <row r="123" spans="1:15" ht="15.75">
      <c r="A123" s="16" t="s">
        <v>168</v>
      </c>
      <c r="B123" s="7"/>
      <c r="C123" s="7"/>
      <c r="E123" s="5"/>
      <c r="F123" s="5"/>
      <c r="G123" s="5"/>
      <c r="H123" s="5"/>
      <c r="I123" s="5"/>
      <c r="J123" s="5"/>
      <c r="K123" s="5"/>
      <c r="L123" s="5"/>
      <c r="M123" s="5"/>
      <c r="O123" s="5">
        <f t="shared" si="19"/>
        <v>0</v>
      </c>
    </row>
    <row r="124" spans="2:15" ht="15">
      <c r="B124" s="1" t="s">
        <v>72</v>
      </c>
      <c r="E124" s="5"/>
      <c r="F124" s="5"/>
      <c r="G124" s="5"/>
      <c r="H124" s="5"/>
      <c r="I124" s="5"/>
      <c r="J124" s="5"/>
      <c r="K124" s="5"/>
      <c r="L124" s="5"/>
      <c r="M124" s="5"/>
      <c r="O124" s="5">
        <f t="shared" si="19"/>
        <v>0</v>
      </c>
    </row>
    <row r="125" spans="1:15" ht="15">
      <c r="A125" s="8" t="s">
        <v>58</v>
      </c>
      <c r="B125" s="1" t="s">
        <v>72</v>
      </c>
      <c r="D125" s="1">
        <v>7</v>
      </c>
      <c r="E125" s="5"/>
      <c r="F125" s="5">
        <v>1269757</v>
      </c>
      <c r="G125" s="5"/>
      <c r="H125" s="5">
        <f aca="true" t="shared" si="32" ref="H125:M126">INDEX(ALLOC,($D125)+1,(H$1)+1)*$F125</f>
        <v>856465.7046276465</v>
      </c>
      <c r="I125" s="5">
        <f t="shared" si="32"/>
        <v>387061.62799677154</v>
      </c>
      <c r="J125" s="5">
        <f t="shared" si="32"/>
        <v>26229.667375581903</v>
      </c>
      <c r="K125" s="5">
        <f t="shared" si="32"/>
        <v>0</v>
      </c>
      <c r="L125" s="5">
        <f t="shared" si="32"/>
        <v>0</v>
      </c>
      <c r="M125" s="5">
        <f t="shared" si="32"/>
        <v>0</v>
      </c>
      <c r="O125" s="5">
        <f t="shared" si="19"/>
        <v>0</v>
      </c>
    </row>
    <row r="126" spans="1:15" ht="15">
      <c r="A126" s="1">
        <v>358</v>
      </c>
      <c r="B126" s="1" t="s">
        <v>73</v>
      </c>
      <c r="D126" s="1">
        <v>7</v>
      </c>
      <c r="E126" s="5"/>
      <c r="F126" s="5">
        <v>609257</v>
      </c>
      <c r="G126" s="5"/>
      <c r="H126" s="5">
        <f t="shared" si="32"/>
        <v>410950.85579707456</v>
      </c>
      <c r="I126" s="5">
        <f t="shared" si="32"/>
        <v>185720.5798341171</v>
      </c>
      <c r="J126" s="5">
        <f t="shared" si="32"/>
        <v>12585.564368808286</v>
      </c>
      <c r="K126" s="5">
        <f t="shared" si="32"/>
        <v>0</v>
      </c>
      <c r="L126" s="5">
        <f t="shared" si="32"/>
        <v>0</v>
      </c>
      <c r="M126" s="5">
        <f t="shared" si="32"/>
        <v>0</v>
      </c>
      <c r="O126" s="5">
        <f t="shared" si="19"/>
        <v>0</v>
      </c>
    </row>
    <row r="127" spans="2:15" ht="15.75">
      <c r="B127" s="19" t="s">
        <v>74</v>
      </c>
      <c r="C127" s="3"/>
      <c r="D127" s="3"/>
      <c r="E127" s="15"/>
      <c r="F127" s="15">
        <f>SUM(F125:F126)</f>
        <v>1879014</v>
      </c>
      <c r="G127" s="15"/>
      <c r="H127" s="15">
        <f aca="true" t="shared" si="33" ref="H127:M127">SUM(H125:H126)</f>
        <v>1267416.560424721</v>
      </c>
      <c r="I127" s="15">
        <f t="shared" si="33"/>
        <v>572782.2078308887</v>
      </c>
      <c r="J127" s="15">
        <f t="shared" si="33"/>
        <v>38815.231744390185</v>
      </c>
      <c r="K127" s="15">
        <f t="shared" si="33"/>
        <v>0</v>
      </c>
      <c r="L127" s="15">
        <f t="shared" si="33"/>
        <v>0</v>
      </c>
      <c r="M127" s="15">
        <f t="shared" si="33"/>
        <v>0</v>
      </c>
      <c r="O127" s="5">
        <f t="shared" si="19"/>
        <v>0</v>
      </c>
    </row>
    <row r="128" spans="5:15" ht="15">
      <c r="E128" s="5"/>
      <c r="F128" s="5"/>
      <c r="G128" s="5"/>
      <c r="H128" s="5"/>
      <c r="I128" s="5"/>
      <c r="J128" s="5"/>
      <c r="K128" s="5"/>
      <c r="L128" s="5"/>
      <c r="M128" s="5"/>
      <c r="O128" s="5">
        <f t="shared" si="19"/>
        <v>0</v>
      </c>
    </row>
    <row r="129" spans="2:15" ht="15.75">
      <c r="B129" s="4" t="s">
        <v>75</v>
      </c>
      <c r="E129" s="5"/>
      <c r="F129" s="5"/>
      <c r="G129" s="5"/>
      <c r="H129" s="5"/>
      <c r="I129" s="5"/>
      <c r="J129" s="5"/>
      <c r="K129" s="5"/>
      <c r="L129" s="5"/>
      <c r="M129" s="5"/>
      <c r="O129" s="5">
        <f t="shared" si="19"/>
        <v>0</v>
      </c>
    </row>
    <row r="130" spans="1:15" ht="15">
      <c r="A130" s="8" t="s">
        <v>59</v>
      </c>
      <c r="B130" s="1" t="s">
        <v>76</v>
      </c>
      <c r="D130" s="1">
        <v>8</v>
      </c>
      <c r="E130" s="5"/>
      <c r="F130" s="5">
        <v>130619</v>
      </c>
      <c r="G130" s="5"/>
      <c r="H130" s="5">
        <f aca="true" t="shared" si="34" ref="H130:M130">INDEX(ALLOC,($D130)+1,(H$1)+1)*$F130</f>
        <v>88104.018227707</v>
      </c>
      <c r="I130" s="5">
        <f t="shared" si="34"/>
        <v>39816.75453437965</v>
      </c>
      <c r="J130" s="5">
        <f t="shared" si="34"/>
        <v>2698.227237913343</v>
      </c>
      <c r="K130" s="5">
        <f t="shared" si="34"/>
        <v>0</v>
      </c>
      <c r="L130" s="5">
        <f t="shared" si="34"/>
        <v>0</v>
      </c>
      <c r="M130" s="5">
        <f t="shared" si="34"/>
        <v>0</v>
      </c>
      <c r="O130" s="5">
        <f t="shared" si="19"/>
        <v>0</v>
      </c>
    </row>
    <row r="131" spans="2:15" ht="15.75">
      <c r="B131" s="19" t="s">
        <v>74</v>
      </c>
      <c r="C131" s="3"/>
      <c r="D131" s="3"/>
      <c r="E131" s="15"/>
      <c r="F131" s="15">
        <f>F130</f>
        <v>130619</v>
      </c>
      <c r="G131" s="15"/>
      <c r="H131" s="15">
        <f aca="true" t="shared" si="35" ref="H131:M131">H130</f>
        <v>88104.018227707</v>
      </c>
      <c r="I131" s="15">
        <f t="shared" si="35"/>
        <v>39816.75453437965</v>
      </c>
      <c r="J131" s="15">
        <f t="shared" si="35"/>
        <v>2698.227237913343</v>
      </c>
      <c r="K131" s="15">
        <f t="shared" si="35"/>
        <v>0</v>
      </c>
      <c r="L131" s="15">
        <f t="shared" si="35"/>
        <v>0</v>
      </c>
      <c r="M131" s="15">
        <f t="shared" si="35"/>
        <v>0</v>
      </c>
      <c r="O131" s="5">
        <f t="shared" si="19"/>
        <v>0</v>
      </c>
    </row>
    <row r="132" spans="5:15" ht="15">
      <c r="E132" s="5"/>
      <c r="F132" s="5"/>
      <c r="G132" s="5"/>
      <c r="H132" s="5"/>
      <c r="I132" s="5"/>
      <c r="J132" s="5"/>
      <c r="K132" s="5"/>
      <c r="L132" s="5"/>
      <c r="M132" s="5"/>
      <c r="O132" s="5">
        <f t="shared" si="19"/>
        <v>0</v>
      </c>
    </row>
    <row r="133" spans="2:15" ht="15.75">
      <c r="B133" s="4" t="s">
        <v>78</v>
      </c>
      <c r="E133" s="5"/>
      <c r="F133" s="5"/>
      <c r="G133" s="5"/>
      <c r="H133" s="5"/>
      <c r="I133" s="5"/>
      <c r="J133" s="5"/>
      <c r="K133" s="5"/>
      <c r="L133" s="5"/>
      <c r="M133" s="5"/>
      <c r="O133" s="5">
        <f t="shared" si="19"/>
        <v>0</v>
      </c>
    </row>
    <row r="134" spans="1:15" ht="15">
      <c r="A134" s="20">
        <v>374</v>
      </c>
      <c r="B134" s="1" t="s">
        <v>79</v>
      </c>
      <c r="D134" s="1">
        <v>9</v>
      </c>
      <c r="E134" s="5"/>
      <c r="F134" s="5">
        <v>30</v>
      </c>
      <c r="G134" s="5"/>
      <c r="H134" s="5">
        <f aca="true" t="shared" si="36" ref="H134:M140">INDEX(ALLOC,($D134)+1,(H$1)+1)*$F134</f>
        <v>17.620669025984874</v>
      </c>
      <c r="I134" s="5">
        <f t="shared" si="36"/>
        <v>7.831007035222729</v>
      </c>
      <c r="J134" s="5">
        <f t="shared" si="36"/>
        <v>0.4952431638690229</v>
      </c>
      <c r="K134" s="5">
        <f t="shared" si="36"/>
        <v>0.21822398502053073</v>
      </c>
      <c r="L134" s="5">
        <f t="shared" si="36"/>
        <v>3.6793904101872825</v>
      </c>
      <c r="M134" s="5">
        <f t="shared" si="36"/>
        <v>0.15546637971556101</v>
      </c>
      <c r="O134" s="5">
        <f t="shared" si="19"/>
        <v>0</v>
      </c>
    </row>
    <row r="135" spans="1:15" ht="15">
      <c r="A135" s="20">
        <v>375</v>
      </c>
      <c r="B135" s="1" t="s">
        <v>80</v>
      </c>
      <c r="D135" s="1">
        <v>9</v>
      </c>
      <c r="E135" s="5"/>
      <c r="F135" s="5">
        <v>48371</v>
      </c>
      <c r="G135" s="5"/>
      <c r="H135" s="5">
        <f t="shared" si="36"/>
        <v>28410.97938186381</v>
      </c>
      <c r="I135" s="5">
        <f t="shared" si="36"/>
        <v>12626.454710025288</v>
      </c>
      <c r="J135" s="5">
        <f t="shared" si="36"/>
        <v>798.5135693169502</v>
      </c>
      <c r="K135" s="5">
        <f t="shared" si="36"/>
        <v>351.8570793142697</v>
      </c>
      <c r="L135" s="5">
        <f t="shared" si="36"/>
        <v>5932.526451038968</v>
      </c>
      <c r="M135" s="5">
        <f t="shared" si="36"/>
        <v>250.6688084407134</v>
      </c>
      <c r="O135" s="5">
        <f t="shared" si="19"/>
        <v>0</v>
      </c>
    </row>
    <row r="136" spans="1:15" ht="15">
      <c r="A136" s="20">
        <v>376</v>
      </c>
      <c r="B136" s="1" t="s">
        <v>81</v>
      </c>
      <c r="D136" s="1">
        <v>45</v>
      </c>
      <c r="E136" s="5"/>
      <c r="F136" s="5">
        <v>5716998</v>
      </c>
      <c r="G136" s="5"/>
      <c r="H136" s="5">
        <f t="shared" si="36"/>
        <v>3570253.3844172833</v>
      </c>
      <c r="I136" s="5">
        <f t="shared" si="36"/>
        <v>1689822.6463734151</v>
      </c>
      <c r="J136" s="5">
        <f t="shared" si="36"/>
        <v>131827.00829684883</v>
      </c>
      <c r="K136" s="5">
        <f t="shared" si="36"/>
        <v>35593.30176123305</v>
      </c>
      <c r="L136" s="5">
        <f t="shared" si="36"/>
        <v>284093.41435709555</v>
      </c>
      <c r="M136" s="5">
        <f t="shared" si="36"/>
        <v>5408.244794124786</v>
      </c>
      <c r="O136" s="5">
        <f t="shared" si="19"/>
        <v>0</v>
      </c>
    </row>
    <row r="137" spans="1:15" ht="15">
      <c r="A137" s="20">
        <v>378</v>
      </c>
      <c r="B137" s="1" t="s">
        <v>86</v>
      </c>
      <c r="D137" s="1">
        <v>9</v>
      </c>
      <c r="E137" s="5"/>
      <c r="F137" s="5">
        <v>306178</v>
      </c>
      <c r="G137" s="5"/>
      <c r="H137" s="5">
        <f t="shared" si="36"/>
        <v>179835.3733679332</v>
      </c>
      <c r="I137" s="5">
        <f t="shared" si="36"/>
        <v>79922.7357343475</v>
      </c>
      <c r="J137" s="5">
        <f t="shared" si="36"/>
        <v>5054.418714236323</v>
      </c>
      <c r="K137" s="5">
        <f t="shared" si="36"/>
        <v>2227.1794428538687</v>
      </c>
      <c r="L137" s="5">
        <f t="shared" si="36"/>
        <v>37551.61323367739</v>
      </c>
      <c r="M137" s="5">
        <f t="shared" si="36"/>
        <v>1586.6795069517013</v>
      </c>
      <c r="O137" s="5">
        <f t="shared" si="19"/>
        <v>0</v>
      </c>
    </row>
    <row r="138" spans="1:15" ht="15">
      <c r="A138" s="20">
        <v>379</v>
      </c>
      <c r="B138" s="1" t="s">
        <v>87</v>
      </c>
      <c r="D138" s="1">
        <v>9</v>
      </c>
      <c r="E138" s="5"/>
      <c r="F138" s="5">
        <v>101578</v>
      </c>
      <c r="G138" s="5"/>
      <c r="H138" s="5">
        <f t="shared" si="36"/>
        <v>59662.41061071638</v>
      </c>
      <c r="I138" s="5">
        <f t="shared" si="36"/>
        <v>26515.26775412848</v>
      </c>
      <c r="J138" s="5">
        <f t="shared" si="36"/>
        <v>1676.8603366495868</v>
      </c>
      <c r="K138" s="5">
        <f t="shared" si="36"/>
        <v>738.891865013849</v>
      </c>
      <c r="L138" s="5">
        <f t="shared" si="36"/>
        <v>12458.170636200126</v>
      </c>
      <c r="M138" s="5">
        <f t="shared" si="36"/>
        <v>526.3987972915752</v>
      </c>
      <c r="O138" s="5">
        <f t="shared" si="19"/>
        <v>0</v>
      </c>
    </row>
    <row r="139" spans="1:15" ht="15">
      <c r="A139" s="20">
        <v>380</v>
      </c>
      <c r="B139" s="1" t="s">
        <v>88</v>
      </c>
      <c r="D139" s="1">
        <v>14</v>
      </c>
      <c r="E139" s="5"/>
      <c r="F139" s="5">
        <v>6809068</v>
      </c>
      <c r="G139" s="5"/>
      <c r="H139" s="5">
        <f t="shared" si="36"/>
        <v>5725363.962027435</v>
      </c>
      <c r="I139" s="5">
        <f t="shared" si="36"/>
        <v>1063460.677172103</v>
      </c>
      <c r="J139" s="5">
        <f t="shared" si="36"/>
        <v>9900.369142311378</v>
      </c>
      <c r="K139" s="5">
        <f t="shared" si="36"/>
        <v>2934.698313416714</v>
      </c>
      <c r="L139" s="5">
        <f t="shared" si="36"/>
        <v>7244.863998117918</v>
      </c>
      <c r="M139" s="5">
        <f t="shared" si="36"/>
        <v>163.4293466155654</v>
      </c>
      <c r="O139" s="5">
        <f t="shared" si="19"/>
        <v>0</v>
      </c>
    </row>
    <row r="140" spans="1:15" ht="15">
      <c r="A140" s="20">
        <v>381</v>
      </c>
      <c r="B140" s="1" t="s">
        <v>89</v>
      </c>
      <c r="D140" s="1">
        <v>15</v>
      </c>
      <c r="E140" s="5"/>
      <c r="F140" s="5">
        <v>1489670</v>
      </c>
      <c r="G140" s="5"/>
      <c r="H140" s="5">
        <f t="shared" si="36"/>
        <v>1230180.7835252525</v>
      </c>
      <c r="I140" s="5">
        <f t="shared" si="36"/>
        <v>246918.11059603916</v>
      </c>
      <c r="J140" s="5">
        <f t="shared" si="36"/>
        <v>9871.839198563457</v>
      </c>
      <c r="K140" s="5">
        <f t="shared" si="36"/>
        <v>1384.0223607494909</v>
      </c>
      <c r="L140" s="5">
        <f t="shared" si="36"/>
        <v>1315.2443193953598</v>
      </c>
      <c r="M140" s="5">
        <f t="shared" si="36"/>
        <v>0</v>
      </c>
      <c r="O140" s="5">
        <f aca="true" t="shared" si="37" ref="O140:O203">SUM(H140:M140)-F140</f>
        <v>0</v>
      </c>
    </row>
    <row r="141" spans="1:15" ht="15">
      <c r="A141" s="20">
        <v>382</v>
      </c>
      <c r="B141" s="1" t="s">
        <v>90</v>
      </c>
      <c r="D141" s="1">
        <v>15</v>
      </c>
      <c r="E141" s="5"/>
      <c r="F141" s="5"/>
      <c r="G141" s="5"/>
      <c r="H141" s="5"/>
      <c r="I141" s="5"/>
      <c r="J141" s="5"/>
      <c r="K141" s="5"/>
      <c r="L141" s="5"/>
      <c r="M141" s="5"/>
      <c r="O141" s="5">
        <f t="shared" si="37"/>
        <v>0</v>
      </c>
    </row>
    <row r="142" spans="1:15" ht="15">
      <c r="A142" s="20">
        <v>383</v>
      </c>
      <c r="B142" s="1" t="s">
        <v>91</v>
      </c>
      <c r="D142" s="1">
        <v>15</v>
      </c>
      <c r="E142" s="5"/>
      <c r="F142" s="5">
        <v>506813</v>
      </c>
      <c r="G142" s="5"/>
      <c r="H142" s="5">
        <f aca="true" t="shared" si="38" ref="H142:M142">INDEX(ALLOC,($D142)+1,(H$1)+1)*$F142</f>
        <v>418530.01902487385</v>
      </c>
      <c r="I142" s="5">
        <f t="shared" si="38"/>
        <v>84006.06066142864</v>
      </c>
      <c r="J142" s="5">
        <f t="shared" si="38"/>
        <v>3358.5803834013855</v>
      </c>
      <c r="K142" s="5">
        <f t="shared" si="38"/>
        <v>470.8697394178118</v>
      </c>
      <c r="L142" s="5">
        <f t="shared" si="38"/>
        <v>447.47019087832905</v>
      </c>
      <c r="M142" s="5">
        <f t="shared" si="38"/>
        <v>0</v>
      </c>
      <c r="O142" s="5">
        <f t="shared" si="37"/>
        <v>0</v>
      </c>
    </row>
    <row r="143" spans="1:15" ht="15">
      <c r="A143" s="20">
        <v>384</v>
      </c>
      <c r="B143" s="1" t="s">
        <v>92</v>
      </c>
      <c r="D143" s="1">
        <v>15</v>
      </c>
      <c r="E143" s="5"/>
      <c r="F143" s="5"/>
      <c r="G143" s="5"/>
      <c r="H143" s="5"/>
      <c r="I143" s="5"/>
      <c r="J143" s="5"/>
      <c r="K143" s="5"/>
      <c r="L143" s="5"/>
      <c r="M143" s="5"/>
      <c r="O143" s="5">
        <f t="shared" si="37"/>
        <v>0</v>
      </c>
    </row>
    <row r="144" spans="1:15" ht="15">
      <c r="A144" s="20">
        <v>385</v>
      </c>
      <c r="B144" s="1" t="s">
        <v>93</v>
      </c>
      <c r="D144" s="1">
        <v>15</v>
      </c>
      <c r="E144" s="5"/>
      <c r="F144" s="5">
        <v>8877</v>
      </c>
      <c r="G144" s="5"/>
      <c r="H144" s="5">
        <f aca="true" t="shared" si="39" ref="H144:M147">INDEX(ALLOC,($D144)+1,(H$1)+1)*$F144</f>
        <v>7330.693922381243</v>
      </c>
      <c r="I144" s="5">
        <f t="shared" si="39"/>
        <v>1471.3943811455154</v>
      </c>
      <c r="J144" s="5">
        <f t="shared" si="39"/>
        <v>58.826664003200584</v>
      </c>
      <c r="K144" s="5">
        <f t="shared" si="39"/>
        <v>8.24744171284461</v>
      </c>
      <c r="L144" s="5">
        <f t="shared" si="39"/>
        <v>7.837590757196297</v>
      </c>
      <c r="M144" s="5">
        <f t="shared" si="39"/>
        <v>0</v>
      </c>
      <c r="O144" s="5">
        <f t="shared" si="37"/>
        <v>0</v>
      </c>
    </row>
    <row r="145" spans="1:15" ht="15">
      <c r="A145" s="20">
        <v>387</v>
      </c>
      <c r="B145" s="1" t="s">
        <v>94</v>
      </c>
      <c r="D145" s="1">
        <v>15</v>
      </c>
      <c r="E145" s="5"/>
      <c r="F145" s="5">
        <v>1694</v>
      </c>
      <c r="G145" s="5"/>
      <c r="H145" s="5">
        <f t="shared" si="39"/>
        <v>1398.918047145863</v>
      </c>
      <c r="I145" s="5">
        <f t="shared" si="39"/>
        <v>280.78653617894594</v>
      </c>
      <c r="J145" s="5">
        <f t="shared" si="39"/>
        <v>11.225906141874708</v>
      </c>
      <c r="K145" s="5">
        <f t="shared" si="39"/>
        <v>1.5738612438389963</v>
      </c>
      <c r="L145" s="5">
        <f t="shared" si="39"/>
        <v>1.4956492894773603</v>
      </c>
      <c r="M145" s="5">
        <f t="shared" si="39"/>
        <v>0</v>
      </c>
      <c r="O145" s="5">
        <f t="shared" si="37"/>
        <v>0</v>
      </c>
    </row>
    <row r="146" spans="1:15" ht="15">
      <c r="A146" s="20">
        <v>388</v>
      </c>
      <c r="B146" s="1" t="s">
        <v>95</v>
      </c>
      <c r="D146" s="1">
        <v>9</v>
      </c>
      <c r="E146" s="5"/>
      <c r="F146" s="5">
        <v>74</v>
      </c>
      <c r="G146" s="5"/>
      <c r="H146" s="5">
        <f t="shared" si="39"/>
        <v>43.464316930762685</v>
      </c>
      <c r="I146" s="5">
        <f t="shared" si="39"/>
        <v>19.316484020216066</v>
      </c>
      <c r="J146" s="5">
        <f t="shared" si="39"/>
        <v>1.2215998042102565</v>
      </c>
      <c r="K146" s="5">
        <f t="shared" si="39"/>
        <v>0.5382858297173091</v>
      </c>
      <c r="L146" s="5">
        <f t="shared" si="39"/>
        <v>9.075829678461963</v>
      </c>
      <c r="M146" s="5">
        <f t="shared" si="39"/>
        <v>0.3834837366317172</v>
      </c>
      <c r="O146" s="5">
        <f t="shared" si="37"/>
        <v>0</v>
      </c>
    </row>
    <row r="147" spans="1:15" ht="15">
      <c r="A147" s="20">
        <v>388</v>
      </c>
      <c r="B147" s="1" t="s">
        <v>96</v>
      </c>
      <c r="D147" s="1">
        <v>45</v>
      </c>
      <c r="E147" s="5"/>
      <c r="F147" s="5">
        <v>373549</v>
      </c>
      <c r="G147" s="5"/>
      <c r="H147" s="5">
        <f t="shared" si="39"/>
        <v>233280.5751367574</v>
      </c>
      <c r="I147" s="5">
        <f t="shared" si="39"/>
        <v>110413.11536756578</v>
      </c>
      <c r="J147" s="5">
        <f t="shared" si="39"/>
        <v>8613.584808369635</v>
      </c>
      <c r="K147" s="5">
        <f t="shared" si="39"/>
        <v>2325.6685203680054</v>
      </c>
      <c r="L147" s="5">
        <f t="shared" si="39"/>
        <v>18562.681120349996</v>
      </c>
      <c r="M147" s="5">
        <f t="shared" si="39"/>
        <v>353.3750465892274</v>
      </c>
      <c r="O147" s="5">
        <f t="shared" si="37"/>
        <v>0</v>
      </c>
    </row>
    <row r="148" spans="2:15" ht="15">
      <c r="B148" s="1" t="s">
        <v>82</v>
      </c>
      <c r="E148" s="5"/>
      <c r="F148" s="5"/>
      <c r="G148" s="5"/>
      <c r="H148" s="5"/>
      <c r="I148" s="5"/>
      <c r="J148" s="5"/>
      <c r="K148" s="5"/>
      <c r="L148" s="5"/>
      <c r="M148" s="5"/>
      <c r="O148" s="5">
        <f t="shared" si="37"/>
        <v>0</v>
      </c>
    </row>
    <row r="149" spans="2:15" ht="15">
      <c r="B149" s="1" t="s">
        <v>83</v>
      </c>
      <c r="D149" s="1">
        <v>11</v>
      </c>
      <c r="E149" s="5"/>
      <c r="F149" s="5"/>
      <c r="G149" s="5"/>
      <c r="H149" s="5"/>
      <c r="I149" s="5"/>
      <c r="J149" s="5"/>
      <c r="K149" s="5"/>
      <c r="L149" s="5"/>
      <c r="M149" s="5"/>
      <c r="O149" s="5">
        <f t="shared" si="37"/>
        <v>0</v>
      </c>
    </row>
    <row r="150" spans="2:15" ht="15">
      <c r="B150" s="1" t="s">
        <v>84</v>
      </c>
      <c r="D150" s="1">
        <v>13</v>
      </c>
      <c r="E150" s="5"/>
      <c r="F150" s="5"/>
      <c r="G150" s="5"/>
      <c r="H150" s="5"/>
      <c r="I150" s="5"/>
      <c r="J150" s="5"/>
      <c r="K150" s="5"/>
      <c r="L150" s="5"/>
      <c r="M150" s="5"/>
      <c r="O150" s="5">
        <f t="shared" si="37"/>
        <v>0</v>
      </c>
    </row>
    <row r="151" spans="2:15" ht="15">
      <c r="B151" s="1" t="s">
        <v>85</v>
      </c>
      <c r="E151" s="5"/>
      <c r="F151" s="5"/>
      <c r="G151" s="5"/>
      <c r="H151" s="5"/>
      <c r="I151" s="5"/>
      <c r="J151" s="5"/>
      <c r="K151" s="5"/>
      <c r="L151" s="5"/>
      <c r="M151" s="5"/>
      <c r="O151" s="5">
        <f t="shared" si="37"/>
        <v>0</v>
      </c>
    </row>
    <row r="152" spans="2:15" ht="15">
      <c r="B152" s="1" t="s">
        <v>83</v>
      </c>
      <c r="D152" s="1">
        <v>10</v>
      </c>
      <c r="E152" s="5"/>
      <c r="F152" s="5"/>
      <c r="G152" s="5"/>
      <c r="H152" s="5"/>
      <c r="I152" s="5"/>
      <c r="J152" s="5"/>
      <c r="K152" s="5"/>
      <c r="L152" s="5"/>
      <c r="M152" s="5"/>
      <c r="O152" s="5">
        <f t="shared" si="37"/>
        <v>0</v>
      </c>
    </row>
    <row r="153" spans="2:15" ht="15">
      <c r="B153" s="1" t="s">
        <v>84</v>
      </c>
      <c r="D153" s="1">
        <v>12</v>
      </c>
      <c r="E153" s="5"/>
      <c r="F153" s="5"/>
      <c r="G153" s="5"/>
      <c r="H153" s="5"/>
      <c r="I153" s="5"/>
      <c r="J153" s="5"/>
      <c r="K153" s="5"/>
      <c r="L153" s="5"/>
      <c r="M153" s="5"/>
      <c r="O153" s="5">
        <f t="shared" si="37"/>
        <v>0</v>
      </c>
    </row>
    <row r="154" spans="2:15" ht="15.75">
      <c r="B154" s="19" t="s">
        <v>74</v>
      </c>
      <c r="C154" s="3"/>
      <c r="D154" s="3"/>
      <c r="E154" s="15"/>
      <c r="F154" s="15">
        <f>SUM(F134:F153)</f>
        <v>15362900</v>
      </c>
      <c r="G154" s="15"/>
      <c r="H154" s="15">
        <f aca="true" t="shared" si="40" ref="H154:M154">SUM(H134:H153)</f>
        <v>11454308.184447598</v>
      </c>
      <c r="I154" s="15">
        <f t="shared" si="40"/>
        <v>3315464.396777433</v>
      </c>
      <c r="J154" s="15">
        <f t="shared" si="40"/>
        <v>171172.94386281067</v>
      </c>
      <c r="K154" s="15">
        <f t="shared" si="40"/>
        <v>46037.06689513848</v>
      </c>
      <c r="L154" s="15">
        <f t="shared" si="40"/>
        <v>367628.0727668889</v>
      </c>
      <c r="M154" s="15">
        <f t="shared" si="40"/>
        <v>8289.335250129916</v>
      </c>
      <c r="O154" s="5">
        <f t="shared" si="37"/>
        <v>0</v>
      </c>
    </row>
    <row r="155" spans="5:15" ht="15">
      <c r="E155" s="5"/>
      <c r="F155" s="5"/>
      <c r="G155" s="5"/>
      <c r="H155" s="5"/>
      <c r="I155" s="5"/>
      <c r="J155" s="5"/>
      <c r="K155" s="5"/>
      <c r="L155" s="5"/>
      <c r="M155" s="5"/>
      <c r="O155" s="5">
        <f t="shared" si="37"/>
        <v>0</v>
      </c>
    </row>
    <row r="156" spans="2:15" ht="15.75">
      <c r="B156" s="4" t="s">
        <v>98</v>
      </c>
      <c r="E156" s="5"/>
      <c r="F156" s="5"/>
      <c r="G156" s="5"/>
      <c r="H156" s="5"/>
      <c r="I156" s="5"/>
      <c r="J156" s="5"/>
      <c r="K156" s="5"/>
      <c r="L156" s="5"/>
      <c r="M156" s="5"/>
      <c r="O156" s="5">
        <f t="shared" si="37"/>
        <v>0</v>
      </c>
    </row>
    <row r="157" spans="1:15" ht="15">
      <c r="A157" s="1">
        <v>117</v>
      </c>
      <c r="B157" s="1" t="s">
        <v>99</v>
      </c>
      <c r="D157" s="8" t="s">
        <v>139</v>
      </c>
      <c r="E157" s="5"/>
      <c r="F157" s="5"/>
      <c r="G157" s="5"/>
      <c r="H157" s="5"/>
      <c r="I157" s="5"/>
      <c r="J157" s="5"/>
      <c r="K157" s="5"/>
      <c r="L157" s="5"/>
      <c r="M157" s="5"/>
      <c r="O157" s="5">
        <f t="shared" si="37"/>
        <v>0</v>
      </c>
    </row>
    <row r="158" spans="1:15" ht="15">
      <c r="A158" s="8" t="s">
        <v>60</v>
      </c>
      <c r="B158" s="1" t="s">
        <v>100</v>
      </c>
      <c r="D158" s="1">
        <v>34</v>
      </c>
      <c r="E158" s="5"/>
      <c r="F158" s="5"/>
      <c r="G158" s="5"/>
      <c r="H158" s="5"/>
      <c r="I158" s="5"/>
      <c r="J158" s="5"/>
      <c r="K158" s="5"/>
      <c r="L158" s="5"/>
      <c r="M158" s="5"/>
      <c r="O158" s="5">
        <f t="shared" si="37"/>
        <v>0</v>
      </c>
    </row>
    <row r="159" spans="1:15" ht="15">
      <c r="A159" s="8" t="s">
        <v>61</v>
      </c>
      <c r="B159" s="1" t="s">
        <v>101</v>
      </c>
      <c r="D159" s="1">
        <v>34</v>
      </c>
      <c r="E159" s="5"/>
      <c r="F159" s="5">
        <v>233576</v>
      </c>
      <c r="G159" s="5"/>
      <c r="H159" s="5">
        <f aca="true" t="shared" si="41" ref="H159:M161">INDEX(ALLOC,($D159)+1,(H$1)+1)*$F159</f>
        <v>165216.6321341867</v>
      </c>
      <c r="I159" s="5">
        <f t="shared" si="41"/>
        <v>57672.28785655549</v>
      </c>
      <c r="J159" s="5">
        <f t="shared" si="41"/>
        <v>3563.209664493862</v>
      </c>
      <c r="K159" s="5">
        <f t="shared" si="41"/>
        <v>769.0312863069834</v>
      </c>
      <c r="L159" s="5">
        <f t="shared" si="41"/>
        <v>6220.227283396218</v>
      </c>
      <c r="M159" s="5">
        <f t="shared" si="41"/>
        <v>134.6117750607872</v>
      </c>
      <c r="O159" s="5">
        <f t="shared" si="37"/>
        <v>0</v>
      </c>
    </row>
    <row r="160" spans="1:15" ht="15">
      <c r="A160" s="8"/>
      <c r="B160" s="1" t="s">
        <v>102</v>
      </c>
      <c r="D160" s="1">
        <v>34</v>
      </c>
      <c r="E160" s="5"/>
      <c r="F160" s="5">
        <v>3789063</v>
      </c>
      <c r="G160" s="5"/>
      <c r="H160" s="5">
        <f t="shared" si="41"/>
        <v>2680139.345670179</v>
      </c>
      <c r="I160" s="5">
        <f t="shared" si="41"/>
        <v>935558.1568424142</v>
      </c>
      <c r="J160" s="5">
        <f t="shared" si="41"/>
        <v>57802.282344830404</v>
      </c>
      <c r="K160" s="5">
        <f t="shared" si="41"/>
        <v>12475.202900932447</v>
      </c>
      <c r="L160" s="5">
        <f t="shared" si="41"/>
        <v>100904.34398699834</v>
      </c>
      <c r="M160" s="5">
        <f t="shared" si="41"/>
        <v>2183.668254645818</v>
      </c>
      <c r="O160" s="5">
        <f t="shared" si="37"/>
        <v>0</v>
      </c>
    </row>
    <row r="161" spans="2:15" ht="15">
      <c r="B161" s="8" t="s">
        <v>268</v>
      </c>
      <c r="D161" s="1">
        <v>34</v>
      </c>
      <c r="E161" s="5"/>
      <c r="F161" s="5">
        <v>2456201</v>
      </c>
      <c r="G161" s="5"/>
      <c r="H161" s="5">
        <f t="shared" si="41"/>
        <v>1737358.5345438805</v>
      </c>
      <c r="I161" s="5">
        <f t="shared" si="41"/>
        <v>606460.9853133861</v>
      </c>
      <c r="J161" s="5">
        <f t="shared" si="41"/>
        <v>37469.42811393075</v>
      </c>
      <c r="K161" s="5">
        <f t="shared" si="41"/>
        <v>8086.855732003712</v>
      </c>
      <c r="L161" s="5">
        <f t="shared" si="41"/>
        <v>65409.66740463521</v>
      </c>
      <c r="M161" s="5">
        <f t="shared" si="41"/>
        <v>1415.5288921639235</v>
      </c>
      <c r="O161" s="5">
        <f t="shared" si="37"/>
        <v>0</v>
      </c>
    </row>
    <row r="162" spans="2:15" ht="15.75">
      <c r="B162" s="19" t="s">
        <v>74</v>
      </c>
      <c r="C162" s="3"/>
      <c r="D162" s="3"/>
      <c r="E162" s="15"/>
      <c r="F162" s="15">
        <f>SUM(F157:F161)</f>
        <v>6478840</v>
      </c>
      <c r="G162" s="15"/>
      <c r="H162" s="15">
        <f aca="true" t="shared" si="42" ref="H162:M162">SUM(H157:H161)</f>
        <v>4582714.512348246</v>
      </c>
      <c r="I162" s="15">
        <f t="shared" si="42"/>
        <v>1599691.4300123558</v>
      </c>
      <c r="J162" s="15">
        <f t="shared" si="42"/>
        <v>98834.92012325503</v>
      </c>
      <c r="K162" s="15">
        <f t="shared" si="42"/>
        <v>21331.089919243143</v>
      </c>
      <c r="L162" s="15">
        <f t="shared" si="42"/>
        <v>172534.23867502977</v>
      </c>
      <c r="M162" s="15">
        <f t="shared" si="42"/>
        <v>3733.8089218705286</v>
      </c>
      <c r="O162" s="5">
        <f t="shared" si="37"/>
        <v>0</v>
      </c>
    </row>
    <row r="163" spans="5:15" ht="15">
      <c r="E163" s="5"/>
      <c r="F163" s="5"/>
      <c r="G163" s="5"/>
      <c r="H163" s="5"/>
      <c r="I163" s="5"/>
      <c r="J163" s="5"/>
      <c r="K163" s="5"/>
      <c r="L163" s="5"/>
      <c r="M163" s="5"/>
      <c r="O163" s="5">
        <f t="shared" si="37"/>
        <v>0</v>
      </c>
    </row>
    <row r="164" spans="1:256" ht="15.75">
      <c r="A164" s="4" t="s">
        <v>169</v>
      </c>
      <c r="B164" s="4"/>
      <c r="C164" s="4"/>
      <c r="D164" s="4"/>
      <c r="E164" s="6"/>
      <c r="F164" s="6">
        <f>F162+F154+F131+F127</f>
        <v>23851373</v>
      </c>
      <c r="G164" s="6"/>
      <c r="H164" s="6">
        <f aca="true" t="shared" si="43" ref="H164:M164">H162+H154+H131+H127</f>
        <v>17392543.275448274</v>
      </c>
      <c r="I164" s="6">
        <f t="shared" si="43"/>
        <v>5527754.789155057</v>
      </c>
      <c r="J164" s="6">
        <f t="shared" si="43"/>
        <v>311521.32296836923</v>
      </c>
      <c r="K164" s="6">
        <f t="shared" si="43"/>
        <v>67368.15681438163</v>
      </c>
      <c r="L164" s="6">
        <f t="shared" si="43"/>
        <v>540162.3114419186</v>
      </c>
      <c r="M164" s="6">
        <f t="shared" si="43"/>
        <v>12023.144172000444</v>
      </c>
      <c r="N164" s="4"/>
      <c r="O164" s="5">
        <f t="shared" si="37"/>
        <v>0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5:15" ht="15">
      <c r="E165" s="5"/>
      <c r="F165" s="5"/>
      <c r="G165" s="5"/>
      <c r="H165" s="5"/>
      <c r="I165" s="5"/>
      <c r="J165" s="5"/>
      <c r="K165" s="5"/>
      <c r="L165" s="5"/>
      <c r="M165" s="5"/>
      <c r="O165" s="5">
        <f t="shared" si="37"/>
        <v>0</v>
      </c>
    </row>
    <row r="166" spans="1:15" ht="15.75">
      <c r="A166" s="4" t="s">
        <v>170</v>
      </c>
      <c r="E166" s="5"/>
      <c r="F166" s="5"/>
      <c r="G166" s="5"/>
      <c r="H166" s="5"/>
      <c r="I166" s="5"/>
      <c r="J166" s="5"/>
      <c r="K166" s="5"/>
      <c r="L166" s="5"/>
      <c r="M166" s="5"/>
      <c r="O166" s="5">
        <f t="shared" si="37"/>
        <v>0</v>
      </c>
    </row>
    <row r="167" spans="2:15" ht="15">
      <c r="B167" s="1" t="s">
        <v>269</v>
      </c>
      <c r="D167" s="1">
        <v>34</v>
      </c>
      <c r="E167" s="5"/>
      <c r="F167" s="5">
        <v>-2104902</v>
      </c>
      <c r="G167" s="5"/>
      <c r="H167" s="5">
        <f aca="true" t="shared" si="44" ref="H167:M169">INDEX(ALLOC,($D167)+1,(H$1)+1)*$F167</f>
        <v>-1488872.2275084504</v>
      </c>
      <c r="I167" s="5">
        <f t="shared" si="44"/>
        <v>-519721.69252765423</v>
      </c>
      <c r="J167" s="5">
        <f t="shared" si="44"/>
        <v>-32110.350161028786</v>
      </c>
      <c r="K167" s="5">
        <f t="shared" si="44"/>
        <v>-6930.230385870731</v>
      </c>
      <c r="L167" s="5">
        <f t="shared" si="44"/>
        <v>-56054.427035634086</v>
      </c>
      <c r="M167" s="5">
        <f t="shared" si="44"/>
        <v>-1213.0723813619597</v>
      </c>
      <c r="O167" s="5">
        <f t="shared" si="37"/>
        <v>0</v>
      </c>
    </row>
    <row r="168" spans="2:15" ht="15">
      <c r="B168" s="1" t="s">
        <v>270</v>
      </c>
      <c r="D168" s="1">
        <v>34</v>
      </c>
      <c r="E168" s="5"/>
      <c r="F168" s="5">
        <v>1059702</v>
      </c>
      <c r="G168" s="5"/>
      <c r="H168" s="5">
        <f t="shared" si="44"/>
        <v>749565.0045632337</v>
      </c>
      <c r="I168" s="5">
        <f t="shared" si="44"/>
        <v>261651.19184405747</v>
      </c>
      <c r="J168" s="5">
        <f t="shared" si="44"/>
        <v>16165.789327171775</v>
      </c>
      <c r="K168" s="5">
        <f t="shared" si="44"/>
        <v>3488.9885611624604</v>
      </c>
      <c r="L168" s="5">
        <f t="shared" si="44"/>
        <v>28220.310702595896</v>
      </c>
      <c r="M168" s="5">
        <f t="shared" si="44"/>
        <v>610.7150017787201</v>
      </c>
      <c r="O168" s="5">
        <f t="shared" si="37"/>
        <v>0</v>
      </c>
    </row>
    <row r="169" spans="2:15" ht="15">
      <c r="B169" s="1" t="s">
        <v>271</v>
      </c>
      <c r="D169" s="1">
        <v>34</v>
      </c>
      <c r="E169" s="5"/>
      <c r="F169" s="5">
        <v>-132894</v>
      </c>
      <c r="G169" s="5"/>
      <c r="H169" s="5">
        <f t="shared" si="44"/>
        <v>-94000.66407011253</v>
      </c>
      <c r="I169" s="5">
        <f t="shared" si="44"/>
        <v>-32812.87898760611</v>
      </c>
      <c r="J169" s="5">
        <f t="shared" si="44"/>
        <v>-2027.3023990189374</v>
      </c>
      <c r="K169" s="5">
        <f t="shared" si="44"/>
        <v>-437.5434281025459</v>
      </c>
      <c r="L169" s="5">
        <f t="shared" si="44"/>
        <v>-3539.023207006101</v>
      </c>
      <c r="M169" s="5">
        <f t="shared" si="44"/>
        <v>-76.58790815378401</v>
      </c>
      <c r="O169" s="5">
        <f t="shared" si="37"/>
        <v>0</v>
      </c>
    </row>
    <row r="170" spans="2:15" ht="15.75">
      <c r="B170" s="19" t="s">
        <v>74</v>
      </c>
      <c r="C170" s="3"/>
      <c r="D170" s="3"/>
      <c r="E170" s="15"/>
      <c r="F170" s="15">
        <f>SUM(F167:F169)</f>
        <v>-1178094</v>
      </c>
      <c r="G170" s="15"/>
      <c r="H170" s="15">
        <f aca="true" t="shared" si="45" ref="H170:M170">SUM(H167:H169)</f>
        <v>-833307.8870153292</v>
      </c>
      <c r="I170" s="15">
        <f t="shared" si="45"/>
        <v>-290883.37967120286</v>
      </c>
      <c r="J170" s="15">
        <f t="shared" si="45"/>
        <v>-17971.86323287595</v>
      </c>
      <c r="K170" s="15">
        <f t="shared" si="45"/>
        <v>-3878.7852528108165</v>
      </c>
      <c r="L170" s="15">
        <f t="shared" si="45"/>
        <v>-31373.139540044293</v>
      </c>
      <c r="M170" s="15">
        <f t="shared" si="45"/>
        <v>-678.9452877370237</v>
      </c>
      <c r="O170" s="5">
        <f t="shared" si="37"/>
        <v>0</v>
      </c>
    </row>
    <row r="171" spans="5:15" ht="15">
      <c r="E171" s="5"/>
      <c r="F171" s="5"/>
      <c r="G171" s="5"/>
      <c r="H171" s="5"/>
      <c r="I171" s="5"/>
      <c r="J171" s="5"/>
      <c r="K171" s="5"/>
      <c r="L171" s="5"/>
      <c r="M171" s="5"/>
      <c r="O171" s="5">
        <f t="shared" si="37"/>
        <v>0</v>
      </c>
    </row>
    <row r="172" spans="1:15" ht="15.75">
      <c r="A172" s="4" t="s">
        <v>171</v>
      </c>
      <c r="E172" s="5"/>
      <c r="F172" s="5"/>
      <c r="G172" s="5"/>
      <c r="H172" s="5"/>
      <c r="I172" s="5"/>
      <c r="J172" s="5"/>
      <c r="K172" s="5"/>
      <c r="L172" s="5"/>
      <c r="M172" s="5"/>
      <c r="O172" s="5">
        <f t="shared" si="37"/>
        <v>0</v>
      </c>
    </row>
    <row r="173" spans="2:15" ht="15">
      <c r="B173" s="1" t="s">
        <v>272</v>
      </c>
      <c r="D173" s="1">
        <v>40</v>
      </c>
      <c r="E173" s="5"/>
      <c r="F173" s="5"/>
      <c r="G173" s="5"/>
      <c r="H173" s="5"/>
      <c r="I173" s="5"/>
      <c r="J173" s="5"/>
      <c r="K173" s="5"/>
      <c r="L173" s="5"/>
      <c r="M173" s="5"/>
      <c r="O173" s="5">
        <f t="shared" si="37"/>
        <v>0</v>
      </c>
    </row>
    <row r="174" spans="2:15" ht="15">
      <c r="B174" s="1" t="s">
        <v>273</v>
      </c>
      <c r="D174" s="1">
        <v>40</v>
      </c>
      <c r="E174" s="5"/>
      <c r="F174" s="5">
        <v>6572639</v>
      </c>
      <c r="G174" s="5"/>
      <c r="H174" s="5">
        <f aca="true" t="shared" si="46" ref="H174:M174">INDEX(ALLOC,($D174)+1,(H$1)+1)*$F174</f>
        <v>4633878.272199745</v>
      </c>
      <c r="I174" s="5">
        <f t="shared" si="46"/>
        <v>1634067.1996004789</v>
      </c>
      <c r="J174" s="5">
        <f t="shared" si="46"/>
        <v>101833.43020827825</v>
      </c>
      <c r="K174" s="5">
        <f t="shared" si="46"/>
        <v>21912.957833298846</v>
      </c>
      <c r="L174" s="5">
        <f t="shared" si="46"/>
        <v>177134.45129255753</v>
      </c>
      <c r="M174" s="5">
        <f t="shared" si="46"/>
        <v>3812.688865641597</v>
      </c>
      <c r="O174" s="5">
        <f t="shared" si="37"/>
        <v>0</v>
      </c>
    </row>
    <row r="175" spans="2:15" ht="15">
      <c r="B175" s="1" t="s">
        <v>274</v>
      </c>
      <c r="D175" s="1">
        <v>41</v>
      </c>
      <c r="E175" s="5"/>
      <c r="F175" s="5"/>
      <c r="G175" s="5"/>
      <c r="H175" s="5"/>
      <c r="I175" s="5"/>
      <c r="J175" s="5"/>
      <c r="K175" s="5"/>
      <c r="L175" s="5"/>
      <c r="M175" s="5"/>
      <c r="O175" s="5">
        <f t="shared" si="37"/>
        <v>0</v>
      </c>
    </row>
    <row r="176" spans="2:15" ht="15">
      <c r="B176" s="1" t="s">
        <v>275</v>
      </c>
      <c r="D176" s="1">
        <v>40</v>
      </c>
      <c r="E176" s="5"/>
      <c r="F176" s="5"/>
      <c r="G176" s="5"/>
      <c r="H176" s="5"/>
      <c r="I176" s="5"/>
      <c r="J176" s="5"/>
      <c r="K176" s="5"/>
      <c r="L176" s="5"/>
      <c r="M176" s="5"/>
      <c r="O176" s="5">
        <f t="shared" si="37"/>
        <v>0</v>
      </c>
    </row>
    <row r="177" spans="2:15" ht="15">
      <c r="B177" s="1" t="s">
        <v>276</v>
      </c>
      <c r="D177" s="1">
        <v>40</v>
      </c>
      <c r="E177" s="5"/>
      <c r="F177" s="5"/>
      <c r="G177" s="5"/>
      <c r="H177" s="5"/>
      <c r="I177" s="5"/>
      <c r="J177" s="5"/>
      <c r="K177" s="5"/>
      <c r="L177" s="5"/>
      <c r="M177" s="5"/>
      <c r="O177" s="5">
        <f t="shared" si="37"/>
        <v>0</v>
      </c>
    </row>
    <row r="178" spans="2:15" ht="15.75">
      <c r="B178" s="19" t="s">
        <v>74</v>
      </c>
      <c r="C178" s="3"/>
      <c r="D178" s="3"/>
      <c r="E178" s="15"/>
      <c r="F178" s="15">
        <f>SUM(F173:F177)</f>
        <v>6572639</v>
      </c>
      <c r="G178" s="15"/>
      <c r="H178" s="15">
        <f aca="true" t="shared" si="47" ref="H178:M178">SUM(H173:H177)</f>
        <v>4633878.272199745</v>
      </c>
      <c r="I178" s="15">
        <f t="shared" si="47"/>
        <v>1634067.1996004789</v>
      </c>
      <c r="J178" s="15">
        <f t="shared" si="47"/>
        <v>101833.43020827825</v>
      </c>
      <c r="K178" s="15">
        <f t="shared" si="47"/>
        <v>21912.957833298846</v>
      </c>
      <c r="L178" s="15">
        <f t="shared" si="47"/>
        <v>177134.45129255753</v>
      </c>
      <c r="M178" s="15">
        <f t="shared" si="47"/>
        <v>3812.688865641597</v>
      </c>
      <c r="O178" s="5">
        <f t="shared" si="37"/>
        <v>0</v>
      </c>
    </row>
    <row r="179" spans="5:15" ht="15">
      <c r="E179" s="5"/>
      <c r="F179" s="5"/>
      <c r="G179" s="5"/>
      <c r="H179" s="5"/>
      <c r="I179" s="5"/>
      <c r="J179" s="5"/>
      <c r="K179" s="5"/>
      <c r="L179" s="5"/>
      <c r="M179" s="5"/>
      <c r="O179" s="5">
        <f t="shared" si="37"/>
        <v>0</v>
      </c>
    </row>
    <row r="180" spans="2:15" ht="15">
      <c r="B180" s="1" t="s">
        <v>277</v>
      </c>
      <c r="D180" s="1">
        <v>40</v>
      </c>
      <c r="E180" s="5"/>
      <c r="F180" s="5">
        <v>9337962</v>
      </c>
      <c r="G180" s="5"/>
      <c r="H180" s="5">
        <f aca="true" t="shared" si="48" ref="H180:M180">INDEX(ALLOC,($D180)+1,(H$1)+1)*$F180</f>
        <v>6583501.576524571</v>
      </c>
      <c r="I180" s="5">
        <f t="shared" si="48"/>
        <v>2321572.417915496</v>
      </c>
      <c r="J180" s="5">
        <f t="shared" si="48"/>
        <v>144678.06639229</v>
      </c>
      <c r="K180" s="5">
        <f t="shared" si="48"/>
        <v>31132.451904774774</v>
      </c>
      <c r="L180" s="5">
        <f t="shared" si="48"/>
        <v>251660.67618512944</v>
      </c>
      <c r="M180" s="5">
        <f t="shared" si="48"/>
        <v>5416.811077739754</v>
      </c>
      <c r="O180" s="5">
        <f t="shared" si="37"/>
        <v>0</v>
      </c>
    </row>
    <row r="181" spans="5:15" ht="15">
      <c r="E181" s="5"/>
      <c r="F181" s="5"/>
      <c r="G181" s="5"/>
      <c r="H181" s="5"/>
      <c r="I181" s="5"/>
      <c r="J181" s="5"/>
      <c r="K181" s="5"/>
      <c r="L181" s="5"/>
      <c r="M181" s="5"/>
      <c r="O181" s="5">
        <f t="shared" si="37"/>
        <v>0</v>
      </c>
    </row>
    <row r="182" spans="1:15" ht="15">
      <c r="A182" s="8" t="s">
        <v>172</v>
      </c>
      <c r="E182" s="5"/>
      <c r="F182" s="5">
        <f>F121+F164+F170+F178</f>
        <v>93095309.36</v>
      </c>
      <c r="G182" s="5"/>
      <c r="H182" s="5">
        <f aca="true" t="shared" si="49" ref="H182:M182">H121+H164+H170+H178</f>
        <v>66358880.03632187</v>
      </c>
      <c r="I182" s="5">
        <f t="shared" si="49"/>
        <v>22294817.01867991</v>
      </c>
      <c r="J182" s="5">
        <f t="shared" si="49"/>
        <v>1341681.260540557</v>
      </c>
      <c r="K182" s="5">
        <f t="shared" si="49"/>
        <v>260547.34445723356</v>
      </c>
      <c r="L182" s="5">
        <f t="shared" si="49"/>
        <v>2755671.7325682105</v>
      </c>
      <c r="M182" s="5">
        <f t="shared" si="49"/>
        <v>83711.96743221981</v>
      </c>
      <c r="O182" s="5">
        <f t="shared" si="37"/>
        <v>0</v>
      </c>
    </row>
    <row r="183" spans="5:15" ht="15">
      <c r="E183" s="5"/>
      <c r="F183" s="5"/>
      <c r="G183" s="5"/>
      <c r="H183" s="5"/>
      <c r="I183" s="5"/>
      <c r="J183" s="5"/>
      <c r="K183" s="5"/>
      <c r="L183" s="5"/>
      <c r="M183" s="5"/>
      <c r="O183" s="5">
        <f t="shared" si="37"/>
        <v>0</v>
      </c>
    </row>
    <row r="184" spans="6:15" ht="15">
      <c r="F184" s="5"/>
      <c r="O184" s="5">
        <f t="shared" si="37"/>
        <v>0</v>
      </c>
    </row>
    <row r="185" spans="1:15" ht="15">
      <c r="A185" s="1" t="s">
        <v>173</v>
      </c>
      <c r="O185" s="5">
        <f t="shared" si="37"/>
        <v>0</v>
      </c>
    </row>
    <row r="186" spans="1:15" ht="15">
      <c r="A186" s="1" t="s">
        <v>13</v>
      </c>
      <c r="D186" s="1">
        <v>47</v>
      </c>
      <c r="F186" s="5">
        <v>-2685996</v>
      </c>
      <c r="H186" s="5">
        <f aca="true" t="shared" si="50" ref="H186:M196">INDEX(ALLOC,($D186)+1,(H$1)+1)*$F186</f>
        <v>-2617803.2235101024</v>
      </c>
      <c r="I186" s="5">
        <f t="shared" si="50"/>
        <v>-62448.40318971519</v>
      </c>
      <c r="J186" s="5">
        <f t="shared" si="50"/>
        <v>0</v>
      </c>
      <c r="K186" s="5">
        <f t="shared" si="50"/>
        <v>-1074.7013195910888</v>
      </c>
      <c r="L186" s="5">
        <f t="shared" si="50"/>
        <v>-4669.6719805910025</v>
      </c>
      <c r="M186" s="5">
        <f t="shared" si="50"/>
        <v>0</v>
      </c>
      <c r="O186" s="5">
        <f t="shared" si="37"/>
        <v>0</v>
      </c>
    </row>
    <row r="187" spans="1:15" ht="15">
      <c r="A187" s="1" t="s">
        <v>14</v>
      </c>
      <c r="D187" s="1">
        <v>44</v>
      </c>
      <c r="F187" s="5">
        <v>90963</v>
      </c>
      <c r="H187" s="5">
        <f t="shared" si="50"/>
        <v>61455.4313081738</v>
      </c>
      <c r="I187" s="5">
        <f t="shared" si="50"/>
        <v>31482.184531347117</v>
      </c>
      <c r="J187" s="5">
        <f t="shared" si="50"/>
        <v>-1974.615839520915</v>
      </c>
      <c r="K187" s="5">
        <f t="shared" si="50"/>
        <v>0</v>
      </c>
      <c r="L187" s="5">
        <f t="shared" si="50"/>
        <v>0</v>
      </c>
      <c r="M187" s="5">
        <f t="shared" si="50"/>
        <v>0</v>
      </c>
      <c r="O187" s="5">
        <f t="shared" si="37"/>
        <v>0</v>
      </c>
    </row>
    <row r="188" spans="1:15" ht="15">
      <c r="A188" s="1" t="s">
        <v>15</v>
      </c>
      <c r="D188" s="1">
        <v>42</v>
      </c>
      <c r="F188" s="5">
        <v>1239999</v>
      </c>
      <c r="H188" s="5">
        <f t="shared" si="50"/>
        <v>904213.6177658446</v>
      </c>
      <c r="I188" s="5">
        <f t="shared" si="50"/>
        <v>287380.1189892709</v>
      </c>
      <c r="J188" s="5">
        <f t="shared" si="50"/>
        <v>16195.551046870758</v>
      </c>
      <c r="K188" s="5">
        <f t="shared" si="50"/>
        <v>3502.37477237375</v>
      </c>
      <c r="L188" s="5">
        <f t="shared" si="50"/>
        <v>28082.271239717218</v>
      </c>
      <c r="M188" s="5">
        <f t="shared" si="50"/>
        <v>625.0661859229814</v>
      </c>
      <c r="O188" s="5">
        <f t="shared" si="37"/>
        <v>0</v>
      </c>
    </row>
    <row r="189" spans="1:15" ht="15">
      <c r="A189" s="1" t="s">
        <v>16</v>
      </c>
      <c r="D189" s="1">
        <v>41</v>
      </c>
      <c r="F189" s="5">
        <v>818232</v>
      </c>
      <c r="H189" s="5">
        <f t="shared" si="50"/>
        <v>573777.7130797505</v>
      </c>
      <c r="I189" s="5">
        <f t="shared" si="50"/>
        <v>198459.02497228474</v>
      </c>
      <c r="J189" s="5">
        <f t="shared" si="50"/>
        <v>12424.174599639358</v>
      </c>
      <c r="K189" s="5">
        <f t="shared" si="50"/>
        <v>2381.6750767357876</v>
      </c>
      <c r="L189" s="5">
        <f t="shared" si="50"/>
        <v>30079.42680718037</v>
      </c>
      <c r="M189" s="5">
        <f t="shared" si="50"/>
        <v>1109.9854644090058</v>
      </c>
      <c r="O189" s="5">
        <f t="shared" si="37"/>
        <v>0</v>
      </c>
    </row>
    <row r="190" spans="1:15" ht="15">
      <c r="A190" s="1" t="s">
        <v>17</v>
      </c>
      <c r="D190" s="1">
        <v>41</v>
      </c>
      <c r="F190" s="5">
        <v>-900001</v>
      </c>
      <c r="H190" s="5">
        <f t="shared" si="50"/>
        <v>-631117.4771329996</v>
      </c>
      <c r="I190" s="5">
        <f t="shared" si="50"/>
        <v>-218291.78146794703</v>
      </c>
      <c r="J190" s="5">
        <f t="shared" si="50"/>
        <v>-13665.769077535493</v>
      </c>
      <c r="K190" s="5">
        <f t="shared" si="50"/>
        <v>-2619.684821343196</v>
      </c>
      <c r="L190" s="5">
        <f t="shared" si="50"/>
        <v>-33085.37701518535</v>
      </c>
      <c r="M190" s="5">
        <f t="shared" si="50"/>
        <v>-1220.9104849890614</v>
      </c>
      <c r="O190" s="5">
        <f t="shared" si="37"/>
        <v>0</v>
      </c>
    </row>
    <row r="191" spans="1:15" ht="15">
      <c r="A191" s="1" t="s">
        <v>174</v>
      </c>
      <c r="D191" s="1">
        <v>43</v>
      </c>
      <c r="F191" s="5">
        <v>65342</v>
      </c>
      <c r="H191" s="5">
        <f t="shared" si="50"/>
        <v>46113.78160953884</v>
      </c>
      <c r="I191" s="5">
        <f t="shared" si="50"/>
        <v>16335.46162972782</v>
      </c>
      <c r="J191" s="5">
        <f t="shared" si="50"/>
        <v>1020.5466086333465</v>
      </c>
      <c r="K191" s="5">
        <f t="shared" si="50"/>
        <v>201.18069823593314</v>
      </c>
      <c r="L191" s="5">
        <f t="shared" si="50"/>
        <v>1635.0693222969865</v>
      </c>
      <c r="M191" s="5">
        <f t="shared" si="50"/>
        <v>35.9601315670711</v>
      </c>
      <c r="O191" s="5">
        <f t="shared" si="37"/>
        <v>0</v>
      </c>
    </row>
    <row r="192" spans="1:15" ht="15">
      <c r="A192" s="1" t="s">
        <v>175</v>
      </c>
      <c r="D192" s="1">
        <v>43</v>
      </c>
      <c r="F192" s="5">
        <v>9941</v>
      </c>
      <c r="H192" s="5">
        <f t="shared" si="50"/>
        <v>7015.6576624594545</v>
      </c>
      <c r="I192" s="5">
        <f t="shared" si="50"/>
        <v>2485.2441624242338</v>
      </c>
      <c r="J192" s="5">
        <f t="shared" si="50"/>
        <v>155.26390126448683</v>
      </c>
      <c r="K192" s="5">
        <f t="shared" si="50"/>
        <v>30.607225385868375</v>
      </c>
      <c r="L192" s="5">
        <f t="shared" si="50"/>
        <v>248.7561466278097</v>
      </c>
      <c r="M192" s="5">
        <f t="shared" si="50"/>
        <v>5.470901838147804</v>
      </c>
      <c r="O192" s="5">
        <f t="shared" si="37"/>
        <v>0</v>
      </c>
    </row>
    <row r="193" spans="1:15" ht="15">
      <c r="A193" s="1" t="s">
        <v>176</v>
      </c>
      <c r="D193" s="1">
        <v>40</v>
      </c>
      <c r="F193" s="5">
        <v>-212211</v>
      </c>
      <c r="H193" s="5">
        <f t="shared" si="50"/>
        <v>-149614.1720276711</v>
      </c>
      <c r="I193" s="5">
        <f t="shared" si="50"/>
        <v>-52759.17854219853</v>
      </c>
      <c r="J193" s="5">
        <f t="shared" si="50"/>
        <v>-3287.8991312209505</v>
      </c>
      <c r="K193" s="5">
        <f t="shared" si="50"/>
        <v>-707.5043517165908</v>
      </c>
      <c r="L193" s="5">
        <f t="shared" si="50"/>
        <v>-5719.145543098431</v>
      </c>
      <c r="M193" s="5">
        <f t="shared" si="50"/>
        <v>-123.1004040944085</v>
      </c>
      <c r="O193" s="5">
        <f t="shared" si="37"/>
        <v>0</v>
      </c>
    </row>
    <row r="194" spans="1:15" ht="15">
      <c r="A194" s="1" t="s">
        <v>21</v>
      </c>
      <c r="D194" s="1">
        <v>38</v>
      </c>
      <c r="F194" s="5">
        <v>23863</v>
      </c>
      <c r="H194" s="5">
        <f t="shared" si="50"/>
        <v>16880.202928579194</v>
      </c>
      <c r="I194" s="5">
        <f t="shared" si="50"/>
        <v>5764.503038297705</v>
      </c>
      <c r="J194" s="5">
        <f t="shared" si="50"/>
        <v>353.6684929419364</v>
      </c>
      <c r="K194" s="5">
        <f t="shared" si="50"/>
        <v>65.4585017242863</v>
      </c>
      <c r="L194" s="5">
        <f t="shared" si="50"/>
        <v>773.5453397748173</v>
      </c>
      <c r="M194" s="5">
        <f t="shared" si="50"/>
        <v>25.621698682063652</v>
      </c>
      <c r="O194" s="5">
        <f t="shared" si="37"/>
        <v>0</v>
      </c>
    </row>
    <row r="195" spans="1:15" ht="15">
      <c r="A195" s="1" t="s">
        <v>177</v>
      </c>
      <c r="D195" s="1">
        <v>43</v>
      </c>
      <c r="F195" s="5">
        <v>27325</v>
      </c>
      <c r="H195" s="5">
        <f t="shared" si="50"/>
        <v>19284.060519736908</v>
      </c>
      <c r="I195" s="5">
        <f t="shared" si="50"/>
        <v>6831.233954153726</v>
      </c>
      <c r="J195" s="5">
        <f t="shared" si="50"/>
        <v>426.77659209859195</v>
      </c>
      <c r="K195" s="5">
        <f t="shared" si="50"/>
        <v>84.13061398942293</v>
      </c>
      <c r="L195" s="5">
        <f t="shared" si="50"/>
        <v>683.7603567654058</v>
      </c>
      <c r="M195" s="5">
        <f t="shared" si="50"/>
        <v>15.037963255948975</v>
      </c>
      <c r="O195" s="5">
        <f t="shared" si="37"/>
        <v>0</v>
      </c>
    </row>
    <row r="196" spans="1:15" ht="15">
      <c r="A196" s="1" t="s">
        <v>178</v>
      </c>
      <c r="D196" s="1">
        <v>33</v>
      </c>
      <c r="F196" s="5">
        <v>-440662</v>
      </c>
      <c r="H196" s="5">
        <f t="shared" si="50"/>
        <v>-278509.5198504002</v>
      </c>
      <c r="I196" s="5">
        <f t="shared" si="50"/>
        <v>-141746.558311271</v>
      </c>
      <c r="J196" s="5">
        <f t="shared" si="50"/>
        <v>-12983.560022607458</v>
      </c>
      <c r="K196" s="5">
        <f t="shared" si="50"/>
        <v>-5651.115786034645</v>
      </c>
      <c r="L196" s="5">
        <f t="shared" si="50"/>
        <v>-1660.7430485687228</v>
      </c>
      <c r="M196" s="5">
        <f t="shared" si="50"/>
        <v>-110.50298111793538</v>
      </c>
      <c r="O196" s="5">
        <f t="shared" si="37"/>
        <v>0</v>
      </c>
    </row>
    <row r="197" spans="1:15" ht="15">
      <c r="A197" s="1" t="s">
        <v>179</v>
      </c>
      <c r="F197" s="5"/>
      <c r="O197" s="5">
        <f t="shared" si="37"/>
        <v>0</v>
      </c>
    </row>
    <row r="198" spans="1:15" ht="15">
      <c r="A198" s="1" t="s">
        <v>180</v>
      </c>
      <c r="D198" s="1">
        <v>41</v>
      </c>
      <c r="F198" s="5">
        <v>-108523</v>
      </c>
      <c r="H198" s="5">
        <f aca="true" t="shared" si="51" ref="H198:M198">INDEX(ALLOC,($D198)+1,(H$1)+1)*$F198</f>
        <v>-76100.76207793604</v>
      </c>
      <c r="I198" s="5">
        <f t="shared" si="51"/>
        <v>-26321.83630934412</v>
      </c>
      <c r="J198" s="5">
        <f t="shared" si="51"/>
        <v>-1647.8317886328841</v>
      </c>
      <c r="K198" s="5">
        <f t="shared" si="51"/>
        <v>-315.8841555360801</v>
      </c>
      <c r="L198" s="5">
        <f t="shared" si="51"/>
        <v>-3989.4670892798563</v>
      </c>
      <c r="M198" s="5">
        <f t="shared" si="51"/>
        <v>-147.21857927098736</v>
      </c>
      <c r="O198" s="5">
        <f t="shared" si="37"/>
        <v>0</v>
      </c>
    </row>
    <row r="199" spans="1:15" ht="15">
      <c r="A199" s="1" t="s">
        <v>181</v>
      </c>
      <c r="F199" s="5"/>
      <c r="O199" s="5">
        <f t="shared" si="37"/>
        <v>0</v>
      </c>
    </row>
    <row r="200" spans="1:15" ht="15">
      <c r="A200" s="1" t="s">
        <v>182</v>
      </c>
      <c r="F200" s="5"/>
      <c r="O200" s="5">
        <f t="shared" si="37"/>
        <v>0</v>
      </c>
    </row>
    <row r="201" spans="1:15" ht="15">
      <c r="A201" s="1" t="s">
        <v>183</v>
      </c>
      <c r="D201" s="1" t="s">
        <v>278</v>
      </c>
      <c r="F201" s="5">
        <v>-1107402</v>
      </c>
      <c r="H201" s="5">
        <f>((+Revenues!H31+SUM(H186:H200))/(Revenues!$F31+SUM($F186:$F198)))*$F201</f>
        <v>-724629.9521686023</v>
      </c>
      <c r="I201" s="5">
        <f>((+Revenues!I31+SUM(I186:I200))/(Revenues!$F31+SUM($F186:$F198)))*$F201</f>
        <v>-335455.36329231644</v>
      </c>
      <c r="J201" s="5">
        <f>((+Revenues!J31+SUM(J186:J200))/(Revenues!$F31+SUM($F186:$F198)))*$F201</f>
        <v>-31662.578493311237</v>
      </c>
      <c r="K201" s="5">
        <f>((+Revenues!K31+SUM(K186:K200))/(Revenues!$F31+SUM($F186:$F198)))*$F201</f>
        <v>-14012.941081450988</v>
      </c>
      <c r="L201" s="5">
        <f>((+Revenues!L31+SUM(L186:L200))/(Revenues!$F31+SUM($F186:$F198)))*$F201</f>
        <v>-1229.4676920470433</v>
      </c>
      <c r="M201" s="5">
        <f>((+Revenues!M31+SUM(M186:M200))/(Revenues!$F31+SUM($F186:$F198)))*$F201</f>
        <v>-411.6972722719785</v>
      </c>
      <c r="O201" s="5">
        <f t="shared" si="37"/>
        <v>0</v>
      </c>
    </row>
    <row r="202" spans="1:15" ht="15">
      <c r="A202" s="1" t="s">
        <v>184</v>
      </c>
      <c r="D202" s="1">
        <v>40</v>
      </c>
      <c r="F202" s="5">
        <v>67221</v>
      </c>
      <c r="H202" s="5">
        <f aca="true" t="shared" si="52" ref="H202:M205">INDEX(ALLOC,($D202)+1,(H$1)+1)*$F202</f>
        <v>47392.52092432569</v>
      </c>
      <c r="I202" s="5">
        <f t="shared" si="52"/>
        <v>16712.25686126133</v>
      </c>
      <c r="J202" s="5">
        <f t="shared" si="52"/>
        <v>1041.4910984812452</v>
      </c>
      <c r="K202" s="5">
        <f t="shared" si="52"/>
        <v>224.11255791048035</v>
      </c>
      <c r="L202" s="5">
        <f t="shared" si="52"/>
        <v>1811.6246686204747</v>
      </c>
      <c r="M202" s="5">
        <f t="shared" si="52"/>
        <v>38.99388940078617</v>
      </c>
      <c r="O202" s="5">
        <f t="shared" si="37"/>
        <v>0</v>
      </c>
    </row>
    <row r="203" spans="1:15" ht="15">
      <c r="A203" s="1" t="s">
        <v>185</v>
      </c>
      <c r="D203" s="1">
        <v>43</v>
      </c>
      <c r="F203" s="5">
        <v>-113553</v>
      </c>
      <c r="H203" s="5">
        <f t="shared" si="52"/>
        <v>-80137.70994319067</v>
      </c>
      <c r="I203" s="5">
        <f t="shared" si="52"/>
        <v>-28388.18331915894</v>
      </c>
      <c r="J203" s="5">
        <f t="shared" si="52"/>
        <v>-1773.5320169285053</v>
      </c>
      <c r="K203" s="5">
        <f t="shared" si="52"/>
        <v>-349.6169665266584</v>
      </c>
      <c r="L203" s="5">
        <f t="shared" si="52"/>
        <v>-2841.4653171740947</v>
      </c>
      <c r="M203" s="5">
        <f t="shared" si="52"/>
        <v>-62.49243702114452</v>
      </c>
      <c r="O203" s="5">
        <f t="shared" si="37"/>
        <v>0</v>
      </c>
    </row>
    <row r="204" spans="1:15" ht="15">
      <c r="A204" s="1" t="s">
        <v>186</v>
      </c>
      <c r="D204" s="1">
        <v>42</v>
      </c>
      <c r="F204" s="5">
        <v>7274</v>
      </c>
      <c r="H204" s="5">
        <f t="shared" si="52"/>
        <v>5304.238032150633</v>
      </c>
      <c r="I204" s="5">
        <f t="shared" si="52"/>
        <v>1685.810218821109</v>
      </c>
      <c r="J204" s="5">
        <f t="shared" si="52"/>
        <v>95.0052688066183</v>
      </c>
      <c r="K204" s="5">
        <f t="shared" si="52"/>
        <v>20.54539890293997</v>
      </c>
      <c r="L204" s="5">
        <f t="shared" si="52"/>
        <v>164.73435946134072</v>
      </c>
      <c r="M204" s="5">
        <f t="shared" si="52"/>
        <v>3.6667218573593745</v>
      </c>
      <c r="O204" s="5">
        <f aca="true" t="shared" si="53" ref="O204:O222">SUM(H204:M204)-F204</f>
        <v>0</v>
      </c>
    </row>
    <row r="205" spans="1:15" ht="15">
      <c r="A205" s="1" t="s">
        <v>187</v>
      </c>
      <c r="D205" s="1">
        <v>43</v>
      </c>
      <c r="F205" s="5">
        <v>-169206</v>
      </c>
      <c r="H205" s="5">
        <f t="shared" si="52"/>
        <v>-119413.67774208977</v>
      </c>
      <c r="I205" s="5">
        <f t="shared" si="52"/>
        <v>-42301.40063848253</v>
      </c>
      <c r="J205" s="5">
        <f t="shared" si="52"/>
        <v>-2642.750596253773</v>
      </c>
      <c r="K205" s="5">
        <f t="shared" si="52"/>
        <v>-520.9663191470922</v>
      </c>
      <c r="L205" s="5">
        <f t="shared" si="52"/>
        <v>-4234.084352309141</v>
      </c>
      <c r="M205" s="5">
        <f t="shared" si="52"/>
        <v>-93.12035171769816</v>
      </c>
      <c r="O205" s="5">
        <f t="shared" si="53"/>
        <v>0</v>
      </c>
    </row>
    <row r="206" spans="6:15" ht="15">
      <c r="F206" s="5"/>
      <c r="O206" s="5">
        <f t="shared" si="53"/>
        <v>0</v>
      </c>
    </row>
    <row r="207" spans="1:15" ht="15">
      <c r="A207" s="1" t="s">
        <v>32</v>
      </c>
      <c r="F207" s="5">
        <f>SUM(F186:F205)</f>
        <v>-3387394</v>
      </c>
      <c r="H207" s="5">
        <f aca="true" t="shared" si="54" ref="H207:M207">SUM(H186:H205)</f>
        <v>-2995889.270622432</v>
      </c>
      <c r="I207" s="5">
        <f t="shared" si="54"/>
        <v>-340576.8667128451</v>
      </c>
      <c r="J207" s="5">
        <f t="shared" si="54"/>
        <v>-37926.05935727488</v>
      </c>
      <c r="K207" s="5">
        <f t="shared" si="54"/>
        <v>-18742.32995608787</v>
      </c>
      <c r="L207" s="5">
        <f t="shared" si="54"/>
        <v>6049.766202190776</v>
      </c>
      <c r="M207" s="5">
        <f t="shared" si="54"/>
        <v>-309.23955354984946</v>
      </c>
      <c r="O207" s="5">
        <f t="shared" si="53"/>
        <v>0</v>
      </c>
    </row>
    <row r="208" spans="6:15" ht="15">
      <c r="F208" s="5"/>
      <c r="O208" s="5">
        <f t="shared" si="53"/>
        <v>0</v>
      </c>
    </row>
    <row r="209" spans="1:15" ht="15">
      <c r="A209" s="8" t="s">
        <v>188</v>
      </c>
      <c r="F209" s="5">
        <f>Revenues!F33-F182-F207</f>
        <v>44610193.64</v>
      </c>
      <c r="H209" s="5">
        <f>Revenues!H33-H182-H207</f>
        <v>30530942.101647787</v>
      </c>
      <c r="I209" s="5">
        <f>Revenues!I33-I182-I207</f>
        <v>10965940.852627851</v>
      </c>
      <c r="J209" s="5">
        <f>Revenues!J33-J182-J207</f>
        <v>596191.7248785367</v>
      </c>
      <c r="K209" s="5">
        <f>Revenues!K33-K182-K207</f>
        <v>22769.759672513817</v>
      </c>
      <c r="L209" s="5">
        <f>Revenues!L33-L182-L207</f>
        <v>2429551.686505676</v>
      </c>
      <c r="M209" s="5">
        <f>Revenues!M33-M182-M207</f>
        <v>64797.514667653435</v>
      </c>
      <c r="O209" s="5">
        <f t="shared" si="53"/>
        <v>0</v>
      </c>
    </row>
    <row r="210" spans="6:15" ht="15">
      <c r="F210" s="5"/>
      <c r="O210" s="5">
        <f t="shared" si="53"/>
        <v>0</v>
      </c>
    </row>
    <row r="211" spans="2:15" ht="15">
      <c r="B211" s="1" t="s">
        <v>277</v>
      </c>
      <c r="D211" s="1">
        <v>40</v>
      </c>
      <c r="E211" s="5"/>
      <c r="F211" s="5">
        <v>9337962</v>
      </c>
      <c r="H211" s="5">
        <f aca="true" t="shared" si="55" ref="H211:M211">INDEX(ALLOC,($D211)+1,(H$1)+1)*$F211</f>
        <v>6583501.576524571</v>
      </c>
      <c r="I211" s="5">
        <f t="shared" si="55"/>
        <v>2321572.417915496</v>
      </c>
      <c r="J211" s="5">
        <f t="shared" si="55"/>
        <v>144678.06639229</v>
      </c>
      <c r="K211" s="5">
        <f t="shared" si="55"/>
        <v>31132.451904774774</v>
      </c>
      <c r="L211" s="5">
        <f t="shared" si="55"/>
        <v>251660.67618512944</v>
      </c>
      <c r="M211" s="5">
        <f t="shared" si="55"/>
        <v>5416.811077739754</v>
      </c>
      <c r="O211" s="5">
        <f t="shared" si="53"/>
        <v>0</v>
      </c>
    </row>
    <row r="212" spans="6:15" ht="15">
      <c r="F212" s="5"/>
      <c r="O212" s="5">
        <f t="shared" si="53"/>
        <v>0</v>
      </c>
    </row>
    <row r="213" spans="1:15" ht="15">
      <c r="A213" s="1" t="s">
        <v>189</v>
      </c>
      <c r="F213" s="5">
        <f>F209-F211</f>
        <v>35272231.64</v>
      </c>
      <c r="H213" s="5">
        <f aca="true" t="shared" si="56" ref="H213:M213">H209-H211</f>
        <v>23947440.525123216</v>
      </c>
      <c r="I213" s="5">
        <f t="shared" si="56"/>
        <v>8644368.434712354</v>
      </c>
      <c r="J213" s="5">
        <f t="shared" si="56"/>
        <v>451513.65848624666</v>
      </c>
      <c r="K213" s="5">
        <f t="shared" si="56"/>
        <v>-8362.692232260957</v>
      </c>
      <c r="L213" s="5">
        <f t="shared" si="56"/>
        <v>2177891.010320546</v>
      </c>
      <c r="M213" s="5">
        <f t="shared" si="56"/>
        <v>59380.70358991368</v>
      </c>
      <c r="O213" s="5">
        <f t="shared" si="53"/>
        <v>0</v>
      </c>
    </row>
    <row r="214" spans="6:15" ht="15">
      <c r="F214" s="5"/>
      <c r="O214" s="5">
        <f t="shared" si="53"/>
        <v>0</v>
      </c>
    </row>
    <row r="215" spans="1:15" ht="15">
      <c r="A215" s="1" t="s">
        <v>34</v>
      </c>
      <c r="D215" s="1" t="s">
        <v>189</v>
      </c>
      <c r="F215" s="5">
        <v>14475575</v>
      </c>
      <c r="H215" s="5">
        <f aca="true" t="shared" si="57" ref="H215:M215">H213/$F213*$F215</f>
        <v>9827928.522286732</v>
      </c>
      <c r="I215" s="5">
        <f t="shared" si="57"/>
        <v>3547612.3223914984</v>
      </c>
      <c r="J215" s="5">
        <f t="shared" si="57"/>
        <v>185299.2998472509</v>
      </c>
      <c r="K215" s="5">
        <f t="shared" si="57"/>
        <v>-3432.013597708696</v>
      </c>
      <c r="L215" s="5">
        <f t="shared" si="57"/>
        <v>893797.2789328404</v>
      </c>
      <c r="M215" s="5">
        <f t="shared" si="57"/>
        <v>24369.59013939399</v>
      </c>
      <c r="O215" s="5">
        <f t="shared" si="53"/>
        <v>0</v>
      </c>
    </row>
    <row r="216" spans="6:15" ht="15">
      <c r="F216" s="5"/>
      <c r="O216" s="5">
        <f t="shared" si="53"/>
        <v>0</v>
      </c>
    </row>
    <row r="217" spans="1:15" ht="15">
      <c r="A217" s="1" t="s">
        <v>35</v>
      </c>
      <c r="F217" s="5">
        <f>F209-F215</f>
        <v>30134618.64</v>
      </c>
      <c r="H217" s="5">
        <f aca="true" t="shared" si="58" ref="H217:M217">H209-H215</f>
        <v>20703013.579361055</v>
      </c>
      <c r="I217" s="5">
        <f t="shared" si="58"/>
        <v>7418328.530236352</v>
      </c>
      <c r="J217" s="5">
        <f t="shared" si="58"/>
        <v>410892.42503128573</v>
      </c>
      <c r="K217" s="5">
        <f t="shared" si="58"/>
        <v>26201.773270222515</v>
      </c>
      <c r="L217" s="5">
        <f t="shared" si="58"/>
        <v>1535754.4075728352</v>
      </c>
      <c r="M217" s="5">
        <f t="shared" si="58"/>
        <v>40427.92452825945</v>
      </c>
      <c r="O217" s="5">
        <f t="shared" si="53"/>
        <v>0</v>
      </c>
    </row>
    <row r="218" spans="6:15" ht="15">
      <c r="F218" s="5"/>
      <c r="O218" s="5">
        <f t="shared" si="53"/>
        <v>0</v>
      </c>
    </row>
    <row r="219" spans="1:15" ht="15">
      <c r="A219" s="1" t="s">
        <v>36</v>
      </c>
      <c r="F219" s="5">
        <f>'Rate Base'!F98</f>
        <v>510347495</v>
      </c>
      <c r="H219" s="5">
        <f>'Rate Base'!H98</f>
        <v>360167318.5608831</v>
      </c>
      <c r="I219" s="5">
        <f>'Rate Base'!I98</f>
        <v>127586574.06262761</v>
      </c>
      <c r="J219" s="5">
        <f>'Rate Base'!J98</f>
        <v>7970882.514259954</v>
      </c>
      <c r="K219" s="5">
        <f>'Rate Base'!K98</f>
        <v>1571302.7667818465</v>
      </c>
      <c r="L219" s="5">
        <f>'Rate Base'!L98</f>
        <v>12770553.897732161</v>
      </c>
      <c r="M219" s="5">
        <f>'Rate Base'!M98</f>
        <v>280863.1977154842</v>
      </c>
      <c r="O219" s="5">
        <f t="shared" si="53"/>
        <v>0</v>
      </c>
    </row>
    <row r="220" spans="1:15" ht="15">
      <c r="A220" s="1" t="s">
        <v>37</v>
      </c>
      <c r="D220" s="1">
        <v>42</v>
      </c>
      <c r="F220" s="5">
        <v>-1239999</v>
      </c>
      <c r="H220" s="5">
        <f aca="true" t="shared" si="59" ref="H220:M221">INDEX(ALLOC,($D220)+1,(H$1)+1)*$F220</f>
        <v>-904213.6177658446</v>
      </c>
      <c r="I220" s="5">
        <f t="shared" si="59"/>
        <v>-287380.1189892709</v>
      </c>
      <c r="J220" s="5">
        <f t="shared" si="59"/>
        <v>-16195.551046870758</v>
      </c>
      <c r="K220" s="5">
        <f t="shared" si="59"/>
        <v>-3502.37477237375</v>
      </c>
      <c r="L220" s="5">
        <f t="shared" si="59"/>
        <v>-28082.271239717218</v>
      </c>
      <c r="M220" s="5">
        <f t="shared" si="59"/>
        <v>-625.0661859229814</v>
      </c>
      <c r="O220" s="5">
        <f t="shared" si="53"/>
        <v>0</v>
      </c>
    </row>
    <row r="221" spans="1:15" ht="15">
      <c r="A221" s="1" t="s">
        <v>190</v>
      </c>
      <c r="D221" s="1">
        <v>38</v>
      </c>
      <c r="F221" s="5">
        <v>-435117</v>
      </c>
      <c r="H221" s="5">
        <f t="shared" si="59"/>
        <v>-307792.9538479903</v>
      </c>
      <c r="I221" s="5">
        <f t="shared" si="59"/>
        <v>-105109.72084461225</v>
      </c>
      <c r="J221" s="5">
        <f t="shared" si="59"/>
        <v>-6448.777339119832</v>
      </c>
      <c r="K221" s="5">
        <f t="shared" si="59"/>
        <v>-1193.56773644413</v>
      </c>
      <c r="L221" s="5">
        <f t="shared" si="59"/>
        <v>-14104.79518948997</v>
      </c>
      <c r="M221" s="5">
        <f t="shared" si="59"/>
        <v>-467.185042343523</v>
      </c>
      <c r="O221" s="5">
        <f t="shared" si="53"/>
        <v>0</v>
      </c>
    </row>
    <row r="222" spans="1:15" ht="15">
      <c r="A222" s="1" t="s">
        <v>39</v>
      </c>
      <c r="F222" s="5">
        <f>F221+F220+F219</f>
        <v>508672379</v>
      </c>
      <c r="H222" s="5">
        <f aca="true" t="shared" si="60" ref="H222:M222">H221+H220+H219</f>
        <v>358955311.98926926</v>
      </c>
      <c r="I222" s="5">
        <f t="shared" si="60"/>
        <v>127194084.22279373</v>
      </c>
      <c r="J222" s="5">
        <f t="shared" si="60"/>
        <v>7948238.185873963</v>
      </c>
      <c r="K222" s="5">
        <f t="shared" si="60"/>
        <v>1566606.8242730286</v>
      </c>
      <c r="L222" s="5">
        <f t="shared" si="60"/>
        <v>12728366.831302954</v>
      </c>
      <c r="M222" s="5">
        <f t="shared" si="60"/>
        <v>279770.9464872177</v>
      </c>
      <c r="O222" s="5">
        <f t="shared" si="53"/>
        <v>0</v>
      </c>
    </row>
    <row r="223" spans="6:15" ht="15">
      <c r="F223" s="5"/>
      <c r="O223" s="5"/>
    </row>
    <row r="224" spans="1:15" ht="15">
      <c r="A224" s="1" t="s">
        <v>40</v>
      </c>
      <c r="F224" s="13">
        <f>F217/F222</f>
        <v>0.059241704256169175</v>
      </c>
      <c r="H224" s="13">
        <f aca="true" t="shared" si="61" ref="H224:M224">H217/H222</f>
        <v>0.05767574092894315</v>
      </c>
      <c r="I224" s="13">
        <f t="shared" si="61"/>
        <v>0.0583229053109292</v>
      </c>
      <c r="J224" s="13">
        <f t="shared" si="61"/>
        <v>0.051696038219079275</v>
      </c>
      <c r="K224" s="13">
        <f t="shared" si="61"/>
        <v>0.016725174985996398</v>
      </c>
      <c r="L224" s="13">
        <f t="shared" si="61"/>
        <v>0.12065604550270696</v>
      </c>
      <c r="M224" s="13">
        <f t="shared" si="61"/>
        <v>0.14450365570789012</v>
      </c>
      <c r="O224" s="5"/>
    </row>
    <row r="225" spans="6:15" ht="15">
      <c r="F225" s="5"/>
      <c r="O225" s="5"/>
    </row>
    <row r="226" spans="6:15" ht="15">
      <c r="F226" s="5"/>
      <c r="O226" s="5"/>
    </row>
    <row r="227" spans="6:15" ht="15">
      <c r="F227" s="5"/>
      <c r="O227" s="5"/>
    </row>
    <row r="228" spans="6:15" ht="15">
      <c r="F228" s="5"/>
      <c r="O228" s="5"/>
    </row>
    <row r="229" spans="6:15" ht="15">
      <c r="F229" s="5"/>
      <c r="O229" s="5"/>
    </row>
    <row r="230" spans="6:15" ht="15">
      <c r="F230" s="5"/>
      <c r="O230" s="5"/>
    </row>
    <row r="231" spans="6:15" ht="15">
      <c r="F231" s="5"/>
      <c r="O231" s="5"/>
    </row>
    <row r="232" spans="6:15" ht="15">
      <c r="F232" s="5"/>
      <c r="O232" s="5"/>
    </row>
    <row r="233" spans="6:15" ht="15">
      <c r="F233" s="5"/>
      <c r="O233" s="5"/>
    </row>
    <row r="234" spans="6:15" ht="15">
      <c r="F234" s="5"/>
      <c r="O234" s="5"/>
    </row>
    <row r="235" spans="6:15" ht="15">
      <c r="F235" s="5"/>
      <c r="O235" s="5"/>
    </row>
    <row r="236" spans="6:15" ht="15">
      <c r="F236" s="5"/>
      <c r="O236" s="5"/>
    </row>
    <row r="237" spans="6:15" ht="15">
      <c r="F237" s="5"/>
      <c r="O237" s="5"/>
    </row>
    <row r="238" spans="6:15" ht="15">
      <c r="F238" s="5"/>
      <c r="O238" s="5"/>
    </row>
    <row r="239" spans="6:15" ht="15">
      <c r="F239" s="5"/>
      <c r="O239" s="5"/>
    </row>
    <row r="240" spans="6:15" ht="15">
      <c r="F240" s="5"/>
      <c r="O240" s="5"/>
    </row>
    <row r="241" spans="6:15" ht="15">
      <c r="F241" s="5"/>
      <c r="O241" s="5"/>
    </row>
    <row r="242" spans="6:15" ht="15">
      <c r="F242" s="5"/>
      <c r="O242" s="5"/>
    </row>
    <row r="243" spans="6:15" ht="15">
      <c r="F243" s="5"/>
      <c r="O243" s="5"/>
    </row>
    <row r="244" spans="6:15" ht="15">
      <c r="F244" s="5"/>
      <c r="O244" s="5"/>
    </row>
    <row r="245" spans="6:15" ht="15">
      <c r="F245" s="5"/>
      <c r="O245" s="5"/>
    </row>
    <row r="246" spans="6:15" ht="15">
      <c r="F246" s="5"/>
      <c r="O246" s="5"/>
    </row>
    <row r="247" spans="6:15" ht="15">
      <c r="F247" s="5"/>
      <c r="O247" s="5"/>
    </row>
    <row r="248" spans="6:15" ht="15">
      <c r="F248" s="5"/>
      <c r="O248" s="5"/>
    </row>
    <row r="249" spans="6:15" ht="15">
      <c r="F249" s="5"/>
      <c r="O249" s="5"/>
    </row>
    <row r="250" spans="6:15" ht="15">
      <c r="F250" s="5"/>
      <c r="O250" s="5"/>
    </row>
    <row r="251" spans="6:15" ht="15">
      <c r="F251" s="5"/>
      <c r="O251" s="5"/>
    </row>
    <row r="252" spans="6:15" ht="15">
      <c r="F252" s="5"/>
      <c r="O252" s="5"/>
    </row>
    <row r="253" spans="6:15" ht="15">
      <c r="F253" s="5"/>
      <c r="O253" s="5"/>
    </row>
    <row r="254" spans="6:15" ht="15">
      <c r="F254" s="5"/>
      <c r="O254" s="5"/>
    </row>
    <row r="255" spans="6:15" ht="15">
      <c r="F255" s="5"/>
      <c r="O255" s="5"/>
    </row>
    <row r="256" spans="6:15" ht="15">
      <c r="F256" s="5"/>
      <c r="O256" s="5"/>
    </row>
    <row r="257" spans="6:15" ht="15">
      <c r="F257" s="5"/>
      <c r="O257" s="5"/>
    </row>
    <row r="258" spans="6:15" ht="15">
      <c r="F258" s="5"/>
      <c r="O258" s="5"/>
    </row>
    <row r="259" spans="6:15" ht="15">
      <c r="F259" s="5"/>
      <c r="O259" s="5"/>
    </row>
    <row r="260" spans="6:15" ht="15">
      <c r="F260" s="5"/>
      <c r="O260" s="5"/>
    </row>
    <row r="261" spans="6:15" ht="15">
      <c r="F261" s="5"/>
      <c r="O261" s="5"/>
    </row>
    <row r="262" spans="6:15" ht="15">
      <c r="F262" s="5"/>
      <c r="O262" s="5"/>
    </row>
    <row r="263" spans="6:15" ht="15">
      <c r="F263" s="5"/>
      <c r="O263" s="5"/>
    </row>
    <row r="264" spans="6:15" ht="15">
      <c r="F264" s="5"/>
      <c r="O264" s="5"/>
    </row>
    <row r="265" spans="6:15" ht="15">
      <c r="F265" s="5"/>
      <c r="O265" s="5"/>
    </row>
    <row r="266" spans="6:15" ht="15">
      <c r="F266" s="5"/>
      <c r="O266" s="5"/>
    </row>
    <row r="267" spans="6:15" ht="15">
      <c r="F267" s="5"/>
      <c r="O267" s="5"/>
    </row>
    <row r="268" spans="6:15" ht="15">
      <c r="F268" s="5"/>
      <c r="O268" s="5"/>
    </row>
    <row r="269" spans="6:15" ht="15">
      <c r="F269" s="5"/>
      <c r="O269" s="5"/>
    </row>
    <row r="270" spans="6:15" ht="15">
      <c r="F270" s="5"/>
      <c r="O270" s="5"/>
    </row>
    <row r="271" spans="6:15" ht="15">
      <c r="F271" s="5"/>
      <c r="O271" s="5"/>
    </row>
    <row r="272" spans="6:15" ht="15">
      <c r="F272" s="5"/>
      <c r="O272" s="5"/>
    </row>
    <row r="273" spans="6:15" ht="15">
      <c r="F273" s="5"/>
      <c r="O273" s="5"/>
    </row>
    <row r="274" spans="6:15" ht="15">
      <c r="F274" s="5"/>
      <c r="O274" s="5"/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zoomScale="87" zoomScaleNormal="87" zoomScalePageLayoutView="0" workbookViewId="0" topLeftCell="A1">
      <selection activeCell="H33" sqref="H33"/>
    </sheetView>
  </sheetViews>
  <sheetFormatPr defaultColWidth="8.88671875" defaultRowHeight="15"/>
  <cols>
    <col min="1" max="1" width="7.6640625" style="1" customWidth="1"/>
    <col min="2" max="2" width="36.6640625" style="1" customWidth="1"/>
    <col min="3" max="5" width="9.6640625" style="1" customWidth="1"/>
    <col min="6" max="9" width="13.6640625" style="1" customWidth="1"/>
    <col min="10" max="10" width="11.6640625" style="1" customWidth="1"/>
    <col min="11" max="11" width="13.6640625" style="1" customWidth="1"/>
    <col min="12" max="12" width="14.6640625" style="1" customWidth="1"/>
    <col min="13" max="13" width="10.6640625" style="1" customWidth="1"/>
    <col min="14" max="16384" width="9.6640625" style="1" customWidth="1"/>
  </cols>
  <sheetData>
    <row r="1" spans="8:13" ht="15"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</row>
    <row r="7" spans="1:15" ht="47.25">
      <c r="A7" s="2" t="s">
        <v>56</v>
      </c>
      <c r="B7" s="2" t="s">
        <v>42</v>
      </c>
      <c r="C7" s="2"/>
      <c r="D7" s="2" t="s">
        <v>43</v>
      </c>
      <c r="E7" s="2" t="s">
        <v>44</v>
      </c>
      <c r="F7" s="26" t="s">
        <v>140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O7" s="1" t="s">
        <v>55</v>
      </c>
    </row>
    <row r="8" spans="1:1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3" ht="15.75">
      <c r="A9" s="16" t="s">
        <v>279</v>
      </c>
      <c r="B9" s="7"/>
      <c r="C9" s="7"/>
    </row>
    <row r="10" spans="1:15" ht="15">
      <c r="A10" s="7" t="s">
        <v>280</v>
      </c>
      <c r="B10" s="7"/>
      <c r="C10" s="7"/>
      <c r="D10" s="1">
        <v>28</v>
      </c>
      <c r="E10" s="1" t="s">
        <v>300</v>
      </c>
      <c r="F10" s="5">
        <v>271922589</v>
      </c>
      <c r="G10" s="5"/>
      <c r="H10" s="5">
        <f aca="true" t="shared" si="0" ref="H10:M11">INDEX(ALLOC,($D10)+1,(H$1)+1)*$F10</f>
        <v>182956905.4271252</v>
      </c>
      <c r="I10" s="5">
        <f t="shared" si="0"/>
        <v>75428219.41754454</v>
      </c>
      <c r="J10" s="5">
        <f t="shared" si="0"/>
        <v>5929322.395706443</v>
      </c>
      <c r="K10" s="5">
        <f t="shared" si="0"/>
        <v>2067816.006089592</v>
      </c>
      <c r="L10" s="5">
        <f t="shared" si="0"/>
        <v>5339384.362514378</v>
      </c>
      <c r="M10" s="5">
        <f t="shared" si="0"/>
        <v>200941.3910198689</v>
      </c>
      <c r="O10" s="5">
        <f aca="true" t="shared" si="1" ref="O10:O39">SUM(H10:M10)-F10</f>
        <v>0</v>
      </c>
    </row>
    <row r="11" spans="1:15" ht="15">
      <c r="A11" s="10" t="s">
        <v>281</v>
      </c>
      <c r="B11" s="7"/>
      <c r="C11" s="7"/>
      <c r="D11" s="1">
        <v>28</v>
      </c>
      <c r="E11" s="1" t="s">
        <v>300</v>
      </c>
      <c r="F11" s="5">
        <v>7290452</v>
      </c>
      <c r="G11" s="5"/>
      <c r="H11" s="5">
        <f t="shared" si="0"/>
        <v>4905214.171394181</v>
      </c>
      <c r="I11" s="5">
        <f t="shared" si="0"/>
        <v>2022288.0898985425</v>
      </c>
      <c r="J11" s="5">
        <f t="shared" si="0"/>
        <v>158969.65558246736</v>
      </c>
      <c r="K11" s="5">
        <f t="shared" si="0"/>
        <v>55439.724197491654</v>
      </c>
      <c r="L11" s="5">
        <f t="shared" si="0"/>
        <v>143152.96698084052</v>
      </c>
      <c r="M11" s="5">
        <f t="shared" si="0"/>
        <v>5387.391946476301</v>
      </c>
      <c r="O11" s="5">
        <f t="shared" si="1"/>
        <v>0</v>
      </c>
    </row>
    <row r="12" spans="1:19" ht="15">
      <c r="A12" s="7" t="s">
        <v>282</v>
      </c>
      <c r="B12" s="7"/>
      <c r="C12" s="7"/>
      <c r="D12" s="27" t="s">
        <v>299</v>
      </c>
      <c r="E12" s="1" t="s">
        <v>301</v>
      </c>
      <c r="F12" s="5">
        <v>2474416</v>
      </c>
      <c r="G12" s="5"/>
      <c r="H12" s="5">
        <v>1928929</v>
      </c>
      <c r="I12" s="5">
        <v>494023</v>
      </c>
      <c r="J12" s="5">
        <v>49719</v>
      </c>
      <c r="K12" s="5">
        <v>1745</v>
      </c>
      <c r="L12" s="5">
        <v>0</v>
      </c>
      <c r="M12" s="5">
        <v>0</v>
      </c>
      <c r="N12" s="27"/>
      <c r="O12" s="5">
        <f t="shared" si="1"/>
        <v>0</v>
      </c>
      <c r="P12" s="5" t="e">
        <f>INDEX(ALLOC,($D12)+1,(P$1)+1)*$G12</f>
        <v>#VALUE!</v>
      </c>
      <c r="Q12" s="5" t="e">
        <f>INDEX(ALLOC,($D12)+1,(Q$1)+1)*$G12</f>
        <v>#VALUE!</v>
      </c>
      <c r="R12" s="5" t="e">
        <f>INDEX(ALLOC,($D12)+1,(R$1)+1)*$G12</f>
        <v>#VALUE!</v>
      </c>
      <c r="S12" s="5" t="e">
        <f>INDEX(ALLOC,($D12)+1,(S$1)+1)*$G12</f>
        <v>#VALUE!</v>
      </c>
    </row>
    <row r="13" spans="1:15" ht="15">
      <c r="A13" s="7" t="s">
        <v>283</v>
      </c>
      <c r="B13" s="7"/>
      <c r="C13" s="7"/>
      <c r="D13" s="1">
        <v>31</v>
      </c>
      <c r="E13" s="1" t="s">
        <v>302</v>
      </c>
      <c r="F13" s="5">
        <v>332763</v>
      </c>
      <c r="G13" s="5"/>
      <c r="H13" s="5">
        <f aca="true" t="shared" si="2" ref="H13:M16">INDEX(ALLOC,($D13)+1,(H$1)+1)*$F13</f>
        <v>95489</v>
      </c>
      <c r="I13" s="5">
        <f t="shared" si="2"/>
        <v>237274</v>
      </c>
      <c r="J13" s="5">
        <f t="shared" si="2"/>
        <v>0</v>
      </c>
      <c r="K13" s="5">
        <f t="shared" si="2"/>
        <v>0</v>
      </c>
      <c r="L13" s="5">
        <f t="shared" si="2"/>
        <v>0</v>
      </c>
      <c r="M13" s="5">
        <f t="shared" si="2"/>
        <v>0</v>
      </c>
      <c r="O13" s="5">
        <f t="shared" si="1"/>
        <v>0</v>
      </c>
    </row>
    <row r="14" spans="1:15" ht="15">
      <c r="A14" s="7" t="s">
        <v>284</v>
      </c>
      <c r="B14" s="7"/>
      <c r="C14" s="7"/>
      <c r="D14" s="1">
        <v>28</v>
      </c>
      <c r="F14" s="5">
        <v>-5710375</v>
      </c>
      <c r="G14" s="5"/>
      <c r="H14" s="5">
        <f t="shared" si="2"/>
        <v>-3842095.4385235715</v>
      </c>
      <c r="I14" s="5">
        <f t="shared" si="2"/>
        <v>-1583992.782800626</v>
      </c>
      <c r="J14" s="5">
        <f t="shared" si="2"/>
        <v>-124515.78406890713</v>
      </c>
      <c r="K14" s="5">
        <f t="shared" si="2"/>
        <v>-43424.14092627609</v>
      </c>
      <c r="L14" s="5">
        <f t="shared" si="2"/>
        <v>-112127.08400291466</v>
      </c>
      <c r="M14" s="5">
        <f t="shared" si="2"/>
        <v>-4219.769677704429</v>
      </c>
      <c r="O14" s="5">
        <f t="shared" si="1"/>
        <v>0</v>
      </c>
    </row>
    <row r="15" spans="1:15" ht="15">
      <c r="A15" s="7" t="s">
        <v>285</v>
      </c>
      <c r="B15" s="7"/>
      <c r="C15" s="7"/>
      <c r="D15" s="1">
        <v>28</v>
      </c>
      <c r="F15" s="5">
        <v>-635460</v>
      </c>
      <c r="G15" s="5"/>
      <c r="H15" s="5">
        <f t="shared" si="2"/>
        <v>-427554.7520721824</v>
      </c>
      <c r="I15" s="5">
        <f t="shared" si="2"/>
        <v>-176269.34373985697</v>
      </c>
      <c r="J15" s="5">
        <f t="shared" si="2"/>
        <v>-13856.32294629122</v>
      </c>
      <c r="K15" s="5">
        <f t="shared" si="2"/>
        <v>-4832.310416218095</v>
      </c>
      <c r="L15" s="5">
        <f t="shared" si="2"/>
        <v>-12477.687857713749</v>
      </c>
      <c r="M15" s="5">
        <f t="shared" si="2"/>
        <v>-469.5829677375052</v>
      </c>
      <c r="O15" s="5">
        <f t="shared" si="1"/>
        <v>0</v>
      </c>
    </row>
    <row r="16" spans="1:15" ht="15">
      <c r="A16" s="7" t="s">
        <v>286</v>
      </c>
      <c r="B16" s="7"/>
      <c r="C16" s="7"/>
      <c r="D16" s="1">
        <v>28</v>
      </c>
      <c r="F16" s="5">
        <v>267562</v>
      </c>
      <c r="G16" s="5"/>
      <c r="H16" s="5">
        <f t="shared" si="2"/>
        <v>180022.98268016442</v>
      </c>
      <c r="I16" s="5">
        <f t="shared" si="2"/>
        <v>74218.64184956349</v>
      </c>
      <c r="J16" s="5">
        <f t="shared" si="2"/>
        <v>5834.238945261026</v>
      </c>
      <c r="K16" s="5">
        <f t="shared" si="2"/>
        <v>2034.656216888783</v>
      </c>
      <c r="L16" s="5">
        <f t="shared" si="2"/>
        <v>5253.761241597593</v>
      </c>
      <c r="M16" s="5">
        <f t="shared" si="2"/>
        <v>197.7190665246945</v>
      </c>
      <c r="O16" s="5">
        <f t="shared" si="1"/>
        <v>0</v>
      </c>
    </row>
    <row r="17" spans="6:15" ht="15">
      <c r="F17" s="5"/>
      <c r="G17" s="5"/>
      <c r="H17" s="5"/>
      <c r="I17" s="5"/>
      <c r="J17" s="5"/>
      <c r="K17" s="5"/>
      <c r="L17" s="5"/>
      <c r="M17" s="5"/>
      <c r="O17" s="5">
        <f t="shared" si="1"/>
        <v>0</v>
      </c>
    </row>
    <row r="18" spans="1:15" ht="15.75">
      <c r="A18" s="16" t="s">
        <v>287</v>
      </c>
      <c r="B18" s="7"/>
      <c r="C18" s="7"/>
      <c r="F18" s="5">
        <f>SUM(F10:F16)</f>
        <v>275941947</v>
      </c>
      <c r="G18" s="5"/>
      <c r="H18" s="5">
        <f aca="true" t="shared" si="3" ref="H18:M18">SUM(H10:H16)</f>
        <v>185796910.39060378</v>
      </c>
      <c r="I18" s="5">
        <f t="shared" si="3"/>
        <v>76495761.02275217</v>
      </c>
      <c r="J18" s="5">
        <f t="shared" si="3"/>
        <v>6005473.183218973</v>
      </c>
      <c r="K18" s="5">
        <f t="shared" si="3"/>
        <v>2078778.935161478</v>
      </c>
      <c r="L18" s="5">
        <f t="shared" si="3"/>
        <v>5363186.318876187</v>
      </c>
      <c r="M18" s="5">
        <f t="shared" si="3"/>
        <v>201837.14938742795</v>
      </c>
      <c r="O18" s="5">
        <f t="shared" si="1"/>
        <v>0</v>
      </c>
    </row>
    <row r="19" spans="6:15" ht="15">
      <c r="F19" s="5"/>
      <c r="G19" s="5"/>
      <c r="H19" s="5"/>
      <c r="I19" s="5"/>
      <c r="J19" s="5"/>
      <c r="K19" s="5"/>
      <c r="L19" s="5"/>
      <c r="M19" s="5"/>
      <c r="O19" s="5">
        <f t="shared" si="1"/>
        <v>0</v>
      </c>
    </row>
    <row r="20" spans="1:15" ht="15.75">
      <c r="A20" s="16" t="s">
        <v>288</v>
      </c>
      <c r="B20" s="7"/>
      <c r="C20" s="7"/>
      <c r="F20" s="5"/>
      <c r="G20" s="5"/>
      <c r="H20" s="5"/>
      <c r="I20" s="5"/>
      <c r="J20" s="5"/>
      <c r="K20" s="5"/>
      <c r="L20" s="5"/>
      <c r="M20" s="5"/>
      <c r="O20" s="5">
        <f t="shared" si="1"/>
        <v>0</v>
      </c>
    </row>
    <row r="21" spans="1:15" ht="15">
      <c r="A21" s="7" t="s">
        <v>289</v>
      </c>
      <c r="B21" s="7"/>
      <c r="C21" s="7"/>
      <c r="E21" s="1" t="s">
        <v>299</v>
      </c>
      <c r="F21" s="5">
        <v>2313122</v>
      </c>
      <c r="G21" s="5"/>
      <c r="H21" s="5">
        <v>132253</v>
      </c>
      <c r="I21" s="5">
        <v>1802536</v>
      </c>
      <c r="J21" s="5">
        <v>114219</v>
      </c>
      <c r="K21" s="5">
        <v>18543</v>
      </c>
      <c r="L21" s="5">
        <v>267001</v>
      </c>
      <c r="M21" s="5">
        <v>-21430</v>
      </c>
      <c r="O21" s="5">
        <f t="shared" si="1"/>
        <v>0</v>
      </c>
    </row>
    <row r="22" spans="1:15" ht="15">
      <c r="A22" s="7" t="s">
        <v>290</v>
      </c>
      <c r="B22" s="7"/>
      <c r="C22" s="7"/>
      <c r="D22" s="1">
        <v>44</v>
      </c>
      <c r="F22" s="5">
        <v>387739</v>
      </c>
      <c r="G22" s="5"/>
      <c r="H22" s="5">
        <f aca="true" t="shared" si="4" ref="H22:M22">INDEX(ALLOC,($D22)+1,(H$1)+1)*$F22</f>
        <v>261960</v>
      </c>
      <c r="I22" s="5">
        <f t="shared" si="4"/>
        <v>134196</v>
      </c>
      <c r="J22" s="5">
        <f t="shared" si="4"/>
        <v>-8417</v>
      </c>
      <c r="K22" s="5">
        <f t="shared" si="4"/>
        <v>0</v>
      </c>
      <c r="L22" s="5">
        <f t="shared" si="4"/>
        <v>0</v>
      </c>
      <c r="M22" s="5">
        <f t="shared" si="4"/>
        <v>0</v>
      </c>
      <c r="O22" s="5">
        <f t="shared" si="1"/>
        <v>0</v>
      </c>
    </row>
    <row r="23" spans="1:15" ht="15">
      <c r="A23" s="7" t="s">
        <v>291</v>
      </c>
      <c r="B23" s="7"/>
      <c r="C23" s="7"/>
      <c r="E23" s="1" t="s">
        <v>299</v>
      </c>
      <c r="F23" s="5">
        <v>-48271</v>
      </c>
      <c r="G23" s="5"/>
      <c r="H23" s="5">
        <v>0</v>
      </c>
      <c r="I23" s="5">
        <v>-17639</v>
      </c>
      <c r="J23" s="5">
        <v>-30632</v>
      </c>
      <c r="K23" s="5">
        <v>0</v>
      </c>
      <c r="L23" s="5">
        <v>0</v>
      </c>
      <c r="M23" s="5">
        <v>0</v>
      </c>
      <c r="O23" s="5">
        <f t="shared" si="1"/>
        <v>0</v>
      </c>
    </row>
    <row r="24" spans="1:15" ht="15">
      <c r="A24" s="10" t="s">
        <v>292</v>
      </c>
      <c r="B24" s="7"/>
      <c r="C24" s="7"/>
      <c r="D24" s="27">
        <v>28</v>
      </c>
      <c r="F24" s="5">
        <v>-247029</v>
      </c>
      <c r="G24" s="5"/>
      <c r="H24" s="5">
        <f aca="true" t="shared" si="5" ref="H24:M28">INDEX(ALLOC,($D24)+1,(H$1)+1)*$F24</f>
        <v>-166207.82244301634</v>
      </c>
      <c r="I24" s="5">
        <f t="shared" si="5"/>
        <v>-68523.02224327752</v>
      </c>
      <c r="J24" s="5">
        <f t="shared" si="5"/>
        <v>-5386.513078871013</v>
      </c>
      <c r="K24" s="5">
        <f t="shared" si="5"/>
        <v>-1878.514477398955</v>
      </c>
      <c r="L24" s="5">
        <f t="shared" si="5"/>
        <v>-4850.581867943175</v>
      </c>
      <c r="M24" s="5">
        <f t="shared" si="5"/>
        <v>-182.54588949301007</v>
      </c>
      <c r="O24" s="5">
        <f t="shared" si="1"/>
        <v>0</v>
      </c>
    </row>
    <row r="25" spans="1:15" ht="15">
      <c r="A25" s="10" t="s">
        <v>293</v>
      </c>
      <c r="B25" s="7"/>
      <c r="C25" s="7"/>
      <c r="D25" s="27">
        <v>33</v>
      </c>
      <c r="F25" s="5">
        <v>-146406353</v>
      </c>
      <c r="G25" s="5"/>
      <c r="H25" s="5">
        <f t="shared" si="5"/>
        <v>-92532514.8914093</v>
      </c>
      <c r="I25" s="5">
        <f t="shared" si="5"/>
        <v>-47094137.12245446</v>
      </c>
      <c r="J25" s="5">
        <f t="shared" si="5"/>
        <v>-4313681.851093481</v>
      </c>
      <c r="K25" s="5">
        <f t="shared" si="5"/>
        <v>-1877537.0978529137</v>
      </c>
      <c r="L25" s="5">
        <f t="shared" si="5"/>
        <v>-551768.3235927958</v>
      </c>
      <c r="M25" s="5">
        <f t="shared" si="5"/>
        <v>-36713.71359705348</v>
      </c>
      <c r="O25" s="5">
        <f t="shared" si="1"/>
        <v>0</v>
      </c>
    </row>
    <row r="26" spans="1:19" ht="15">
      <c r="A26" s="7" t="s">
        <v>294</v>
      </c>
      <c r="B26" s="7"/>
      <c r="C26" s="7"/>
      <c r="D26" s="27">
        <v>28</v>
      </c>
      <c r="F26" s="5">
        <v>5710375</v>
      </c>
      <c r="G26" s="5"/>
      <c r="H26" s="5">
        <f t="shared" si="5"/>
        <v>3842095.4385235715</v>
      </c>
      <c r="I26" s="5">
        <f t="shared" si="5"/>
        <v>1583992.782800626</v>
      </c>
      <c r="J26" s="5">
        <f t="shared" si="5"/>
        <v>124515.78406890713</v>
      </c>
      <c r="K26" s="5">
        <f t="shared" si="5"/>
        <v>43424.14092627609</v>
      </c>
      <c r="L26" s="5">
        <f t="shared" si="5"/>
        <v>112127.08400291466</v>
      </c>
      <c r="M26" s="5">
        <f t="shared" si="5"/>
        <v>4219.769677704429</v>
      </c>
      <c r="N26" s="27"/>
      <c r="O26" s="5">
        <f t="shared" si="1"/>
        <v>0</v>
      </c>
      <c r="P26" s="5">
        <f aca="true" t="shared" si="6" ref="P26:S27">INDEX(ALLOC,($D26)+1,(P$1)+1)*$G26</f>
        <v>0</v>
      </c>
      <c r="Q26" s="5">
        <f t="shared" si="6"/>
        <v>0</v>
      </c>
      <c r="R26" s="5">
        <f t="shared" si="6"/>
        <v>0</v>
      </c>
      <c r="S26" s="5">
        <f t="shared" si="6"/>
        <v>0</v>
      </c>
    </row>
    <row r="27" spans="1:19" ht="15">
      <c r="A27" s="10" t="s">
        <v>295</v>
      </c>
      <c r="B27" s="7"/>
      <c r="C27" s="7"/>
      <c r="D27" s="27">
        <v>28</v>
      </c>
      <c r="F27" s="5">
        <v>635460</v>
      </c>
      <c r="G27" s="5"/>
      <c r="H27" s="5">
        <f t="shared" si="5"/>
        <v>427554.7520721824</v>
      </c>
      <c r="I27" s="5">
        <f t="shared" si="5"/>
        <v>176269.34373985697</v>
      </c>
      <c r="J27" s="5">
        <f t="shared" si="5"/>
        <v>13856.32294629122</v>
      </c>
      <c r="K27" s="5">
        <f t="shared" si="5"/>
        <v>4832.310416218095</v>
      </c>
      <c r="L27" s="5">
        <f t="shared" si="5"/>
        <v>12477.687857713749</v>
      </c>
      <c r="M27" s="5">
        <f t="shared" si="5"/>
        <v>469.5829677375052</v>
      </c>
      <c r="N27" s="27"/>
      <c r="O27" s="5">
        <f t="shared" si="1"/>
        <v>0</v>
      </c>
      <c r="P27" s="5">
        <f t="shared" si="6"/>
        <v>0</v>
      </c>
      <c r="Q27" s="5">
        <f t="shared" si="6"/>
        <v>0</v>
      </c>
      <c r="R27" s="5">
        <f t="shared" si="6"/>
        <v>0</v>
      </c>
      <c r="S27" s="5">
        <f t="shared" si="6"/>
        <v>0</v>
      </c>
    </row>
    <row r="28" spans="1:15" ht="15">
      <c r="A28" s="7" t="s">
        <v>296</v>
      </c>
      <c r="B28" s="7"/>
      <c r="C28" s="7"/>
      <c r="D28" s="7">
        <v>47</v>
      </c>
      <c r="F28" s="5">
        <v>-3968881</v>
      </c>
      <c r="G28" s="5"/>
      <c r="H28" s="5">
        <f t="shared" si="5"/>
        <v>-3868118</v>
      </c>
      <c r="I28" s="5">
        <f t="shared" si="5"/>
        <v>-92275</v>
      </c>
      <c r="J28" s="5">
        <f t="shared" si="5"/>
        <v>0</v>
      </c>
      <c r="K28" s="5">
        <f t="shared" si="5"/>
        <v>-1588</v>
      </c>
      <c r="L28" s="5">
        <f t="shared" si="5"/>
        <v>-6900</v>
      </c>
      <c r="M28" s="5">
        <f t="shared" si="5"/>
        <v>0</v>
      </c>
      <c r="N28" s="27"/>
      <c r="O28" s="5">
        <f t="shared" si="1"/>
        <v>0</v>
      </c>
    </row>
    <row r="29" spans="1:15" ht="15">
      <c r="A29" s="7"/>
      <c r="B29" s="7"/>
      <c r="C29" s="7"/>
      <c r="F29" s="5"/>
      <c r="G29" s="5"/>
      <c r="H29" s="5"/>
      <c r="I29" s="5"/>
      <c r="J29" s="5"/>
      <c r="K29" s="5"/>
      <c r="L29" s="5"/>
      <c r="M29" s="5"/>
      <c r="O29" s="5">
        <f t="shared" si="1"/>
        <v>0</v>
      </c>
    </row>
    <row r="30" spans="1:15" ht="15">
      <c r="A30" s="7"/>
      <c r="B30" s="7"/>
      <c r="C30" s="7"/>
      <c r="D30" s="27" t="s">
        <v>299</v>
      </c>
      <c r="F30" s="5"/>
      <c r="G30" s="5"/>
      <c r="H30" s="5"/>
      <c r="I30" s="5"/>
      <c r="J30" s="5"/>
      <c r="K30" s="5"/>
      <c r="L30" s="5"/>
      <c r="M30" s="5"/>
      <c r="N30" s="27"/>
      <c r="O30" s="5">
        <f t="shared" si="1"/>
        <v>0</v>
      </c>
    </row>
    <row r="31" spans="1:15" ht="15.75">
      <c r="A31" s="16" t="s">
        <v>297</v>
      </c>
      <c r="B31" s="7"/>
      <c r="C31" s="7"/>
      <c r="F31" s="5">
        <f>SUM(F21:F29)</f>
        <v>-141623838</v>
      </c>
      <c r="G31" s="5"/>
      <c r="H31" s="5">
        <f aca="true" t="shared" si="7" ref="H31:M31">SUM(H21:H30)</f>
        <v>-91902977.52325656</v>
      </c>
      <c r="I31" s="5">
        <f t="shared" si="7"/>
        <v>-43575580.01815725</v>
      </c>
      <c r="J31" s="5">
        <f t="shared" si="7"/>
        <v>-4105526.257157154</v>
      </c>
      <c r="K31" s="5">
        <f t="shared" si="7"/>
        <v>-1814204.1609878184</v>
      </c>
      <c r="L31" s="5">
        <f t="shared" si="7"/>
        <v>-171913.1336001105</v>
      </c>
      <c r="M31" s="5">
        <f t="shared" si="7"/>
        <v>-53636.90684110455</v>
      </c>
      <c r="O31" s="5">
        <f t="shared" si="1"/>
        <v>0</v>
      </c>
    </row>
    <row r="32" spans="6:15" ht="15">
      <c r="F32" s="5"/>
      <c r="G32" s="5"/>
      <c r="H32" s="5"/>
      <c r="I32" s="5"/>
      <c r="J32" s="5"/>
      <c r="K32" s="5"/>
      <c r="L32" s="5"/>
      <c r="M32" s="5"/>
      <c r="O32" s="5">
        <f t="shared" si="1"/>
        <v>0</v>
      </c>
    </row>
    <row r="33" spans="1:256" ht="15.75">
      <c r="A33" s="16" t="s">
        <v>298</v>
      </c>
      <c r="B33" s="16"/>
      <c r="C33" s="16"/>
      <c r="D33" s="4"/>
      <c r="E33" s="4"/>
      <c r="F33" s="6">
        <f>F18+F31</f>
        <v>134318109</v>
      </c>
      <c r="G33" s="6"/>
      <c r="H33" s="6">
        <f aca="true" t="shared" si="8" ref="H33:M33">H18+H31</f>
        <v>93893932.86734723</v>
      </c>
      <c r="I33" s="6">
        <f t="shared" si="8"/>
        <v>32920181.004594915</v>
      </c>
      <c r="J33" s="6">
        <f t="shared" si="8"/>
        <v>1899946.9260618188</v>
      </c>
      <c r="K33" s="6">
        <f t="shared" si="8"/>
        <v>264574.7741736595</v>
      </c>
      <c r="L33" s="6">
        <f t="shared" si="8"/>
        <v>5191273.185276077</v>
      </c>
      <c r="M33" s="6">
        <f t="shared" si="8"/>
        <v>148200.2425463234</v>
      </c>
      <c r="N33" s="4"/>
      <c r="O33" s="5">
        <f t="shared" si="1"/>
        <v>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ht="15">
      <c r="O34" s="5">
        <f t="shared" si="1"/>
        <v>0</v>
      </c>
    </row>
    <row r="35" ht="15">
      <c r="O35" s="5">
        <f t="shared" si="1"/>
        <v>0</v>
      </c>
    </row>
    <row r="36" ht="15">
      <c r="O36" s="5">
        <f t="shared" si="1"/>
        <v>0</v>
      </c>
    </row>
    <row r="37" ht="15">
      <c r="O37" s="5">
        <f t="shared" si="1"/>
        <v>0</v>
      </c>
    </row>
    <row r="38" ht="15">
      <c r="O38" s="5">
        <f t="shared" si="1"/>
        <v>0</v>
      </c>
    </row>
    <row r="39" ht="15">
      <c r="O39" s="5">
        <f t="shared" si="1"/>
        <v>0</v>
      </c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7"/>
  <sheetViews>
    <sheetView zoomScale="87" zoomScaleNormal="87" zoomScalePageLayoutView="0" workbookViewId="0" topLeftCell="A1">
      <selection activeCell="E81" sqref="E81"/>
    </sheetView>
  </sheetViews>
  <sheetFormatPr defaultColWidth="8.88671875" defaultRowHeight="15"/>
  <cols>
    <col min="1" max="1" width="9.6640625" style="1" customWidth="1"/>
    <col min="2" max="2" width="30.6640625" style="1" customWidth="1"/>
    <col min="3" max="3" width="3.6640625" style="1" customWidth="1"/>
    <col min="4" max="4" width="9.6640625" style="1" customWidth="1"/>
    <col min="5" max="5" width="13.6640625" style="1" customWidth="1"/>
    <col min="6" max="6" width="13.6640625" style="5" customWidth="1"/>
    <col min="7" max="7" width="14.6640625" style="1" customWidth="1"/>
    <col min="8" max="8" width="12.6640625" style="1" customWidth="1"/>
    <col min="9" max="9" width="11.6640625" style="1" customWidth="1"/>
    <col min="10" max="10" width="9.6640625" style="1" customWidth="1"/>
    <col min="11" max="11" width="11.6640625" style="1" customWidth="1"/>
    <col min="12" max="12" width="14.6640625" style="1" customWidth="1"/>
    <col min="13" max="13" width="10.6640625" style="1" customWidth="1"/>
    <col min="14" max="16384" width="9.6640625" style="1" customWidth="1"/>
  </cols>
  <sheetData>
    <row r="1" spans="8:13" ht="15"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</row>
    <row r="7" spans="1:15" ht="47.25">
      <c r="A7" s="2" t="s">
        <v>56</v>
      </c>
      <c r="B7" s="2" t="s">
        <v>42</v>
      </c>
      <c r="C7" s="2"/>
      <c r="D7" s="2" t="s">
        <v>43</v>
      </c>
      <c r="E7" s="2" t="s">
        <v>44</v>
      </c>
      <c r="F7" s="25" t="s">
        <v>140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O7" s="1" t="s">
        <v>55</v>
      </c>
    </row>
    <row r="8" spans="1:13" ht="15">
      <c r="A8" s="3"/>
      <c r="B8" s="3"/>
      <c r="C8" s="3"/>
      <c r="D8" s="3"/>
      <c r="E8" s="3"/>
      <c r="F8" s="15"/>
      <c r="G8" s="3"/>
      <c r="H8" s="3"/>
      <c r="I8" s="3"/>
      <c r="J8" s="3"/>
      <c r="K8" s="3"/>
      <c r="L8" s="3"/>
      <c r="M8" s="3"/>
    </row>
    <row r="9" spans="1:3" ht="15.75">
      <c r="A9" s="16" t="s">
        <v>303</v>
      </c>
      <c r="B9" s="7"/>
      <c r="C9" s="7"/>
    </row>
    <row r="11" spans="1:7" ht="15.75">
      <c r="A11" s="8" t="s">
        <v>157</v>
      </c>
      <c r="B11" s="4" t="s">
        <v>191</v>
      </c>
      <c r="E11" s="5">
        <v>495110</v>
      </c>
      <c r="G11" s="5"/>
    </row>
    <row r="12" spans="2:15" ht="15">
      <c r="B12" s="1" t="s">
        <v>192</v>
      </c>
      <c r="D12" s="1">
        <v>6</v>
      </c>
      <c r="E12" s="13">
        <f>58126/E11</f>
        <v>0.11740017369877401</v>
      </c>
      <c r="F12" s="5">
        <f>E12*E11</f>
        <v>58126</v>
      </c>
      <c r="G12" s="5"/>
      <c r="H12" s="5">
        <f aca="true" t="shared" si="0" ref="H12:M13">INDEX(ALLOC,($D12)+1,(H$1)+1)*$F12</f>
        <v>34140.63359347989</v>
      </c>
      <c r="I12" s="5">
        <f t="shared" si="0"/>
        <v>15172.837164311879</v>
      </c>
      <c r="J12" s="5">
        <f t="shared" si="0"/>
        <v>959.5501381016941</v>
      </c>
      <c r="K12" s="5">
        <f t="shared" si="0"/>
        <v>422.8162451101123</v>
      </c>
      <c r="L12" s="5">
        <f t="shared" si="0"/>
        <v>7128.941566084865</v>
      </c>
      <c r="M12" s="5">
        <f t="shared" si="0"/>
        <v>301.22129291155665</v>
      </c>
      <c r="O12" s="5">
        <f aca="true" t="shared" si="1" ref="O12:O75">SUM(H12:M12)-F12</f>
        <v>0</v>
      </c>
    </row>
    <row r="13" spans="2:15" ht="15">
      <c r="B13" s="1" t="s">
        <v>193</v>
      </c>
      <c r="D13" s="1">
        <v>1</v>
      </c>
      <c r="E13" s="13">
        <f>1-E12</f>
        <v>0.882599826301226</v>
      </c>
      <c r="F13" s="5">
        <f>E13*E11</f>
        <v>436984</v>
      </c>
      <c r="G13" s="5"/>
      <c r="H13" s="5">
        <f t="shared" si="0"/>
        <v>199780.73325784193</v>
      </c>
      <c r="I13" s="5">
        <f t="shared" si="0"/>
        <v>101179.30164813282</v>
      </c>
      <c r="J13" s="5">
        <f t="shared" si="0"/>
        <v>9634.281810497178</v>
      </c>
      <c r="K13" s="5">
        <f t="shared" si="0"/>
        <v>3936.753301187054</v>
      </c>
      <c r="L13" s="5">
        <f t="shared" si="0"/>
        <v>115358.61121809833</v>
      </c>
      <c r="M13" s="5">
        <f t="shared" si="0"/>
        <v>7094.318764242712</v>
      </c>
      <c r="O13" s="5">
        <f t="shared" si="1"/>
        <v>0</v>
      </c>
    </row>
    <row r="14" spans="2:15" ht="15.75">
      <c r="B14" s="19" t="s">
        <v>74</v>
      </c>
      <c r="C14" s="3"/>
      <c r="D14" s="3"/>
      <c r="E14" s="15"/>
      <c r="F14" s="15">
        <f>SUM(F11:F13)</f>
        <v>495110</v>
      </c>
      <c r="G14" s="15"/>
      <c r="H14" s="15">
        <f aca="true" ca="1" t="shared" si="2" ref="H14:M14">SUM(H12:H13)</f>
        <v>233921.36685132183</v>
      </c>
      <c r="I14" s="15">
        <f ca="1" t="shared" si="2"/>
        <v>116352.1388124447</v>
      </c>
      <c r="J14" s="15">
        <f ca="1" t="shared" si="2"/>
        <v>10593.831948598872</v>
      </c>
      <c r="K14" s="15">
        <f ca="1" t="shared" si="2"/>
        <v>4359.569546297166</v>
      </c>
      <c r="L14" s="15">
        <f ca="1" t="shared" si="2"/>
        <v>122487.5527841832</v>
      </c>
      <c r="M14" s="15">
        <f ca="1" t="shared" si="2"/>
        <v>7395.540057154269</v>
      </c>
      <c r="O14" s="5">
        <f t="shared" si="1"/>
        <v>0</v>
      </c>
    </row>
    <row r="15" spans="5:15" ht="15">
      <c r="E15" s="5"/>
      <c r="G15" s="5"/>
      <c r="O15" s="5">
        <f t="shared" si="1"/>
        <v>0</v>
      </c>
    </row>
    <row r="16" spans="1:15" ht="15.75">
      <c r="A16" s="16" t="s">
        <v>304</v>
      </c>
      <c r="B16" s="7"/>
      <c r="D16" s="7"/>
      <c r="E16" s="5"/>
      <c r="G16" s="5"/>
      <c r="O16" s="5">
        <f t="shared" si="1"/>
        <v>0</v>
      </c>
    </row>
    <row r="17" spans="1:15" ht="15">
      <c r="A17" s="1" t="s">
        <v>305</v>
      </c>
      <c r="E17" s="5"/>
      <c r="G17" s="5"/>
      <c r="O17" s="5">
        <f t="shared" si="1"/>
        <v>0</v>
      </c>
    </row>
    <row r="18" spans="1:15" ht="15">
      <c r="A18" s="1">
        <v>814</v>
      </c>
      <c r="B18" s="1" t="s">
        <v>195</v>
      </c>
      <c r="D18" s="1">
        <v>48</v>
      </c>
      <c r="E18" s="5">
        <v>332069</v>
      </c>
      <c r="F18" s="5">
        <v>379908</v>
      </c>
      <c r="G18" s="5"/>
      <c r="H18" s="5">
        <f aca="true" t="shared" si="3" ref="H18:M18">INDEX(ALLOC,($D18)+1,(H$1)+1)*$F18</f>
        <v>253202.73418045446</v>
      </c>
      <c r="I18" s="5">
        <f t="shared" si="3"/>
        <v>117809.5957238666</v>
      </c>
      <c r="J18" s="5">
        <f t="shared" si="3"/>
        <v>8895.670095678926</v>
      </c>
      <c r="K18" s="5">
        <f t="shared" si="3"/>
        <v>0</v>
      </c>
      <c r="L18" s="5">
        <f t="shared" si="3"/>
        <v>0</v>
      </c>
      <c r="M18" s="5">
        <f t="shared" si="3"/>
        <v>0</v>
      </c>
      <c r="O18" s="5">
        <f t="shared" si="1"/>
        <v>0</v>
      </c>
    </row>
    <row r="19" spans="1:15" ht="15">
      <c r="A19" s="1">
        <v>815</v>
      </c>
      <c r="B19" s="1" t="s">
        <v>196</v>
      </c>
      <c r="D19" s="8" t="s">
        <v>139</v>
      </c>
      <c r="E19" s="5"/>
      <c r="G19" s="5"/>
      <c r="H19" s="5"/>
      <c r="I19" s="5"/>
      <c r="J19" s="5"/>
      <c r="K19" s="5"/>
      <c r="L19" s="5"/>
      <c r="M19" s="5"/>
      <c r="O19" s="5">
        <f t="shared" si="1"/>
        <v>0</v>
      </c>
    </row>
    <row r="20" spans="1:15" ht="15">
      <c r="A20" s="1">
        <v>816</v>
      </c>
      <c r="B20" s="1" t="s">
        <v>197</v>
      </c>
      <c r="D20" s="1">
        <v>7</v>
      </c>
      <c r="E20" s="5"/>
      <c r="F20" s="5">
        <v>124556</v>
      </c>
      <c r="G20" s="5"/>
      <c r="H20" s="5">
        <f aca="true" t="shared" si="4" ref="H20:M22">INDEX(ALLOC,($D20)+1,(H$1)+1)*$F20</f>
        <v>84014.45497492918</v>
      </c>
      <c r="I20" s="5">
        <f t="shared" si="4"/>
        <v>37968.56259643843</v>
      </c>
      <c r="J20" s="5">
        <f t="shared" si="4"/>
        <v>2572.9824286323915</v>
      </c>
      <c r="K20" s="5">
        <f t="shared" si="4"/>
        <v>0</v>
      </c>
      <c r="L20" s="5">
        <f t="shared" si="4"/>
        <v>0</v>
      </c>
      <c r="M20" s="5">
        <f t="shared" si="4"/>
        <v>0</v>
      </c>
      <c r="O20" s="5">
        <f t="shared" si="1"/>
        <v>0</v>
      </c>
    </row>
    <row r="21" spans="1:15" ht="15">
      <c r="A21" s="1">
        <v>817</v>
      </c>
      <c r="B21" s="1" t="s">
        <v>198</v>
      </c>
      <c r="D21" s="1">
        <v>7</v>
      </c>
      <c r="E21" s="5"/>
      <c r="F21" s="5">
        <v>266927</v>
      </c>
      <c r="G21" s="5"/>
      <c r="H21" s="5">
        <f t="shared" si="4"/>
        <v>180045.3324054475</v>
      </c>
      <c r="I21" s="5">
        <f t="shared" si="4"/>
        <v>81367.69411493241</v>
      </c>
      <c r="J21" s="5">
        <f t="shared" si="4"/>
        <v>5513.973479620077</v>
      </c>
      <c r="K21" s="5">
        <f t="shared" si="4"/>
        <v>0</v>
      </c>
      <c r="L21" s="5">
        <f t="shared" si="4"/>
        <v>0</v>
      </c>
      <c r="M21" s="5">
        <f t="shared" si="4"/>
        <v>0</v>
      </c>
      <c r="O21" s="5">
        <f t="shared" si="1"/>
        <v>0</v>
      </c>
    </row>
    <row r="22" spans="1:15" ht="15">
      <c r="A22" s="1">
        <v>818</v>
      </c>
      <c r="B22" s="1" t="s">
        <v>199</v>
      </c>
      <c r="D22" s="1">
        <v>2</v>
      </c>
      <c r="E22" s="5"/>
      <c r="F22" s="5">
        <v>376942</v>
      </c>
      <c r="G22" s="5"/>
      <c r="H22" s="5">
        <f t="shared" si="4"/>
        <v>249864.4869556162</v>
      </c>
      <c r="I22" s="5">
        <f t="shared" si="4"/>
        <v>117783.50363440774</v>
      </c>
      <c r="J22" s="5">
        <f t="shared" si="4"/>
        <v>9294.009409976075</v>
      </c>
      <c r="K22" s="5">
        <f t="shared" si="4"/>
        <v>0</v>
      </c>
      <c r="L22" s="5">
        <f t="shared" si="4"/>
        <v>0</v>
      </c>
      <c r="M22" s="5">
        <f t="shared" si="4"/>
        <v>0</v>
      </c>
      <c r="O22" s="5">
        <f t="shared" si="1"/>
        <v>0</v>
      </c>
    </row>
    <row r="23" spans="1:15" ht="15">
      <c r="A23" s="1">
        <v>819</v>
      </c>
      <c r="B23" s="1" t="s">
        <v>200</v>
      </c>
      <c r="D23" s="8" t="s">
        <v>139</v>
      </c>
      <c r="E23" s="5"/>
      <c r="G23" s="5"/>
      <c r="H23" s="5"/>
      <c r="I23" s="5"/>
      <c r="J23" s="5"/>
      <c r="K23" s="5"/>
      <c r="L23" s="5"/>
      <c r="M23" s="5"/>
      <c r="O23" s="5">
        <f t="shared" si="1"/>
        <v>0</v>
      </c>
    </row>
    <row r="24" spans="1:15" ht="15">
      <c r="A24" s="1">
        <v>820</v>
      </c>
      <c r="B24" s="1" t="s">
        <v>201</v>
      </c>
      <c r="D24" s="8" t="s">
        <v>139</v>
      </c>
      <c r="E24" s="5"/>
      <c r="G24" s="5"/>
      <c r="H24" s="5"/>
      <c r="I24" s="5"/>
      <c r="J24" s="5"/>
      <c r="K24" s="5"/>
      <c r="L24" s="5"/>
      <c r="M24" s="5"/>
      <c r="O24" s="5">
        <f t="shared" si="1"/>
        <v>0</v>
      </c>
    </row>
    <row r="25" spans="1:15" ht="15">
      <c r="A25" s="1">
        <v>821</v>
      </c>
      <c r="B25" s="1" t="s">
        <v>202</v>
      </c>
      <c r="D25" s="1">
        <v>2</v>
      </c>
      <c r="E25" s="5"/>
      <c r="F25" s="5">
        <v>493112</v>
      </c>
      <c r="G25" s="5"/>
      <c r="H25" s="5">
        <f aca="true" ca="1" t="shared" si="5" ref="H25:M25">INDEX(ALLOC,($D25)+1,(H$1)+1)*$F25</f>
        <v>326870.38560748816</v>
      </c>
      <c r="I25" s="5">
        <f ca="1" t="shared" si="5"/>
        <v>154083.27818117925</v>
      </c>
      <c r="J25" s="5">
        <f ca="1" t="shared" si="5"/>
        <v>12158.336211332573</v>
      </c>
      <c r="K25" s="5">
        <f ca="1" t="shared" si="5"/>
        <v>0</v>
      </c>
      <c r="L25" s="5">
        <f ca="1" t="shared" si="5"/>
        <v>0</v>
      </c>
      <c r="M25" s="5">
        <f ca="1" t="shared" si="5"/>
        <v>0</v>
      </c>
      <c r="O25" s="5">
        <f t="shared" si="1"/>
        <v>0</v>
      </c>
    </row>
    <row r="26" spans="1:15" ht="15">
      <c r="A26" s="1">
        <v>823</v>
      </c>
      <c r="B26" s="1" t="s">
        <v>203</v>
      </c>
      <c r="D26" s="8" t="s">
        <v>139</v>
      </c>
      <c r="E26" s="5"/>
      <c r="G26" s="5"/>
      <c r="H26" s="5"/>
      <c r="I26" s="5"/>
      <c r="J26" s="5"/>
      <c r="K26" s="5"/>
      <c r="L26" s="5"/>
      <c r="M26" s="5"/>
      <c r="O26" s="5">
        <f t="shared" si="1"/>
        <v>0</v>
      </c>
    </row>
    <row r="27" spans="1:15" ht="15">
      <c r="A27" s="1">
        <v>824</v>
      </c>
      <c r="B27" s="1" t="s">
        <v>204</v>
      </c>
      <c r="D27" s="8" t="s">
        <v>139</v>
      </c>
      <c r="E27" s="5"/>
      <c r="G27" s="5"/>
      <c r="H27" s="5"/>
      <c r="I27" s="5"/>
      <c r="J27" s="5"/>
      <c r="K27" s="5"/>
      <c r="L27" s="5"/>
      <c r="M27" s="5"/>
      <c r="O27" s="5">
        <f t="shared" si="1"/>
        <v>0</v>
      </c>
    </row>
    <row r="28" spans="1:15" ht="15">
      <c r="A28" s="1">
        <v>825</v>
      </c>
      <c r="B28" s="1" t="s">
        <v>205</v>
      </c>
      <c r="D28" s="8" t="s">
        <v>139</v>
      </c>
      <c r="E28" s="5"/>
      <c r="G28" s="5"/>
      <c r="H28" s="5"/>
      <c r="I28" s="5"/>
      <c r="J28" s="5"/>
      <c r="K28" s="5"/>
      <c r="L28" s="5"/>
      <c r="M28" s="5"/>
      <c r="O28" s="5">
        <f t="shared" si="1"/>
        <v>0</v>
      </c>
    </row>
    <row r="29" spans="1:15" ht="15">
      <c r="A29" s="1">
        <v>826</v>
      </c>
      <c r="B29" s="1" t="s">
        <v>206</v>
      </c>
      <c r="D29" s="8" t="s">
        <v>139</v>
      </c>
      <c r="E29" s="5"/>
      <c r="G29" s="5"/>
      <c r="H29" s="5"/>
      <c r="I29" s="5"/>
      <c r="J29" s="5"/>
      <c r="K29" s="5"/>
      <c r="L29" s="5"/>
      <c r="M29" s="5"/>
      <c r="O29" s="5">
        <f t="shared" si="1"/>
        <v>0</v>
      </c>
    </row>
    <row r="30" spans="1:15" ht="15.75">
      <c r="A30" s="16" t="s">
        <v>306</v>
      </c>
      <c r="B30" s="28"/>
      <c r="C30" s="3"/>
      <c r="D30" s="28"/>
      <c r="E30" s="15"/>
      <c r="F30" s="15">
        <f>SUM(F18:F29)</f>
        <v>1641445</v>
      </c>
      <c r="G30" s="15"/>
      <c r="H30" s="15">
        <f aca="true" t="shared" si="6" ref="H30:M30">SUM(H18:H29)</f>
        <v>1093997.3941239354</v>
      </c>
      <c r="I30" s="15">
        <f t="shared" si="6"/>
        <v>509012.6342508244</v>
      </c>
      <c r="J30" s="15">
        <f t="shared" si="6"/>
        <v>38434.97162524004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O30" s="5">
        <f t="shared" si="1"/>
        <v>0</v>
      </c>
    </row>
    <row r="31" spans="5:15" ht="15">
      <c r="E31" s="5"/>
      <c r="G31" s="5"/>
      <c r="O31" s="5">
        <f t="shared" si="1"/>
        <v>0</v>
      </c>
    </row>
    <row r="32" spans="5:15" ht="15">
      <c r="E32" s="5"/>
      <c r="G32" s="5"/>
      <c r="O32" s="5">
        <f t="shared" si="1"/>
        <v>0</v>
      </c>
    </row>
    <row r="33" spans="1:15" ht="15.75">
      <c r="A33" s="16" t="s">
        <v>307</v>
      </c>
      <c r="B33" s="7"/>
      <c r="D33" s="7"/>
      <c r="E33" s="5"/>
      <c r="G33" s="5"/>
      <c r="O33" s="5">
        <f t="shared" si="1"/>
        <v>0</v>
      </c>
    </row>
    <row r="34" spans="1:15" ht="15">
      <c r="A34" s="7" t="s">
        <v>308</v>
      </c>
      <c r="B34" s="7"/>
      <c r="D34" s="7"/>
      <c r="E34" s="5"/>
      <c r="G34" s="5"/>
      <c r="O34" s="5">
        <f t="shared" si="1"/>
        <v>0</v>
      </c>
    </row>
    <row r="35" spans="1:15" ht="15">
      <c r="A35" s="1">
        <v>830</v>
      </c>
      <c r="B35" s="1" t="s">
        <v>208</v>
      </c>
      <c r="D35" s="1">
        <v>49</v>
      </c>
      <c r="E35" s="5">
        <v>232292</v>
      </c>
      <c r="F35" s="5">
        <v>279461</v>
      </c>
      <c r="G35" s="5"/>
      <c r="H35" s="5">
        <f aca="true" t="shared" si="7" ref="H35:M35">INDEX(ALLOC,($D35)+1,(H$1)+1)*$F35</f>
        <v>186134.79346724582</v>
      </c>
      <c r="I35" s="5">
        <f t="shared" si="7"/>
        <v>86740.75882376399</v>
      </c>
      <c r="J35" s="5">
        <f t="shared" si="7"/>
        <v>6585.447708990191</v>
      </c>
      <c r="K35" s="5">
        <f t="shared" si="7"/>
        <v>0</v>
      </c>
      <c r="L35" s="5">
        <f t="shared" si="7"/>
        <v>0</v>
      </c>
      <c r="M35" s="5">
        <f t="shared" si="7"/>
        <v>0</v>
      </c>
      <c r="O35" s="5">
        <f t="shared" si="1"/>
        <v>0</v>
      </c>
    </row>
    <row r="36" spans="1:15" ht="15">
      <c r="A36" s="1">
        <v>831</v>
      </c>
      <c r="B36" s="1" t="s">
        <v>209</v>
      </c>
      <c r="D36" s="8" t="s">
        <v>139</v>
      </c>
      <c r="E36" s="5"/>
      <c r="G36" s="5"/>
      <c r="H36" s="5"/>
      <c r="I36" s="5"/>
      <c r="J36" s="5"/>
      <c r="K36" s="5"/>
      <c r="L36" s="5"/>
      <c r="M36" s="5"/>
      <c r="O36" s="5">
        <f t="shared" si="1"/>
        <v>0</v>
      </c>
    </row>
    <row r="37" spans="1:15" ht="15">
      <c r="A37" s="1">
        <v>832</v>
      </c>
      <c r="B37" s="1" t="s">
        <v>210</v>
      </c>
      <c r="D37" s="1">
        <v>7</v>
      </c>
      <c r="E37" s="5"/>
      <c r="F37" s="5">
        <v>136874</v>
      </c>
      <c r="G37" s="5"/>
      <c r="H37" s="5">
        <f aca="true" t="shared" si="8" ref="H37:M41">INDEX(ALLOC,($D37)+1,(H$1)+1)*$F37</f>
        <v>92323.08768938032</v>
      </c>
      <c r="I37" s="5">
        <f t="shared" si="8"/>
        <v>41723.47407451198</v>
      </c>
      <c r="J37" s="5">
        <f t="shared" si="8"/>
        <v>2827.438236107694</v>
      </c>
      <c r="K37" s="5">
        <f t="shared" si="8"/>
        <v>0</v>
      </c>
      <c r="L37" s="5">
        <f t="shared" si="8"/>
        <v>0</v>
      </c>
      <c r="M37" s="5">
        <f t="shared" si="8"/>
        <v>0</v>
      </c>
      <c r="O37" s="5">
        <f t="shared" si="1"/>
        <v>0</v>
      </c>
    </row>
    <row r="38" spans="1:15" ht="15">
      <c r="A38" s="1">
        <v>833</v>
      </c>
      <c r="B38" s="1" t="s">
        <v>211</v>
      </c>
      <c r="D38" s="1">
        <v>7</v>
      </c>
      <c r="E38" s="5"/>
      <c r="F38" s="5">
        <v>73990</v>
      </c>
      <c r="G38" s="5"/>
      <c r="H38" s="5">
        <f t="shared" si="8"/>
        <v>49907.10623008935</v>
      </c>
      <c r="I38" s="5">
        <f t="shared" si="8"/>
        <v>22554.465031877065</v>
      </c>
      <c r="J38" s="5">
        <f t="shared" si="8"/>
        <v>1528.4287380335804</v>
      </c>
      <c r="K38" s="5">
        <f t="shared" si="8"/>
        <v>0</v>
      </c>
      <c r="L38" s="5">
        <f t="shared" si="8"/>
        <v>0</v>
      </c>
      <c r="M38" s="5">
        <f t="shared" si="8"/>
        <v>0</v>
      </c>
      <c r="O38" s="5">
        <f t="shared" si="1"/>
        <v>0</v>
      </c>
    </row>
    <row r="39" spans="1:15" ht="15">
      <c r="A39" s="1">
        <v>834</v>
      </c>
      <c r="B39" s="1" t="s">
        <v>212</v>
      </c>
      <c r="D39" s="1">
        <v>2</v>
      </c>
      <c r="E39" s="5"/>
      <c r="F39" s="5">
        <v>350853</v>
      </c>
      <c r="G39" s="5"/>
      <c r="H39" s="5">
        <f t="shared" si="8"/>
        <v>232570.80622970857</v>
      </c>
      <c r="I39" s="5">
        <f t="shared" si="8"/>
        <v>109631.44356596733</v>
      </c>
      <c r="J39" s="5">
        <f t="shared" si="8"/>
        <v>8650.750204324102</v>
      </c>
      <c r="K39" s="5">
        <f t="shared" si="8"/>
        <v>0</v>
      </c>
      <c r="L39" s="5">
        <f t="shared" si="8"/>
        <v>0</v>
      </c>
      <c r="M39" s="5">
        <f t="shared" si="8"/>
        <v>0</v>
      </c>
      <c r="O39" s="5">
        <f t="shared" si="1"/>
        <v>0</v>
      </c>
    </row>
    <row r="40" spans="1:15" ht="15">
      <c r="A40" s="1">
        <v>835</v>
      </c>
      <c r="B40" s="1" t="s">
        <v>213</v>
      </c>
      <c r="D40" s="1">
        <v>7</v>
      </c>
      <c r="E40" s="5"/>
      <c r="F40" s="5">
        <v>18337</v>
      </c>
      <c r="G40" s="5"/>
      <c r="H40" s="5">
        <f t="shared" si="8"/>
        <v>12368.517461023766</v>
      </c>
      <c r="I40" s="5">
        <f t="shared" si="8"/>
        <v>5589.690840512633</v>
      </c>
      <c r="J40" s="5">
        <f t="shared" si="8"/>
        <v>378.79169846359997</v>
      </c>
      <c r="K40" s="5">
        <f t="shared" si="8"/>
        <v>0</v>
      </c>
      <c r="L40" s="5">
        <f t="shared" si="8"/>
        <v>0</v>
      </c>
      <c r="M40" s="5">
        <f t="shared" si="8"/>
        <v>0</v>
      </c>
      <c r="O40" s="5">
        <f t="shared" si="1"/>
        <v>0</v>
      </c>
    </row>
    <row r="41" spans="1:15" ht="15">
      <c r="A41" s="1">
        <v>836</v>
      </c>
      <c r="B41" s="1" t="s">
        <v>214</v>
      </c>
      <c r="D41" s="1">
        <v>2</v>
      </c>
      <c r="E41" s="5"/>
      <c r="F41" s="5">
        <v>316939</v>
      </c>
      <c r="G41" s="5"/>
      <c r="H41" s="5">
        <f t="shared" si="8"/>
        <v>210090.14816928343</v>
      </c>
      <c r="I41" s="5">
        <f t="shared" si="8"/>
        <v>99034.29667796519</v>
      </c>
      <c r="J41" s="5">
        <f t="shared" si="8"/>
        <v>7814.555152751371</v>
      </c>
      <c r="K41" s="5">
        <f t="shared" si="8"/>
        <v>0</v>
      </c>
      <c r="L41" s="5">
        <f t="shared" si="8"/>
        <v>0</v>
      </c>
      <c r="M41" s="5">
        <f t="shared" si="8"/>
        <v>0</v>
      </c>
      <c r="O41" s="5">
        <f t="shared" si="1"/>
        <v>0</v>
      </c>
    </row>
    <row r="42" spans="1:15" ht="15">
      <c r="A42" s="1">
        <v>837</v>
      </c>
      <c r="B42" s="1" t="s">
        <v>215</v>
      </c>
      <c r="D42" s="1">
        <v>7</v>
      </c>
      <c r="E42" s="5"/>
      <c r="F42" s="5">
        <v>21491</v>
      </c>
      <c r="G42" s="5"/>
      <c r="H42" s="5">
        <f aca="true" ca="1" t="shared" si="9" ref="H42:M42">INDEX(ALLOC,($D42)+1,(H$1)+1)*$F42</f>
        <v>14495.926746734021</v>
      </c>
      <c r="I42" s="5">
        <f ca="1" t="shared" si="9"/>
        <v>6551.128639006217</v>
      </c>
      <c r="J42" s="5">
        <f ca="1" t="shared" si="9"/>
        <v>443.94461425976044</v>
      </c>
      <c r="K42" s="5">
        <f ca="1" t="shared" si="9"/>
        <v>0</v>
      </c>
      <c r="L42" s="5">
        <f ca="1" t="shared" si="9"/>
        <v>0</v>
      </c>
      <c r="M42" s="5">
        <f ca="1" t="shared" si="9"/>
        <v>0</v>
      </c>
      <c r="O42" s="5">
        <f t="shared" si="1"/>
        <v>0</v>
      </c>
    </row>
    <row r="43" spans="1:15" ht="15.75">
      <c r="A43" s="16" t="s">
        <v>309</v>
      </c>
      <c r="B43" s="7"/>
      <c r="D43" s="7"/>
      <c r="E43" s="5"/>
      <c r="F43" s="5">
        <f>SUM(F35:F42)</f>
        <v>1197945</v>
      </c>
      <c r="G43" s="5"/>
      <c r="H43" s="5">
        <f aca="true" t="shared" si="10" ref="H43:M43">SUM(H35:H42)</f>
        <v>797890.3859934653</v>
      </c>
      <c r="I43" s="5">
        <f t="shared" si="10"/>
        <v>371825.25765360444</v>
      </c>
      <c r="J43" s="5">
        <f t="shared" si="10"/>
        <v>28229.3563529303</v>
      </c>
      <c r="K43" s="5">
        <f t="shared" si="10"/>
        <v>0</v>
      </c>
      <c r="L43" s="5">
        <f t="shared" si="10"/>
        <v>0</v>
      </c>
      <c r="M43" s="5">
        <f t="shared" si="10"/>
        <v>0</v>
      </c>
      <c r="O43" s="5">
        <f t="shared" si="1"/>
        <v>0</v>
      </c>
    </row>
    <row r="44" spans="1:15" ht="15.75">
      <c r="A44" s="29" t="s">
        <v>310</v>
      </c>
      <c r="B44" s="28"/>
      <c r="C44" s="3"/>
      <c r="D44" s="28"/>
      <c r="E44" s="15"/>
      <c r="F44" s="15">
        <f>F43+F30</f>
        <v>2839390</v>
      </c>
      <c r="G44" s="15"/>
      <c r="H44" s="15">
        <f aca="true" t="shared" si="11" ref="H44:M44">H43+H30</f>
        <v>1891887.7801174007</v>
      </c>
      <c r="I44" s="15">
        <f t="shared" si="11"/>
        <v>880837.8919044288</v>
      </c>
      <c r="J44" s="15">
        <f t="shared" si="11"/>
        <v>66664.32797817033</v>
      </c>
      <c r="K44" s="15">
        <f t="shared" si="11"/>
        <v>0</v>
      </c>
      <c r="L44" s="15">
        <f t="shared" si="11"/>
        <v>0</v>
      </c>
      <c r="M44" s="15">
        <f t="shared" si="11"/>
        <v>0</v>
      </c>
      <c r="O44" s="5">
        <f t="shared" si="1"/>
        <v>0</v>
      </c>
    </row>
    <row r="45" spans="5:15" ht="15">
      <c r="E45" s="5"/>
      <c r="G45" s="5"/>
      <c r="O45" s="5">
        <f t="shared" si="1"/>
        <v>0</v>
      </c>
    </row>
    <row r="46" spans="5:15" ht="15">
      <c r="E46" s="5"/>
      <c r="G46" s="5"/>
      <c r="O46" s="5">
        <f t="shared" si="1"/>
        <v>0</v>
      </c>
    </row>
    <row r="47" spans="1:15" ht="15.75">
      <c r="A47" s="16" t="s">
        <v>76</v>
      </c>
      <c r="B47" s="7"/>
      <c r="D47" s="7"/>
      <c r="E47" s="5"/>
      <c r="G47" s="5"/>
      <c r="O47" s="5">
        <f t="shared" si="1"/>
        <v>0</v>
      </c>
    </row>
    <row r="48" spans="1:15" ht="15">
      <c r="A48" s="8" t="s">
        <v>158</v>
      </c>
      <c r="B48" s="1" t="s">
        <v>321</v>
      </c>
      <c r="D48" s="1">
        <v>8</v>
      </c>
      <c r="E48" s="5"/>
      <c r="F48" s="5">
        <v>616794</v>
      </c>
      <c r="G48" s="5"/>
      <c r="H48" s="5">
        <f aca="true" t="shared" si="12" ref="H48:M48">INDEX(ALLOC,($D48)+1,(H$1)+1)*$F48</f>
        <v>416034.64900772716</v>
      </c>
      <c r="I48" s="5">
        <f t="shared" si="12"/>
        <v>188018.09305137966</v>
      </c>
      <c r="J48" s="5">
        <f t="shared" si="12"/>
        <v>12741.25794089315</v>
      </c>
      <c r="K48" s="5">
        <f t="shared" si="12"/>
        <v>0</v>
      </c>
      <c r="L48" s="5">
        <f t="shared" si="12"/>
        <v>0</v>
      </c>
      <c r="M48" s="5">
        <f t="shared" si="12"/>
        <v>0</v>
      </c>
      <c r="O48" s="5">
        <f t="shared" si="1"/>
        <v>0</v>
      </c>
    </row>
    <row r="49" spans="5:15" ht="15">
      <c r="E49" s="5"/>
      <c r="G49" s="5"/>
      <c r="H49" s="5"/>
      <c r="I49" s="5"/>
      <c r="J49" s="5"/>
      <c r="K49" s="5"/>
      <c r="L49" s="5"/>
      <c r="M49" s="5"/>
      <c r="O49" s="5">
        <f t="shared" si="1"/>
        <v>0</v>
      </c>
    </row>
    <row r="50" spans="1:15" ht="15.75">
      <c r="A50" s="16" t="s">
        <v>311</v>
      </c>
      <c r="B50" s="7"/>
      <c r="D50" s="7"/>
      <c r="E50" s="5"/>
      <c r="G50" s="5"/>
      <c r="O50" s="5">
        <f t="shared" si="1"/>
        <v>0</v>
      </c>
    </row>
    <row r="51" spans="1:15" ht="15">
      <c r="A51" s="1" t="s">
        <v>305</v>
      </c>
      <c r="E51" s="5"/>
      <c r="G51" s="5"/>
      <c r="O51" s="5">
        <f t="shared" si="1"/>
        <v>0</v>
      </c>
    </row>
    <row r="52" spans="1:15" ht="15">
      <c r="A52" s="1">
        <v>870</v>
      </c>
      <c r="B52" s="1" t="s">
        <v>218</v>
      </c>
      <c r="D52" s="8" t="s">
        <v>139</v>
      </c>
      <c r="E52" s="5"/>
      <c r="G52" s="5"/>
      <c r="H52" s="5"/>
      <c r="I52" s="5"/>
      <c r="J52" s="5"/>
      <c r="K52" s="5"/>
      <c r="L52" s="5"/>
      <c r="M52" s="5"/>
      <c r="O52" s="5">
        <f t="shared" si="1"/>
        <v>0</v>
      </c>
    </row>
    <row r="53" spans="1:15" ht="15">
      <c r="A53" s="1">
        <v>871</v>
      </c>
      <c r="B53" s="1" t="s">
        <v>219</v>
      </c>
      <c r="D53" s="1">
        <v>4</v>
      </c>
      <c r="E53" s="5"/>
      <c r="F53" s="5">
        <v>339244</v>
      </c>
      <c r="G53" s="5"/>
      <c r="H53" s="5">
        <f aca="true" t="shared" si="13" ref="H53:M53">INDEX(ALLOC,($D53)+1,(H$1)+1)*$F53</f>
        <v>155095.8732432385</v>
      </c>
      <c r="I53" s="5">
        <f t="shared" si="13"/>
        <v>78548.57616827886</v>
      </c>
      <c r="J53" s="5">
        <f t="shared" si="13"/>
        <v>7479.386656079638</v>
      </c>
      <c r="K53" s="5">
        <f t="shared" si="13"/>
        <v>3056.2215937148753</v>
      </c>
      <c r="L53" s="5">
        <f t="shared" si="13"/>
        <v>89556.40642236912</v>
      </c>
      <c r="M53" s="5">
        <f t="shared" si="13"/>
        <v>5507.535916319029</v>
      </c>
      <c r="O53" s="5">
        <f t="shared" si="1"/>
        <v>0</v>
      </c>
    </row>
    <row r="54" spans="1:15" ht="15">
      <c r="A54" s="1">
        <v>872</v>
      </c>
      <c r="B54" s="1" t="s">
        <v>220</v>
      </c>
      <c r="D54" s="8" t="s">
        <v>139</v>
      </c>
      <c r="E54" s="5"/>
      <c r="G54" s="5"/>
      <c r="H54" s="5"/>
      <c r="I54" s="5"/>
      <c r="J54" s="5"/>
      <c r="K54" s="5"/>
      <c r="L54" s="5"/>
      <c r="M54" s="5"/>
      <c r="O54" s="5">
        <f t="shared" si="1"/>
        <v>0</v>
      </c>
    </row>
    <row r="55" spans="1:15" ht="15">
      <c r="A55" s="1">
        <v>873</v>
      </c>
      <c r="B55" s="1" t="s">
        <v>221</v>
      </c>
      <c r="D55" s="8" t="s">
        <v>139</v>
      </c>
      <c r="E55" s="5"/>
      <c r="G55" s="5"/>
      <c r="H55" s="5"/>
      <c r="I55" s="5"/>
      <c r="J55" s="5"/>
      <c r="K55" s="5"/>
      <c r="L55" s="5"/>
      <c r="M55" s="5"/>
      <c r="O55" s="5">
        <f t="shared" si="1"/>
        <v>0</v>
      </c>
    </row>
    <row r="56" spans="1:15" ht="15">
      <c r="A56" s="1">
        <v>874.01</v>
      </c>
      <c r="B56" s="1" t="s">
        <v>222</v>
      </c>
      <c r="D56" s="1">
        <v>36</v>
      </c>
      <c r="E56" s="5"/>
      <c r="F56" s="5">
        <v>527072</v>
      </c>
      <c r="G56" s="5"/>
      <c r="H56" s="5">
        <f aca="true" t="shared" si="14" ref="H56:M56">INDEX(ALLOC,($D56)+1,(H$1)+1)*$F56</f>
        <v>371633.9854399468</v>
      </c>
      <c r="I56" s="5">
        <f t="shared" si="14"/>
        <v>128421.50332636676</v>
      </c>
      <c r="J56" s="5">
        <f t="shared" si="14"/>
        <v>7911.632302459187</v>
      </c>
      <c r="K56" s="5">
        <f t="shared" si="14"/>
        <v>2143.684707469588</v>
      </c>
      <c r="L56" s="5">
        <f t="shared" si="14"/>
        <v>16643.616527211558</v>
      </c>
      <c r="M56" s="5">
        <f t="shared" si="14"/>
        <v>317.5776965461277</v>
      </c>
      <c r="O56" s="5">
        <f t="shared" si="1"/>
        <v>0</v>
      </c>
    </row>
    <row r="57" spans="1:15" ht="15">
      <c r="A57" s="1">
        <v>874.02</v>
      </c>
      <c r="B57" s="1" t="s">
        <v>223</v>
      </c>
      <c r="D57" s="8" t="s">
        <v>139</v>
      </c>
      <c r="E57" s="5"/>
      <c r="G57" s="5"/>
      <c r="H57" s="5"/>
      <c r="I57" s="5"/>
      <c r="J57" s="5"/>
      <c r="K57" s="5"/>
      <c r="L57" s="5"/>
      <c r="M57" s="5"/>
      <c r="O57" s="5">
        <f t="shared" si="1"/>
        <v>0</v>
      </c>
    </row>
    <row r="58" spans="1:15" ht="15">
      <c r="A58" s="1">
        <v>874.03</v>
      </c>
      <c r="B58" s="1" t="s">
        <v>224</v>
      </c>
      <c r="D58" s="8" t="s">
        <v>139</v>
      </c>
      <c r="E58" s="5"/>
      <c r="G58" s="5"/>
      <c r="H58" s="5"/>
      <c r="I58" s="5"/>
      <c r="J58" s="5"/>
      <c r="K58" s="5"/>
      <c r="L58" s="5"/>
      <c r="M58" s="5"/>
      <c r="O58" s="5">
        <f t="shared" si="1"/>
        <v>0</v>
      </c>
    </row>
    <row r="59" spans="1:15" ht="15">
      <c r="A59" s="1">
        <v>874.04</v>
      </c>
      <c r="B59" s="1" t="s">
        <v>225</v>
      </c>
      <c r="D59" s="8" t="s">
        <v>139</v>
      </c>
      <c r="E59" s="5"/>
      <c r="G59" s="5"/>
      <c r="H59" s="5"/>
      <c r="I59" s="5"/>
      <c r="J59" s="5"/>
      <c r="K59" s="5"/>
      <c r="L59" s="5"/>
      <c r="M59" s="5"/>
      <c r="O59" s="5">
        <f t="shared" si="1"/>
        <v>0</v>
      </c>
    </row>
    <row r="60" spans="1:15" ht="15">
      <c r="A60" s="1">
        <v>874.05</v>
      </c>
      <c r="B60" s="1" t="s">
        <v>226</v>
      </c>
      <c r="D60" s="8" t="s">
        <v>139</v>
      </c>
      <c r="E60" s="5"/>
      <c r="G60" s="5"/>
      <c r="H60" s="5"/>
      <c r="I60" s="5"/>
      <c r="J60" s="5"/>
      <c r="K60" s="5"/>
      <c r="L60" s="5"/>
      <c r="M60" s="5"/>
      <c r="O60" s="5">
        <f t="shared" si="1"/>
        <v>0</v>
      </c>
    </row>
    <row r="61" spans="1:15" ht="15">
      <c r="A61" s="1">
        <v>874.06</v>
      </c>
      <c r="B61" s="1" t="s">
        <v>227</v>
      </c>
      <c r="D61" s="8" t="s">
        <v>139</v>
      </c>
      <c r="E61" s="5"/>
      <c r="G61" s="5"/>
      <c r="H61" s="5"/>
      <c r="I61" s="5"/>
      <c r="J61" s="5"/>
      <c r="K61" s="5"/>
      <c r="L61" s="5"/>
      <c r="M61" s="5"/>
      <c r="O61" s="5">
        <f t="shared" si="1"/>
        <v>0</v>
      </c>
    </row>
    <row r="62" spans="1:15" ht="15">
      <c r="A62" s="1">
        <v>874.07</v>
      </c>
      <c r="B62" s="1" t="s">
        <v>228</v>
      </c>
      <c r="D62" s="8" t="s">
        <v>139</v>
      </c>
      <c r="E62" s="5"/>
      <c r="G62" s="5"/>
      <c r="H62" s="5"/>
      <c r="I62" s="5"/>
      <c r="J62" s="5"/>
      <c r="K62" s="5"/>
      <c r="L62" s="5"/>
      <c r="M62" s="5"/>
      <c r="O62" s="5">
        <f t="shared" si="1"/>
        <v>0</v>
      </c>
    </row>
    <row r="63" spans="1:15" ht="15">
      <c r="A63" s="1">
        <v>874.08</v>
      </c>
      <c r="B63" s="1" t="s">
        <v>229</v>
      </c>
      <c r="D63" s="8" t="s">
        <v>139</v>
      </c>
      <c r="E63" s="5"/>
      <c r="G63" s="5"/>
      <c r="H63" s="5"/>
      <c r="I63" s="5"/>
      <c r="J63" s="5"/>
      <c r="K63" s="5"/>
      <c r="L63" s="5"/>
      <c r="M63" s="5"/>
      <c r="O63" s="5">
        <f t="shared" si="1"/>
        <v>0</v>
      </c>
    </row>
    <row r="64" spans="1:15" ht="15">
      <c r="A64" s="1">
        <v>874.09</v>
      </c>
      <c r="B64" s="1" t="s">
        <v>230</v>
      </c>
      <c r="D64" s="8" t="s">
        <v>139</v>
      </c>
      <c r="E64" s="5"/>
      <c r="G64" s="5"/>
      <c r="H64" s="5"/>
      <c r="I64" s="5"/>
      <c r="J64" s="5"/>
      <c r="K64" s="5"/>
      <c r="L64" s="5"/>
      <c r="M64" s="5"/>
      <c r="O64" s="5">
        <f t="shared" si="1"/>
        <v>0</v>
      </c>
    </row>
    <row r="65" spans="1:15" ht="15">
      <c r="A65" s="1">
        <v>874.1</v>
      </c>
      <c r="B65" s="1" t="s">
        <v>231</v>
      </c>
      <c r="D65" s="8" t="s">
        <v>139</v>
      </c>
      <c r="E65" s="5"/>
      <c r="G65" s="5"/>
      <c r="H65" s="5"/>
      <c r="I65" s="5"/>
      <c r="J65" s="5"/>
      <c r="K65" s="5"/>
      <c r="L65" s="5"/>
      <c r="M65" s="5"/>
      <c r="O65" s="5">
        <f t="shared" si="1"/>
        <v>0</v>
      </c>
    </row>
    <row r="66" spans="1:15" ht="15">
      <c r="A66" s="1">
        <v>875</v>
      </c>
      <c r="B66" s="1" t="s">
        <v>232</v>
      </c>
      <c r="D66" s="1">
        <v>9</v>
      </c>
      <c r="E66" s="5"/>
      <c r="F66" s="5">
        <v>401227</v>
      </c>
      <c r="G66" s="5"/>
      <c r="H66" s="5">
        <f aca="true" t="shared" si="15" ref="H66:M71">INDEX(ALLOC,($D66)+1,(H$1)+1)*$F66</f>
        <v>235662.93904296108</v>
      </c>
      <c r="I66" s="5">
        <f t="shared" si="15"/>
        <v>104733.71532404367</v>
      </c>
      <c r="J66" s="5">
        <f t="shared" si="15"/>
        <v>6623.497630322548</v>
      </c>
      <c r="K66" s="5">
        <f t="shared" si="15"/>
        <v>2918.578494594416</v>
      </c>
      <c r="L66" s="5">
        <f t="shared" si="15"/>
        <v>49209.025870273756</v>
      </c>
      <c r="M66" s="5">
        <f t="shared" si="15"/>
        <v>2079.243637804513</v>
      </c>
      <c r="O66" s="5">
        <f t="shared" si="1"/>
        <v>0</v>
      </c>
    </row>
    <row r="67" spans="1:15" ht="15">
      <c r="A67" s="1">
        <v>876</v>
      </c>
      <c r="B67" s="1" t="s">
        <v>233</v>
      </c>
      <c r="D67" s="1">
        <v>15</v>
      </c>
      <c r="E67" s="5"/>
      <c r="F67" s="5">
        <v>188171</v>
      </c>
      <c r="G67" s="5"/>
      <c r="H67" s="5">
        <f t="shared" si="15"/>
        <v>155393.03887218665</v>
      </c>
      <c r="I67" s="5">
        <f t="shared" si="15"/>
        <v>31190.01375403095</v>
      </c>
      <c r="J67" s="5">
        <f t="shared" si="15"/>
        <v>1246.9834619968747</v>
      </c>
      <c r="K67" s="5">
        <f t="shared" si="15"/>
        <v>174.82588200379442</v>
      </c>
      <c r="L67" s="5">
        <f t="shared" si="15"/>
        <v>166.1380297817263</v>
      </c>
      <c r="M67" s="5">
        <f t="shared" si="15"/>
        <v>0</v>
      </c>
      <c r="O67" s="5">
        <f t="shared" si="1"/>
        <v>0</v>
      </c>
    </row>
    <row r="68" spans="1:15" ht="15">
      <c r="A68" s="1">
        <v>877</v>
      </c>
      <c r="B68" s="1" t="s">
        <v>234</v>
      </c>
      <c r="D68" s="1">
        <v>9</v>
      </c>
      <c r="E68" s="5"/>
      <c r="F68" s="5">
        <v>32505</v>
      </c>
      <c r="G68" s="5"/>
      <c r="H68" s="5">
        <f t="shared" si="15"/>
        <v>19091.99488965461</v>
      </c>
      <c r="I68" s="5">
        <f t="shared" si="15"/>
        <v>8484.896122663828</v>
      </c>
      <c r="J68" s="5">
        <f t="shared" si="15"/>
        <v>536.5959680520863</v>
      </c>
      <c r="K68" s="5">
        <f t="shared" si="15"/>
        <v>236.44568776974504</v>
      </c>
      <c r="L68" s="5">
        <f t="shared" si="15"/>
        <v>3986.6195094379204</v>
      </c>
      <c r="M68" s="5">
        <f t="shared" si="15"/>
        <v>168.44782242181037</v>
      </c>
      <c r="O68" s="5">
        <f t="shared" si="1"/>
        <v>0</v>
      </c>
    </row>
    <row r="69" spans="1:15" ht="15">
      <c r="A69" s="1">
        <v>878</v>
      </c>
      <c r="B69" s="1" t="s">
        <v>235</v>
      </c>
      <c r="D69" s="1">
        <v>15</v>
      </c>
      <c r="E69" s="5"/>
      <c r="F69" s="5">
        <v>490795</v>
      </c>
      <c r="G69" s="5"/>
      <c r="H69" s="5">
        <f t="shared" si="15"/>
        <v>405302.2331457815</v>
      </c>
      <c r="I69" s="5">
        <f t="shared" si="15"/>
        <v>81351.02008497388</v>
      </c>
      <c r="J69" s="5">
        <f t="shared" si="15"/>
        <v>3252.43128978831</v>
      </c>
      <c r="K69" s="5">
        <f t="shared" si="15"/>
        <v>455.9877385891146</v>
      </c>
      <c r="L69" s="5">
        <f t="shared" si="15"/>
        <v>433.32774086720246</v>
      </c>
      <c r="M69" s="5">
        <f t="shared" si="15"/>
        <v>0</v>
      </c>
      <c r="O69" s="5">
        <f t="shared" si="1"/>
        <v>0</v>
      </c>
    </row>
    <row r="70" spans="1:15" ht="15">
      <c r="A70" s="1">
        <v>879</v>
      </c>
      <c r="B70" s="1" t="s">
        <v>236</v>
      </c>
      <c r="D70" s="1">
        <v>15</v>
      </c>
      <c r="E70" s="5"/>
      <c r="F70" s="5">
        <v>234588</v>
      </c>
      <c r="G70" s="5"/>
      <c r="H70" s="5">
        <f t="shared" si="15"/>
        <v>193724.54949460077</v>
      </c>
      <c r="I70" s="5">
        <f t="shared" si="15"/>
        <v>38883.796900322646</v>
      </c>
      <c r="J70" s="5">
        <f t="shared" si="15"/>
        <v>1554.5825678926235</v>
      </c>
      <c r="K70" s="5">
        <f t="shared" si="15"/>
        <v>217.9509807967547</v>
      </c>
      <c r="L70" s="5">
        <f t="shared" si="15"/>
        <v>207.12005638719893</v>
      </c>
      <c r="M70" s="5">
        <f t="shared" si="15"/>
        <v>0</v>
      </c>
      <c r="O70" s="5">
        <f t="shared" si="1"/>
        <v>0</v>
      </c>
    </row>
    <row r="71" spans="1:15" ht="15">
      <c r="A71" s="1">
        <v>880</v>
      </c>
      <c r="B71" s="1" t="s">
        <v>204</v>
      </c>
      <c r="D71" s="1">
        <v>35</v>
      </c>
      <c r="E71" s="5"/>
      <c r="F71" s="5">
        <v>1298940</v>
      </c>
      <c r="G71" s="5"/>
      <c r="H71" s="5">
        <f t="shared" si="15"/>
        <v>926210.840684958</v>
      </c>
      <c r="I71" s="5">
        <f t="shared" si="15"/>
        <v>307620.7071175936</v>
      </c>
      <c r="J71" s="5">
        <f t="shared" si="15"/>
        <v>18593.48614345832</v>
      </c>
      <c r="K71" s="5">
        <f t="shared" si="15"/>
        <v>5021.352501638033</v>
      </c>
      <c r="L71" s="5">
        <f t="shared" si="15"/>
        <v>40614.672493013124</v>
      </c>
      <c r="M71" s="5">
        <f t="shared" si="15"/>
        <v>878.941059338904</v>
      </c>
      <c r="O71" s="5">
        <f t="shared" si="1"/>
        <v>0</v>
      </c>
    </row>
    <row r="72" spans="1:15" ht="15">
      <c r="A72" s="1">
        <v>881</v>
      </c>
      <c r="B72" s="1" t="s">
        <v>206</v>
      </c>
      <c r="D72" s="8" t="s">
        <v>139</v>
      </c>
      <c r="E72" s="5"/>
      <c r="G72" s="5"/>
      <c r="H72" s="5"/>
      <c r="I72" s="5"/>
      <c r="J72" s="5"/>
      <c r="K72" s="5"/>
      <c r="L72" s="5"/>
      <c r="M72" s="5"/>
      <c r="O72" s="5">
        <f t="shared" si="1"/>
        <v>0</v>
      </c>
    </row>
    <row r="73" spans="1:15" ht="15.75">
      <c r="A73" s="16" t="s">
        <v>312</v>
      </c>
      <c r="B73" s="7"/>
      <c r="D73" s="7"/>
      <c r="E73" s="5"/>
      <c r="F73" s="5">
        <f>SUM(F52:F72)</f>
        <v>3512542</v>
      </c>
      <c r="G73" s="5"/>
      <c r="H73" s="5">
        <f aca="true" t="shared" si="16" ref="H73:M73">SUM(H52:H72)</f>
        <v>2462115.454813328</v>
      </c>
      <c r="I73" s="5">
        <f t="shared" si="16"/>
        <v>779234.2287982742</v>
      </c>
      <c r="J73" s="5">
        <f t="shared" si="16"/>
        <v>47198.59602004959</v>
      </c>
      <c r="K73" s="5">
        <f t="shared" si="16"/>
        <v>14225.047586576318</v>
      </c>
      <c r="L73" s="5">
        <f t="shared" si="16"/>
        <v>200816.92664934162</v>
      </c>
      <c r="M73" s="5">
        <f t="shared" si="16"/>
        <v>8951.746132430384</v>
      </c>
      <c r="O73" s="5">
        <f t="shared" si="1"/>
        <v>0</v>
      </c>
    </row>
    <row r="74" spans="5:15" ht="15">
      <c r="E74" s="5"/>
      <c r="G74" s="5"/>
      <c r="H74" s="5"/>
      <c r="I74" s="5"/>
      <c r="J74" s="5"/>
      <c r="K74" s="5"/>
      <c r="L74" s="5"/>
      <c r="M74" s="5"/>
      <c r="O74" s="5">
        <f t="shared" si="1"/>
        <v>0</v>
      </c>
    </row>
    <row r="75" spans="1:15" ht="15.75">
      <c r="A75" s="16" t="s">
        <v>313</v>
      </c>
      <c r="B75" s="7"/>
      <c r="D75" s="7"/>
      <c r="E75" s="5"/>
      <c r="F75" s="5">
        <f>F73+F48</f>
        <v>4129336</v>
      </c>
      <c r="G75" s="5"/>
      <c r="H75" s="5">
        <f aca="true" t="shared" si="17" ref="H75:M75">H73+H48</f>
        <v>2878150.103821055</v>
      </c>
      <c r="I75" s="5">
        <f t="shared" si="17"/>
        <v>967252.3218496538</v>
      </c>
      <c r="J75" s="5">
        <f t="shared" si="17"/>
        <v>59939.85396094274</v>
      </c>
      <c r="K75" s="5">
        <f t="shared" si="17"/>
        <v>14225.047586576318</v>
      </c>
      <c r="L75" s="5">
        <f t="shared" si="17"/>
        <v>200816.92664934162</v>
      </c>
      <c r="M75" s="5">
        <f t="shared" si="17"/>
        <v>8951.746132430384</v>
      </c>
      <c r="O75" s="5">
        <f t="shared" si="1"/>
        <v>0</v>
      </c>
    </row>
    <row r="76" spans="5:15" ht="15">
      <c r="E76" s="5"/>
      <c r="G76" s="5"/>
      <c r="O76" s="5">
        <f aca="true" t="shared" si="18" ref="O76:O139">SUM(H76:M76)-F76</f>
        <v>0</v>
      </c>
    </row>
    <row r="77" spans="1:15" ht="15.75">
      <c r="A77" s="16" t="s">
        <v>314</v>
      </c>
      <c r="B77" s="7"/>
      <c r="D77" s="7"/>
      <c r="E77" s="5"/>
      <c r="G77" s="5"/>
      <c r="O77" s="5">
        <f t="shared" si="18"/>
        <v>0</v>
      </c>
    </row>
    <row r="78" spans="5:15" ht="15">
      <c r="E78" s="5"/>
      <c r="G78" s="5"/>
      <c r="O78" s="5">
        <f t="shared" si="18"/>
        <v>0</v>
      </c>
    </row>
    <row r="79" spans="1:15" ht="15">
      <c r="A79" s="1">
        <v>885</v>
      </c>
      <c r="B79" s="1" t="s">
        <v>238</v>
      </c>
      <c r="D79" s="8" t="s">
        <v>139</v>
      </c>
      <c r="E79" s="5"/>
      <c r="G79" s="5"/>
      <c r="H79" s="5"/>
      <c r="I79" s="5"/>
      <c r="J79" s="5"/>
      <c r="K79" s="5"/>
      <c r="L79" s="5"/>
      <c r="M79" s="5"/>
      <c r="O79" s="5">
        <f t="shared" si="18"/>
        <v>0</v>
      </c>
    </row>
    <row r="80" spans="1:15" ht="15">
      <c r="A80" s="1">
        <v>886</v>
      </c>
      <c r="B80" s="1" t="s">
        <v>239</v>
      </c>
      <c r="D80" s="1">
        <v>9</v>
      </c>
      <c r="E80" s="5"/>
      <c r="F80" s="5">
        <v>17910.69</v>
      </c>
      <c r="G80" s="5"/>
      <c r="H80" s="5">
        <f aca="true" t="shared" si="19" ref="H80:M81">INDEX(ALLOC,($D80)+1,(H$1)+1)*$F80</f>
        <v>10519.944683900567</v>
      </c>
      <c r="I80" s="5">
        <f t="shared" si="19"/>
        <v>4675.291313189779</v>
      </c>
      <c r="J80" s="5">
        <f t="shared" si="19"/>
        <v>295.6715594225756</v>
      </c>
      <c r="K80" s="5">
        <f t="shared" si="19"/>
        <v>130.2847382089123</v>
      </c>
      <c r="L80" s="5">
        <f t="shared" si="19"/>
        <v>2196.680700861242</v>
      </c>
      <c r="M80" s="5">
        <f t="shared" si="19"/>
        <v>92.81700441692338</v>
      </c>
      <c r="O80" s="5">
        <f t="shared" si="18"/>
        <v>0</v>
      </c>
    </row>
    <row r="81" spans="1:15" ht="15">
      <c r="A81" s="1">
        <v>887</v>
      </c>
      <c r="B81" s="1" t="s">
        <v>240</v>
      </c>
      <c r="D81" s="1">
        <v>45</v>
      </c>
      <c r="E81" s="5"/>
      <c r="F81" s="5">
        <v>3615006.6</v>
      </c>
      <c r="G81" s="5"/>
      <c r="H81" s="5">
        <f t="shared" si="19"/>
        <v>2257564.1181509625</v>
      </c>
      <c r="I81" s="5">
        <f t="shared" si="19"/>
        <v>1068518.8309440308</v>
      </c>
      <c r="J81" s="5">
        <f t="shared" si="19"/>
        <v>83357.64767651891</v>
      </c>
      <c r="K81" s="5">
        <f t="shared" si="19"/>
        <v>22506.57089308919</v>
      </c>
      <c r="L81" s="5">
        <f t="shared" si="19"/>
        <v>179639.65842168132</v>
      </c>
      <c r="M81" s="5">
        <f t="shared" si="19"/>
        <v>3419.7739137177837</v>
      </c>
      <c r="O81" s="5">
        <f t="shared" si="18"/>
        <v>0</v>
      </c>
    </row>
    <row r="82" spans="1:15" ht="15">
      <c r="A82" s="1">
        <v>888</v>
      </c>
      <c r="B82" s="1" t="s">
        <v>241</v>
      </c>
      <c r="D82" s="8" t="s">
        <v>139</v>
      </c>
      <c r="E82" s="5"/>
      <c r="G82" s="5"/>
      <c r="H82" s="5"/>
      <c r="I82" s="5"/>
      <c r="J82" s="5"/>
      <c r="K82" s="5"/>
      <c r="L82" s="5"/>
      <c r="M82" s="5"/>
      <c r="O82" s="5">
        <f t="shared" si="18"/>
        <v>0</v>
      </c>
    </row>
    <row r="83" spans="1:15" ht="15">
      <c r="A83" s="1">
        <v>889</v>
      </c>
      <c r="B83" s="1" t="s">
        <v>242</v>
      </c>
      <c r="D83" s="1">
        <v>9</v>
      </c>
      <c r="E83" s="5"/>
      <c r="F83" s="5">
        <v>62063.87</v>
      </c>
      <c r="G83" s="5"/>
      <c r="H83" s="5">
        <f aca="true" t="shared" si="20" ref="H83:M86">INDEX(ALLOC,($D83)+1,(H$1)+1)*$F83</f>
        <v>36453.56372472506</v>
      </c>
      <c r="I83" s="5">
        <f t="shared" si="20"/>
        <v>16200.753420104964</v>
      </c>
      <c r="J83" s="5">
        <f t="shared" si="20"/>
        <v>1024.5569113585245</v>
      </c>
      <c r="K83" s="5">
        <f t="shared" si="20"/>
        <v>451.46083457320555</v>
      </c>
      <c r="L83" s="5">
        <f t="shared" si="20"/>
        <v>7611.906936570339</v>
      </c>
      <c r="M83" s="5">
        <f t="shared" si="20"/>
        <v>321.6281726679072</v>
      </c>
      <c r="O83" s="5">
        <f t="shared" si="18"/>
        <v>0</v>
      </c>
    </row>
    <row r="84" spans="1:15" ht="15">
      <c r="A84" s="1">
        <v>890</v>
      </c>
      <c r="B84" s="1" t="s">
        <v>243</v>
      </c>
      <c r="D84" s="1">
        <v>15</v>
      </c>
      <c r="E84" s="5"/>
      <c r="F84" s="5">
        <v>145376.17</v>
      </c>
      <c r="G84" s="5"/>
      <c r="H84" s="5">
        <f t="shared" si="20"/>
        <v>120052.74370598879</v>
      </c>
      <c r="I84" s="5">
        <f t="shared" si="20"/>
        <v>24096.618192008023</v>
      </c>
      <c r="J84" s="5">
        <f t="shared" si="20"/>
        <v>963.3879809239799</v>
      </c>
      <c r="K84" s="5">
        <f t="shared" si="20"/>
        <v>135.06606832393706</v>
      </c>
      <c r="L84" s="5">
        <f t="shared" si="20"/>
        <v>128.35405275527742</v>
      </c>
      <c r="M84" s="5">
        <f t="shared" si="20"/>
        <v>0</v>
      </c>
      <c r="O84" s="5">
        <f t="shared" si="18"/>
        <v>0</v>
      </c>
    </row>
    <row r="85" spans="1:15" ht="15">
      <c r="A85" s="1">
        <v>891</v>
      </c>
      <c r="B85" s="1" t="s">
        <v>244</v>
      </c>
      <c r="D85" s="1">
        <v>9</v>
      </c>
      <c r="E85" s="5"/>
      <c r="F85" s="5">
        <v>177909.18</v>
      </c>
      <c r="G85" s="5"/>
      <c r="H85" s="5">
        <f t="shared" si="20"/>
        <v>104495.95924881224</v>
      </c>
      <c r="I85" s="5">
        <f t="shared" si="20"/>
        <v>46440.268007023566</v>
      </c>
      <c r="J85" s="5">
        <f t="shared" si="20"/>
        <v>2936.9435061514496</v>
      </c>
      <c r="K85" s="5">
        <f t="shared" si="20"/>
        <v>1294.1350077111633</v>
      </c>
      <c r="L85" s="5">
        <f t="shared" si="20"/>
        <v>21819.9110258761</v>
      </c>
      <c r="M85" s="5">
        <f t="shared" si="20"/>
        <v>921.9632044254697</v>
      </c>
      <c r="O85" s="5">
        <f t="shared" si="18"/>
        <v>0</v>
      </c>
    </row>
    <row r="86" spans="1:15" ht="15">
      <c r="A86" s="1">
        <v>892</v>
      </c>
      <c r="B86" s="1" t="s">
        <v>245</v>
      </c>
      <c r="D86" s="1">
        <v>14</v>
      </c>
      <c r="E86" s="5"/>
      <c r="F86" s="5">
        <v>507169.9</v>
      </c>
      <c r="G86" s="5"/>
      <c r="H86" s="5">
        <f t="shared" si="20"/>
        <v>426450.76654911635</v>
      </c>
      <c r="I86" s="5">
        <f t="shared" si="20"/>
        <v>79211.31721629271</v>
      </c>
      <c r="J86" s="5">
        <f t="shared" si="20"/>
        <v>737.4238629822976</v>
      </c>
      <c r="K86" s="5">
        <f t="shared" si="20"/>
        <v>218.58948245864536</v>
      </c>
      <c r="L86" s="5">
        <f t="shared" si="20"/>
        <v>539.6299389929818</v>
      </c>
      <c r="M86" s="5">
        <f t="shared" si="20"/>
        <v>12.172950157067259</v>
      </c>
      <c r="O86" s="5">
        <f t="shared" si="18"/>
        <v>0</v>
      </c>
    </row>
    <row r="87" spans="1:15" ht="15">
      <c r="A87" s="1">
        <v>893</v>
      </c>
      <c r="B87" s="1" t="s">
        <v>246</v>
      </c>
      <c r="D87" s="8" t="s">
        <v>139</v>
      </c>
      <c r="E87" s="5"/>
      <c r="G87" s="5"/>
      <c r="H87" s="5"/>
      <c r="I87" s="5"/>
      <c r="J87" s="5"/>
      <c r="K87" s="5"/>
      <c r="L87" s="5"/>
      <c r="M87" s="5"/>
      <c r="O87" s="5">
        <f t="shared" si="18"/>
        <v>0</v>
      </c>
    </row>
    <row r="88" spans="1:15" ht="15">
      <c r="A88" s="1">
        <v>894</v>
      </c>
      <c r="B88" s="1" t="s">
        <v>247</v>
      </c>
      <c r="D88" s="1">
        <v>35</v>
      </c>
      <c r="E88" s="5"/>
      <c r="F88" s="5">
        <v>166264.54</v>
      </c>
      <c r="G88" s="5"/>
      <c r="H88" s="5">
        <f aca="true" t="shared" si="21" ref="H88:M88">INDEX(ALLOC,($D88)+1,(H$1)+1)*$F88</f>
        <v>118555.14447895811</v>
      </c>
      <c r="I88" s="5">
        <f t="shared" si="21"/>
        <v>39375.50261242354</v>
      </c>
      <c r="J88" s="5">
        <f t="shared" si="21"/>
        <v>2379.9693755204025</v>
      </c>
      <c r="K88" s="5">
        <f t="shared" si="21"/>
        <v>642.7339706704673</v>
      </c>
      <c r="L88" s="5">
        <f t="shared" si="21"/>
        <v>5198.684957966866</v>
      </c>
      <c r="M88" s="5">
        <f t="shared" si="21"/>
        <v>112.50460446063373</v>
      </c>
      <c r="O88" s="5">
        <f t="shared" si="18"/>
        <v>0</v>
      </c>
    </row>
    <row r="89" spans="5:15" ht="15">
      <c r="E89" s="5"/>
      <c r="G89" s="5"/>
      <c r="O89" s="5">
        <f t="shared" si="18"/>
        <v>0</v>
      </c>
    </row>
    <row r="90" spans="1:15" ht="15.75">
      <c r="A90" s="16" t="s">
        <v>309</v>
      </c>
      <c r="B90" s="7"/>
      <c r="D90" s="7"/>
      <c r="E90" s="5"/>
      <c r="F90" s="5">
        <f>SUM(F79:F88)</f>
        <v>4691700.95</v>
      </c>
      <c r="G90" s="5"/>
      <c r="H90" s="5">
        <f aca="true" t="shared" si="22" ref="H90:M90">SUM(H79:H88)</f>
        <v>3074092.240542464</v>
      </c>
      <c r="I90" s="5">
        <f t="shared" si="22"/>
        <v>1278518.5817050734</v>
      </c>
      <c r="J90" s="5">
        <f t="shared" si="22"/>
        <v>91695.60087287815</v>
      </c>
      <c r="K90" s="5">
        <f t="shared" si="22"/>
        <v>25378.84099503552</v>
      </c>
      <c r="L90" s="5">
        <f t="shared" si="22"/>
        <v>217134.82603470414</v>
      </c>
      <c r="M90" s="5">
        <f t="shared" si="22"/>
        <v>4880.859849845784</v>
      </c>
      <c r="O90" s="5">
        <f t="shared" si="18"/>
        <v>0</v>
      </c>
    </row>
    <row r="91" spans="5:15" ht="15">
      <c r="E91" s="5"/>
      <c r="G91" s="5"/>
      <c r="H91" s="5"/>
      <c r="I91" s="5"/>
      <c r="J91" s="5"/>
      <c r="K91" s="5"/>
      <c r="L91" s="5"/>
      <c r="M91" s="5"/>
      <c r="O91" s="5">
        <f t="shared" si="18"/>
        <v>0</v>
      </c>
    </row>
    <row r="92" spans="1:15" ht="15.75">
      <c r="A92" s="16" t="s">
        <v>315</v>
      </c>
      <c r="B92" s="7"/>
      <c r="D92" s="7"/>
      <c r="E92" s="5"/>
      <c r="F92" s="5">
        <f>F90+F75</f>
        <v>8821036.95</v>
      </c>
      <c r="G92" s="5"/>
      <c r="H92" s="5">
        <f aca="true" t="shared" si="23" ref="H92:M92">H90+H75</f>
        <v>5952242.344363519</v>
      </c>
      <c r="I92" s="5">
        <f t="shared" si="23"/>
        <v>2245770.9035547273</v>
      </c>
      <c r="J92" s="5">
        <f t="shared" si="23"/>
        <v>151635.45483382087</v>
      </c>
      <c r="K92" s="5">
        <f t="shared" si="23"/>
        <v>39603.88858161184</v>
      </c>
      <c r="L92" s="5">
        <f t="shared" si="23"/>
        <v>417951.75268404576</v>
      </c>
      <c r="M92" s="5">
        <f t="shared" si="23"/>
        <v>13832.605982276167</v>
      </c>
      <c r="O92" s="5">
        <f t="shared" si="18"/>
        <v>0</v>
      </c>
    </row>
    <row r="93" spans="5:15" ht="15">
      <c r="E93" s="5"/>
      <c r="G93" s="5"/>
      <c r="O93" s="5">
        <f t="shared" si="18"/>
        <v>0</v>
      </c>
    </row>
    <row r="94" spans="5:15" ht="15">
      <c r="E94" s="5"/>
      <c r="G94" s="5"/>
      <c r="O94" s="5">
        <f t="shared" si="18"/>
        <v>0</v>
      </c>
    </row>
    <row r="95" spans="1:15" ht="15.75">
      <c r="A95" s="16" t="s">
        <v>160</v>
      </c>
      <c r="B95" s="7"/>
      <c r="D95" s="7"/>
      <c r="E95" s="5"/>
      <c r="G95" s="5"/>
      <c r="O95" s="5">
        <f t="shared" si="18"/>
        <v>0</v>
      </c>
    </row>
    <row r="96" spans="1:15" ht="15">
      <c r="A96" s="1">
        <v>901</v>
      </c>
      <c r="B96" s="1" t="s">
        <v>248</v>
      </c>
      <c r="D96" s="1">
        <v>17</v>
      </c>
      <c r="E96" s="5"/>
      <c r="F96" s="5">
        <v>555288</v>
      </c>
      <c r="G96" s="5"/>
      <c r="H96" s="5">
        <f aca="true" t="shared" si="24" ref="H96:M98">INDEX(ALLOC,($D96)+1,(H$1)+1)*$F96</f>
        <v>465960.7721591204</v>
      </c>
      <c r="I96" s="5">
        <f t="shared" si="24"/>
        <v>82434.48742285151</v>
      </c>
      <c r="J96" s="5">
        <f t="shared" si="24"/>
        <v>687.9940528672441</v>
      </c>
      <c r="K96" s="5">
        <f t="shared" si="24"/>
        <v>44.7996127448438</v>
      </c>
      <c r="L96" s="5">
        <f t="shared" si="24"/>
        <v>6079.947443943087</v>
      </c>
      <c r="M96" s="5">
        <f t="shared" si="24"/>
        <v>79.99930847293535</v>
      </c>
      <c r="O96" s="5">
        <f t="shared" si="18"/>
        <v>0</v>
      </c>
    </row>
    <row r="97" spans="1:15" ht="15">
      <c r="A97" s="1">
        <v>902</v>
      </c>
      <c r="B97" s="1" t="s">
        <v>249</v>
      </c>
      <c r="D97" s="1">
        <v>17</v>
      </c>
      <c r="E97" s="5"/>
      <c r="F97" s="5">
        <v>190502</v>
      </c>
      <c r="G97" s="5"/>
      <c r="H97" s="5">
        <f t="shared" si="24"/>
        <v>159856.61317704822</v>
      </c>
      <c r="I97" s="5">
        <f t="shared" si="24"/>
        <v>28280.702487768616</v>
      </c>
      <c r="J97" s="5">
        <f t="shared" si="24"/>
        <v>236.0293092220897</v>
      </c>
      <c r="K97" s="5">
        <f t="shared" si="24"/>
        <v>15.369350367950025</v>
      </c>
      <c r="L97" s="5">
        <f t="shared" si="24"/>
        <v>2085.840407078932</v>
      </c>
      <c r="M97" s="5">
        <f t="shared" si="24"/>
        <v>27.445268514196474</v>
      </c>
      <c r="O97" s="5">
        <f t="shared" si="18"/>
        <v>0</v>
      </c>
    </row>
    <row r="98" spans="1:15" ht="15">
      <c r="A98" s="1">
        <v>903</v>
      </c>
      <c r="B98" s="1" t="s">
        <v>322</v>
      </c>
      <c r="D98" s="1">
        <v>17</v>
      </c>
      <c r="E98" s="5"/>
      <c r="F98" s="5">
        <v>2040683</v>
      </c>
      <c r="G98" s="5"/>
      <c r="H98" s="5">
        <f t="shared" si="24"/>
        <v>1712405.5020313608</v>
      </c>
      <c r="I98" s="5">
        <f t="shared" si="24"/>
        <v>302946.68189755024</v>
      </c>
      <c r="J98" s="5">
        <f t="shared" si="24"/>
        <v>2528.377648692726</v>
      </c>
      <c r="K98" s="5">
        <f t="shared" si="24"/>
        <v>164.63854456603795</v>
      </c>
      <c r="L98" s="5">
        <f t="shared" si="24"/>
        <v>22343.802476819437</v>
      </c>
      <c r="M98" s="5">
        <f t="shared" si="24"/>
        <v>293.997401010782</v>
      </c>
      <c r="O98" s="5">
        <f t="shared" si="18"/>
        <v>0</v>
      </c>
    </row>
    <row r="99" spans="1:15" ht="15">
      <c r="A99" s="1">
        <v>904</v>
      </c>
      <c r="B99" s="1" t="s">
        <v>251</v>
      </c>
      <c r="D99" s="8" t="s">
        <v>139</v>
      </c>
      <c r="E99" s="5"/>
      <c r="G99" s="5"/>
      <c r="H99" s="5"/>
      <c r="I99" s="5"/>
      <c r="J99" s="5"/>
      <c r="K99" s="5"/>
      <c r="L99" s="5"/>
      <c r="M99" s="5"/>
      <c r="O99" s="5">
        <f t="shared" si="18"/>
        <v>0</v>
      </c>
    </row>
    <row r="100" spans="1:15" ht="15">
      <c r="A100" s="1">
        <v>905</v>
      </c>
      <c r="B100" s="1" t="s">
        <v>323</v>
      </c>
      <c r="D100" s="1">
        <v>17</v>
      </c>
      <c r="E100" s="5"/>
      <c r="F100" s="5">
        <v>130637</v>
      </c>
      <c r="G100" s="5"/>
      <c r="H100" s="5">
        <f aca="true" t="shared" si="25" ref="H100:M100">INDEX(ALLOC,($D100)+1,(H$1)+1)*$F100</f>
        <v>109621.88520650727</v>
      </c>
      <c r="I100" s="5">
        <f t="shared" si="25"/>
        <v>19393.52936396798</v>
      </c>
      <c r="J100" s="5">
        <f t="shared" si="25"/>
        <v>161.85741288199668</v>
      </c>
      <c r="K100" s="5">
        <f t="shared" si="25"/>
        <v>10.539552466734666</v>
      </c>
      <c r="L100" s="5">
        <f t="shared" si="25"/>
        <v>1430.3678347711334</v>
      </c>
      <c r="M100" s="5">
        <f t="shared" si="25"/>
        <v>18.820629404883334</v>
      </c>
      <c r="O100" s="5">
        <f t="shared" si="18"/>
        <v>0</v>
      </c>
    </row>
    <row r="101" spans="1:15" ht="15.75">
      <c r="A101" s="16" t="s">
        <v>316</v>
      </c>
      <c r="B101" s="7"/>
      <c r="D101" s="7"/>
      <c r="E101" s="5"/>
      <c r="F101" s="5">
        <f>SUM(F96:F100)</f>
        <v>2917110</v>
      </c>
      <c r="G101" s="5"/>
      <c r="H101" s="5">
        <f aca="true" t="shared" si="26" ref="H101:M101">SUM(H96:H100)</f>
        <v>2447844.7725740364</v>
      </c>
      <c r="I101" s="5">
        <f t="shared" si="26"/>
        <v>433055.40117213834</v>
      </c>
      <c r="J101" s="5">
        <f t="shared" si="26"/>
        <v>3614.2584236640564</v>
      </c>
      <c r="K101" s="5">
        <f t="shared" si="26"/>
        <v>235.34706014556645</v>
      </c>
      <c r="L101" s="5">
        <f t="shared" si="26"/>
        <v>31939.958162612587</v>
      </c>
      <c r="M101" s="5">
        <f t="shared" si="26"/>
        <v>420.2626074027972</v>
      </c>
      <c r="O101" s="5">
        <f t="shared" si="18"/>
        <v>0</v>
      </c>
    </row>
    <row r="102" spans="5:15" ht="15">
      <c r="E102" s="5"/>
      <c r="G102" s="5"/>
      <c r="O102" s="5">
        <f t="shared" si="18"/>
        <v>0</v>
      </c>
    </row>
    <row r="103" spans="1:15" ht="15.75">
      <c r="A103" s="16" t="s">
        <v>317</v>
      </c>
      <c r="B103" s="7"/>
      <c r="D103" s="7"/>
      <c r="E103" s="5"/>
      <c r="G103" s="5"/>
      <c r="O103" s="5">
        <f t="shared" si="18"/>
        <v>0</v>
      </c>
    </row>
    <row r="104" spans="1:15" ht="15">
      <c r="A104" s="8" t="s">
        <v>162</v>
      </c>
      <c r="B104" s="1" t="s">
        <v>253</v>
      </c>
      <c r="D104" s="1">
        <v>18</v>
      </c>
      <c r="E104" s="5"/>
      <c r="F104" s="5">
        <v>266898</v>
      </c>
      <c r="G104" s="5"/>
      <c r="H104" s="5">
        <f aca="true" t="shared" si="27" ref="H104:M104">INDEX(ALLOC,($D104)+1,(H$1)+1)*$F104</f>
        <v>223963.0573103055</v>
      </c>
      <c r="I104" s="5">
        <f t="shared" si="27"/>
        <v>39621.961620247916</v>
      </c>
      <c r="J104" s="5">
        <f t="shared" si="27"/>
        <v>330.6828829763325</v>
      </c>
      <c r="K104" s="5">
        <f t="shared" si="27"/>
        <v>21.532838891482115</v>
      </c>
      <c r="L104" s="5">
        <f t="shared" si="27"/>
        <v>2922.313849558287</v>
      </c>
      <c r="M104" s="5">
        <f t="shared" si="27"/>
        <v>38.45149802050378</v>
      </c>
      <c r="O104" s="5">
        <f t="shared" si="18"/>
        <v>0</v>
      </c>
    </row>
    <row r="105" spans="5:15" ht="15">
      <c r="E105" s="5"/>
      <c r="G105" s="5"/>
      <c r="O105" s="5">
        <f t="shared" si="18"/>
        <v>0</v>
      </c>
    </row>
    <row r="106" spans="1:15" ht="15.75">
      <c r="A106" s="16" t="s">
        <v>163</v>
      </c>
      <c r="B106" s="7"/>
      <c r="D106" s="7"/>
      <c r="E106" s="5"/>
      <c r="G106" s="5"/>
      <c r="O106" s="5">
        <f t="shared" si="18"/>
        <v>0</v>
      </c>
    </row>
    <row r="107" spans="1:15" ht="15">
      <c r="A107" s="8" t="s">
        <v>164</v>
      </c>
      <c r="B107" s="1" t="s">
        <v>254</v>
      </c>
      <c r="D107" s="8" t="s">
        <v>139</v>
      </c>
      <c r="E107" s="5"/>
      <c r="G107" s="5"/>
      <c r="H107" s="5"/>
      <c r="I107" s="5"/>
      <c r="J107" s="5"/>
      <c r="K107" s="5"/>
      <c r="L107" s="5"/>
      <c r="M107" s="5"/>
      <c r="O107" s="5">
        <f t="shared" si="18"/>
        <v>0</v>
      </c>
    </row>
    <row r="108" spans="5:15" ht="15">
      <c r="E108" s="5"/>
      <c r="G108" s="5"/>
      <c r="O108" s="5">
        <f t="shared" si="18"/>
        <v>0</v>
      </c>
    </row>
    <row r="109" spans="1:15" ht="15.75">
      <c r="A109" s="16" t="s">
        <v>318</v>
      </c>
      <c r="B109" s="7"/>
      <c r="D109" s="7"/>
      <c r="E109" s="5"/>
      <c r="G109" s="5"/>
      <c r="O109" s="5">
        <f t="shared" si="18"/>
        <v>0</v>
      </c>
    </row>
    <row r="110" spans="1:15" ht="15">
      <c r="A110" s="1">
        <v>920</v>
      </c>
      <c r="B110" s="1" t="s">
        <v>255</v>
      </c>
      <c r="D110" s="1">
        <v>39</v>
      </c>
      <c r="E110" s="5"/>
      <c r="F110" s="5">
        <v>2993016</v>
      </c>
      <c r="G110" s="5"/>
      <c r="H110" s="5">
        <f aca="true" t="shared" si="28" ref="H110:M112">INDEX(ALLOC,($D110)+1,(H$1)+1)*$F110</f>
        <v>2097487.314716619</v>
      </c>
      <c r="I110" s="5">
        <f t="shared" si="28"/>
        <v>724986.621804923</v>
      </c>
      <c r="J110" s="5">
        <f t="shared" si="28"/>
        <v>45430.91245520408</v>
      </c>
      <c r="K110" s="5">
        <f t="shared" si="28"/>
        <v>8628.168545512033</v>
      </c>
      <c r="L110" s="5">
        <f t="shared" si="28"/>
        <v>112251.49323768412</v>
      </c>
      <c r="M110" s="5">
        <f t="shared" si="28"/>
        <v>4231.489240057904</v>
      </c>
      <c r="O110" s="5">
        <f t="shared" si="18"/>
        <v>0</v>
      </c>
    </row>
    <row r="111" spans="1:15" ht="15">
      <c r="A111" s="1">
        <v>921</v>
      </c>
      <c r="B111" s="1" t="s">
        <v>256</v>
      </c>
      <c r="D111" s="8">
        <v>39</v>
      </c>
      <c r="E111" s="5"/>
      <c r="F111" s="5">
        <v>7050</v>
      </c>
      <c r="G111" s="5"/>
      <c r="H111" s="5">
        <f t="shared" si="28"/>
        <v>4940.596899165312</v>
      </c>
      <c r="I111" s="5">
        <f t="shared" si="28"/>
        <v>1707.6940730436145</v>
      </c>
      <c r="J111" s="5">
        <f t="shared" si="28"/>
        <v>107.01176766485337</v>
      </c>
      <c r="K111" s="5">
        <f t="shared" si="28"/>
        <v>20.32350921139741</v>
      </c>
      <c r="L111" s="5">
        <f t="shared" si="28"/>
        <v>264.406547551257</v>
      </c>
      <c r="M111" s="5">
        <f t="shared" si="28"/>
        <v>9.967203363566457</v>
      </c>
      <c r="O111" s="5">
        <f t="shared" si="18"/>
        <v>0</v>
      </c>
    </row>
    <row r="112" spans="1:15" ht="15">
      <c r="A112" s="1">
        <v>922</v>
      </c>
      <c r="B112" s="1" t="s">
        <v>257</v>
      </c>
      <c r="D112" s="1">
        <v>39</v>
      </c>
      <c r="E112" s="5"/>
      <c r="F112" s="5">
        <v>-236354.39</v>
      </c>
      <c r="G112" s="5"/>
      <c r="H112" s="5">
        <f t="shared" si="28"/>
        <v>-165635.7115373204</v>
      </c>
      <c r="I112" s="5">
        <f t="shared" si="28"/>
        <v>-57251.20438877149</v>
      </c>
      <c r="J112" s="5">
        <f t="shared" si="28"/>
        <v>-3587.617172942999</v>
      </c>
      <c r="K112" s="5">
        <f t="shared" si="28"/>
        <v>-681.3546982013072</v>
      </c>
      <c r="L112" s="5">
        <f t="shared" si="28"/>
        <v>-8864.347270706858</v>
      </c>
      <c r="M112" s="5">
        <f t="shared" si="28"/>
        <v>-334.15493205697845</v>
      </c>
      <c r="O112" s="5">
        <f t="shared" si="18"/>
        <v>0</v>
      </c>
    </row>
    <row r="113" spans="1:15" ht="15">
      <c r="A113" s="1">
        <v>923</v>
      </c>
      <c r="B113" s="1" t="s">
        <v>258</v>
      </c>
      <c r="D113" s="8" t="s">
        <v>139</v>
      </c>
      <c r="E113" s="5"/>
      <c r="G113" s="5"/>
      <c r="H113" s="5"/>
      <c r="I113" s="5"/>
      <c r="J113" s="5"/>
      <c r="K113" s="5"/>
      <c r="L113" s="5"/>
      <c r="M113" s="5"/>
      <c r="O113" s="5">
        <f t="shared" si="18"/>
        <v>0</v>
      </c>
    </row>
    <row r="114" spans="1:15" ht="15">
      <c r="A114" s="1">
        <v>924</v>
      </c>
      <c r="B114" s="1" t="s">
        <v>259</v>
      </c>
      <c r="D114" s="8" t="s">
        <v>139</v>
      </c>
      <c r="E114" s="5"/>
      <c r="G114" s="5"/>
      <c r="H114" s="5"/>
      <c r="I114" s="5"/>
      <c r="J114" s="5"/>
      <c r="K114" s="5"/>
      <c r="L114" s="5"/>
      <c r="M114" s="5"/>
      <c r="O114" s="5">
        <f t="shared" si="18"/>
        <v>0</v>
      </c>
    </row>
    <row r="115" spans="1:15" ht="15">
      <c r="A115" s="1">
        <v>925</v>
      </c>
      <c r="B115" s="1" t="s">
        <v>260</v>
      </c>
      <c r="D115" s="1">
        <v>39</v>
      </c>
      <c r="E115" s="5"/>
      <c r="F115" s="5">
        <v>6587.37</v>
      </c>
      <c r="G115" s="5"/>
      <c r="H115" s="5">
        <f aca="true" t="shared" si="29" ref="H115:M116">INDEX(ALLOC,($D115)+1,(H$1)+1)*$F115</f>
        <v>4616.388623497106</v>
      </c>
      <c r="I115" s="5">
        <f t="shared" si="29"/>
        <v>1595.6330079355057</v>
      </c>
      <c r="J115" s="5">
        <f t="shared" si="29"/>
        <v>99.98951885991845</v>
      </c>
      <c r="K115" s="5">
        <f t="shared" si="29"/>
        <v>18.989854592040135</v>
      </c>
      <c r="L115" s="5">
        <f t="shared" si="29"/>
        <v>247.05585236067003</v>
      </c>
      <c r="M115" s="5">
        <f t="shared" si="29"/>
        <v>9.313142754759825</v>
      </c>
      <c r="O115" s="5">
        <f t="shared" si="18"/>
        <v>0</v>
      </c>
    </row>
    <row r="116" spans="1:15" ht="15">
      <c r="A116" s="1">
        <v>926</v>
      </c>
      <c r="B116" s="1" t="s">
        <v>261</v>
      </c>
      <c r="D116" s="8">
        <v>39</v>
      </c>
      <c r="E116" s="5"/>
      <c r="F116" s="5">
        <v>6.25</v>
      </c>
      <c r="G116" s="5"/>
      <c r="H116" s="5">
        <f t="shared" si="29"/>
        <v>4.37996179004017</v>
      </c>
      <c r="I116" s="5">
        <f t="shared" si="29"/>
        <v>1.5139131853223533</v>
      </c>
      <c r="J116" s="5">
        <f t="shared" si="29"/>
        <v>0.09486858835536646</v>
      </c>
      <c r="K116" s="5">
        <f t="shared" si="29"/>
        <v>0.018017295400175007</v>
      </c>
      <c r="L116" s="5">
        <f t="shared" si="29"/>
        <v>0.23440296768728455</v>
      </c>
      <c r="M116" s="5">
        <f t="shared" si="29"/>
        <v>0.008836173194651114</v>
      </c>
      <c r="O116" s="5">
        <f t="shared" si="18"/>
        <v>0</v>
      </c>
    </row>
    <row r="117" spans="1:15" ht="15">
      <c r="A117" s="1">
        <v>927</v>
      </c>
      <c r="B117" s="1" t="s">
        <v>262</v>
      </c>
      <c r="D117" s="8" t="s">
        <v>139</v>
      </c>
      <c r="E117" s="5"/>
      <c r="G117" s="5"/>
      <c r="H117" s="5"/>
      <c r="I117" s="5"/>
      <c r="J117" s="5"/>
      <c r="K117" s="5"/>
      <c r="L117" s="5"/>
      <c r="M117" s="5"/>
      <c r="O117" s="5">
        <f t="shared" si="18"/>
        <v>0</v>
      </c>
    </row>
    <row r="118" spans="1:15" ht="15">
      <c r="A118" s="1">
        <v>928</v>
      </c>
      <c r="B118" s="1" t="s">
        <v>263</v>
      </c>
      <c r="D118" s="8" t="s">
        <v>139</v>
      </c>
      <c r="E118" s="5"/>
      <c r="G118" s="5"/>
      <c r="H118" s="5"/>
      <c r="I118" s="5"/>
      <c r="J118" s="5"/>
      <c r="K118" s="5"/>
      <c r="L118" s="5"/>
      <c r="M118" s="5"/>
      <c r="O118" s="5">
        <f t="shared" si="18"/>
        <v>0</v>
      </c>
    </row>
    <row r="119" spans="1:15" ht="15">
      <c r="A119" s="1">
        <v>929</v>
      </c>
      <c r="B119" s="1" t="s">
        <v>264</v>
      </c>
      <c r="D119" s="8" t="s">
        <v>139</v>
      </c>
      <c r="E119" s="5"/>
      <c r="G119" s="5"/>
      <c r="H119" s="5"/>
      <c r="I119" s="5"/>
      <c r="J119" s="5"/>
      <c r="K119" s="5"/>
      <c r="L119" s="5"/>
      <c r="M119" s="5"/>
      <c r="O119" s="5">
        <f t="shared" si="18"/>
        <v>0</v>
      </c>
    </row>
    <row r="120" spans="1:15" ht="15">
      <c r="A120" s="1">
        <v>930.1</v>
      </c>
      <c r="B120" s="1" t="s">
        <v>265</v>
      </c>
      <c r="D120" s="8" t="s">
        <v>139</v>
      </c>
      <c r="E120" s="5"/>
      <c r="G120" s="5"/>
      <c r="H120" s="5"/>
      <c r="I120" s="5"/>
      <c r="J120" s="5"/>
      <c r="K120" s="5"/>
      <c r="L120" s="5"/>
      <c r="M120" s="5"/>
      <c r="O120" s="5">
        <f t="shared" si="18"/>
        <v>0</v>
      </c>
    </row>
    <row r="121" spans="1:15" ht="15">
      <c r="A121" s="1">
        <v>930.2</v>
      </c>
      <c r="B121" s="1" t="s">
        <v>266</v>
      </c>
      <c r="D121" s="8" t="s">
        <v>139</v>
      </c>
      <c r="E121" s="5"/>
      <c r="G121" s="5"/>
      <c r="H121" s="5"/>
      <c r="I121" s="5"/>
      <c r="J121" s="5"/>
      <c r="K121" s="5"/>
      <c r="L121" s="5"/>
      <c r="M121" s="5"/>
      <c r="O121" s="5">
        <f t="shared" si="18"/>
        <v>0</v>
      </c>
    </row>
    <row r="122" spans="1:15" ht="15">
      <c r="A122" s="1">
        <v>931</v>
      </c>
      <c r="B122" s="1" t="s">
        <v>206</v>
      </c>
      <c r="D122" s="8" t="s">
        <v>139</v>
      </c>
      <c r="E122" s="5"/>
      <c r="G122" s="5"/>
      <c r="H122" s="5"/>
      <c r="I122" s="5"/>
      <c r="J122" s="5"/>
      <c r="K122" s="5"/>
      <c r="L122" s="5"/>
      <c r="M122" s="5"/>
      <c r="O122" s="5">
        <f t="shared" si="18"/>
        <v>0</v>
      </c>
    </row>
    <row r="123" spans="1:15" ht="15">
      <c r="A123" s="1">
        <v>935</v>
      </c>
      <c r="B123" s="1" t="s">
        <v>267</v>
      </c>
      <c r="D123" s="1">
        <v>34</v>
      </c>
      <c r="E123" s="5"/>
      <c r="F123" s="5">
        <v>1328128.4</v>
      </c>
      <c r="G123" s="5"/>
      <c r="H123" s="5">
        <f aca="true" t="shared" si="30" ref="H123:M123">INDEX(ALLOC,($D123)+1,(H$1)+1)*$F123</f>
        <v>939432.5670863698</v>
      </c>
      <c r="I123" s="5">
        <f t="shared" si="30"/>
        <v>327928.39758907794</v>
      </c>
      <c r="J123" s="5">
        <f t="shared" si="30"/>
        <v>20260.64300514081</v>
      </c>
      <c r="K123" s="5">
        <f t="shared" si="30"/>
        <v>4372.762149505239</v>
      </c>
      <c r="L123" s="5">
        <f t="shared" si="30"/>
        <v>35368.61882014148</v>
      </c>
      <c r="M123" s="5">
        <f t="shared" si="30"/>
        <v>765.4113497647155</v>
      </c>
      <c r="O123" s="5">
        <f t="shared" si="18"/>
        <v>0</v>
      </c>
    </row>
    <row r="124" spans="1:256" ht="15.75">
      <c r="A124" s="16" t="s">
        <v>319</v>
      </c>
      <c r="B124" s="16"/>
      <c r="C124" s="4"/>
      <c r="D124" s="16"/>
      <c r="E124" s="6"/>
      <c r="F124" s="6">
        <f>SUM(F110:F123)</f>
        <v>4098433.63</v>
      </c>
      <c r="G124" s="6"/>
      <c r="H124" s="6">
        <f aca="true" t="shared" si="31" ref="H124:M124">SUM(H110:H123)</f>
        <v>2880845.535750121</v>
      </c>
      <c r="I124" s="6">
        <f t="shared" si="31"/>
        <v>998968.655999394</v>
      </c>
      <c r="J124" s="6">
        <f t="shared" si="31"/>
        <v>62311.03444251502</v>
      </c>
      <c r="K124" s="6">
        <f t="shared" si="31"/>
        <v>12358.907377914804</v>
      </c>
      <c r="L124" s="6">
        <f t="shared" si="31"/>
        <v>139267.46158999836</v>
      </c>
      <c r="M124" s="6">
        <f t="shared" si="31"/>
        <v>4682.034840057161</v>
      </c>
      <c r="N124" s="4"/>
      <c r="O124" s="5">
        <f t="shared" si="18"/>
        <v>0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5:15" ht="15">
      <c r="E125" s="5"/>
      <c r="G125" s="5"/>
      <c r="H125" s="5"/>
      <c r="I125" s="5"/>
      <c r="J125" s="5"/>
      <c r="K125" s="5"/>
      <c r="L125" s="5"/>
      <c r="M125" s="5"/>
      <c r="O125" s="5">
        <f t="shared" si="18"/>
        <v>0</v>
      </c>
    </row>
    <row r="126" spans="1:256" ht="15.75">
      <c r="A126" s="16" t="s">
        <v>320</v>
      </c>
      <c r="B126" s="16"/>
      <c r="C126" s="4"/>
      <c r="D126" s="16"/>
      <c r="E126" s="6"/>
      <c r="F126" s="6">
        <f>F124+F107+F104+F101+F92+F44+F14</f>
        <v>19437978.58</v>
      </c>
      <c r="G126" s="6"/>
      <c r="H126" s="6">
        <f aca="true" t="shared" si="32" ref="H126:M126">H124+H107+H104+H101+H92+H44+H14</f>
        <v>13630704.856966704</v>
      </c>
      <c r="I126" s="6">
        <f t="shared" si="32"/>
        <v>4714606.953063382</v>
      </c>
      <c r="J126" s="6">
        <f t="shared" si="32"/>
        <v>295149.5905097454</v>
      </c>
      <c r="K126" s="6">
        <f t="shared" si="32"/>
        <v>56579.245404860856</v>
      </c>
      <c r="L126" s="6">
        <f t="shared" si="32"/>
        <v>714569.0390703982</v>
      </c>
      <c r="M126" s="6">
        <f t="shared" si="32"/>
        <v>26368.894984910898</v>
      </c>
      <c r="N126" s="4"/>
      <c r="O126" s="5">
        <f t="shared" si="18"/>
        <v>0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5:15" ht="15">
      <c r="E127" s="5"/>
      <c r="G127" s="5"/>
      <c r="O127" s="5">
        <f t="shared" si="18"/>
        <v>0</v>
      </c>
    </row>
    <row r="128" spans="5:15" ht="15">
      <c r="E128" s="5"/>
      <c r="G128" s="5"/>
      <c r="O128" s="5">
        <f t="shared" si="18"/>
        <v>0</v>
      </c>
    </row>
    <row r="129" spans="5:15" ht="15">
      <c r="E129" s="5"/>
      <c r="G129" s="5"/>
      <c r="O129" s="5">
        <f t="shared" si="18"/>
        <v>0</v>
      </c>
    </row>
    <row r="130" spans="5:15" ht="15">
      <c r="E130" s="5"/>
      <c r="G130" s="5"/>
      <c r="O130" s="5">
        <f t="shared" si="18"/>
        <v>0</v>
      </c>
    </row>
    <row r="131" ht="15">
      <c r="O131" s="5">
        <f t="shared" si="18"/>
        <v>0</v>
      </c>
    </row>
    <row r="132" ht="15">
      <c r="O132" s="5">
        <f t="shared" si="18"/>
        <v>0</v>
      </c>
    </row>
    <row r="133" ht="15">
      <c r="O133" s="5">
        <f t="shared" si="18"/>
        <v>0</v>
      </c>
    </row>
    <row r="134" ht="15">
      <c r="O134" s="5">
        <f t="shared" si="18"/>
        <v>0</v>
      </c>
    </row>
    <row r="135" ht="15">
      <c r="O135" s="5">
        <f t="shared" si="18"/>
        <v>0</v>
      </c>
    </row>
    <row r="136" ht="15">
      <c r="O136" s="5">
        <f t="shared" si="18"/>
        <v>0</v>
      </c>
    </row>
    <row r="137" ht="15">
      <c r="O137" s="5">
        <f t="shared" si="18"/>
        <v>0</v>
      </c>
    </row>
    <row r="138" ht="15">
      <c r="O138" s="5">
        <f t="shared" si="18"/>
        <v>0</v>
      </c>
    </row>
    <row r="139" ht="15">
      <c r="O139" s="5">
        <f t="shared" si="18"/>
        <v>0</v>
      </c>
    </row>
    <row r="140" ht="15">
      <c r="O140" s="5">
        <f aca="true" t="shared" si="33" ref="O140:O203">SUM(H140:M140)-F140</f>
        <v>0</v>
      </c>
    </row>
    <row r="141" ht="15">
      <c r="O141" s="5">
        <f t="shared" si="33"/>
        <v>0</v>
      </c>
    </row>
    <row r="142" ht="15">
      <c r="O142" s="5">
        <f t="shared" si="33"/>
        <v>0</v>
      </c>
    </row>
    <row r="143" ht="15">
      <c r="O143" s="5">
        <f t="shared" si="33"/>
        <v>0</v>
      </c>
    </row>
    <row r="144" ht="15">
      <c r="O144" s="5">
        <f t="shared" si="33"/>
        <v>0</v>
      </c>
    </row>
    <row r="145" ht="15">
      <c r="O145" s="5">
        <f t="shared" si="33"/>
        <v>0</v>
      </c>
    </row>
    <row r="146" ht="15">
      <c r="O146" s="5">
        <f t="shared" si="33"/>
        <v>0</v>
      </c>
    </row>
    <row r="147" ht="15">
      <c r="O147" s="5">
        <f t="shared" si="33"/>
        <v>0</v>
      </c>
    </row>
    <row r="148" ht="15">
      <c r="O148" s="5">
        <f t="shared" si="33"/>
        <v>0</v>
      </c>
    </row>
    <row r="149" ht="15">
      <c r="O149" s="5">
        <f t="shared" si="33"/>
        <v>0</v>
      </c>
    </row>
    <row r="150" ht="15">
      <c r="O150" s="5">
        <f t="shared" si="33"/>
        <v>0</v>
      </c>
    </row>
    <row r="151" ht="15">
      <c r="O151" s="5">
        <f t="shared" si="33"/>
        <v>0</v>
      </c>
    </row>
    <row r="152" ht="15">
      <c r="O152" s="5">
        <f t="shared" si="33"/>
        <v>0</v>
      </c>
    </row>
    <row r="153" ht="15">
      <c r="O153" s="5">
        <f t="shared" si="33"/>
        <v>0</v>
      </c>
    </row>
    <row r="154" ht="15">
      <c r="O154" s="5">
        <f t="shared" si="33"/>
        <v>0</v>
      </c>
    </row>
    <row r="155" ht="15">
      <c r="O155" s="5">
        <f t="shared" si="33"/>
        <v>0</v>
      </c>
    </row>
    <row r="156" ht="15">
      <c r="O156" s="5">
        <f t="shared" si="33"/>
        <v>0</v>
      </c>
    </row>
    <row r="157" ht="15">
      <c r="O157" s="5">
        <f t="shared" si="33"/>
        <v>0</v>
      </c>
    </row>
    <row r="158" ht="15">
      <c r="O158" s="5">
        <f t="shared" si="33"/>
        <v>0</v>
      </c>
    </row>
    <row r="159" ht="15">
      <c r="O159" s="5">
        <f t="shared" si="33"/>
        <v>0</v>
      </c>
    </row>
    <row r="160" ht="15">
      <c r="O160" s="5">
        <f t="shared" si="33"/>
        <v>0</v>
      </c>
    </row>
    <row r="161" ht="15">
      <c r="O161" s="5">
        <f t="shared" si="33"/>
        <v>0</v>
      </c>
    </row>
    <row r="162" ht="15">
      <c r="O162" s="5">
        <f t="shared" si="33"/>
        <v>0</v>
      </c>
    </row>
    <row r="163" ht="15">
      <c r="O163" s="5">
        <f t="shared" si="33"/>
        <v>0</v>
      </c>
    </row>
    <row r="164" ht="15">
      <c r="O164" s="5">
        <f t="shared" si="33"/>
        <v>0</v>
      </c>
    </row>
    <row r="165" ht="15">
      <c r="O165" s="5">
        <f t="shared" si="33"/>
        <v>0</v>
      </c>
    </row>
    <row r="166" ht="15">
      <c r="O166" s="5">
        <f t="shared" si="33"/>
        <v>0</v>
      </c>
    </row>
    <row r="167" ht="15">
      <c r="O167" s="5">
        <f t="shared" si="33"/>
        <v>0</v>
      </c>
    </row>
    <row r="168" ht="15">
      <c r="O168" s="5">
        <f t="shared" si="33"/>
        <v>0</v>
      </c>
    </row>
    <row r="169" ht="15">
      <c r="O169" s="5">
        <f t="shared" si="33"/>
        <v>0</v>
      </c>
    </row>
    <row r="170" ht="15">
      <c r="O170" s="5">
        <f t="shared" si="33"/>
        <v>0</v>
      </c>
    </row>
    <row r="171" ht="15">
      <c r="O171" s="5">
        <f t="shared" si="33"/>
        <v>0</v>
      </c>
    </row>
    <row r="172" ht="15">
      <c r="O172" s="5">
        <f t="shared" si="33"/>
        <v>0</v>
      </c>
    </row>
    <row r="173" ht="15">
      <c r="O173" s="5">
        <f t="shared" si="33"/>
        <v>0</v>
      </c>
    </row>
    <row r="174" ht="15">
      <c r="O174" s="5">
        <f t="shared" si="33"/>
        <v>0</v>
      </c>
    </row>
    <row r="175" ht="15">
      <c r="O175" s="5">
        <f t="shared" si="33"/>
        <v>0</v>
      </c>
    </row>
    <row r="176" ht="15">
      <c r="O176" s="5">
        <f t="shared" si="33"/>
        <v>0</v>
      </c>
    </row>
    <row r="177" ht="15">
      <c r="O177" s="5">
        <f t="shared" si="33"/>
        <v>0</v>
      </c>
    </row>
    <row r="178" ht="15">
      <c r="O178" s="5">
        <f t="shared" si="33"/>
        <v>0</v>
      </c>
    </row>
    <row r="179" ht="15">
      <c r="O179" s="5">
        <f t="shared" si="33"/>
        <v>0</v>
      </c>
    </row>
    <row r="180" ht="15">
      <c r="O180" s="5">
        <f t="shared" si="33"/>
        <v>0</v>
      </c>
    </row>
    <row r="181" ht="15">
      <c r="O181" s="5">
        <f t="shared" si="33"/>
        <v>0</v>
      </c>
    </row>
    <row r="182" ht="15">
      <c r="O182" s="5">
        <f t="shared" si="33"/>
        <v>0</v>
      </c>
    </row>
    <row r="183" ht="15">
      <c r="O183" s="5">
        <f t="shared" si="33"/>
        <v>0</v>
      </c>
    </row>
    <row r="184" ht="15">
      <c r="O184" s="5">
        <f t="shared" si="33"/>
        <v>0</v>
      </c>
    </row>
    <row r="185" ht="15">
      <c r="O185" s="5">
        <f t="shared" si="33"/>
        <v>0</v>
      </c>
    </row>
    <row r="186" ht="15">
      <c r="O186" s="5">
        <f t="shared" si="33"/>
        <v>0</v>
      </c>
    </row>
    <row r="187" ht="15">
      <c r="O187" s="5">
        <f t="shared" si="33"/>
        <v>0</v>
      </c>
    </row>
    <row r="188" ht="15">
      <c r="O188" s="5">
        <f t="shared" si="33"/>
        <v>0</v>
      </c>
    </row>
    <row r="189" ht="15">
      <c r="O189" s="5">
        <f t="shared" si="33"/>
        <v>0</v>
      </c>
    </row>
    <row r="190" ht="15">
      <c r="O190" s="5">
        <f t="shared" si="33"/>
        <v>0</v>
      </c>
    </row>
    <row r="191" ht="15">
      <c r="O191" s="5">
        <f t="shared" si="33"/>
        <v>0</v>
      </c>
    </row>
    <row r="192" ht="15">
      <c r="O192" s="5">
        <f t="shared" si="33"/>
        <v>0</v>
      </c>
    </row>
    <row r="193" ht="15">
      <c r="O193" s="5">
        <f t="shared" si="33"/>
        <v>0</v>
      </c>
    </row>
    <row r="194" ht="15">
      <c r="O194" s="5">
        <f t="shared" si="33"/>
        <v>0</v>
      </c>
    </row>
    <row r="195" ht="15">
      <c r="O195" s="5">
        <f t="shared" si="33"/>
        <v>0</v>
      </c>
    </row>
    <row r="196" ht="15">
      <c r="O196" s="5">
        <f t="shared" si="33"/>
        <v>0</v>
      </c>
    </row>
    <row r="197" ht="15">
      <c r="O197" s="5">
        <f t="shared" si="33"/>
        <v>0</v>
      </c>
    </row>
    <row r="198" ht="15">
      <c r="O198" s="5">
        <f t="shared" si="33"/>
        <v>0</v>
      </c>
    </row>
    <row r="199" ht="15">
      <c r="O199" s="5">
        <f t="shared" si="33"/>
        <v>0</v>
      </c>
    </row>
    <row r="200" ht="15">
      <c r="O200" s="5">
        <f t="shared" si="33"/>
        <v>0</v>
      </c>
    </row>
    <row r="201" ht="15">
      <c r="O201" s="5">
        <f t="shared" si="33"/>
        <v>0</v>
      </c>
    </row>
    <row r="202" ht="15">
      <c r="O202" s="5">
        <f t="shared" si="33"/>
        <v>0</v>
      </c>
    </row>
    <row r="203" ht="15">
      <c r="O203" s="5">
        <f t="shared" si="33"/>
        <v>0</v>
      </c>
    </row>
    <row r="204" ht="15">
      <c r="O204" s="5">
        <f aca="true" t="shared" si="34" ref="O204:O267">SUM(H204:M204)-F204</f>
        <v>0</v>
      </c>
    </row>
    <row r="205" ht="15">
      <c r="O205" s="5">
        <f t="shared" si="34"/>
        <v>0</v>
      </c>
    </row>
    <row r="206" ht="15">
      <c r="O206" s="5">
        <f t="shared" si="34"/>
        <v>0</v>
      </c>
    </row>
    <row r="207" ht="15">
      <c r="O207" s="5">
        <f t="shared" si="34"/>
        <v>0</v>
      </c>
    </row>
    <row r="208" ht="15">
      <c r="O208" s="5">
        <f t="shared" si="34"/>
        <v>0</v>
      </c>
    </row>
    <row r="209" ht="15">
      <c r="O209" s="5">
        <f t="shared" si="34"/>
        <v>0</v>
      </c>
    </row>
    <row r="210" ht="15">
      <c r="O210" s="5">
        <f t="shared" si="34"/>
        <v>0</v>
      </c>
    </row>
    <row r="211" ht="15">
      <c r="O211" s="5">
        <f t="shared" si="34"/>
        <v>0</v>
      </c>
    </row>
    <row r="212" ht="15">
      <c r="O212" s="5">
        <f t="shared" si="34"/>
        <v>0</v>
      </c>
    </row>
    <row r="213" ht="15">
      <c r="O213" s="5">
        <f t="shared" si="34"/>
        <v>0</v>
      </c>
    </row>
    <row r="214" ht="15">
      <c r="O214" s="5">
        <f t="shared" si="34"/>
        <v>0</v>
      </c>
    </row>
    <row r="215" ht="15">
      <c r="O215" s="5">
        <f t="shared" si="34"/>
        <v>0</v>
      </c>
    </row>
    <row r="216" ht="15">
      <c r="O216" s="5">
        <f t="shared" si="34"/>
        <v>0</v>
      </c>
    </row>
    <row r="217" ht="15">
      <c r="O217" s="5">
        <f t="shared" si="34"/>
        <v>0</v>
      </c>
    </row>
    <row r="218" ht="15">
      <c r="O218" s="5">
        <f t="shared" si="34"/>
        <v>0</v>
      </c>
    </row>
    <row r="219" ht="15">
      <c r="O219" s="5">
        <f t="shared" si="34"/>
        <v>0</v>
      </c>
    </row>
    <row r="220" ht="15">
      <c r="O220" s="5">
        <f t="shared" si="34"/>
        <v>0</v>
      </c>
    </row>
    <row r="221" ht="15">
      <c r="O221" s="5">
        <f t="shared" si="34"/>
        <v>0</v>
      </c>
    </row>
    <row r="222" ht="15">
      <c r="O222" s="5">
        <f t="shared" si="34"/>
        <v>0</v>
      </c>
    </row>
    <row r="223" ht="15">
      <c r="O223" s="5">
        <f t="shared" si="34"/>
        <v>0</v>
      </c>
    </row>
    <row r="224" ht="15">
      <c r="O224" s="5">
        <f t="shared" si="34"/>
        <v>0</v>
      </c>
    </row>
    <row r="225" ht="15">
      <c r="O225" s="5">
        <f t="shared" si="34"/>
        <v>0</v>
      </c>
    </row>
    <row r="226" ht="15">
      <c r="O226" s="5">
        <f t="shared" si="34"/>
        <v>0</v>
      </c>
    </row>
    <row r="227" ht="15">
      <c r="O227" s="5">
        <f t="shared" si="34"/>
        <v>0</v>
      </c>
    </row>
    <row r="228" ht="15">
      <c r="O228" s="5">
        <f t="shared" si="34"/>
        <v>0</v>
      </c>
    </row>
    <row r="229" ht="15">
      <c r="O229" s="5">
        <f t="shared" si="34"/>
        <v>0</v>
      </c>
    </row>
    <row r="230" ht="15">
      <c r="O230" s="5">
        <f t="shared" si="34"/>
        <v>0</v>
      </c>
    </row>
    <row r="231" ht="15">
      <c r="O231" s="5">
        <f t="shared" si="34"/>
        <v>0</v>
      </c>
    </row>
    <row r="232" ht="15">
      <c r="O232" s="5">
        <f t="shared" si="34"/>
        <v>0</v>
      </c>
    </row>
    <row r="233" ht="15">
      <c r="O233" s="5">
        <f t="shared" si="34"/>
        <v>0</v>
      </c>
    </row>
    <row r="234" ht="15">
      <c r="O234" s="5">
        <f t="shared" si="34"/>
        <v>0</v>
      </c>
    </row>
    <row r="235" ht="15">
      <c r="O235" s="5">
        <f t="shared" si="34"/>
        <v>0</v>
      </c>
    </row>
    <row r="236" ht="15">
      <c r="O236" s="5">
        <f t="shared" si="34"/>
        <v>0</v>
      </c>
    </row>
    <row r="237" ht="15">
      <c r="O237" s="5">
        <f t="shared" si="34"/>
        <v>0</v>
      </c>
    </row>
    <row r="238" ht="15">
      <c r="O238" s="5">
        <f t="shared" si="34"/>
        <v>0</v>
      </c>
    </row>
    <row r="239" ht="15">
      <c r="O239" s="5">
        <f t="shared" si="34"/>
        <v>0</v>
      </c>
    </row>
    <row r="240" ht="15">
      <c r="O240" s="5">
        <f t="shared" si="34"/>
        <v>0</v>
      </c>
    </row>
    <row r="241" ht="15">
      <c r="O241" s="5">
        <f t="shared" si="34"/>
        <v>0</v>
      </c>
    </row>
    <row r="242" ht="15">
      <c r="O242" s="5">
        <f t="shared" si="34"/>
        <v>0</v>
      </c>
    </row>
    <row r="243" ht="15">
      <c r="O243" s="5">
        <f t="shared" si="34"/>
        <v>0</v>
      </c>
    </row>
    <row r="244" ht="15">
      <c r="O244" s="5">
        <f t="shared" si="34"/>
        <v>0</v>
      </c>
    </row>
    <row r="245" ht="15">
      <c r="O245" s="5">
        <f t="shared" si="34"/>
        <v>0</v>
      </c>
    </row>
    <row r="246" ht="15">
      <c r="O246" s="5">
        <f t="shared" si="34"/>
        <v>0</v>
      </c>
    </row>
    <row r="247" ht="15">
      <c r="O247" s="5">
        <f t="shared" si="34"/>
        <v>0</v>
      </c>
    </row>
    <row r="248" ht="15">
      <c r="O248" s="5">
        <f t="shared" si="34"/>
        <v>0</v>
      </c>
    </row>
    <row r="249" ht="15">
      <c r="O249" s="5">
        <f t="shared" si="34"/>
        <v>0</v>
      </c>
    </row>
    <row r="250" ht="15">
      <c r="O250" s="5">
        <f t="shared" si="34"/>
        <v>0</v>
      </c>
    </row>
    <row r="251" ht="15">
      <c r="O251" s="5">
        <f t="shared" si="34"/>
        <v>0</v>
      </c>
    </row>
    <row r="252" ht="15">
      <c r="O252" s="5">
        <f t="shared" si="34"/>
        <v>0</v>
      </c>
    </row>
    <row r="253" ht="15">
      <c r="O253" s="5">
        <f t="shared" si="34"/>
        <v>0</v>
      </c>
    </row>
    <row r="254" ht="15">
      <c r="O254" s="5">
        <f t="shared" si="34"/>
        <v>0</v>
      </c>
    </row>
    <row r="255" ht="15">
      <c r="O255" s="5">
        <f t="shared" si="34"/>
        <v>0</v>
      </c>
    </row>
    <row r="256" ht="15">
      <c r="O256" s="5">
        <f t="shared" si="34"/>
        <v>0</v>
      </c>
    </row>
    <row r="257" ht="15">
      <c r="O257" s="5">
        <f t="shared" si="34"/>
        <v>0</v>
      </c>
    </row>
    <row r="258" ht="15">
      <c r="O258" s="5">
        <f t="shared" si="34"/>
        <v>0</v>
      </c>
    </row>
    <row r="259" ht="15">
      <c r="O259" s="5">
        <f t="shared" si="34"/>
        <v>0</v>
      </c>
    </row>
    <row r="260" ht="15">
      <c r="O260" s="5">
        <f t="shared" si="34"/>
        <v>0</v>
      </c>
    </row>
    <row r="261" ht="15">
      <c r="O261" s="5">
        <f t="shared" si="34"/>
        <v>0</v>
      </c>
    </row>
    <row r="262" ht="15">
      <c r="O262" s="5">
        <f t="shared" si="34"/>
        <v>0</v>
      </c>
    </row>
    <row r="263" ht="15">
      <c r="O263" s="5">
        <f t="shared" si="34"/>
        <v>0</v>
      </c>
    </row>
    <row r="264" ht="15">
      <c r="O264" s="5">
        <f t="shared" si="34"/>
        <v>0</v>
      </c>
    </row>
    <row r="265" ht="15">
      <c r="O265" s="5">
        <f t="shared" si="34"/>
        <v>0</v>
      </c>
    </row>
    <row r="266" ht="15">
      <c r="O266" s="5">
        <f t="shared" si="34"/>
        <v>0</v>
      </c>
    </row>
    <row r="267" ht="15">
      <c r="O267" s="5">
        <f t="shared" si="34"/>
        <v>0</v>
      </c>
    </row>
    <row r="268" ht="15">
      <c r="O268" s="5">
        <f aca="true" t="shared" si="35" ref="O268:O331">SUM(H268:M268)-F268</f>
        <v>0</v>
      </c>
    </row>
    <row r="269" ht="15">
      <c r="O269" s="5">
        <f t="shared" si="35"/>
        <v>0</v>
      </c>
    </row>
    <row r="270" ht="15">
      <c r="O270" s="5">
        <f t="shared" si="35"/>
        <v>0</v>
      </c>
    </row>
    <row r="271" ht="15">
      <c r="O271" s="5">
        <f t="shared" si="35"/>
        <v>0</v>
      </c>
    </row>
    <row r="272" ht="15">
      <c r="O272" s="5">
        <f t="shared" si="35"/>
        <v>0</v>
      </c>
    </row>
    <row r="273" ht="15">
      <c r="O273" s="5">
        <f t="shared" si="35"/>
        <v>0</v>
      </c>
    </row>
    <row r="274" ht="15">
      <c r="O274" s="5">
        <f t="shared" si="35"/>
        <v>0</v>
      </c>
    </row>
    <row r="275" ht="15">
      <c r="O275" s="5">
        <f t="shared" si="35"/>
        <v>0</v>
      </c>
    </row>
    <row r="276" ht="15">
      <c r="O276" s="5">
        <f t="shared" si="35"/>
        <v>0</v>
      </c>
    </row>
    <row r="277" ht="15">
      <c r="O277" s="5">
        <f t="shared" si="35"/>
        <v>0</v>
      </c>
    </row>
    <row r="278" ht="15">
      <c r="O278" s="5">
        <f t="shared" si="35"/>
        <v>0</v>
      </c>
    </row>
    <row r="279" ht="15">
      <c r="O279" s="5">
        <f t="shared" si="35"/>
        <v>0</v>
      </c>
    </row>
    <row r="280" ht="15">
      <c r="O280" s="5">
        <f t="shared" si="35"/>
        <v>0</v>
      </c>
    </row>
    <row r="281" ht="15">
      <c r="O281" s="5">
        <f t="shared" si="35"/>
        <v>0</v>
      </c>
    </row>
    <row r="282" ht="15">
      <c r="O282" s="5">
        <f t="shared" si="35"/>
        <v>0</v>
      </c>
    </row>
    <row r="283" ht="15">
      <c r="O283" s="5">
        <f t="shared" si="35"/>
        <v>0</v>
      </c>
    </row>
    <row r="284" ht="15">
      <c r="O284" s="5">
        <f t="shared" si="35"/>
        <v>0</v>
      </c>
    </row>
    <row r="285" ht="15">
      <c r="O285" s="5">
        <f t="shared" si="35"/>
        <v>0</v>
      </c>
    </row>
    <row r="286" ht="15">
      <c r="O286" s="5">
        <f t="shared" si="35"/>
        <v>0</v>
      </c>
    </row>
    <row r="287" ht="15">
      <c r="O287" s="5">
        <f t="shared" si="35"/>
        <v>0</v>
      </c>
    </row>
    <row r="288" ht="15">
      <c r="O288" s="5">
        <f t="shared" si="35"/>
        <v>0</v>
      </c>
    </row>
    <row r="289" ht="15">
      <c r="O289" s="5">
        <f t="shared" si="35"/>
        <v>0</v>
      </c>
    </row>
    <row r="290" ht="15">
      <c r="O290" s="5">
        <f t="shared" si="35"/>
        <v>0</v>
      </c>
    </row>
    <row r="291" ht="15">
      <c r="O291" s="5">
        <f t="shared" si="35"/>
        <v>0</v>
      </c>
    </row>
    <row r="292" ht="15">
      <c r="O292" s="5">
        <f t="shared" si="35"/>
        <v>0</v>
      </c>
    </row>
    <row r="293" ht="15">
      <c r="O293" s="5">
        <f t="shared" si="35"/>
        <v>0</v>
      </c>
    </row>
    <row r="294" ht="15">
      <c r="O294" s="5">
        <f t="shared" si="35"/>
        <v>0</v>
      </c>
    </row>
    <row r="295" ht="15">
      <c r="O295" s="5">
        <f t="shared" si="35"/>
        <v>0</v>
      </c>
    </row>
    <row r="296" ht="15">
      <c r="O296" s="5">
        <f t="shared" si="35"/>
        <v>0</v>
      </c>
    </row>
    <row r="297" ht="15">
      <c r="O297" s="5">
        <f t="shared" si="35"/>
        <v>0</v>
      </c>
    </row>
    <row r="298" ht="15">
      <c r="O298" s="5">
        <f t="shared" si="35"/>
        <v>0</v>
      </c>
    </row>
    <row r="299" ht="15">
      <c r="O299" s="5">
        <f t="shared" si="35"/>
        <v>0</v>
      </c>
    </row>
    <row r="300" ht="15">
      <c r="O300" s="5">
        <f t="shared" si="35"/>
        <v>0</v>
      </c>
    </row>
    <row r="301" ht="15">
      <c r="O301" s="5">
        <f t="shared" si="35"/>
        <v>0</v>
      </c>
    </row>
    <row r="302" ht="15">
      <c r="O302" s="5">
        <f t="shared" si="35"/>
        <v>0</v>
      </c>
    </row>
    <row r="303" ht="15">
      <c r="O303" s="5">
        <f t="shared" si="35"/>
        <v>0</v>
      </c>
    </row>
    <row r="304" ht="15">
      <c r="O304" s="5">
        <f t="shared" si="35"/>
        <v>0</v>
      </c>
    </row>
    <row r="305" ht="15">
      <c r="O305" s="5">
        <f t="shared" si="35"/>
        <v>0</v>
      </c>
    </row>
    <row r="306" ht="15">
      <c r="O306" s="5">
        <f t="shared" si="35"/>
        <v>0</v>
      </c>
    </row>
    <row r="307" ht="15">
      <c r="O307" s="5">
        <f t="shared" si="35"/>
        <v>0</v>
      </c>
    </row>
    <row r="308" ht="15">
      <c r="O308" s="5">
        <f t="shared" si="35"/>
        <v>0</v>
      </c>
    </row>
    <row r="309" ht="15">
      <c r="O309" s="5">
        <f t="shared" si="35"/>
        <v>0</v>
      </c>
    </row>
    <row r="310" ht="15">
      <c r="O310" s="5">
        <f t="shared" si="35"/>
        <v>0</v>
      </c>
    </row>
    <row r="311" ht="15">
      <c r="O311" s="5">
        <f t="shared" si="35"/>
        <v>0</v>
      </c>
    </row>
    <row r="312" ht="15">
      <c r="O312" s="5">
        <f t="shared" si="35"/>
        <v>0</v>
      </c>
    </row>
    <row r="313" ht="15">
      <c r="O313" s="5">
        <f t="shared" si="35"/>
        <v>0</v>
      </c>
    </row>
    <row r="314" ht="15">
      <c r="O314" s="5">
        <f t="shared" si="35"/>
        <v>0</v>
      </c>
    </row>
    <row r="315" ht="15">
      <c r="O315" s="5">
        <f t="shared" si="35"/>
        <v>0</v>
      </c>
    </row>
    <row r="316" ht="15">
      <c r="O316" s="5">
        <f t="shared" si="35"/>
        <v>0</v>
      </c>
    </row>
    <row r="317" ht="15">
      <c r="O317" s="5">
        <f t="shared" si="35"/>
        <v>0</v>
      </c>
    </row>
    <row r="318" ht="15">
      <c r="O318" s="5">
        <f t="shared" si="35"/>
        <v>0</v>
      </c>
    </row>
    <row r="319" ht="15">
      <c r="O319" s="5">
        <f t="shared" si="35"/>
        <v>0</v>
      </c>
    </row>
    <row r="320" ht="15">
      <c r="O320" s="5">
        <f t="shared" si="35"/>
        <v>0</v>
      </c>
    </row>
    <row r="321" ht="15">
      <c r="O321" s="5">
        <f t="shared" si="35"/>
        <v>0</v>
      </c>
    </row>
    <row r="322" ht="15">
      <c r="O322" s="5">
        <f t="shared" si="35"/>
        <v>0</v>
      </c>
    </row>
    <row r="323" ht="15">
      <c r="O323" s="5">
        <f t="shared" si="35"/>
        <v>0</v>
      </c>
    </row>
    <row r="324" ht="15">
      <c r="O324" s="5">
        <f t="shared" si="35"/>
        <v>0</v>
      </c>
    </row>
    <row r="325" ht="15">
      <c r="O325" s="5">
        <f t="shared" si="35"/>
        <v>0</v>
      </c>
    </row>
    <row r="326" ht="15">
      <c r="O326" s="5">
        <f t="shared" si="35"/>
        <v>0</v>
      </c>
    </row>
    <row r="327" ht="15">
      <c r="O327" s="5">
        <f t="shared" si="35"/>
        <v>0</v>
      </c>
    </row>
    <row r="328" ht="15">
      <c r="O328" s="5">
        <f t="shared" si="35"/>
        <v>0</v>
      </c>
    </row>
    <row r="329" ht="15">
      <c r="O329" s="5">
        <f t="shared" si="35"/>
        <v>0</v>
      </c>
    </row>
    <row r="330" ht="15">
      <c r="O330" s="5">
        <f t="shared" si="35"/>
        <v>0</v>
      </c>
    </row>
    <row r="331" ht="15">
      <c r="O331" s="5">
        <f t="shared" si="35"/>
        <v>0</v>
      </c>
    </row>
    <row r="332" ht="15">
      <c r="O332" s="5">
        <f aca="true" t="shared" si="36" ref="O332:O395">SUM(H332:M332)-F332</f>
        <v>0</v>
      </c>
    </row>
    <row r="333" ht="15">
      <c r="O333" s="5">
        <f t="shared" si="36"/>
        <v>0</v>
      </c>
    </row>
    <row r="334" ht="15">
      <c r="O334" s="5">
        <f t="shared" si="36"/>
        <v>0</v>
      </c>
    </row>
    <row r="335" ht="15">
      <c r="O335" s="5">
        <f t="shared" si="36"/>
        <v>0</v>
      </c>
    </row>
    <row r="336" ht="15">
      <c r="O336" s="5">
        <f t="shared" si="36"/>
        <v>0</v>
      </c>
    </row>
    <row r="337" ht="15">
      <c r="O337" s="5">
        <f t="shared" si="36"/>
        <v>0</v>
      </c>
    </row>
    <row r="338" ht="15">
      <c r="O338" s="5">
        <f t="shared" si="36"/>
        <v>0</v>
      </c>
    </row>
    <row r="339" ht="15">
      <c r="O339" s="5">
        <f t="shared" si="36"/>
        <v>0</v>
      </c>
    </row>
    <row r="340" ht="15">
      <c r="O340" s="5">
        <f t="shared" si="36"/>
        <v>0</v>
      </c>
    </row>
    <row r="341" ht="15">
      <c r="O341" s="5">
        <f t="shared" si="36"/>
        <v>0</v>
      </c>
    </row>
    <row r="342" ht="15">
      <c r="O342" s="5">
        <f t="shared" si="36"/>
        <v>0</v>
      </c>
    </row>
    <row r="343" ht="15">
      <c r="O343" s="5">
        <f t="shared" si="36"/>
        <v>0</v>
      </c>
    </row>
    <row r="344" ht="15">
      <c r="O344" s="5">
        <f t="shared" si="36"/>
        <v>0</v>
      </c>
    </row>
    <row r="345" ht="15">
      <c r="O345" s="5">
        <f t="shared" si="36"/>
        <v>0</v>
      </c>
    </row>
    <row r="346" ht="15">
      <c r="O346" s="5">
        <f t="shared" si="36"/>
        <v>0</v>
      </c>
    </row>
    <row r="347" ht="15">
      <c r="O347" s="5">
        <f t="shared" si="36"/>
        <v>0</v>
      </c>
    </row>
    <row r="348" ht="15">
      <c r="O348" s="5">
        <f t="shared" si="36"/>
        <v>0</v>
      </c>
    </row>
    <row r="349" ht="15">
      <c r="O349" s="5">
        <f t="shared" si="36"/>
        <v>0</v>
      </c>
    </row>
    <row r="350" ht="15">
      <c r="O350" s="5">
        <f t="shared" si="36"/>
        <v>0</v>
      </c>
    </row>
    <row r="351" ht="15">
      <c r="O351" s="5">
        <f t="shared" si="36"/>
        <v>0</v>
      </c>
    </row>
    <row r="352" ht="15">
      <c r="O352" s="5">
        <f t="shared" si="36"/>
        <v>0</v>
      </c>
    </row>
    <row r="353" ht="15">
      <c r="O353" s="5">
        <f t="shared" si="36"/>
        <v>0</v>
      </c>
    </row>
    <row r="354" ht="15">
      <c r="O354" s="5">
        <f t="shared" si="36"/>
        <v>0</v>
      </c>
    </row>
    <row r="355" ht="15">
      <c r="O355" s="5">
        <f t="shared" si="36"/>
        <v>0</v>
      </c>
    </row>
    <row r="356" ht="15">
      <c r="O356" s="5">
        <f t="shared" si="36"/>
        <v>0</v>
      </c>
    </row>
    <row r="357" ht="15">
      <c r="O357" s="5">
        <f t="shared" si="36"/>
        <v>0</v>
      </c>
    </row>
    <row r="358" ht="15">
      <c r="O358" s="5">
        <f t="shared" si="36"/>
        <v>0</v>
      </c>
    </row>
    <row r="359" ht="15">
      <c r="O359" s="5">
        <f t="shared" si="36"/>
        <v>0</v>
      </c>
    </row>
    <row r="360" ht="15">
      <c r="O360" s="5">
        <f t="shared" si="36"/>
        <v>0</v>
      </c>
    </row>
    <row r="361" ht="15">
      <c r="O361" s="5">
        <f t="shared" si="36"/>
        <v>0</v>
      </c>
    </row>
    <row r="362" ht="15">
      <c r="O362" s="5">
        <f t="shared" si="36"/>
        <v>0</v>
      </c>
    </row>
    <row r="363" ht="15">
      <c r="O363" s="5">
        <f t="shared" si="36"/>
        <v>0</v>
      </c>
    </row>
    <row r="364" ht="15">
      <c r="O364" s="5">
        <f t="shared" si="36"/>
        <v>0</v>
      </c>
    </row>
    <row r="365" ht="15">
      <c r="O365" s="5">
        <f t="shared" si="36"/>
        <v>0</v>
      </c>
    </row>
    <row r="366" ht="15">
      <c r="O366" s="5">
        <f t="shared" si="36"/>
        <v>0</v>
      </c>
    </row>
    <row r="367" ht="15">
      <c r="O367" s="5">
        <f t="shared" si="36"/>
        <v>0</v>
      </c>
    </row>
    <row r="368" ht="15">
      <c r="O368" s="5">
        <f t="shared" si="36"/>
        <v>0</v>
      </c>
    </row>
    <row r="369" ht="15">
      <c r="O369" s="5">
        <f t="shared" si="36"/>
        <v>0</v>
      </c>
    </row>
    <row r="370" ht="15">
      <c r="O370" s="5">
        <f t="shared" si="36"/>
        <v>0</v>
      </c>
    </row>
    <row r="371" ht="15">
      <c r="O371" s="5">
        <f t="shared" si="36"/>
        <v>0</v>
      </c>
    </row>
    <row r="372" ht="15">
      <c r="O372" s="5">
        <f t="shared" si="36"/>
        <v>0</v>
      </c>
    </row>
    <row r="373" ht="15">
      <c r="O373" s="5">
        <f t="shared" si="36"/>
        <v>0</v>
      </c>
    </row>
    <row r="374" ht="15">
      <c r="O374" s="5">
        <f t="shared" si="36"/>
        <v>0</v>
      </c>
    </row>
    <row r="375" ht="15">
      <c r="O375" s="5">
        <f t="shared" si="36"/>
        <v>0</v>
      </c>
    </row>
    <row r="376" ht="15">
      <c r="O376" s="5">
        <f t="shared" si="36"/>
        <v>0</v>
      </c>
    </row>
    <row r="377" ht="15">
      <c r="O377" s="5">
        <f t="shared" si="36"/>
        <v>0</v>
      </c>
    </row>
    <row r="378" ht="15">
      <c r="O378" s="5">
        <f t="shared" si="36"/>
        <v>0</v>
      </c>
    </row>
    <row r="379" ht="15">
      <c r="O379" s="5">
        <f t="shared" si="36"/>
        <v>0</v>
      </c>
    </row>
    <row r="380" ht="15">
      <c r="O380" s="5">
        <f t="shared" si="36"/>
        <v>0</v>
      </c>
    </row>
    <row r="381" ht="15">
      <c r="O381" s="5">
        <f t="shared" si="36"/>
        <v>0</v>
      </c>
    </row>
    <row r="382" ht="15">
      <c r="O382" s="5">
        <f t="shared" si="36"/>
        <v>0</v>
      </c>
    </row>
    <row r="383" ht="15">
      <c r="O383" s="5">
        <f t="shared" si="36"/>
        <v>0</v>
      </c>
    </row>
    <row r="384" ht="15">
      <c r="O384" s="5">
        <f t="shared" si="36"/>
        <v>0</v>
      </c>
    </row>
    <row r="385" ht="15">
      <c r="O385" s="5">
        <f t="shared" si="36"/>
        <v>0</v>
      </c>
    </row>
    <row r="386" ht="15">
      <c r="O386" s="5">
        <f t="shared" si="36"/>
        <v>0</v>
      </c>
    </row>
    <row r="387" ht="15">
      <c r="O387" s="5">
        <f t="shared" si="36"/>
        <v>0</v>
      </c>
    </row>
    <row r="388" ht="15">
      <c r="O388" s="5">
        <f t="shared" si="36"/>
        <v>0</v>
      </c>
    </row>
    <row r="389" ht="15">
      <c r="O389" s="5">
        <f t="shared" si="36"/>
        <v>0</v>
      </c>
    </row>
    <row r="390" ht="15">
      <c r="O390" s="5">
        <f t="shared" si="36"/>
        <v>0</v>
      </c>
    </row>
    <row r="391" ht="15">
      <c r="O391" s="5">
        <f t="shared" si="36"/>
        <v>0</v>
      </c>
    </row>
    <row r="392" ht="15">
      <c r="O392" s="5">
        <f t="shared" si="36"/>
        <v>0</v>
      </c>
    </row>
    <row r="393" ht="15">
      <c r="O393" s="5">
        <f t="shared" si="36"/>
        <v>0</v>
      </c>
    </row>
    <row r="394" ht="15">
      <c r="O394" s="5">
        <f t="shared" si="36"/>
        <v>0</v>
      </c>
    </row>
    <row r="395" ht="15">
      <c r="O395" s="5">
        <f t="shared" si="36"/>
        <v>0</v>
      </c>
    </row>
    <row r="396" ht="15">
      <c r="O396" s="5">
        <f aca="true" t="shared" si="37" ref="O396:O427">SUM(H396:M396)-F396</f>
        <v>0</v>
      </c>
    </row>
    <row r="397" ht="15">
      <c r="O397" s="5">
        <f t="shared" si="37"/>
        <v>0</v>
      </c>
    </row>
    <row r="398" ht="15">
      <c r="O398" s="5">
        <f t="shared" si="37"/>
        <v>0</v>
      </c>
    </row>
    <row r="399" ht="15">
      <c r="O399" s="5">
        <f t="shared" si="37"/>
        <v>0</v>
      </c>
    </row>
    <row r="400" ht="15">
      <c r="O400" s="5">
        <f t="shared" si="37"/>
        <v>0</v>
      </c>
    </row>
    <row r="401" ht="15">
      <c r="O401" s="5">
        <f t="shared" si="37"/>
        <v>0</v>
      </c>
    </row>
    <row r="402" ht="15">
      <c r="O402" s="5">
        <f t="shared" si="37"/>
        <v>0</v>
      </c>
    </row>
    <row r="403" ht="15">
      <c r="O403" s="5">
        <f t="shared" si="37"/>
        <v>0</v>
      </c>
    </row>
    <row r="404" ht="15">
      <c r="O404" s="5">
        <f t="shared" si="37"/>
        <v>0</v>
      </c>
    </row>
    <row r="405" ht="15">
      <c r="O405" s="5">
        <f t="shared" si="37"/>
        <v>0</v>
      </c>
    </row>
    <row r="406" ht="15">
      <c r="O406" s="5">
        <f t="shared" si="37"/>
        <v>0</v>
      </c>
    </row>
    <row r="407" ht="15">
      <c r="O407" s="5">
        <f t="shared" si="37"/>
        <v>0</v>
      </c>
    </row>
    <row r="408" ht="15">
      <c r="O408" s="5">
        <f t="shared" si="37"/>
        <v>0</v>
      </c>
    </row>
    <row r="409" ht="15">
      <c r="O409" s="5">
        <f t="shared" si="37"/>
        <v>0</v>
      </c>
    </row>
    <row r="410" ht="15">
      <c r="O410" s="5">
        <f t="shared" si="37"/>
        <v>0</v>
      </c>
    </row>
    <row r="411" ht="15">
      <c r="O411" s="5">
        <f t="shared" si="37"/>
        <v>0</v>
      </c>
    </row>
    <row r="412" ht="15">
      <c r="O412" s="5">
        <f t="shared" si="37"/>
        <v>0</v>
      </c>
    </row>
    <row r="413" ht="15">
      <c r="O413" s="5">
        <f t="shared" si="37"/>
        <v>0</v>
      </c>
    </row>
    <row r="414" ht="15">
      <c r="O414" s="5">
        <f t="shared" si="37"/>
        <v>0</v>
      </c>
    </row>
    <row r="415" ht="15">
      <c r="O415" s="5">
        <f t="shared" si="37"/>
        <v>0</v>
      </c>
    </row>
    <row r="416" ht="15">
      <c r="O416" s="5">
        <f t="shared" si="37"/>
        <v>0</v>
      </c>
    </row>
    <row r="417" ht="15">
      <c r="O417" s="5">
        <f t="shared" si="37"/>
        <v>0</v>
      </c>
    </row>
    <row r="418" ht="15">
      <c r="O418" s="5">
        <f t="shared" si="37"/>
        <v>0</v>
      </c>
    </row>
    <row r="419" ht="15">
      <c r="O419" s="5">
        <f t="shared" si="37"/>
        <v>0</v>
      </c>
    </row>
    <row r="420" ht="15">
      <c r="O420" s="5">
        <f t="shared" si="37"/>
        <v>0</v>
      </c>
    </row>
    <row r="421" ht="15">
      <c r="O421" s="5">
        <f t="shared" si="37"/>
        <v>0</v>
      </c>
    </row>
    <row r="422" ht="15">
      <c r="O422" s="5">
        <f t="shared" si="37"/>
        <v>0</v>
      </c>
    </row>
    <row r="423" ht="15">
      <c r="O423" s="5">
        <f t="shared" si="37"/>
        <v>0</v>
      </c>
    </row>
    <row r="424" ht="15">
      <c r="O424" s="5">
        <f t="shared" si="37"/>
        <v>0</v>
      </c>
    </row>
    <row r="425" ht="15">
      <c r="O425" s="5">
        <f t="shared" si="37"/>
        <v>0</v>
      </c>
    </row>
    <row r="426" ht="15">
      <c r="O426" s="5">
        <f t="shared" si="37"/>
        <v>0</v>
      </c>
    </row>
    <row r="427" ht="15">
      <c r="O427" s="5">
        <f t="shared" si="37"/>
        <v>0</v>
      </c>
    </row>
  </sheetData>
  <sheetProtection/>
  <printOptions/>
  <pageMargins left="0.5" right="0.5" top="0.5" bottom="0.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136"/>
  <sheetViews>
    <sheetView zoomScale="87" zoomScaleNormal="87" zoomScalePageLayoutView="0" workbookViewId="0" topLeftCell="A1">
      <selection activeCell="G24" sqref="G24"/>
    </sheetView>
  </sheetViews>
  <sheetFormatPr defaultColWidth="8.88671875" defaultRowHeight="15"/>
  <cols>
    <col min="1" max="1" width="8.6640625" style="1" customWidth="1"/>
    <col min="2" max="2" width="32.6640625" style="1" customWidth="1"/>
    <col min="3" max="4" width="9.6640625" style="1" customWidth="1"/>
    <col min="5" max="5" width="5.6640625" style="1" customWidth="1"/>
    <col min="6" max="6" width="12.6640625" style="1" customWidth="1"/>
    <col min="7" max="8" width="14.6640625" style="1" customWidth="1"/>
    <col min="9" max="9" width="11.6640625" style="1" customWidth="1"/>
    <col min="10" max="10" width="13.6640625" style="1" customWidth="1"/>
    <col min="11" max="11" width="11.6640625" style="1" customWidth="1"/>
    <col min="12" max="16384" width="9.6640625" style="1" customWidth="1"/>
  </cols>
  <sheetData>
    <row r="1" spans="7:11" ht="15">
      <c r="G1" s="1">
        <v>3</v>
      </c>
      <c r="H1" s="1">
        <v>4</v>
      </c>
      <c r="I1" s="1">
        <v>5</v>
      </c>
      <c r="J1" s="1">
        <v>6</v>
      </c>
      <c r="K1" s="1">
        <v>8</v>
      </c>
    </row>
    <row r="4" spans="1:12" ht="15">
      <c r="A4" s="7" t="s">
        <v>324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>
      <c r="A5" s="7" t="s">
        <v>325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5" ht="15">
      <c r="A6" s="7" t="s">
        <v>326</v>
      </c>
      <c r="B6" s="7"/>
      <c r="C6" s="7"/>
      <c r="D6" s="7"/>
      <c r="E6" s="7"/>
      <c r="F6" s="7"/>
      <c r="G6" s="1" t="s">
        <v>141</v>
      </c>
      <c r="H6" s="1" t="s">
        <v>143</v>
      </c>
      <c r="I6" s="1" t="s">
        <v>145</v>
      </c>
      <c r="J6" s="1" t="s">
        <v>147</v>
      </c>
      <c r="K6" s="1" t="s">
        <v>149</v>
      </c>
      <c r="L6" s="1" t="s">
        <v>151</v>
      </c>
      <c r="M6" s="1" t="s">
        <v>153</v>
      </c>
      <c r="N6" s="1" t="s">
        <v>154</v>
      </c>
      <c r="O6" s="1" t="s">
        <v>155</v>
      </c>
    </row>
    <row r="7" spans="1:254" ht="31.5">
      <c r="A7" s="2" t="s">
        <v>56</v>
      </c>
      <c r="B7" s="2" t="s">
        <v>42</v>
      </c>
      <c r="C7" s="2"/>
      <c r="D7" s="2" t="s">
        <v>43</v>
      </c>
      <c r="E7" s="2" t="s">
        <v>44</v>
      </c>
      <c r="F7" s="2" t="s">
        <v>48</v>
      </c>
      <c r="G7" s="8" t="s">
        <v>142</v>
      </c>
      <c r="H7" s="8" t="s">
        <v>144</v>
      </c>
      <c r="I7" s="8" t="s">
        <v>146</v>
      </c>
      <c r="J7" s="8" t="s">
        <v>148</v>
      </c>
      <c r="K7" s="8" t="s">
        <v>150</v>
      </c>
      <c r="L7" s="8" t="s">
        <v>152</v>
      </c>
      <c r="M7" s="8" t="s">
        <v>152</v>
      </c>
      <c r="N7" s="8" t="s">
        <v>152</v>
      </c>
      <c r="O7" s="8" t="s">
        <v>152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5">
      <c r="A8" s="3"/>
      <c r="B8" s="3"/>
      <c r="C8" s="3"/>
      <c r="D8" s="3"/>
      <c r="E8" s="3"/>
      <c r="F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15" ht="15">
      <c r="A9" s="20">
        <v>1</v>
      </c>
      <c r="B9" s="1" t="s">
        <v>191</v>
      </c>
      <c r="D9" s="1" t="s">
        <v>364</v>
      </c>
      <c r="F9" s="30">
        <f aca="true" t="shared" si="0" ref="F9:F28">SUM(G9:L9)</f>
        <v>38180054</v>
      </c>
      <c r="G9" s="30">
        <v>17455191</v>
      </c>
      <c r="H9" s="30">
        <v>8840212</v>
      </c>
      <c r="I9" s="30">
        <v>841764</v>
      </c>
      <c r="J9" s="30">
        <v>343961</v>
      </c>
      <c r="K9" s="30">
        <v>10079083</v>
      </c>
      <c r="L9" s="30">
        <v>619843</v>
      </c>
      <c r="M9" s="30">
        <v>619843</v>
      </c>
      <c r="N9" s="30">
        <v>0</v>
      </c>
      <c r="O9" s="30">
        <v>0</v>
      </c>
    </row>
    <row r="10" spans="1:15" ht="15">
      <c r="A10" s="20">
        <f aca="true" t="shared" si="1" ref="A10:A41">A9+1</f>
        <v>2</v>
      </c>
      <c r="B10" s="1" t="s">
        <v>327</v>
      </c>
      <c r="D10" s="1" t="s">
        <v>365</v>
      </c>
      <c r="F10" s="30">
        <f t="shared" si="0"/>
        <v>18974756</v>
      </c>
      <c r="G10" s="30">
        <v>12577844</v>
      </c>
      <c r="H10" s="30">
        <v>5929064</v>
      </c>
      <c r="I10" s="30">
        <v>467848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</row>
    <row r="11" spans="1:15" ht="15">
      <c r="A11" s="20">
        <f t="shared" si="1"/>
        <v>3</v>
      </c>
      <c r="B11" s="1" t="s">
        <v>76</v>
      </c>
      <c r="D11" s="1" t="s">
        <v>366</v>
      </c>
      <c r="F11" s="30">
        <f t="shared" si="0"/>
        <v>18974756</v>
      </c>
      <c r="G11" s="30">
        <f aca="true" t="shared" si="2" ref="G11:O11">G10</f>
        <v>12577844</v>
      </c>
      <c r="H11" s="30">
        <f t="shared" si="2"/>
        <v>5929064</v>
      </c>
      <c r="I11" s="30">
        <f t="shared" si="2"/>
        <v>467848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</row>
    <row r="12" spans="1:15" ht="15">
      <c r="A12" s="20">
        <f t="shared" si="1"/>
        <v>4</v>
      </c>
      <c r="B12" s="1" t="s">
        <v>108</v>
      </c>
      <c r="D12" s="1" t="s">
        <v>367</v>
      </c>
      <c r="F12" s="30">
        <f t="shared" si="0"/>
        <v>38180054</v>
      </c>
      <c r="G12" s="30">
        <v>17455191</v>
      </c>
      <c r="H12" s="30">
        <v>8840212</v>
      </c>
      <c r="I12" s="30">
        <v>841764</v>
      </c>
      <c r="J12" s="30">
        <v>343961</v>
      </c>
      <c r="K12" s="30">
        <v>10079083</v>
      </c>
      <c r="L12" s="30">
        <v>619843</v>
      </c>
      <c r="M12" s="30">
        <v>619843</v>
      </c>
      <c r="N12" s="30">
        <v>0</v>
      </c>
      <c r="O12" s="30">
        <v>0</v>
      </c>
    </row>
    <row r="13" spans="1:15" ht="15">
      <c r="A13" s="20">
        <f t="shared" si="1"/>
        <v>5</v>
      </c>
      <c r="B13" s="1" t="s">
        <v>328</v>
      </c>
      <c r="F13" s="30">
        <f t="shared" si="0"/>
        <v>28790633.62364267</v>
      </c>
      <c r="G13" s="30">
        <f aca="true" t="shared" si="3" ref="G13:O13">G19/G18*G12</f>
        <v>17455191</v>
      </c>
      <c r="H13" s="30">
        <f t="shared" si="3"/>
        <v>8828700.450777588</v>
      </c>
      <c r="I13" s="30">
        <f t="shared" si="3"/>
        <v>824035.3547476174</v>
      </c>
      <c r="J13" s="30">
        <f t="shared" si="3"/>
        <v>206192.90921228303</v>
      </c>
      <c r="K13" s="30">
        <f t="shared" si="3"/>
        <v>1476513.9089051834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 t="e">
        <f t="shared" si="3"/>
        <v>#DIV/0!</v>
      </c>
    </row>
    <row r="14" spans="1:15" ht="15">
      <c r="A14" s="20">
        <f t="shared" si="1"/>
        <v>6</v>
      </c>
      <c r="B14" s="1" t="s">
        <v>191</v>
      </c>
      <c r="D14" s="1" t="s">
        <v>368</v>
      </c>
      <c r="F14" s="30">
        <f t="shared" si="0"/>
        <v>514838</v>
      </c>
      <c r="G14" s="30">
        <v>302393</v>
      </c>
      <c r="H14" s="30">
        <v>134390</v>
      </c>
      <c r="I14" s="30">
        <v>8499</v>
      </c>
      <c r="J14" s="30">
        <v>3745</v>
      </c>
      <c r="K14" s="30">
        <v>63143</v>
      </c>
      <c r="L14" s="30">
        <v>2668</v>
      </c>
      <c r="M14" s="30">
        <v>67</v>
      </c>
      <c r="N14" s="30">
        <v>9703</v>
      </c>
      <c r="O14" s="30">
        <v>1350</v>
      </c>
    </row>
    <row r="15" spans="1:15" ht="15">
      <c r="A15" s="20">
        <f t="shared" si="1"/>
        <v>7</v>
      </c>
      <c r="B15" s="1" t="s">
        <v>327</v>
      </c>
      <c r="D15" s="1" t="s">
        <v>369</v>
      </c>
      <c r="F15" s="30">
        <f t="shared" si="0"/>
        <v>12229953</v>
      </c>
      <c r="G15" s="30">
        <v>8249244</v>
      </c>
      <c r="H15" s="30">
        <v>3728072</v>
      </c>
      <c r="I15" s="30">
        <v>252637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110047</v>
      </c>
    </row>
    <row r="16" spans="1:15" ht="15">
      <c r="A16" s="20">
        <f t="shared" si="1"/>
        <v>8</v>
      </c>
      <c r="B16" s="1" t="s">
        <v>76</v>
      </c>
      <c r="D16" s="1" t="s">
        <v>370</v>
      </c>
      <c r="F16" s="30">
        <f t="shared" si="0"/>
        <v>12229953</v>
      </c>
      <c r="G16" s="30">
        <f aca="true" t="shared" si="4" ref="G16:O16">G15</f>
        <v>8249244</v>
      </c>
      <c r="H16" s="30">
        <f t="shared" si="4"/>
        <v>3728072</v>
      </c>
      <c r="I16" s="30">
        <f t="shared" si="4"/>
        <v>252637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4"/>
        <v>0</v>
      </c>
      <c r="O16" s="30">
        <f t="shared" si="4"/>
        <v>110047</v>
      </c>
    </row>
    <row r="17" spans="1:15" ht="15">
      <c r="A17" s="20">
        <f t="shared" si="1"/>
        <v>9</v>
      </c>
      <c r="B17" s="1" t="s">
        <v>329</v>
      </c>
      <c r="D17" s="1" t="s">
        <v>371</v>
      </c>
      <c r="F17" s="30">
        <f t="shared" si="0"/>
        <v>514838</v>
      </c>
      <c r="G17" s="30">
        <f aca="true" t="shared" si="5" ref="G17:O17">G14</f>
        <v>302393</v>
      </c>
      <c r="H17" s="30">
        <f t="shared" si="5"/>
        <v>134390</v>
      </c>
      <c r="I17" s="30">
        <f t="shared" si="5"/>
        <v>8499</v>
      </c>
      <c r="J17" s="30">
        <f t="shared" si="5"/>
        <v>3745</v>
      </c>
      <c r="K17" s="30">
        <f t="shared" si="5"/>
        <v>63143</v>
      </c>
      <c r="L17" s="30">
        <f t="shared" si="5"/>
        <v>2668</v>
      </c>
      <c r="M17" s="30">
        <f t="shared" si="5"/>
        <v>67</v>
      </c>
      <c r="N17" s="30">
        <f t="shared" si="5"/>
        <v>9703</v>
      </c>
      <c r="O17" s="30">
        <f t="shared" si="5"/>
        <v>1350</v>
      </c>
    </row>
    <row r="18" spans="1:15" ht="15">
      <c r="A18" s="20">
        <f t="shared" si="1"/>
        <v>10</v>
      </c>
      <c r="B18" s="1" t="s">
        <v>330</v>
      </c>
      <c r="D18" s="1" t="s">
        <v>372</v>
      </c>
      <c r="F18" s="30">
        <f t="shared" si="0"/>
        <v>514838</v>
      </c>
      <c r="G18" s="30">
        <f aca="true" t="shared" si="6" ref="G18:N18">G17</f>
        <v>302393</v>
      </c>
      <c r="H18" s="30">
        <f t="shared" si="6"/>
        <v>134390</v>
      </c>
      <c r="I18" s="30">
        <f t="shared" si="6"/>
        <v>8499</v>
      </c>
      <c r="J18" s="30">
        <f t="shared" si="6"/>
        <v>3745</v>
      </c>
      <c r="K18" s="30">
        <f t="shared" si="6"/>
        <v>63143</v>
      </c>
      <c r="L18" s="30">
        <f t="shared" si="6"/>
        <v>2668</v>
      </c>
      <c r="M18" s="30">
        <f t="shared" si="6"/>
        <v>67</v>
      </c>
      <c r="N18" s="30">
        <f t="shared" si="6"/>
        <v>9703</v>
      </c>
      <c r="O18" s="30">
        <v>0</v>
      </c>
    </row>
    <row r="19" spans="1:15" ht="15">
      <c r="A19" s="20">
        <f t="shared" si="1"/>
        <v>11</v>
      </c>
      <c r="B19" s="1" t="s">
        <v>331</v>
      </c>
      <c r="D19" s="1" t="s">
        <v>373</v>
      </c>
      <c r="F19" s="30">
        <f t="shared" si="0"/>
        <v>456423</v>
      </c>
      <c r="G19" s="30">
        <f>G18</f>
        <v>302393</v>
      </c>
      <c r="H19" s="30">
        <v>134215</v>
      </c>
      <c r="I19" s="30">
        <v>8320</v>
      </c>
      <c r="J19" s="30">
        <v>2245</v>
      </c>
      <c r="K19" s="30">
        <v>9250</v>
      </c>
      <c r="L19" s="30">
        <v>0</v>
      </c>
      <c r="M19" s="30">
        <v>0</v>
      </c>
      <c r="N19" s="30">
        <v>0</v>
      </c>
      <c r="O19" s="30">
        <f>O18</f>
        <v>0</v>
      </c>
    </row>
    <row r="20" spans="1:15" ht="15">
      <c r="A20" s="20">
        <f t="shared" si="1"/>
        <v>12</v>
      </c>
      <c r="B20" s="1" t="s">
        <v>332</v>
      </c>
      <c r="D20" s="1" t="s">
        <v>374</v>
      </c>
      <c r="F20" s="30">
        <f t="shared" si="0"/>
        <v>318272</v>
      </c>
      <c r="G20" s="30">
        <v>292094</v>
      </c>
      <c r="H20" s="30">
        <v>25873</v>
      </c>
      <c r="I20" s="30">
        <v>214</v>
      </c>
      <c r="J20" s="30">
        <v>14</v>
      </c>
      <c r="K20" s="30">
        <v>76</v>
      </c>
      <c r="L20" s="30">
        <v>1</v>
      </c>
      <c r="M20" s="30">
        <v>1</v>
      </c>
      <c r="N20" s="30">
        <v>1</v>
      </c>
      <c r="O20" s="30">
        <v>3</v>
      </c>
    </row>
    <row r="21" spans="1:15" ht="15">
      <c r="A21" s="20">
        <f t="shared" si="1"/>
        <v>13</v>
      </c>
      <c r="B21" s="1" t="s">
        <v>333</v>
      </c>
      <c r="D21" s="1" t="s">
        <v>375</v>
      </c>
      <c r="F21" s="30">
        <f t="shared" si="0"/>
        <v>318210</v>
      </c>
      <c r="G21" s="30">
        <v>292094</v>
      </c>
      <c r="H21" s="30">
        <v>25872</v>
      </c>
      <c r="I21" s="30">
        <v>211</v>
      </c>
      <c r="J21" s="30">
        <v>3</v>
      </c>
      <c r="K21" s="30">
        <v>30</v>
      </c>
      <c r="L21" s="30">
        <v>0</v>
      </c>
      <c r="M21" s="30">
        <v>0</v>
      </c>
      <c r="N21" s="30">
        <v>0</v>
      </c>
      <c r="O21" s="30">
        <v>0</v>
      </c>
    </row>
    <row r="22" spans="1:15" ht="15">
      <c r="A22" s="20">
        <f t="shared" si="1"/>
        <v>14</v>
      </c>
      <c r="B22" s="1" t="s">
        <v>88</v>
      </c>
      <c r="D22" s="1" t="s">
        <v>376</v>
      </c>
      <c r="F22" s="30">
        <f t="shared" si="0"/>
        <v>207276808</v>
      </c>
      <c r="G22" s="30">
        <v>174287460</v>
      </c>
      <c r="H22" s="30">
        <v>32373114</v>
      </c>
      <c r="I22" s="30">
        <v>301380</v>
      </c>
      <c r="J22" s="30">
        <v>89336</v>
      </c>
      <c r="K22" s="30">
        <v>220543</v>
      </c>
      <c r="L22" s="30">
        <v>4975</v>
      </c>
      <c r="M22" s="30">
        <v>1244</v>
      </c>
      <c r="N22" s="30">
        <v>1244</v>
      </c>
      <c r="O22" s="30">
        <v>2487</v>
      </c>
    </row>
    <row r="23" spans="1:15" ht="15">
      <c r="A23" s="20">
        <f t="shared" si="1"/>
        <v>15</v>
      </c>
      <c r="B23" s="1" t="s">
        <v>89</v>
      </c>
      <c r="D23" s="1" t="s">
        <v>377</v>
      </c>
      <c r="F23" s="30">
        <f t="shared" si="0"/>
        <v>79575508</v>
      </c>
      <c r="G23" s="30">
        <v>65714058</v>
      </c>
      <c r="H23" s="30">
        <v>13189924</v>
      </c>
      <c r="I23" s="30">
        <v>527336</v>
      </c>
      <c r="J23" s="30">
        <v>73932</v>
      </c>
      <c r="K23" s="30">
        <v>70258</v>
      </c>
      <c r="L23" s="30">
        <v>0</v>
      </c>
      <c r="M23" s="30">
        <v>0</v>
      </c>
      <c r="N23" s="30">
        <v>0</v>
      </c>
      <c r="O23" s="30">
        <v>0</v>
      </c>
    </row>
    <row r="24" spans="1:15" ht="15">
      <c r="A24" s="20">
        <f t="shared" si="1"/>
        <v>16</v>
      </c>
      <c r="B24" s="1" t="s">
        <v>334</v>
      </c>
      <c r="F24" s="30">
        <f t="shared" si="0"/>
        <v>317295</v>
      </c>
      <c r="G24" s="30">
        <v>291228</v>
      </c>
      <c r="H24" s="30">
        <v>25761</v>
      </c>
      <c r="I24" s="30">
        <v>215</v>
      </c>
      <c r="J24" s="30">
        <v>14</v>
      </c>
      <c r="K24" s="30">
        <v>76</v>
      </c>
      <c r="L24" s="30">
        <v>1</v>
      </c>
      <c r="M24" s="30">
        <v>1</v>
      </c>
      <c r="N24" s="30">
        <v>1</v>
      </c>
      <c r="O24" s="30">
        <v>3</v>
      </c>
    </row>
    <row r="25" spans="1:15" ht="15">
      <c r="A25" s="20">
        <f t="shared" si="1"/>
        <v>17</v>
      </c>
      <c r="B25" s="1" t="s">
        <v>335</v>
      </c>
      <c r="D25" s="1" t="s">
        <v>378</v>
      </c>
      <c r="F25" s="30">
        <f t="shared" si="0"/>
        <v>347058</v>
      </c>
      <c r="G25" s="30">
        <v>291228</v>
      </c>
      <c r="H25" s="30">
        <v>51522</v>
      </c>
      <c r="I25" s="30">
        <v>430</v>
      </c>
      <c r="J25" s="30">
        <v>28</v>
      </c>
      <c r="K25" s="30">
        <v>3800</v>
      </c>
      <c r="L25" s="30">
        <v>50</v>
      </c>
      <c r="M25" s="30">
        <v>20</v>
      </c>
      <c r="N25" s="30">
        <v>20</v>
      </c>
      <c r="O25" s="30">
        <v>60</v>
      </c>
    </row>
    <row r="26" spans="1:15" ht="15">
      <c r="A26" s="20">
        <f t="shared" si="1"/>
        <v>18</v>
      </c>
      <c r="B26" s="1" t="s">
        <v>253</v>
      </c>
      <c r="D26" s="1" t="s">
        <v>379</v>
      </c>
      <c r="F26" s="30">
        <f t="shared" si="0"/>
        <v>347058</v>
      </c>
      <c r="G26" s="30">
        <f aca="true" t="shared" si="7" ref="G26:O26">G25</f>
        <v>291228</v>
      </c>
      <c r="H26" s="30">
        <f t="shared" si="7"/>
        <v>51522</v>
      </c>
      <c r="I26" s="30">
        <f t="shared" si="7"/>
        <v>430</v>
      </c>
      <c r="J26" s="30">
        <f t="shared" si="7"/>
        <v>28</v>
      </c>
      <c r="K26" s="30">
        <f t="shared" si="7"/>
        <v>3800</v>
      </c>
      <c r="L26" s="30">
        <f t="shared" si="7"/>
        <v>50</v>
      </c>
      <c r="M26" s="30">
        <f t="shared" si="7"/>
        <v>20</v>
      </c>
      <c r="N26" s="30">
        <f t="shared" si="7"/>
        <v>20</v>
      </c>
      <c r="O26" s="30">
        <f t="shared" si="7"/>
        <v>60</v>
      </c>
    </row>
    <row r="27" spans="1:15" ht="15">
      <c r="A27" s="20">
        <f t="shared" si="1"/>
        <v>19</v>
      </c>
      <c r="B27" s="1" t="s">
        <v>336</v>
      </c>
      <c r="F27" s="24">
        <f t="shared" si="0"/>
        <v>1</v>
      </c>
      <c r="G27" s="24">
        <f aca="true" t="shared" si="8" ref="G27:L27">G80</f>
        <v>0.5222682612096489</v>
      </c>
      <c r="H27" s="24">
        <f t="shared" si="8"/>
        <v>0.2462868139994353</v>
      </c>
      <c r="I27" s="24">
        <f t="shared" si="8"/>
        <v>0.019277662074395414</v>
      </c>
      <c r="J27" s="24">
        <f t="shared" si="8"/>
        <v>0.008141525734955331</v>
      </c>
      <c r="K27" s="24">
        <f t="shared" si="8"/>
        <v>0.19331726392530885</v>
      </c>
      <c r="L27" s="24">
        <f t="shared" si="8"/>
        <v>0.010708473056256296</v>
      </c>
      <c r="M27" s="30"/>
      <c r="N27" s="30"/>
      <c r="O27" s="30"/>
    </row>
    <row r="28" spans="1:15" ht="15">
      <c r="A28" s="20">
        <f t="shared" si="1"/>
        <v>20</v>
      </c>
      <c r="B28" s="1" t="s">
        <v>337</v>
      </c>
      <c r="F28" s="24">
        <f t="shared" si="0"/>
        <v>1</v>
      </c>
      <c r="G28" s="24">
        <f aca="true" t="shared" si="9" ref="G28:L28">G86</f>
        <v>0.6344040790642292</v>
      </c>
      <c r="H28" s="24">
        <f t="shared" si="9"/>
        <v>0.3003550956252615</v>
      </c>
      <c r="I28" s="24">
        <f t="shared" si="9"/>
        <v>0.023425175795911427</v>
      </c>
      <c r="J28" s="24">
        <f t="shared" si="9"/>
        <v>0.006040244037547457</v>
      </c>
      <c r="K28" s="24">
        <f t="shared" si="9"/>
        <v>0.03577540547705039</v>
      </c>
      <c r="L28" s="24">
        <f t="shared" si="9"/>
        <v>0</v>
      </c>
      <c r="M28" s="30"/>
      <c r="N28" s="30"/>
      <c r="O28" s="30"/>
    </row>
    <row r="29" spans="1:15" ht="15">
      <c r="A29" s="20">
        <f t="shared" si="1"/>
        <v>21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254" ht="15.75">
      <c r="A30" s="20">
        <f t="shared" si="1"/>
        <v>22</v>
      </c>
      <c r="B30" s="4"/>
      <c r="C30" s="4"/>
      <c r="D30" s="4"/>
      <c r="E30" s="4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15" ht="15">
      <c r="A31" s="20">
        <f t="shared" si="1"/>
        <v>23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5">
      <c r="A32" s="20">
        <f t="shared" si="1"/>
        <v>24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5">
      <c r="A33" s="20">
        <f t="shared" si="1"/>
        <v>25</v>
      </c>
      <c r="F33" s="30"/>
      <c r="G33" s="32"/>
      <c r="H33" s="32"/>
      <c r="I33" s="32"/>
      <c r="J33" s="32"/>
      <c r="K33" s="32"/>
      <c r="L33" s="30"/>
      <c r="M33" s="30"/>
      <c r="N33" s="30"/>
      <c r="O33" s="30"/>
    </row>
    <row r="34" spans="1:15" ht="15">
      <c r="A34" s="20">
        <f t="shared" si="1"/>
        <v>26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5">
      <c r="A35" s="20">
        <f t="shared" si="1"/>
        <v>27</v>
      </c>
      <c r="F35" s="30"/>
      <c r="G35" s="33"/>
      <c r="H35" s="33"/>
      <c r="I35" s="33"/>
      <c r="J35" s="33"/>
      <c r="K35" s="33"/>
      <c r="L35" s="30"/>
      <c r="M35" s="30"/>
      <c r="N35" s="30"/>
      <c r="O35" s="30"/>
    </row>
    <row r="36" spans="1:15" ht="15">
      <c r="A36" s="20">
        <f t="shared" si="1"/>
        <v>28</v>
      </c>
      <c r="B36" s="1" t="s">
        <v>338</v>
      </c>
      <c r="D36" s="1" t="s">
        <v>300</v>
      </c>
      <c r="F36" s="30">
        <f>SUM(G36:L36)</f>
        <v>270632419</v>
      </c>
      <c r="G36" s="30">
        <v>182088844</v>
      </c>
      <c r="H36" s="30">
        <v>75070341</v>
      </c>
      <c r="I36" s="30">
        <v>5901190</v>
      </c>
      <c r="J36" s="30">
        <v>2058005</v>
      </c>
      <c r="K36" s="30">
        <v>5314051</v>
      </c>
      <c r="L36" s="30">
        <v>199988</v>
      </c>
      <c r="M36" s="30">
        <v>210171</v>
      </c>
      <c r="N36" s="30">
        <v>294437</v>
      </c>
      <c r="O36" s="30">
        <v>7795557</v>
      </c>
    </row>
    <row r="37" spans="1:15" ht="15">
      <c r="A37" s="20">
        <f t="shared" si="1"/>
        <v>29</v>
      </c>
      <c r="B37" s="1" t="s">
        <v>339</v>
      </c>
      <c r="D37" s="1" t="s">
        <v>380</v>
      </c>
      <c r="F37" s="30">
        <f>SUM(G37:L37)</f>
        <v>127893686</v>
      </c>
      <c r="G37" s="30">
        <v>91874358</v>
      </c>
      <c r="H37" s="30">
        <v>29155957</v>
      </c>
      <c r="I37" s="30">
        <v>1695570</v>
      </c>
      <c r="J37" s="30">
        <v>227502</v>
      </c>
      <c r="K37" s="30">
        <v>4776105</v>
      </c>
      <c r="L37" s="30">
        <v>164194</v>
      </c>
      <c r="M37" s="30">
        <v>177747</v>
      </c>
      <c r="N37" s="30">
        <v>259769</v>
      </c>
      <c r="O37" s="30">
        <v>4309279</v>
      </c>
    </row>
    <row r="38" spans="1:15" ht="15">
      <c r="A38" s="20">
        <f t="shared" si="1"/>
        <v>30</v>
      </c>
      <c r="B38" s="1" t="s">
        <v>340</v>
      </c>
      <c r="D38" s="1" t="s">
        <v>381</v>
      </c>
      <c r="F38" s="30">
        <f>SUM(G38:L38)</f>
        <v>3968881</v>
      </c>
      <c r="G38" s="30">
        <v>3868118</v>
      </c>
      <c r="H38" s="30">
        <v>92275</v>
      </c>
      <c r="I38" s="30">
        <v>0</v>
      </c>
      <c r="J38" s="30">
        <v>1588</v>
      </c>
      <c r="K38" s="30">
        <v>6900</v>
      </c>
      <c r="L38" s="30">
        <v>0</v>
      </c>
      <c r="M38" s="30">
        <v>0</v>
      </c>
      <c r="N38" s="30">
        <v>0</v>
      </c>
      <c r="O38" s="30">
        <v>0</v>
      </c>
    </row>
    <row r="39" spans="1:15" ht="15">
      <c r="A39" s="20">
        <f t="shared" si="1"/>
        <v>31</v>
      </c>
      <c r="B39" s="1" t="s">
        <v>341</v>
      </c>
      <c r="D39" s="1" t="s">
        <v>302</v>
      </c>
      <c r="F39" s="30">
        <f>SUM(G39:L39)</f>
        <v>332763</v>
      </c>
      <c r="G39" s="30">
        <v>95489</v>
      </c>
      <c r="H39" s="30">
        <v>237274</v>
      </c>
      <c r="I39" s="30"/>
      <c r="J39" s="30"/>
      <c r="K39" s="30"/>
      <c r="L39" s="30"/>
      <c r="M39" s="30"/>
      <c r="N39" s="30"/>
      <c r="O39" s="30"/>
    </row>
    <row r="40" spans="1:15" ht="15">
      <c r="A40" s="20">
        <f t="shared" si="1"/>
        <v>32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">
      <c r="A41" s="20">
        <f t="shared" si="1"/>
        <v>33</v>
      </c>
      <c r="B41" s="1" t="s">
        <v>342</v>
      </c>
      <c r="D41" s="1" t="s">
        <v>382</v>
      </c>
      <c r="F41" s="30">
        <f>SUM(G41:L41)</f>
        <v>142738734</v>
      </c>
      <c r="G41" s="30">
        <v>90214487</v>
      </c>
      <c r="H41" s="30">
        <v>45914384</v>
      </c>
      <c r="I41" s="30">
        <v>4205620</v>
      </c>
      <c r="J41" s="30">
        <v>1830503</v>
      </c>
      <c r="K41" s="30">
        <v>537946</v>
      </c>
      <c r="L41" s="30">
        <v>35794</v>
      </c>
      <c r="M41" s="30">
        <v>34244</v>
      </c>
      <c r="N41" s="30">
        <v>34668</v>
      </c>
      <c r="O41" s="30">
        <v>3486278</v>
      </c>
    </row>
    <row r="42" spans="1:15" ht="15">
      <c r="A42" s="20">
        <f aca="true" t="shared" si="10" ref="A42:A73">A41+1</f>
        <v>34</v>
      </c>
      <c r="B42" s="3" t="s">
        <v>343</v>
      </c>
      <c r="C42" s="3"/>
      <c r="D42" s="3"/>
      <c r="E42" s="3"/>
      <c r="F42" s="30">
        <f aca="true" ca="1" t="shared" si="11" ref="F42:F51">SUM(G42:L42)</f>
        <v>699290316</v>
      </c>
      <c r="G42" s="34">
        <f>'Rate Base'!H44+'Rate Base'!H17+'Rate Base'!H13</f>
        <v>494632971.25377244</v>
      </c>
      <c r="H42" s="34">
        <f>'Rate Base'!I44+'Rate Base'!I17+'Rate Base'!I13</f>
        <v>172661884.78120035</v>
      </c>
      <c r="I42" s="34">
        <f>'Rate Base'!J44+'Rate Base'!J17+'Rate Base'!J13</f>
        <v>10667697.076147236</v>
      </c>
      <c r="J42" s="34">
        <f>'Rate Base'!K44+'Rate Base'!K17+'Rate Base'!K13</f>
        <v>2302360.3932574275</v>
      </c>
      <c r="K42" s="34">
        <f>'Rate Base'!L44+'Rate Base'!L17+'Rate Base'!L13</f>
        <v>18622395.719585758</v>
      </c>
      <c r="L42" s="30">
        <f>'Rate Base'!M44+'Rate Base'!M17+'Rate Base'!M13</f>
        <v>403006.77603683085</v>
      </c>
      <c r="M42" s="30">
        <f>'Rate Base'!N44+'Rate Base'!N17+'Rate Base'!N13</f>
        <v>0</v>
      </c>
      <c r="N42" s="30">
        <f>'Rate Base'!O44+'Rate Base'!O17+'Rate Base'!O13</f>
        <v>0</v>
      </c>
      <c r="O42" s="30">
        <f>'Rate Base'!P44+'Rate Base'!P17+'Rate Base'!P13</f>
        <v>0</v>
      </c>
    </row>
    <row r="43" spans="1:15" ht="15">
      <c r="A43" s="20">
        <f t="shared" si="10"/>
        <v>35</v>
      </c>
      <c r="B43" s="1" t="s">
        <v>344</v>
      </c>
      <c r="F43" s="30">
        <f ca="1" t="shared" si="11"/>
        <v>595582168</v>
      </c>
      <c r="G43" s="30">
        <f>'Rate Base'!H44</f>
        <v>424680632.30037564</v>
      </c>
      <c r="H43" s="30">
        <f>'Rate Base'!I44</f>
        <v>141048399.2076535</v>
      </c>
      <c r="I43" s="30">
        <f>'Rate Base'!J44</f>
        <v>8525373.603090879</v>
      </c>
      <c r="J43" s="30">
        <f>'Rate Base'!K44</f>
        <v>2302360.3932574275</v>
      </c>
      <c r="K43" s="30">
        <f>'Rate Base'!L44</f>
        <v>18622395.719585758</v>
      </c>
      <c r="L43" s="30">
        <f>'Rate Base'!M44</f>
        <v>403006.77603683085</v>
      </c>
      <c r="M43" s="30">
        <f>'Rate Base'!N44</f>
        <v>0</v>
      </c>
      <c r="N43" s="30">
        <f>'Rate Base'!O44</f>
        <v>0</v>
      </c>
      <c r="O43" s="30">
        <f>'Rate Base'!P44</f>
        <v>0</v>
      </c>
    </row>
    <row r="44" spans="1:15" ht="15">
      <c r="A44" s="20">
        <f t="shared" si="10"/>
        <v>36</v>
      </c>
      <c r="B44" s="1" t="s">
        <v>345</v>
      </c>
      <c r="F44" s="30">
        <f ca="1" t="shared" si="11"/>
        <v>502516623</v>
      </c>
      <c r="G44" s="30">
        <f>'Rate Base'!H35+SUM('Rate Base'!H26:H31)</f>
        <v>354320197.91473126</v>
      </c>
      <c r="H44" s="30">
        <f>'Rate Base'!I35+SUM('Rate Base'!I26:I31)</f>
        <v>122438566.59460016</v>
      </c>
      <c r="I44" s="30">
        <f>'Rate Base'!J35+SUM('Rate Base'!J26:J31)</f>
        <v>7543042.975247225</v>
      </c>
      <c r="J44" s="30">
        <f>'Rate Base'!K35+SUM('Rate Base'!K26:K31)</f>
        <v>2043814.1278124435</v>
      </c>
      <c r="K44" s="30">
        <f>'Rate Base'!L35+SUM('Rate Base'!L26:L31)</f>
        <v>15868219.089159243</v>
      </c>
      <c r="L44" s="30">
        <f>'Rate Base'!M35+SUM('Rate Base'!M26:M31)</f>
        <v>302782.2984496973</v>
      </c>
      <c r="M44" s="30">
        <f>'Rate Base'!N35+SUM('Rate Base'!N26:N31)</f>
        <v>0</v>
      </c>
      <c r="N44" s="30">
        <f>'Rate Base'!O35+SUM('Rate Base'!O26:O31)</f>
        <v>0</v>
      </c>
      <c r="O44" s="30">
        <f>'Rate Base'!P35+SUM('Rate Base'!P26:P31)</f>
        <v>0</v>
      </c>
    </row>
    <row r="45" spans="1:15" ht="15">
      <c r="A45" s="20">
        <f t="shared" si="10"/>
        <v>37</v>
      </c>
      <c r="B45" s="1" t="s">
        <v>346</v>
      </c>
      <c r="F45" s="30">
        <f ca="1" t="shared" si="11"/>
        <v>270116841</v>
      </c>
      <c r="G45" s="30">
        <f>'Rate Base'!H74</f>
        <v>188916735.2544491</v>
      </c>
      <c r="H45" s="30">
        <f>'Rate Base'!I74</f>
        <v>68496212.66758458</v>
      </c>
      <c r="I45" s="30">
        <f>'Rate Base'!J74</f>
        <v>4315857.202368408</v>
      </c>
      <c r="J45" s="30">
        <f>'Rate Base'!K74</f>
        <v>904142.4448651917</v>
      </c>
      <c r="K45" s="30">
        <f>'Rate Base'!L74</f>
        <v>7328644.524959314</v>
      </c>
      <c r="L45" s="30">
        <f>'Rate Base'!M74</f>
        <v>155248.90577338415</v>
      </c>
      <c r="M45" s="30">
        <f>'Rate Base'!N74</f>
        <v>0</v>
      </c>
      <c r="N45" s="30">
        <f>'Rate Base'!O74</f>
        <v>0</v>
      </c>
      <c r="O45" s="30">
        <f>'Rate Base'!P74</f>
        <v>0</v>
      </c>
    </row>
    <row r="46" spans="1:15" ht="15">
      <c r="A46" s="20">
        <f t="shared" si="10"/>
        <v>38</v>
      </c>
      <c r="B46" s="1" t="s">
        <v>347</v>
      </c>
      <c r="F46" s="30">
        <f ca="1" t="shared" si="11"/>
        <v>63849391.35999999</v>
      </c>
      <c r="G46" s="30">
        <f>Expenses!H121</f>
        <v>45165766.37568918</v>
      </c>
      <c r="H46" s="30">
        <f>Expenses!I121</f>
        <v>15423878.409595573</v>
      </c>
      <c r="I46" s="30">
        <f>Expenses!J121</f>
        <v>946298.3705967854</v>
      </c>
      <c r="J46" s="30">
        <f>Expenses!K121</f>
        <v>175145.0150623639</v>
      </c>
      <c r="K46" s="30">
        <f>Expenses!L121</f>
        <v>2069748.1093737786</v>
      </c>
      <c r="L46" s="30">
        <f>Expenses!M121</f>
        <v>68555.0796823148</v>
      </c>
      <c r="M46" s="30">
        <f>Expenses!N121</f>
        <v>0</v>
      </c>
      <c r="N46" s="30">
        <f>Expenses!O121</f>
        <v>0</v>
      </c>
      <c r="O46" s="30">
        <f>Expenses!P121</f>
        <v>0</v>
      </c>
    </row>
    <row r="47" spans="1:15" ht="15">
      <c r="A47" s="20">
        <f t="shared" si="10"/>
        <v>39</v>
      </c>
      <c r="B47" s="1" t="s">
        <v>348</v>
      </c>
      <c r="F47" s="30">
        <f ca="1" t="shared" si="11"/>
        <v>15339544.950000001</v>
      </c>
      <c r="G47" s="30">
        <f>Labor!H14+Labor!H44+Labor!H92+Labor!H101+Labor!H104</f>
        <v>10749859.321216583</v>
      </c>
      <c r="H47" s="30">
        <f>Labor!I14+Labor!I44+Labor!I92+Labor!I101+Labor!I104</f>
        <v>3715638.2970639872</v>
      </c>
      <c r="I47" s="30">
        <f>Labor!J14+Labor!J44+Labor!J92+Labor!J101+Labor!J104</f>
        <v>232838.55606723047</v>
      </c>
      <c r="J47" s="30">
        <f>Labor!K14+Labor!K44+Labor!K92+Labor!K101+Labor!K104</f>
        <v>44220.33802694605</v>
      </c>
      <c r="K47" s="30">
        <f>Labor!L14+Labor!L44+Labor!L92+Labor!L101+Labor!L104</f>
        <v>575301.5774803999</v>
      </c>
      <c r="L47" s="30">
        <f>Labor!M14+Labor!M44+Labor!M92+Labor!M101+Labor!M104</f>
        <v>21686.860144853737</v>
      </c>
      <c r="M47" s="30">
        <f>Labor!N14+Labor!N44+Labor!N92+Labor!N101+Labor!N104</f>
        <v>0</v>
      </c>
      <c r="N47" s="30">
        <f>Labor!O14+Labor!O44+Labor!O92+Labor!O101+Labor!O104</f>
        <v>0</v>
      </c>
      <c r="O47" s="30">
        <f>Labor!P14+Labor!P44+Labor!P92+Labor!P101+Labor!P104</f>
        <v>0</v>
      </c>
    </row>
    <row r="48" spans="1:15" ht="15">
      <c r="A48" s="20">
        <f t="shared" si="10"/>
        <v>40</v>
      </c>
      <c r="B48" s="1" t="s">
        <v>349</v>
      </c>
      <c r="F48" s="30">
        <f ca="1" t="shared" si="11"/>
        <v>854044597.0000001</v>
      </c>
      <c r="G48" s="30">
        <f>'Rate Base'!H53+'Rate Base'!H62</f>
        <v>602123241.7493017</v>
      </c>
      <c r="H48" s="30">
        <f>'Rate Base'!I53+'Rate Base'!I62</f>
        <v>212329668.94328287</v>
      </c>
      <c r="I48" s="30">
        <f>'Rate Base'!J53+'Rate Base'!J62</f>
        <v>13232172.1706238</v>
      </c>
      <c r="J48" s="30">
        <f>'Rate Base'!K53+'Rate Base'!K62</f>
        <v>2847356.0227205097</v>
      </c>
      <c r="K48" s="30">
        <f>'Rate Base'!L53+'Rate Base'!L62</f>
        <v>23016739.709722143</v>
      </c>
      <c r="L48" s="30">
        <f>'Rate Base'!M53+'Rate Base'!M62</f>
        <v>495418.40434919146</v>
      </c>
      <c r="M48" s="30">
        <f>'Rate Base'!N53+'Rate Base'!N62</f>
        <v>0</v>
      </c>
      <c r="N48" s="30">
        <f>'Rate Base'!O53+'Rate Base'!O62</f>
        <v>0</v>
      </c>
      <c r="O48" s="30">
        <f>'Rate Base'!P53+'Rate Base'!P62</f>
        <v>0</v>
      </c>
    </row>
    <row r="49" spans="1:15" ht="15">
      <c r="A49" s="20">
        <f t="shared" si="10"/>
        <v>41</v>
      </c>
      <c r="B49" s="1" t="s">
        <v>350</v>
      </c>
      <c r="F49" s="30">
        <f ca="1" t="shared" si="11"/>
        <v>19437978.580000006</v>
      </c>
      <c r="G49" s="30">
        <f>Labor!H126</f>
        <v>13630704.856966704</v>
      </c>
      <c r="H49" s="30">
        <f>Labor!I126</f>
        <v>4714606.953063382</v>
      </c>
      <c r="I49" s="30">
        <f>Labor!J126</f>
        <v>295149.5905097454</v>
      </c>
      <c r="J49" s="30">
        <f>Labor!K126</f>
        <v>56579.245404860856</v>
      </c>
      <c r="K49" s="30">
        <f>Labor!L126</f>
        <v>714569.0390703982</v>
      </c>
      <c r="L49" s="30">
        <f>Labor!M126</f>
        <v>26368.894984910898</v>
      </c>
      <c r="M49" s="30">
        <f>Labor!N126</f>
        <v>0</v>
      </c>
      <c r="N49" s="30">
        <f>Labor!O126</f>
        <v>0</v>
      </c>
      <c r="O49" s="30">
        <f>Labor!P126</f>
        <v>0</v>
      </c>
    </row>
    <row r="50" spans="1:15" ht="15">
      <c r="A50" s="20">
        <f t="shared" si="10"/>
        <v>42</v>
      </c>
      <c r="B50" s="1" t="s">
        <v>351</v>
      </c>
      <c r="F50" s="30">
        <f ca="1" t="shared" si="11"/>
        <v>23851372.999999996</v>
      </c>
      <c r="G50" s="30">
        <f>Expenses!H164</f>
        <v>17392543.275448274</v>
      </c>
      <c r="H50" s="30">
        <f>Expenses!I164</f>
        <v>5527754.789155057</v>
      </c>
      <c r="I50" s="30">
        <f>Expenses!J164</f>
        <v>311521.32296836923</v>
      </c>
      <c r="J50" s="30">
        <f>Expenses!K164</f>
        <v>67368.15681438163</v>
      </c>
      <c r="K50" s="30">
        <f>Expenses!L164</f>
        <v>540162.3114419186</v>
      </c>
      <c r="L50" s="30">
        <f>Expenses!M164</f>
        <v>12023.144172000444</v>
      </c>
      <c r="M50" s="30">
        <f>Expenses!N164</f>
        <v>0</v>
      </c>
      <c r="N50" s="30">
        <f>Expenses!O164</f>
        <v>0</v>
      </c>
      <c r="O50" s="30">
        <f>Expenses!P164</f>
        <v>0</v>
      </c>
    </row>
    <row r="51" spans="1:15" ht="15">
      <c r="A51" s="20">
        <f t="shared" si="10"/>
        <v>43</v>
      </c>
      <c r="B51" s="1" t="s">
        <v>352</v>
      </c>
      <c r="D51" s="1" t="s">
        <v>383</v>
      </c>
      <c r="F51" s="30">
        <f ca="1" t="shared" si="11"/>
        <v>510347495.0000001</v>
      </c>
      <c r="G51" s="30">
        <f>'Rate Base'!H98</f>
        <v>360167318.5608831</v>
      </c>
      <c r="H51" s="30">
        <f>'Rate Base'!I98</f>
        <v>127586574.06262761</v>
      </c>
      <c r="I51" s="30">
        <f>'Rate Base'!J98</f>
        <v>7970882.514259954</v>
      </c>
      <c r="J51" s="30">
        <f>'Rate Base'!K98</f>
        <v>1571302.7667818465</v>
      </c>
      <c r="K51" s="30">
        <f>'Rate Base'!L98</f>
        <v>12770553.897732161</v>
      </c>
      <c r="L51" s="30">
        <f>'Rate Base'!M98</f>
        <v>280863.1977154842</v>
      </c>
      <c r="M51" s="30">
        <f>'Rate Base'!N98</f>
        <v>0</v>
      </c>
      <c r="N51" s="30">
        <f>'Rate Base'!O98</f>
        <v>0</v>
      </c>
      <c r="O51" s="30">
        <f>'Rate Base'!P98</f>
        <v>0</v>
      </c>
    </row>
    <row r="52" spans="1:15" ht="15">
      <c r="A52" s="20">
        <f t="shared" si="10"/>
        <v>44</v>
      </c>
      <c r="B52" s="1" t="s">
        <v>353</v>
      </c>
      <c r="D52" s="1" t="s">
        <v>384</v>
      </c>
      <c r="F52" s="30">
        <f>SUM(G52:L52)</f>
        <v>387739</v>
      </c>
      <c r="G52" s="5">
        <v>261960</v>
      </c>
      <c r="H52" s="5">
        <v>134196</v>
      </c>
      <c r="I52" s="5">
        <v>-8417</v>
      </c>
      <c r="J52" s="5">
        <v>0</v>
      </c>
      <c r="K52" s="5">
        <v>0</v>
      </c>
      <c r="L52" s="5">
        <v>0</v>
      </c>
      <c r="M52" s="30"/>
      <c r="N52" s="30"/>
      <c r="O52" s="30"/>
    </row>
    <row r="53" spans="1:15" ht="15">
      <c r="A53" s="20">
        <f t="shared" si="10"/>
        <v>45</v>
      </c>
      <c r="B53" s="1" t="s">
        <v>81</v>
      </c>
      <c r="D53" s="1" t="s">
        <v>81</v>
      </c>
      <c r="F53" s="30">
        <f ca="1">SUM(G53:L53)</f>
        <v>315318356.99999994</v>
      </c>
      <c r="G53" s="30">
        <f>SUM('Rate Base'!H26:H31)</f>
        <v>196915659.45066747</v>
      </c>
      <c r="H53" s="30">
        <f>SUM('Rate Base'!I26:I31)</f>
        <v>93201379.54847233</v>
      </c>
      <c r="I53" s="30">
        <f>SUM('Rate Base'!J26:J31)</f>
        <v>7270857.128931606</v>
      </c>
      <c r="J53" s="30">
        <f>SUM('Rate Base'!K26:K31)</f>
        <v>1963131.9499424717</v>
      </c>
      <c r="K53" s="30">
        <f>SUM('Rate Base'!L26:L31)</f>
        <v>15669039.703984428</v>
      </c>
      <c r="L53" s="30">
        <f>SUM('Rate Base'!M26:M31)</f>
        <v>298289.2180016908</v>
      </c>
      <c r="M53" s="30">
        <f>SUM('Rate Base'!N26:N31)</f>
        <v>0</v>
      </c>
      <c r="N53" s="30">
        <f>SUM('Rate Base'!O26:O31)</f>
        <v>0</v>
      </c>
      <c r="O53" s="30">
        <f>SUM('Rate Base'!P26:P31)</f>
        <v>0</v>
      </c>
    </row>
    <row r="54" spans="1:15" ht="15">
      <c r="A54" s="20">
        <f t="shared" si="10"/>
        <v>46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5">
      <c r="A55" s="20">
        <f t="shared" si="10"/>
        <v>47</v>
      </c>
      <c r="B55" s="1" t="s">
        <v>354</v>
      </c>
      <c r="F55" s="30">
        <f>SUM(G55:L55)</f>
        <v>-3968881</v>
      </c>
      <c r="G55" s="5">
        <v>-3868118</v>
      </c>
      <c r="H55" s="5">
        <v>-92275</v>
      </c>
      <c r="I55" s="5">
        <v>0</v>
      </c>
      <c r="J55" s="5">
        <v>-1588</v>
      </c>
      <c r="K55" s="5">
        <v>-6900</v>
      </c>
      <c r="L55" s="5"/>
      <c r="M55" s="30"/>
      <c r="N55" s="30"/>
      <c r="O55" s="30"/>
    </row>
    <row r="56" spans="1:15" ht="15">
      <c r="A56" s="20">
        <f t="shared" si="10"/>
        <v>48</v>
      </c>
      <c r="B56" s="8" t="s">
        <v>355</v>
      </c>
      <c r="F56" s="30">
        <f ca="1">SUM(G56:L56)</f>
        <v>1261537</v>
      </c>
      <c r="G56" s="30">
        <f>SUM(Labor!H19:H29)</f>
        <v>840794.659943481</v>
      </c>
      <c r="H56" s="30">
        <f>SUM(Labor!I19:I29)</f>
        <v>391203.03852695785</v>
      </c>
      <c r="I56" s="30">
        <f>SUM(Labor!J19:J29)</f>
        <v>29539.30152956112</v>
      </c>
      <c r="J56" s="30">
        <f>SUM(Labor!K19:K29)</f>
        <v>0</v>
      </c>
      <c r="K56" s="30">
        <f>SUM(Labor!L19:L29)</f>
        <v>0</v>
      </c>
      <c r="L56" s="30">
        <f>SUM(Labor!M19:M29)</f>
        <v>0</v>
      </c>
      <c r="M56" s="30">
        <f>SUM(Labor!N19:N29)</f>
        <v>0</v>
      </c>
      <c r="N56" s="30">
        <f>SUM(Labor!O19:O29)</f>
        <v>0</v>
      </c>
      <c r="O56" s="30"/>
    </row>
    <row r="57" spans="1:15" ht="15">
      <c r="A57" s="20">
        <f t="shared" si="10"/>
        <v>49</v>
      </c>
      <c r="B57" s="8" t="s">
        <v>356</v>
      </c>
      <c r="F57" s="30">
        <f ca="1">SUM(G57:L57)</f>
        <v>918484</v>
      </c>
      <c r="G57" s="30">
        <f>SUM(Labor!H36:H42)</f>
        <v>611755.5925262194</v>
      </c>
      <c r="H57" s="30">
        <f>SUM(Labor!I36:I42)</f>
        <v>285084.49882984045</v>
      </c>
      <c r="I57" s="30">
        <f>SUM(Labor!J36:J42)</f>
        <v>21643.908643940107</v>
      </c>
      <c r="J57" s="30">
        <f>SUM(Labor!K36:K42)</f>
        <v>0</v>
      </c>
      <c r="K57" s="30">
        <f>SUM(Labor!L36:L42)</f>
        <v>0</v>
      </c>
      <c r="L57" s="30">
        <f>SUM(Labor!M36:M42)</f>
        <v>0</v>
      </c>
      <c r="M57" s="30">
        <f>SUM(Labor!N36:N42)</f>
        <v>0</v>
      </c>
      <c r="N57" s="30">
        <f>SUM(Labor!O36:O42)</f>
        <v>0</v>
      </c>
      <c r="O57" s="30">
        <f>SUM(Labor!P36:P42)</f>
        <v>0</v>
      </c>
    </row>
    <row r="58" spans="1:15" ht="15">
      <c r="A58" s="20">
        <f t="shared" si="10"/>
        <v>50</v>
      </c>
      <c r="B58" s="1" t="s">
        <v>357</v>
      </c>
      <c r="F58" s="30">
        <f ca="1">SUM(G58:O58)</f>
        <v>163053640.99999997</v>
      </c>
      <c r="G58" s="30">
        <f>'Rate Base'!H125</f>
        <v>114722498.48256794</v>
      </c>
      <c r="H58" s="30">
        <f>'Rate Base'!I125</f>
        <v>39655071.95940319</v>
      </c>
      <c r="I58" s="30">
        <f>'Rate Base'!J125</f>
        <v>2454038.108796245</v>
      </c>
      <c r="J58" s="30">
        <f>'Rate Base'!K125</f>
        <v>670526.6565447098</v>
      </c>
      <c r="K58" s="30">
        <f>'Rate Base'!L125</f>
        <v>5436689.275027348</v>
      </c>
      <c r="L58" s="30">
        <f>'Rate Base'!M125</f>
        <v>114816.5176605551</v>
      </c>
      <c r="M58" s="30">
        <f>'Rate Base'!N125</f>
        <v>0</v>
      </c>
      <c r="N58" s="30">
        <f>'Rate Base'!O125</f>
        <v>0</v>
      </c>
      <c r="O58" s="30">
        <f>'Rate Base'!P125</f>
        <v>0</v>
      </c>
    </row>
    <row r="59" spans="1:15" ht="15">
      <c r="A59" s="20">
        <f t="shared" si="10"/>
        <v>51</v>
      </c>
      <c r="F59" s="30">
        <f aca="true" t="shared" si="12" ref="F59:F72">SUM(G59:L59)</f>
        <v>0</v>
      </c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5">
      <c r="A60" s="20">
        <f t="shared" si="10"/>
        <v>52</v>
      </c>
      <c r="F60" s="30">
        <f t="shared" si="12"/>
        <v>0</v>
      </c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5">
      <c r="A61" s="20">
        <f t="shared" si="10"/>
        <v>53</v>
      </c>
      <c r="F61" s="30">
        <f t="shared" si="12"/>
        <v>0</v>
      </c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5">
      <c r="A62" s="20">
        <f t="shared" si="10"/>
        <v>54</v>
      </c>
      <c r="F62" s="30">
        <f t="shared" si="12"/>
        <v>0</v>
      </c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5">
      <c r="A63" s="20">
        <f t="shared" si="10"/>
        <v>55</v>
      </c>
      <c r="F63" s="30">
        <f t="shared" si="12"/>
        <v>0</v>
      </c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5">
      <c r="A64" s="20">
        <f t="shared" si="10"/>
        <v>56</v>
      </c>
      <c r="F64" s="30">
        <f t="shared" si="12"/>
        <v>0</v>
      </c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5">
      <c r="A65" s="20">
        <f t="shared" si="10"/>
        <v>57</v>
      </c>
      <c r="F65" s="30">
        <f t="shared" si="12"/>
        <v>0</v>
      </c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5">
      <c r="A66" s="20">
        <f t="shared" si="10"/>
        <v>58</v>
      </c>
      <c r="F66" s="30">
        <f t="shared" si="12"/>
        <v>0</v>
      </c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5">
      <c r="A67" s="20">
        <f t="shared" si="10"/>
        <v>59</v>
      </c>
      <c r="F67" s="30">
        <f t="shared" si="12"/>
        <v>0</v>
      </c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5">
      <c r="A68" s="20">
        <f t="shared" si="10"/>
        <v>60</v>
      </c>
      <c r="F68" s="30">
        <f t="shared" si="12"/>
        <v>0</v>
      </c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5">
      <c r="A69" s="20">
        <f t="shared" si="10"/>
        <v>61</v>
      </c>
      <c r="F69" s="30">
        <f t="shared" si="12"/>
        <v>0</v>
      </c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5">
      <c r="A70" s="20">
        <f t="shared" si="10"/>
        <v>62</v>
      </c>
      <c r="F70" s="30">
        <f t="shared" si="12"/>
        <v>0</v>
      </c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5">
      <c r="A71" s="20">
        <f t="shared" si="10"/>
        <v>63</v>
      </c>
      <c r="F71" s="30">
        <f t="shared" si="12"/>
        <v>0</v>
      </c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5">
      <c r="A72" s="20">
        <f t="shared" si="10"/>
        <v>64</v>
      </c>
      <c r="F72" s="30">
        <f t="shared" si="12"/>
        <v>0</v>
      </c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5">
      <c r="A73" s="20">
        <f t="shared" si="10"/>
        <v>65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5">
      <c r="A74" s="20">
        <f aca="true" t="shared" si="13" ref="A74:A79">A73+1</f>
        <v>66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 ht="15">
      <c r="A75" s="20">
        <f t="shared" si="13"/>
        <v>67</v>
      </c>
      <c r="B75" s="8" t="s">
        <v>358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5">
      <c r="A76" s="20">
        <f t="shared" si="13"/>
        <v>68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5">
      <c r="A77" s="20">
        <f t="shared" si="13"/>
        <v>69</v>
      </c>
      <c r="B77" s="8" t="s">
        <v>359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5">
      <c r="A78" s="20">
        <f t="shared" si="13"/>
        <v>70</v>
      </c>
      <c r="B78" s="1" t="s">
        <v>360</v>
      </c>
      <c r="F78" s="24">
        <f>SUM(G78:O78)</f>
        <v>1</v>
      </c>
      <c r="G78" s="24">
        <f aca="true" t="shared" si="14" ref="G78:L78">G18/$F18</f>
        <v>0.5873556341994958</v>
      </c>
      <c r="H78" s="24">
        <f t="shared" si="14"/>
        <v>0.26103356784075765</v>
      </c>
      <c r="I78" s="24">
        <f t="shared" si="14"/>
        <v>0.016508105462300762</v>
      </c>
      <c r="J78" s="24">
        <f t="shared" si="14"/>
        <v>0.007274132834017691</v>
      </c>
      <c r="K78" s="24">
        <f t="shared" si="14"/>
        <v>0.12264634700624275</v>
      </c>
      <c r="L78" s="24">
        <f t="shared" si="14"/>
        <v>0.005182212657185367</v>
      </c>
      <c r="M78" s="24"/>
      <c r="N78" s="24"/>
      <c r="O78" s="24"/>
    </row>
    <row r="79" spans="1:15" ht="15">
      <c r="A79" s="20">
        <f t="shared" si="13"/>
        <v>71</v>
      </c>
      <c r="B79" s="1" t="s">
        <v>361</v>
      </c>
      <c r="F79" s="24">
        <f>SUM(G79:O79)</f>
        <v>1</v>
      </c>
      <c r="G79" s="24">
        <f aca="true" t="shared" si="15" ref="G79:L79">G12/$F12</f>
        <v>0.4571808882198019</v>
      </c>
      <c r="H79" s="24">
        <f t="shared" si="15"/>
        <v>0.23154006015811293</v>
      </c>
      <c r="I79" s="24">
        <f t="shared" si="15"/>
        <v>0.02204721868649007</v>
      </c>
      <c r="J79" s="24">
        <f t="shared" si="15"/>
        <v>0.009008918635892971</v>
      </c>
      <c r="K79" s="24">
        <f t="shared" si="15"/>
        <v>0.2639881808443749</v>
      </c>
      <c r="L79" s="24">
        <f t="shared" si="15"/>
        <v>0.016234733455327225</v>
      </c>
      <c r="M79" s="24"/>
      <c r="N79" s="24"/>
      <c r="O79" s="24"/>
    </row>
    <row r="80" spans="1:15" ht="15">
      <c r="A80" s="20"/>
      <c r="B80" s="1" t="s">
        <v>362</v>
      </c>
      <c r="F80" s="24">
        <f>SUM(G80:O80)</f>
        <v>1</v>
      </c>
      <c r="G80" s="24">
        <f aca="true" t="shared" si="16" ref="G80:L80">(+G78*0.5)+(G79*0.5)</f>
        <v>0.5222682612096489</v>
      </c>
      <c r="H80" s="24">
        <f t="shared" si="16"/>
        <v>0.2462868139994353</v>
      </c>
      <c r="I80" s="24">
        <f t="shared" si="16"/>
        <v>0.019277662074395414</v>
      </c>
      <c r="J80" s="24">
        <f t="shared" si="16"/>
        <v>0.008141525734955331</v>
      </c>
      <c r="K80" s="24">
        <f t="shared" si="16"/>
        <v>0.19331726392530885</v>
      </c>
      <c r="L80" s="24">
        <f t="shared" si="16"/>
        <v>0.010708473056256296</v>
      </c>
      <c r="M80" s="30"/>
      <c r="N80" s="30"/>
      <c r="O80" s="30"/>
    </row>
    <row r="81" spans="1:15" ht="15">
      <c r="A81" s="2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5">
      <c r="A82" s="2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15">
      <c r="A83" s="20"/>
      <c r="B83" s="8" t="s">
        <v>363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5">
      <c r="A84" s="20"/>
      <c r="B84" s="1" t="s">
        <v>360</v>
      </c>
      <c r="F84" s="24">
        <f>SUM(G84:L84)</f>
        <v>1.0000000000000002</v>
      </c>
      <c r="G84" s="24">
        <f aca="true" t="shared" si="17" ref="G84:L84">G19/$F19</f>
        <v>0.6625279620001622</v>
      </c>
      <c r="H84" s="24">
        <f t="shared" si="17"/>
        <v>0.2940583625277429</v>
      </c>
      <c r="I84" s="24">
        <f t="shared" si="17"/>
        <v>0.01822870451313803</v>
      </c>
      <c r="J84" s="24">
        <f t="shared" si="17"/>
        <v>0.0049186828884609235</v>
      </c>
      <c r="K84" s="24">
        <f t="shared" si="17"/>
        <v>0.02026628807049601</v>
      </c>
      <c r="L84" s="24">
        <f t="shared" si="17"/>
        <v>0</v>
      </c>
      <c r="M84" s="30"/>
      <c r="N84" s="30"/>
      <c r="O84" s="30"/>
    </row>
    <row r="85" spans="1:15" ht="15">
      <c r="A85" s="20"/>
      <c r="B85" s="1" t="s">
        <v>361</v>
      </c>
      <c r="F85" s="24">
        <f>SUM(G85:L85)</f>
        <v>1.0000000000000002</v>
      </c>
      <c r="G85" s="24">
        <f aca="true" t="shared" si="18" ref="G85:L85">G13/$F13</f>
        <v>0.6062801961282963</v>
      </c>
      <c r="H85" s="24">
        <f t="shared" si="18"/>
        <v>0.3066518287227802</v>
      </c>
      <c r="I85" s="24">
        <f t="shared" si="18"/>
        <v>0.028621647078684826</v>
      </c>
      <c r="J85" s="24">
        <f t="shared" si="18"/>
        <v>0.00716180518663399</v>
      </c>
      <c r="K85" s="24">
        <f t="shared" si="18"/>
        <v>0.051284522883604765</v>
      </c>
      <c r="L85" s="24">
        <f t="shared" si="18"/>
        <v>0</v>
      </c>
      <c r="M85" s="30"/>
      <c r="N85" s="30"/>
      <c r="O85" s="30"/>
    </row>
    <row r="86" spans="1:15" ht="15">
      <c r="A86" s="20"/>
      <c r="B86" s="1" t="s">
        <v>362</v>
      </c>
      <c r="F86" s="24">
        <f>SUM(G86:O86)</f>
        <v>1</v>
      </c>
      <c r="G86" s="24">
        <f aca="true" t="shared" si="19" ref="G86:L86">(+G84*0.5)+(G85*0.5)</f>
        <v>0.6344040790642292</v>
      </c>
      <c r="H86" s="24">
        <f t="shared" si="19"/>
        <v>0.3003550956252615</v>
      </c>
      <c r="I86" s="24">
        <f t="shared" si="19"/>
        <v>0.023425175795911427</v>
      </c>
      <c r="J86" s="24">
        <f t="shared" si="19"/>
        <v>0.006040244037547457</v>
      </c>
      <c r="K86" s="24">
        <f t="shared" si="19"/>
        <v>0.03577540547705039</v>
      </c>
      <c r="L86" s="24">
        <f t="shared" si="19"/>
        <v>0</v>
      </c>
      <c r="M86" s="30"/>
      <c r="N86" s="30"/>
      <c r="O86" s="30"/>
    </row>
    <row r="87" spans="1:15" ht="15">
      <c r="A87" s="2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5">
      <c r="A88" s="2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5">
      <c r="A89" s="2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ht="15">
      <c r="A90" s="2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15">
      <c r="A91" s="2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5">
      <c r="A92" s="2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5">
      <c r="A93" s="2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5">
      <c r="A94" s="2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5">
      <c r="A95" s="2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ht="15">
      <c r="A96" s="2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1:15" ht="15">
      <c r="A97" s="2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 ht="15">
      <c r="A98" s="2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5">
      <c r="A99" s="2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ht="15">
      <c r="A100" s="2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ht="15">
      <c r="A101" s="2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5">
      <c r="A102" s="2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 ht="15">
      <c r="A103" s="2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5">
      <c r="A104" s="20"/>
      <c r="F104" s="30"/>
      <c r="L104" s="30"/>
      <c r="M104" s="30"/>
      <c r="N104" s="30"/>
      <c r="O104" s="30"/>
    </row>
    <row r="105" spans="1:15" ht="15">
      <c r="A105" s="20"/>
      <c r="F105" s="30"/>
      <c r="L105" s="30"/>
      <c r="M105" s="30"/>
      <c r="N105" s="30"/>
      <c r="O105" s="30"/>
    </row>
    <row r="106" spans="1:15" ht="15">
      <c r="A106" s="20"/>
      <c r="F106" s="30"/>
      <c r="L106" s="30"/>
      <c r="M106" s="30"/>
      <c r="N106" s="30"/>
      <c r="O106" s="30"/>
    </row>
    <row r="107" spans="1:15" ht="15">
      <c r="A107" s="20"/>
      <c r="F107" s="30"/>
      <c r="L107" s="30"/>
      <c r="M107" s="30"/>
      <c r="N107" s="30"/>
      <c r="O107" s="30"/>
    </row>
    <row r="108" spans="1:15" ht="15">
      <c r="A108" s="20"/>
      <c r="F108" s="30"/>
      <c r="L108" s="30"/>
      <c r="M108" s="30"/>
      <c r="N108" s="30"/>
      <c r="O108" s="30"/>
    </row>
    <row r="109" spans="1:15" ht="15">
      <c r="A109" s="20"/>
      <c r="F109" s="30"/>
      <c r="L109" s="30"/>
      <c r="M109" s="30"/>
      <c r="N109" s="30"/>
      <c r="O109" s="30"/>
    </row>
    <row r="110" spans="1:15" ht="15">
      <c r="A110" s="20"/>
      <c r="F110" s="30"/>
      <c r="L110" s="30"/>
      <c r="M110" s="30"/>
      <c r="N110" s="30"/>
      <c r="O110" s="30"/>
    </row>
    <row r="111" spans="1:15" ht="15">
      <c r="A111" s="20"/>
      <c r="F111" s="30"/>
      <c r="L111" s="30"/>
      <c r="M111" s="30"/>
      <c r="N111" s="30"/>
      <c r="O111" s="30"/>
    </row>
    <row r="112" spans="1:15" ht="15">
      <c r="A112" s="20"/>
      <c r="F112" s="30"/>
      <c r="L112" s="30"/>
      <c r="M112" s="30"/>
      <c r="N112" s="30"/>
      <c r="O112" s="30"/>
    </row>
    <row r="113" spans="1:15" ht="15">
      <c r="A113" s="20"/>
      <c r="F113" s="30"/>
      <c r="L113" s="30"/>
      <c r="M113" s="30"/>
      <c r="N113" s="30"/>
      <c r="O113" s="30"/>
    </row>
    <row r="114" spans="1:15" ht="15">
      <c r="A114" s="20"/>
      <c r="F114" s="30"/>
      <c r="L114" s="30"/>
      <c r="M114" s="30"/>
      <c r="N114" s="30"/>
      <c r="O114" s="30"/>
    </row>
    <row r="115" spans="1:15" ht="15">
      <c r="A115" s="20"/>
      <c r="F115" s="30"/>
      <c r="L115" s="30"/>
      <c r="M115" s="30"/>
      <c r="N115" s="30"/>
      <c r="O115" s="30"/>
    </row>
    <row r="116" spans="1:15" ht="15">
      <c r="A116" s="20"/>
      <c r="F116" s="30"/>
      <c r="L116" s="30"/>
      <c r="M116" s="30"/>
      <c r="N116" s="30"/>
      <c r="O116" s="30"/>
    </row>
    <row r="117" spans="1:15" ht="15">
      <c r="A117" s="20"/>
      <c r="F117" s="30"/>
      <c r="L117" s="30"/>
      <c r="M117" s="30"/>
      <c r="N117" s="30"/>
      <c r="O117" s="30"/>
    </row>
    <row r="118" spans="1:15" ht="15">
      <c r="A118" s="20"/>
      <c r="F118" s="30"/>
      <c r="L118" s="30"/>
      <c r="M118" s="30"/>
      <c r="N118" s="30"/>
      <c r="O118" s="30"/>
    </row>
    <row r="119" spans="1:15" ht="15">
      <c r="A119" s="20"/>
      <c r="F119" s="30"/>
      <c r="L119" s="30"/>
      <c r="M119" s="30"/>
      <c r="N119" s="30"/>
      <c r="O119" s="30"/>
    </row>
    <row r="120" spans="1:15" ht="15">
      <c r="A120" s="20"/>
      <c r="F120" s="30"/>
      <c r="L120" s="30"/>
      <c r="M120" s="30"/>
      <c r="N120" s="30"/>
      <c r="O120" s="30"/>
    </row>
    <row r="121" spans="1:15" ht="15">
      <c r="A121" s="20"/>
      <c r="F121" s="30"/>
      <c r="L121" s="30"/>
      <c r="M121" s="30"/>
      <c r="N121" s="30"/>
      <c r="O121" s="30"/>
    </row>
    <row r="122" spans="1:15" ht="15">
      <c r="A122" s="20"/>
      <c r="F122" s="30"/>
      <c r="L122" s="30"/>
      <c r="M122" s="30"/>
      <c r="N122" s="30"/>
      <c r="O122" s="30"/>
    </row>
    <row r="123" spans="1:15" ht="15">
      <c r="A123" s="20"/>
      <c r="F123" s="30"/>
      <c r="L123" s="30"/>
      <c r="M123" s="30"/>
      <c r="N123" s="30"/>
      <c r="O123" s="30"/>
    </row>
    <row r="124" spans="1:15" ht="15">
      <c r="A124" s="20"/>
      <c r="L124" s="30"/>
      <c r="M124" s="30"/>
      <c r="N124" s="30"/>
      <c r="O124" s="30"/>
    </row>
    <row r="125" spans="1:15" ht="15">
      <c r="A125" s="20"/>
      <c r="L125" s="30"/>
      <c r="M125" s="30"/>
      <c r="N125" s="30"/>
      <c r="O125" s="30"/>
    </row>
    <row r="126" spans="1:15" ht="15">
      <c r="A126" s="20"/>
      <c r="L126" s="30"/>
      <c r="M126" s="30"/>
      <c r="N126" s="30"/>
      <c r="O126" s="30"/>
    </row>
    <row r="127" spans="1:15" ht="15">
      <c r="A127" s="20"/>
      <c r="L127" s="30"/>
      <c r="M127" s="30"/>
      <c r="N127" s="30"/>
      <c r="O127" s="30"/>
    </row>
    <row r="128" spans="1:15" ht="15">
      <c r="A128" s="20"/>
      <c r="L128" s="30"/>
      <c r="M128" s="30"/>
      <c r="N128" s="30"/>
      <c r="O128" s="30"/>
    </row>
    <row r="129" spans="1:15" ht="15">
      <c r="A129" s="20"/>
      <c r="L129" s="30"/>
      <c r="M129" s="30"/>
      <c r="N129" s="30"/>
      <c r="O129" s="30"/>
    </row>
    <row r="130" spans="1:15" ht="15">
      <c r="A130" s="20"/>
      <c r="L130" s="30"/>
      <c r="M130" s="30"/>
      <c r="N130" s="30"/>
      <c r="O130" s="30"/>
    </row>
    <row r="131" spans="1:15" ht="15">
      <c r="A131" s="20"/>
      <c r="L131" s="30"/>
      <c r="M131" s="30"/>
      <c r="N131" s="30"/>
      <c r="O131" s="30"/>
    </row>
    <row r="132" spans="1:15" ht="15">
      <c r="A132" s="20"/>
      <c r="L132" s="30"/>
      <c r="M132" s="30"/>
      <c r="N132" s="30"/>
      <c r="O132" s="30"/>
    </row>
    <row r="133" spans="1:15" ht="15">
      <c r="A133" s="20"/>
      <c r="L133" s="30"/>
      <c r="M133" s="30"/>
      <c r="N133" s="30"/>
      <c r="O133" s="30"/>
    </row>
    <row r="134" spans="1:15" ht="15">
      <c r="A134" s="20"/>
      <c r="L134" s="30"/>
      <c r="M134" s="30"/>
      <c r="N134" s="30"/>
      <c r="O134" s="30"/>
    </row>
    <row r="135" spans="1:15" ht="15">
      <c r="A135" s="20"/>
      <c r="L135" s="30"/>
      <c r="M135" s="30"/>
      <c r="N135" s="30"/>
      <c r="O135" s="30"/>
    </row>
    <row r="136" spans="1:15" ht="15">
      <c r="A136" s="20"/>
      <c r="L136" s="30"/>
      <c r="M136" s="30"/>
      <c r="N136" s="30"/>
      <c r="O136" s="30"/>
    </row>
  </sheetData>
  <sheetProtection/>
  <printOptions/>
  <pageMargins left="0.5" right="0.5" top="0.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2"/>
  <sheetViews>
    <sheetView zoomScale="87" zoomScaleNormal="87" zoomScalePageLayoutView="0" workbookViewId="0" topLeftCell="A1">
      <selection activeCell="B13" sqref="B13"/>
    </sheetView>
  </sheetViews>
  <sheetFormatPr defaultColWidth="8.88671875" defaultRowHeight="15"/>
  <cols>
    <col min="1" max="1" width="6.6640625" style="1" customWidth="1"/>
    <col min="2" max="2" width="32.6640625" style="1" customWidth="1"/>
    <col min="3" max="4" width="9.6640625" style="1" customWidth="1"/>
    <col min="5" max="5" width="5.6640625" style="1" customWidth="1"/>
    <col min="6" max="6" width="11.6640625" style="1" customWidth="1"/>
    <col min="7" max="8" width="12.6640625" style="1" customWidth="1"/>
    <col min="9" max="9" width="13.6640625" style="1" customWidth="1"/>
    <col min="10" max="10" width="14.6640625" style="1" customWidth="1"/>
    <col min="11" max="11" width="11.6640625" style="1" customWidth="1"/>
    <col min="12" max="16384" width="9.6640625" style="1" customWidth="1"/>
  </cols>
  <sheetData>
    <row r="1" spans="7:13" ht="15">
      <c r="G1" s="1">
        <v>3</v>
      </c>
      <c r="H1" s="1">
        <v>4</v>
      </c>
      <c r="I1" s="1">
        <v>5</v>
      </c>
      <c r="J1" s="1">
        <v>6</v>
      </c>
      <c r="K1" s="1">
        <v>8</v>
      </c>
      <c r="L1" s="1">
        <v>9</v>
      </c>
      <c r="M1" s="1">
        <v>11</v>
      </c>
    </row>
    <row r="3" ht="15">
      <c r="A3" s="7" t="s">
        <v>324</v>
      </c>
    </row>
    <row r="4" spans="1:11" ht="15">
      <c r="A4" s="7" t="s">
        <v>325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>
      <c r="A5" s="7" t="s">
        <v>326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2:15" ht="15">
      <c r="B6" s="7"/>
      <c r="C6" s="7"/>
      <c r="D6" s="7"/>
      <c r="E6" s="7"/>
      <c r="F6" s="7"/>
      <c r="G6" s="1" t="s">
        <v>141</v>
      </c>
      <c r="H6" s="1" t="s">
        <v>143</v>
      </c>
      <c r="I6" s="1" t="s">
        <v>145</v>
      </c>
      <c r="J6" s="1" t="s">
        <v>147</v>
      </c>
      <c r="K6" s="1" t="s">
        <v>149</v>
      </c>
      <c r="L6" s="1" t="s">
        <v>151</v>
      </c>
      <c r="M6" s="1" t="s">
        <v>153</v>
      </c>
      <c r="N6" s="1" t="s">
        <v>154</v>
      </c>
      <c r="O6" s="1" t="s">
        <v>155</v>
      </c>
    </row>
    <row r="7" spans="1:15" ht="31.5">
      <c r="A7" s="2" t="s">
        <v>56</v>
      </c>
      <c r="B7" s="2" t="s">
        <v>42</v>
      </c>
      <c r="C7" s="2"/>
      <c r="D7" s="2" t="s">
        <v>43</v>
      </c>
      <c r="E7" s="2" t="s">
        <v>44</v>
      </c>
      <c r="F7" s="2" t="s">
        <v>48</v>
      </c>
      <c r="G7" s="8" t="s">
        <v>142</v>
      </c>
      <c r="H7" s="8" t="s">
        <v>144</v>
      </c>
      <c r="I7" s="8" t="s">
        <v>146</v>
      </c>
      <c r="J7" s="8" t="s">
        <v>148</v>
      </c>
      <c r="K7" s="8" t="s">
        <v>150</v>
      </c>
      <c r="L7" s="8" t="s">
        <v>152</v>
      </c>
      <c r="M7" s="8" t="s">
        <v>152</v>
      </c>
      <c r="N7" s="8" t="s">
        <v>152</v>
      </c>
      <c r="O7" s="8" t="s">
        <v>152</v>
      </c>
    </row>
    <row r="8" spans="1:6" ht="15">
      <c r="A8" s="3"/>
      <c r="B8" s="3"/>
      <c r="C8" s="3"/>
      <c r="D8" s="3"/>
      <c r="E8" s="3"/>
      <c r="F8" s="3"/>
    </row>
    <row r="9" spans="1:15" ht="15">
      <c r="A9" s="20">
        <v>1</v>
      </c>
      <c r="B9" s="1" t="str">
        <f>'Alloc Amt'!B9</f>
        <v>Procurement Expenses</v>
      </c>
      <c r="D9" s="1" t="str">
        <f>'Alloc Amt'!D9</f>
        <v>COM01</v>
      </c>
      <c r="F9" s="24">
        <f aca="true" t="shared" si="0" ref="F9:F40">SUM(G9:L9)</f>
        <v>1</v>
      </c>
      <c r="G9" s="24">
        <f>'Alloc Amt'!G9/'Alloc Amt'!$F9</f>
        <v>0.4571808882198019</v>
      </c>
      <c r="H9" s="24">
        <f>'Alloc Amt'!H9/'Alloc Amt'!$F9</f>
        <v>0.23154006015811293</v>
      </c>
      <c r="I9" s="24">
        <f>'Alloc Amt'!I9/'Alloc Amt'!$F9</f>
        <v>0.02204721868649007</v>
      </c>
      <c r="J9" s="24">
        <f>'Alloc Amt'!J9/'Alloc Amt'!$F9</f>
        <v>0.009008918635892971</v>
      </c>
      <c r="K9" s="24">
        <f>'Alloc Amt'!K9/'Alloc Amt'!$F9</f>
        <v>0.2639881808443749</v>
      </c>
      <c r="L9" s="24">
        <f>'Alloc Amt'!L9/'Alloc Amt'!$F9</f>
        <v>0.016234733455327225</v>
      </c>
      <c r="M9" s="24"/>
      <c r="N9" s="24"/>
      <c r="O9" s="24"/>
    </row>
    <row r="10" spans="1:12" ht="15">
      <c r="A10" s="20">
        <f aca="true" t="shared" si="1" ref="A10:A41">A9+1</f>
        <v>2</v>
      </c>
      <c r="B10" s="1" t="str">
        <f>'Alloc Amt'!B10</f>
        <v>Storage</v>
      </c>
      <c r="D10" s="1" t="str">
        <f>'Alloc Amt'!D10</f>
        <v>COM02</v>
      </c>
      <c r="F10" s="24">
        <f t="shared" si="0"/>
        <v>1</v>
      </c>
      <c r="G10" s="24">
        <f>'Alloc Amt'!G10/'Alloc Amt'!$F10</f>
        <v>0.6628725028137384</v>
      </c>
      <c r="H10" s="24">
        <f>'Alloc Amt'!H10/'Alloc Amt'!$F10</f>
        <v>0.31247115904942335</v>
      </c>
      <c r="I10" s="24">
        <f>'Alloc Amt'!I10/'Alloc Amt'!$F10</f>
        <v>0.024656338136838228</v>
      </c>
      <c r="J10" s="24">
        <f>'Alloc Amt'!J10/'Alloc Amt'!$F10</f>
        <v>0</v>
      </c>
      <c r="K10" s="24">
        <f>'Alloc Amt'!K10/'Alloc Amt'!$F10</f>
        <v>0</v>
      </c>
      <c r="L10" s="24">
        <f>'Alloc Amt'!L10/'Alloc Amt'!$F10</f>
        <v>0</v>
      </c>
    </row>
    <row r="11" spans="1:12" ht="15">
      <c r="A11" s="20">
        <f t="shared" si="1"/>
        <v>3</v>
      </c>
      <c r="B11" s="1" t="str">
        <f>'Alloc Amt'!B11</f>
        <v>Transmission</v>
      </c>
      <c r="D11" s="1" t="str">
        <f>'Alloc Amt'!D11</f>
        <v>COM03</v>
      </c>
      <c r="F11" s="24">
        <f t="shared" si="0"/>
        <v>1</v>
      </c>
      <c r="G11" s="24">
        <f>'Alloc Amt'!G11/'Alloc Amt'!$F11</f>
        <v>0.6628725028137384</v>
      </c>
      <c r="H11" s="24">
        <f>'Alloc Amt'!H11/'Alloc Amt'!$F11</f>
        <v>0.31247115904942335</v>
      </c>
      <c r="I11" s="24">
        <f>'Alloc Amt'!I11/'Alloc Amt'!$F11</f>
        <v>0.024656338136838228</v>
      </c>
      <c r="J11" s="24">
        <f>'Alloc Amt'!J11/'Alloc Amt'!$F11</f>
        <v>0</v>
      </c>
      <c r="K11" s="24">
        <f>'Alloc Amt'!K11/'Alloc Amt'!$F11</f>
        <v>0</v>
      </c>
      <c r="L11" s="24">
        <f>'Alloc Amt'!L11/'Alloc Amt'!$F11</f>
        <v>0</v>
      </c>
    </row>
    <row r="12" spans="1:12" ht="15">
      <c r="A12" s="20">
        <f t="shared" si="1"/>
        <v>4</v>
      </c>
      <c r="B12" s="1" t="str">
        <f>'Alloc Amt'!B12</f>
        <v>Distribution</v>
      </c>
      <c r="D12" s="1" t="str">
        <f>'Alloc Amt'!D12</f>
        <v>COM04</v>
      </c>
      <c r="F12" s="24">
        <f t="shared" si="0"/>
        <v>1</v>
      </c>
      <c r="G12" s="24">
        <f>'Alloc Amt'!G12/'Alloc Amt'!$F12</f>
        <v>0.4571808882198019</v>
      </c>
      <c r="H12" s="24">
        <f>'Alloc Amt'!H12/'Alloc Amt'!$F12</f>
        <v>0.23154006015811293</v>
      </c>
      <c r="I12" s="24">
        <f>'Alloc Amt'!I12/'Alloc Amt'!$F12</f>
        <v>0.02204721868649007</v>
      </c>
      <c r="J12" s="24">
        <f>'Alloc Amt'!J12/'Alloc Amt'!$F12</f>
        <v>0.009008918635892971</v>
      </c>
      <c r="K12" s="24">
        <f>'Alloc Amt'!K12/'Alloc Amt'!$F12</f>
        <v>0.2639881808443749</v>
      </c>
      <c r="L12" s="24">
        <f>'Alloc Amt'!L12/'Alloc Amt'!$F12</f>
        <v>0.016234733455327225</v>
      </c>
    </row>
    <row r="13" spans="1:12" ht="15">
      <c r="A13" s="20">
        <f t="shared" si="1"/>
        <v>5</v>
      </c>
      <c r="B13" s="1" t="str">
        <f>'Alloc Amt'!B13</f>
        <v>Low Pressure Customer ThroughPut</v>
      </c>
      <c r="D13" s="1">
        <f>'Alloc Amt'!D13</f>
        <v>0</v>
      </c>
      <c r="F13" s="24">
        <f t="shared" si="0"/>
        <v>1.0000000000000002</v>
      </c>
      <c r="G13" s="24">
        <f>'Alloc Amt'!G13/'Alloc Amt'!$F13</f>
        <v>0.6062801961282963</v>
      </c>
      <c r="H13" s="24">
        <f>'Alloc Amt'!H13/'Alloc Amt'!$F13</f>
        <v>0.3066518287227802</v>
      </c>
      <c r="I13" s="24">
        <f>'Alloc Amt'!I13/'Alloc Amt'!$F13</f>
        <v>0.028621647078684826</v>
      </c>
      <c r="J13" s="24">
        <f>'Alloc Amt'!J13/'Alloc Amt'!$F13</f>
        <v>0.00716180518663399</v>
      </c>
      <c r="K13" s="24">
        <f>'Alloc Amt'!K13/'Alloc Amt'!$F13</f>
        <v>0.051284522883604765</v>
      </c>
      <c r="L13" s="24">
        <f>'Alloc Amt'!L13/'Alloc Amt'!$F13</f>
        <v>0</v>
      </c>
    </row>
    <row r="14" spans="1:12" ht="15">
      <c r="A14" s="20">
        <f t="shared" si="1"/>
        <v>6</v>
      </c>
      <c r="B14" s="1" t="str">
        <f>'Alloc Amt'!B14</f>
        <v>Procurement Expenses</v>
      </c>
      <c r="D14" s="1" t="str">
        <f>'Alloc Amt'!D14</f>
        <v>DEM01</v>
      </c>
      <c r="F14" s="24">
        <f t="shared" si="0"/>
        <v>1</v>
      </c>
      <c r="G14" s="24">
        <f>'Alloc Amt'!G14/'Alloc Amt'!$F14</f>
        <v>0.5873556341994958</v>
      </c>
      <c r="H14" s="24">
        <f>'Alloc Amt'!H14/'Alloc Amt'!$F14</f>
        <v>0.26103356784075765</v>
      </c>
      <c r="I14" s="24">
        <f>'Alloc Amt'!I14/'Alloc Amt'!$F14</f>
        <v>0.016508105462300762</v>
      </c>
      <c r="J14" s="24">
        <f>'Alloc Amt'!J14/'Alloc Amt'!$F14</f>
        <v>0.007274132834017691</v>
      </c>
      <c r="K14" s="24">
        <f>'Alloc Amt'!K14/'Alloc Amt'!$F14</f>
        <v>0.12264634700624275</v>
      </c>
      <c r="L14" s="24">
        <f>'Alloc Amt'!L14/'Alloc Amt'!$F14</f>
        <v>0.005182212657185367</v>
      </c>
    </row>
    <row r="15" spans="1:12" ht="15">
      <c r="A15" s="20">
        <f t="shared" si="1"/>
        <v>7</v>
      </c>
      <c r="B15" s="1" t="str">
        <f>'Alloc Amt'!B15</f>
        <v>Storage</v>
      </c>
      <c r="D15" s="1" t="str">
        <f>'Alloc Amt'!D15</f>
        <v>DEM02</v>
      </c>
      <c r="F15" s="24">
        <f t="shared" si="0"/>
        <v>1</v>
      </c>
      <c r="G15" s="24">
        <f>'Alloc Amt'!G15/'Alloc Amt'!$F15</f>
        <v>0.6745115046639999</v>
      </c>
      <c r="H15" s="24">
        <f>'Alloc Amt'!H15/'Alloc Amt'!$F15</f>
        <v>0.30483126141204303</v>
      </c>
      <c r="I15" s="24">
        <f>'Alloc Amt'!I15/'Alloc Amt'!$F15</f>
        <v>0.020657233923957026</v>
      </c>
      <c r="J15" s="24">
        <f>'Alloc Amt'!J15/'Alloc Amt'!$F15</f>
        <v>0</v>
      </c>
      <c r="K15" s="24">
        <f>'Alloc Amt'!K15/'Alloc Amt'!$F15</f>
        <v>0</v>
      </c>
      <c r="L15" s="24">
        <f>'Alloc Amt'!L15/'Alloc Amt'!$F15</f>
        <v>0</v>
      </c>
    </row>
    <row r="16" spans="1:12" ht="15">
      <c r="A16" s="20">
        <f t="shared" si="1"/>
        <v>8</v>
      </c>
      <c r="B16" s="1" t="str">
        <f>'Alloc Amt'!B16</f>
        <v>Transmission</v>
      </c>
      <c r="D16" s="1" t="str">
        <f>'Alloc Amt'!D16</f>
        <v>DEM03</v>
      </c>
      <c r="F16" s="24">
        <f t="shared" si="0"/>
        <v>1</v>
      </c>
      <c r="G16" s="24">
        <f>'Alloc Amt'!G16/'Alloc Amt'!$F16</f>
        <v>0.6745115046639999</v>
      </c>
      <c r="H16" s="24">
        <f>'Alloc Amt'!H16/'Alloc Amt'!$F16</f>
        <v>0.30483126141204303</v>
      </c>
      <c r="I16" s="24">
        <f>'Alloc Amt'!I16/'Alloc Amt'!$F16</f>
        <v>0.020657233923957026</v>
      </c>
      <c r="J16" s="24">
        <f>'Alloc Amt'!J16/'Alloc Amt'!$F16</f>
        <v>0</v>
      </c>
      <c r="K16" s="24">
        <f>'Alloc Amt'!K16/'Alloc Amt'!$F16</f>
        <v>0</v>
      </c>
      <c r="L16" s="24">
        <f>'Alloc Amt'!L16/'Alloc Amt'!$F16</f>
        <v>0</v>
      </c>
    </row>
    <row r="17" spans="1:12" ht="15">
      <c r="A17" s="20">
        <f t="shared" si="1"/>
        <v>9</v>
      </c>
      <c r="B17" s="1" t="str">
        <f>'Alloc Amt'!B17</f>
        <v>Distribution Structures</v>
      </c>
      <c r="D17" s="1" t="str">
        <f>'Alloc Amt'!D17</f>
        <v>DEM04</v>
      </c>
      <c r="F17" s="24">
        <f t="shared" si="0"/>
        <v>1</v>
      </c>
      <c r="G17" s="24">
        <f>'Alloc Amt'!G17/'Alloc Amt'!$F17</f>
        <v>0.5873556341994958</v>
      </c>
      <c r="H17" s="24">
        <f>'Alloc Amt'!H17/'Alloc Amt'!$F17</f>
        <v>0.26103356784075765</v>
      </c>
      <c r="I17" s="24">
        <f>'Alloc Amt'!I17/'Alloc Amt'!$F17</f>
        <v>0.016508105462300762</v>
      </c>
      <c r="J17" s="24">
        <f>'Alloc Amt'!J17/'Alloc Amt'!$F17</f>
        <v>0.007274132834017691</v>
      </c>
      <c r="K17" s="24">
        <f>'Alloc Amt'!K17/'Alloc Amt'!$F17</f>
        <v>0.12264634700624275</v>
      </c>
      <c r="L17" s="24">
        <f>'Alloc Amt'!L17/'Alloc Amt'!$F17</f>
        <v>0.005182212657185367</v>
      </c>
    </row>
    <row r="18" spans="1:12" ht="15">
      <c r="A18" s="20">
        <f t="shared" si="1"/>
        <v>10</v>
      </c>
      <c r="B18" s="1" t="str">
        <f>'Alloc Amt'!B18</f>
        <v>High Pressure Distribution Mains</v>
      </c>
      <c r="D18" s="1" t="str">
        <f>'Alloc Amt'!D18</f>
        <v>DEM05</v>
      </c>
      <c r="F18" s="24">
        <f t="shared" si="0"/>
        <v>1</v>
      </c>
      <c r="G18" s="24">
        <f>'Alloc Amt'!G18/'Alloc Amt'!$F18</f>
        <v>0.5873556341994958</v>
      </c>
      <c r="H18" s="24">
        <f>'Alloc Amt'!H18/'Alloc Amt'!$F18</f>
        <v>0.26103356784075765</v>
      </c>
      <c r="I18" s="24">
        <f>'Alloc Amt'!I18/'Alloc Amt'!$F18</f>
        <v>0.016508105462300762</v>
      </c>
      <c r="J18" s="24">
        <f>'Alloc Amt'!J18/'Alloc Amt'!$F18</f>
        <v>0.007274132834017691</v>
      </c>
      <c r="K18" s="24">
        <f>'Alloc Amt'!K18/'Alloc Amt'!$F18</f>
        <v>0.12264634700624275</v>
      </c>
      <c r="L18" s="24">
        <f>'Alloc Amt'!L18/'Alloc Amt'!$F18</f>
        <v>0.005182212657185367</v>
      </c>
    </row>
    <row r="19" spans="1:12" ht="15">
      <c r="A19" s="20">
        <f t="shared" si="1"/>
        <v>11</v>
      </c>
      <c r="B19" s="1" t="str">
        <f>'Alloc Amt'!B19</f>
        <v>Low/Medium Pressure Distribution Mains</v>
      </c>
      <c r="D19" s="1" t="str">
        <f>'Alloc Amt'!D19</f>
        <v>DEM05a</v>
      </c>
      <c r="F19" s="24">
        <f t="shared" si="0"/>
        <v>1.0000000000000002</v>
      </c>
      <c r="G19" s="24">
        <f>'Alloc Amt'!G19/'Alloc Amt'!$F19</f>
        <v>0.6625279620001622</v>
      </c>
      <c r="H19" s="24">
        <f>'Alloc Amt'!H19/'Alloc Amt'!$F19</f>
        <v>0.2940583625277429</v>
      </c>
      <c r="I19" s="24">
        <f>'Alloc Amt'!I19/'Alloc Amt'!$F19</f>
        <v>0.01822870451313803</v>
      </c>
      <c r="J19" s="24">
        <f>'Alloc Amt'!J19/'Alloc Amt'!$F19</f>
        <v>0.0049186828884609235</v>
      </c>
      <c r="K19" s="24">
        <f>'Alloc Amt'!K19/'Alloc Amt'!$F19</f>
        <v>0.02026628807049601</v>
      </c>
      <c r="L19" s="24">
        <f>'Alloc Amt'!L19/'Alloc Amt'!$F19</f>
        <v>0</v>
      </c>
    </row>
    <row r="20" spans="1:12" ht="15">
      <c r="A20" s="20">
        <f t="shared" si="1"/>
        <v>12</v>
      </c>
      <c r="B20" s="1" t="str">
        <f>'Alloc Amt'!B20</f>
        <v>High Pressure Distrib Mains (yr-end cust.)</v>
      </c>
      <c r="D20" s="1" t="str">
        <f>'Alloc Amt'!D20</f>
        <v>CUST01</v>
      </c>
      <c r="F20" s="24">
        <f t="shared" si="0"/>
        <v>1</v>
      </c>
      <c r="G20" s="24">
        <f>'Alloc Amt'!G20/'Alloc Amt'!$F20</f>
        <v>0.9177495978282727</v>
      </c>
      <c r="H20" s="24">
        <f>'Alloc Amt'!H20/'Alloc Amt'!$F20</f>
        <v>0.0812921023527046</v>
      </c>
      <c r="I20" s="24">
        <f>'Alloc Amt'!I20/'Alloc Amt'!$F20</f>
        <v>0.0006723808566257792</v>
      </c>
      <c r="J20" s="24">
        <f>'Alloc Amt'!J20/'Alloc Amt'!$F20</f>
        <v>4.3987532676452844E-05</v>
      </c>
      <c r="K20" s="24">
        <f>'Alloc Amt'!K20/'Alloc Amt'!$F20</f>
        <v>0.00023878946310074403</v>
      </c>
      <c r="L20" s="24">
        <f>'Alloc Amt'!L20/'Alloc Amt'!$F20</f>
        <v>3.141966619746632E-06</v>
      </c>
    </row>
    <row r="21" spans="1:12" ht="15">
      <c r="A21" s="20">
        <f t="shared" si="1"/>
        <v>13</v>
      </c>
      <c r="B21" s="1" t="str">
        <f>'Alloc Amt'!B21</f>
        <v>Low/Med Pres. Distrib Mains (yr-end cust.)</v>
      </c>
      <c r="D21" s="1" t="str">
        <f>'Alloc Amt'!D21</f>
        <v>CUST01a</v>
      </c>
      <c r="F21" s="24">
        <f t="shared" si="0"/>
        <v>0.9999999999999999</v>
      </c>
      <c r="G21" s="24">
        <f>'Alloc Amt'!G21/'Alloc Amt'!$F21</f>
        <v>0.9179284120549323</v>
      </c>
      <c r="H21" s="24">
        <f>'Alloc Amt'!H21/'Alloc Amt'!$F21</f>
        <v>0.08130479871782785</v>
      </c>
      <c r="I21" s="24">
        <f>'Alloc Amt'!I21/'Alloc Amt'!$F21</f>
        <v>0.0006630841268344804</v>
      </c>
      <c r="J21" s="24">
        <f>'Alloc Amt'!J21/'Alloc Amt'!$F21</f>
        <v>9.427736400490242E-06</v>
      </c>
      <c r="K21" s="24">
        <f>'Alloc Amt'!K21/'Alloc Amt'!$F21</f>
        <v>9.427736400490242E-05</v>
      </c>
      <c r="L21" s="24">
        <f>'Alloc Amt'!L21/'Alloc Amt'!$F21</f>
        <v>0</v>
      </c>
    </row>
    <row r="22" spans="1:12" ht="15">
      <c r="A22" s="20">
        <f t="shared" si="1"/>
        <v>14</v>
      </c>
      <c r="B22" s="1" t="str">
        <f>'Alloc Amt'!B22</f>
        <v>Services</v>
      </c>
      <c r="D22" s="1" t="str">
        <f>'Alloc Amt'!D22</f>
        <v>CUST02</v>
      </c>
      <c r="F22" s="24">
        <f t="shared" si="0"/>
        <v>1</v>
      </c>
      <c r="G22" s="24">
        <f>'Alloc Amt'!G22/'Alloc Amt'!$F22</f>
        <v>0.8408439983309662</v>
      </c>
      <c r="H22" s="24">
        <f>'Alloc Amt'!H22/'Alloc Amt'!$F22</f>
        <v>0.15618300142869818</v>
      </c>
      <c r="I22" s="24">
        <f>'Alloc Amt'!I22/'Alloc Amt'!$F22</f>
        <v>0.0014539976898910948</v>
      </c>
      <c r="J22" s="24">
        <f>'Alloc Amt'!J22/'Alloc Amt'!$F22</f>
        <v>0.00043099853216574044</v>
      </c>
      <c r="K22" s="24">
        <f>'Alloc Amt'!K22/'Alloc Amt'!$F22</f>
        <v>0.0010640022978354625</v>
      </c>
      <c r="L22" s="24">
        <f>'Alloc Amt'!L22/'Alloc Amt'!$F22</f>
        <v>2.4001720443321377E-05</v>
      </c>
    </row>
    <row r="23" spans="1:12" ht="15">
      <c r="A23" s="20">
        <f t="shared" si="1"/>
        <v>15</v>
      </c>
      <c r="B23" s="1" t="str">
        <f>'Alloc Amt'!B23</f>
        <v>Meters</v>
      </c>
      <c r="D23" s="1" t="str">
        <f>'Alloc Amt'!D23</f>
        <v>CUST03</v>
      </c>
      <c r="F23" s="24">
        <f t="shared" si="0"/>
        <v>1</v>
      </c>
      <c r="G23" s="24">
        <f>'Alloc Amt'!G23/'Alloc Amt'!$F23</f>
        <v>0.8258075839113713</v>
      </c>
      <c r="H23" s="24">
        <f>'Alloc Amt'!H23/'Alloc Amt'!$F23</f>
        <v>0.16575356326974375</v>
      </c>
      <c r="I23" s="24">
        <f>'Alloc Amt'!I23/'Alloc Amt'!$F23</f>
        <v>0.006626863129796168</v>
      </c>
      <c r="J23" s="24">
        <f>'Alloc Amt'!J23/'Alloc Amt'!$F23</f>
        <v>0.0009290798369769753</v>
      </c>
      <c r="K23" s="24">
        <f>'Alloc Amt'!K23/'Alloc Amt'!$F23</f>
        <v>0.0008829098521117829</v>
      </c>
      <c r="L23" s="24">
        <f>'Alloc Amt'!L23/'Alloc Amt'!$F23</f>
        <v>0</v>
      </c>
    </row>
    <row r="24" spans="1:12" ht="15">
      <c r="A24" s="20">
        <f t="shared" si="1"/>
        <v>16</v>
      </c>
      <c r="B24" s="1" t="str">
        <f>'Alloc Amt'!B24</f>
        <v>Customer Count (Average)</v>
      </c>
      <c r="D24" s="1">
        <f>'Alloc Amt'!D24</f>
        <v>0</v>
      </c>
      <c r="F24" s="24">
        <f t="shared" si="0"/>
        <v>1</v>
      </c>
      <c r="G24" s="24">
        <f>'Alloc Amt'!G24/'Alloc Amt'!$F24</f>
        <v>0.9178461683921902</v>
      </c>
      <c r="H24" s="24">
        <f>'Alloc Amt'!H24/'Alloc Amt'!$F24</f>
        <v>0.08118942939535763</v>
      </c>
      <c r="I24" s="24">
        <f>'Alloc Amt'!I24/'Alloc Amt'!$F24</f>
        <v>0.0006776028616902252</v>
      </c>
      <c r="J24" s="24">
        <f>'Alloc Amt'!J24/'Alloc Amt'!$F24</f>
        <v>4.412297704029373E-05</v>
      </c>
      <c r="K24" s="24">
        <f>'Alloc Amt'!K24/'Alloc Amt'!$F24</f>
        <v>0.0002395247325044517</v>
      </c>
      <c r="L24" s="24">
        <f>'Alloc Amt'!L24/'Alloc Amt'!$F24</f>
        <v>3.151641217163838E-06</v>
      </c>
    </row>
    <row r="25" spans="1:12" ht="15">
      <c r="A25" s="20">
        <f t="shared" si="1"/>
        <v>17</v>
      </c>
      <c r="B25" s="1" t="str">
        <f>'Alloc Amt'!B25</f>
        <v>Customer Accounts</v>
      </c>
      <c r="D25" s="1" t="str">
        <f>'Alloc Amt'!D25</f>
        <v>CUST04</v>
      </c>
      <c r="F25" s="24">
        <f t="shared" si="0"/>
        <v>1</v>
      </c>
      <c r="G25" s="24">
        <f>'Alloc Amt'!G25/'Alloc Amt'!$F25</f>
        <v>0.8391335165880055</v>
      </c>
      <c r="H25" s="24">
        <f>'Alloc Amt'!H25/'Alloc Amt'!$F25</f>
        <v>0.1484535726016977</v>
      </c>
      <c r="I25" s="24">
        <f>'Alloc Amt'!I25/'Alloc Amt'!$F25</f>
        <v>0.0012389859908142156</v>
      </c>
      <c r="J25" s="24">
        <f>'Alloc Amt'!J25/'Alloc Amt'!$F25</f>
        <v>8.067815754139077E-05</v>
      </c>
      <c r="K25" s="24">
        <f>'Alloc Amt'!K25/'Alloc Amt'!$F25</f>
        <v>0.010949178523474462</v>
      </c>
      <c r="L25" s="24">
        <f>'Alloc Amt'!L25/'Alloc Amt'!$F25</f>
        <v>0.00014406813846676924</v>
      </c>
    </row>
    <row r="26" spans="1:12" ht="15">
      <c r="A26" s="20">
        <f t="shared" si="1"/>
        <v>18</v>
      </c>
      <c r="B26" s="1" t="str">
        <f>'Alloc Amt'!B26</f>
        <v>Customer Service</v>
      </c>
      <c r="D26" s="1" t="str">
        <f>'Alloc Amt'!D26</f>
        <v>CUST05</v>
      </c>
      <c r="F26" s="24">
        <f t="shared" si="0"/>
        <v>1</v>
      </c>
      <c r="G26" s="24">
        <f>'Alloc Amt'!G26/'Alloc Amt'!$F26</f>
        <v>0.8391335165880055</v>
      </c>
      <c r="H26" s="24">
        <f>'Alloc Amt'!H26/'Alloc Amt'!$F26</f>
        <v>0.1484535726016977</v>
      </c>
      <c r="I26" s="24">
        <f>'Alloc Amt'!I26/'Alloc Amt'!$F26</f>
        <v>0.0012389859908142156</v>
      </c>
      <c r="J26" s="24">
        <f>'Alloc Amt'!J26/'Alloc Amt'!$F26</f>
        <v>8.067815754139077E-05</v>
      </c>
      <c r="K26" s="24">
        <f>'Alloc Amt'!K26/'Alloc Amt'!$F26</f>
        <v>0.010949178523474462</v>
      </c>
      <c r="L26" s="24">
        <f>'Alloc Amt'!L26/'Alloc Amt'!$F26</f>
        <v>0.00014406813846676924</v>
      </c>
    </row>
    <row r="27" spans="1:12" ht="15">
      <c r="A27" s="20">
        <f t="shared" si="1"/>
        <v>19</v>
      </c>
      <c r="B27" s="1" t="str">
        <f>'Alloc Amt'!B27</f>
        <v>High Pressure Peak &amp; Avg</v>
      </c>
      <c r="D27" s="1">
        <f>'Alloc Amt'!D27</f>
        <v>0</v>
      </c>
      <c r="F27" s="24">
        <f t="shared" si="0"/>
        <v>1</v>
      </c>
      <c r="G27" s="24">
        <f>'Alloc Amt'!G27/'Alloc Amt'!$F27</f>
        <v>0.5222682612096489</v>
      </c>
      <c r="H27" s="24">
        <f>'Alloc Amt'!H27/'Alloc Amt'!$F27</f>
        <v>0.2462868139994353</v>
      </c>
      <c r="I27" s="24">
        <f>'Alloc Amt'!I27/'Alloc Amt'!$F27</f>
        <v>0.019277662074395414</v>
      </c>
      <c r="J27" s="24">
        <f>'Alloc Amt'!J27/'Alloc Amt'!$F27</f>
        <v>0.008141525734955331</v>
      </c>
      <c r="K27" s="24">
        <f>'Alloc Amt'!K27/'Alloc Amt'!$F27</f>
        <v>0.19331726392530885</v>
      </c>
      <c r="L27" s="24">
        <f>'Alloc Amt'!L27/'Alloc Amt'!$F27</f>
        <v>0.010708473056256296</v>
      </c>
    </row>
    <row r="28" spans="1:12" ht="15">
      <c r="A28" s="20">
        <f t="shared" si="1"/>
        <v>20</v>
      </c>
      <c r="B28" s="1" t="str">
        <f>'Alloc Amt'!B28</f>
        <v>Low/Med Pressure Peak &amp; Avg</v>
      </c>
      <c r="D28" s="1">
        <f>'Alloc Amt'!D28</f>
        <v>0</v>
      </c>
      <c r="F28" s="24">
        <f t="shared" si="0"/>
        <v>1</v>
      </c>
      <c r="G28" s="24">
        <f>'Alloc Amt'!G28/'Alloc Amt'!$F28</f>
        <v>0.6344040790642292</v>
      </c>
      <c r="H28" s="24">
        <f>'Alloc Amt'!H28/'Alloc Amt'!$F28</f>
        <v>0.3003550956252615</v>
      </c>
      <c r="I28" s="24">
        <f>'Alloc Amt'!I28/'Alloc Amt'!$F28</f>
        <v>0.023425175795911427</v>
      </c>
      <c r="J28" s="24">
        <f>'Alloc Amt'!J28/'Alloc Amt'!$F28</f>
        <v>0.006040244037547457</v>
      </c>
      <c r="K28" s="24">
        <f>'Alloc Amt'!K28/'Alloc Amt'!$F28</f>
        <v>0.03577540547705039</v>
      </c>
      <c r="L28" s="24">
        <f>'Alloc Amt'!L28/'Alloc Amt'!$F28</f>
        <v>0</v>
      </c>
    </row>
    <row r="29" spans="1:12" ht="15">
      <c r="A29" s="20">
        <f t="shared" si="1"/>
        <v>21</v>
      </c>
      <c r="B29" s="1">
        <f>'Alloc Amt'!B29</f>
        <v>0</v>
      </c>
      <c r="D29" s="1">
        <f>'Alloc Amt'!D29</f>
        <v>0</v>
      </c>
      <c r="F29" s="24" t="e">
        <f t="shared" si="0"/>
        <v>#DIV/0!</v>
      </c>
      <c r="G29" s="24" t="e">
        <f>'Alloc Amt'!G29/'Alloc Amt'!$F29</f>
        <v>#DIV/0!</v>
      </c>
      <c r="H29" s="24" t="e">
        <f>'Alloc Amt'!H29/'Alloc Amt'!$F29</f>
        <v>#DIV/0!</v>
      </c>
      <c r="I29" s="24" t="e">
        <f>'Alloc Amt'!I29/'Alloc Amt'!$F29</f>
        <v>#DIV/0!</v>
      </c>
      <c r="J29" s="24" t="e">
        <f>'Alloc Amt'!J29/'Alloc Amt'!$F29</f>
        <v>#DIV/0!</v>
      </c>
      <c r="K29" s="24" t="e">
        <f>'Alloc Amt'!K29/'Alloc Amt'!$F29</f>
        <v>#DIV/0!</v>
      </c>
      <c r="L29" s="24" t="e">
        <f>'Alloc Amt'!L29/'Alloc Amt'!$F29</f>
        <v>#DIV/0!</v>
      </c>
    </row>
    <row r="30" spans="1:12" ht="15.75">
      <c r="A30" s="20">
        <f t="shared" si="1"/>
        <v>22</v>
      </c>
      <c r="B30" s="1">
        <f>'Alloc Amt'!B30</f>
        <v>0</v>
      </c>
      <c r="C30" s="4"/>
      <c r="D30" s="1">
        <f>'Alloc Amt'!D30</f>
        <v>0</v>
      </c>
      <c r="E30" s="4"/>
      <c r="F30" s="24" t="e">
        <f t="shared" si="0"/>
        <v>#DIV/0!</v>
      </c>
      <c r="G30" s="24" t="e">
        <f>'Alloc Amt'!G30/'Alloc Amt'!$F30</f>
        <v>#DIV/0!</v>
      </c>
      <c r="H30" s="24" t="e">
        <f>'Alloc Amt'!H30/'Alloc Amt'!$F30</f>
        <v>#DIV/0!</v>
      </c>
      <c r="I30" s="24" t="e">
        <f>'Alloc Amt'!I30/'Alloc Amt'!$F30</f>
        <v>#DIV/0!</v>
      </c>
      <c r="J30" s="24" t="e">
        <f>'Alloc Amt'!J30/'Alloc Amt'!$F30</f>
        <v>#DIV/0!</v>
      </c>
      <c r="K30" s="24" t="e">
        <f>'Alloc Amt'!K30/'Alloc Amt'!$F30</f>
        <v>#DIV/0!</v>
      </c>
      <c r="L30" s="24" t="e">
        <f>'Alloc Amt'!L30/'Alloc Amt'!$F30</f>
        <v>#DIV/0!</v>
      </c>
    </row>
    <row r="31" spans="1:12" ht="15">
      <c r="A31" s="20">
        <f t="shared" si="1"/>
        <v>23</v>
      </c>
      <c r="B31" s="1">
        <f>'Alloc Amt'!B31</f>
        <v>0</v>
      </c>
      <c r="D31" s="1">
        <f>'Alloc Amt'!D31</f>
        <v>0</v>
      </c>
      <c r="F31" s="24" t="e">
        <f t="shared" si="0"/>
        <v>#DIV/0!</v>
      </c>
      <c r="G31" s="24" t="e">
        <f>'Alloc Amt'!G31/'Alloc Amt'!$F31</f>
        <v>#DIV/0!</v>
      </c>
      <c r="H31" s="24" t="e">
        <f>'Alloc Amt'!H31/'Alloc Amt'!$F31</f>
        <v>#DIV/0!</v>
      </c>
      <c r="I31" s="24" t="e">
        <f>'Alloc Amt'!I31/'Alloc Amt'!$F31</f>
        <v>#DIV/0!</v>
      </c>
      <c r="J31" s="24" t="e">
        <f>'Alloc Amt'!J31/'Alloc Amt'!$F31</f>
        <v>#DIV/0!</v>
      </c>
      <c r="K31" s="24" t="e">
        <f>'Alloc Amt'!K31/'Alloc Amt'!$F31</f>
        <v>#DIV/0!</v>
      </c>
      <c r="L31" s="24" t="e">
        <f>'Alloc Amt'!L31/'Alloc Amt'!$F31</f>
        <v>#DIV/0!</v>
      </c>
    </row>
    <row r="32" spans="1:12" ht="15">
      <c r="A32" s="20">
        <f t="shared" si="1"/>
        <v>24</v>
      </c>
      <c r="B32" s="1">
        <f>'Alloc Amt'!B32</f>
        <v>0</v>
      </c>
      <c r="D32" s="1">
        <f>'Alloc Amt'!D32</f>
        <v>0</v>
      </c>
      <c r="F32" s="24" t="e">
        <f t="shared" si="0"/>
        <v>#DIV/0!</v>
      </c>
      <c r="G32" s="24" t="e">
        <f>'Alloc Amt'!G32/'Alloc Amt'!$F32</f>
        <v>#DIV/0!</v>
      </c>
      <c r="H32" s="24" t="e">
        <f>'Alloc Amt'!H32/'Alloc Amt'!$F32</f>
        <v>#DIV/0!</v>
      </c>
      <c r="I32" s="24" t="e">
        <f>'Alloc Amt'!I32/'Alloc Amt'!$F32</f>
        <v>#DIV/0!</v>
      </c>
      <c r="J32" s="24" t="e">
        <f>'Alloc Amt'!J32/'Alloc Amt'!$F32</f>
        <v>#DIV/0!</v>
      </c>
      <c r="K32" s="24" t="e">
        <f>'Alloc Amt'!K32/'Alloc Amt'!$F32</f>
        <v>#DIV/0!</v>
      </c>
      <c r="L32" s="24" t="e">
        <f>'Alloc Amt'!L32/'Alloc Amt'!$F32</f>
        <v>#DIV/0!</v>
      </c>
    </row>
    <row r="33" spans="1:12" ht="15">
      <c r="A33" s="20">
        <f t="shared" si="1"/>
        <v>25</v>
      </c>
      <c r="B33" s="1">
        <f>'Alloc Amt'!B33</f>
        <v>0</v>
      </c>
      <c r="D33" s="1">
        <f>'Alloc Amt'!D33</f>
        <v>0</v>
      </c>
      <c r="F33" s="24" t="e">
        <f t="shared" si="0"/>
        <v>#DIV/0!</v>
      </c>
      <c r="G33" s="24" t="e">
        <f>'Alloc Amt'!G33/'Alloc Amt'!$F33</f>
        <v>#DIV/0!</v>
      </c>
      <c r="H33" s="24" t="e">
        <f>'Alloc Amt'!H33/'Alloc Amt'!$F33</f>
        <v>#DIV/0!</v>
      </c>
      <c r="I33" s="24" t="e">
        <f>'Alloc Amt'!I33/'Alloc Amt'!$F33</f>
        <v>#DIV/0!</v>
      </c>
      <c r="J33" s="24" t="e">
        <f>'Alloc Amt'!J33/'Alloc Amt'!$F33</f>
        <v>#DIV/0!</v>
      </c>
      <c r="K33" s="24" t="e">
        <f>'Alloc Amt'!K33/'Alloc Amt'!$F33</f>
        <v>#DIV/0!</v>
      </c>
      <c r="L33" s="24" t="e">
        <f>'Alloc Amt'!L33/'Alloc Amt'!$F33</f>
        <v>#DIV/0!</v>
      </c>
    </row>
    <row r="34" spans="1:12" ht="15">
      <c r="A34" s="20">
        <f t="shared" si="1"/>
        <v>26</v>
      </c>
      <c r="B34" s="1">
        <f>'Alloc Amt'!B34</f>
        <v>0</v>
      </c>
      <c r="D34" s="1">
        <f>'Alloc Amt'!D34</f>
        <v>0</v>
      </c>
      <c r="F34" s="24" t="e">
        <f t="shared" si="0"/>
        <v>#DIV/0!</v>
      </c>
      <c r="G34" s="24" t="e">
        <f>'Alloc Amt'!G34/'Alloc Amt'!$F34</f>
        <v>#DIV/0!</v>
      </c>
      <c r="H34" s="24" t="e">
        <f>'Alloc Amt'!H34/'Alloc Amt'!$F34</f>
        <v>#DIV/0!</v>
      </c>
      <c r="I34" s="24" t="e">
        <f>'Alloc Amt'!I34/'Alloc Amt'!$F34</f>
        <v>#DIV/0!</v>
      </c>
      <c r="J34" s="24" t="e">
        <f>'Alloc Amt'!J34/'Alloc Amt'!$F34</f>
        <v>#DIV/0!</v>
      </c>
      <c r="K34" s="24" t="e">
        <f>'Alloc Amt'!K34/'Alloc Amt'!$F34</f>
        <v>#DIV/0!</v>
      </c>
      <c r="L34" s="24" t="e">
        <f>'Alloc Amt'!L34/'Alloc Amt'!$F34</f>
        <v>#DIV/0!</v>
      </c>
    </row>
    <row r="35" spans="1:12" ht="15">
      <c r="A35" s="20">
        <f t="shared" si="1"/>
        <v>27</v>
      </c>
      <c r="B35" s="1">
        <f>'Alloc Amt'!B35</f>
        <v>0</v>
      </c>
      <c r="D35" s="1">
        <f>'Alloc Amt'!D35</f>
        <v>0</v>
      </c>
      <c r="F35" s="24" t="e">
        <f t="shared" si="0"/>
        <v>#DIV/0!</v>
      </c>
      <c r="G35" s="24" t="e">
        <f>'Alloc Amt'!G35/'Alloc Amt'!$F35</f>
        <v>#DIV/0!</v>
      </c>
      <c r="H35" s="24" t="e">
        <f>'Alloc Amt'!H35/'Alloc Amt'!$F35</f>
        <v>#DIV/0!</v>
      </c>
      <c r="I35" s="24" t="e">
        <f>'Alloc Amt'!I35/'Alloc Amt'!$F35</f>
        <v>#DIV/0!</v>
      </c>
      <c r="J35" s="24" t="e">
        <f>'Alloc Amt'!J35/'Alloc Amt'!$F35</f>
        <v>#DIV/0!</v>
      </c>
      <c r="K35" s="24" t="e">
        <f>'Alloc Amt'!K35/'Alloc Amt'!$F35</f>
        <v>#DIV/0!</v>
      </c>
      <c r="L35" s="24" t="e">
        <f>'Alloc Amt'!L35/'Alloc Amt'!$F35</f>
        <v>#DIV/0!</v>
      </c>
    </row>
    <row r="36" spans="1:12" ht="15">
      <c r="A36" s="20">
        <f t="shared" si="1"/>
        <v>28</v>
      </c>
      <c r="B36" s="1" t="str">
        <f>'Alloc Amt'!B36</f>
        <v>Actual Revenue</v>
      </c>
      <c r="D36" s="1" t="str">
        <f>'Alloc Amt'!D36</f>
        <v>REV01</v>
      </c>
      <c r="F36" s="24">
        <f t="shared" si="0"/>
        <v>1</v>
      </c>
      <c r="G36" s="24">
        <f>'Alloc Amt'!G36/'Alloc Amt'!$F36</f>
        <v>0.6728271678346118</v>
      </c>
      <c r="H36" s="24">
        <f>'Alloc Amt'!H36/'Alloc Amt'!$F36</f>
        <v>0.27738857479598555</v>
      </c>
      <c r="I36" s="24">
        <f>'Alloc Amt'!I36/'Alloc Amt'!$F36</f>
        <v>0.021805185135635948</v>
      </c>
      <c r="J36" s="24">
        <f>'Alloc Amt'!J36/'Alloc Amt'!$F36</f>
        <v>0.007604428943156289</v>
      </c>
      <c r="K36" s="24">
        <f>'Alloc Amt'!K36/'Alloc Amt'!$F36</f>
        <v>0.01963567786755067</v>
      </c>
      <c r="L36" s="24">
        <f>'Alloc Amt'!L36/'Alloc Amt'!$F36</f>
        <v>0.0007389654230596815</v>
      </c>
    </row>
    <row r="37" spans="1:12" ht="15">
      <c r="A37" s="20">
        <f t="shared" si="1"/>
        <v>29</v>
      </c>
      <c r="B37" s="1" t="str">
        <f>'Alloc Amt'!B37</f>
        <v>Actual Net Revenue</v>
      </c>
      <c r="D37" s="1" t="str">
        <f>'Alloc Amt'!D37</f>
        <v>REVUC</v>
      </c>
      <c r="F37" s="24">
        <f t="shared" si="0"/>
        <v>1.0000000000000002</v>
      </c>
      <c r="G37" s="24">
        <f>'Alloc Amt'!G37/'Alloc Amt'!$F37</f>
        <v>0.718365080196375</v>
      </c>
      <c r="H37" s="24">
        <f>'Alloc Amt'!H37/'Alloc Amt'!$F37</f>
        <v>0.22797026117458213</v>
      </c>
      <c r="I37" s="24">
        <f>'Alloc Amt'!I37/'Alloc Amt'!$F37</f>
        <v>0.013257652140857055</v>
      </c>
      <c r="J37" s="24">
        <f>'Alloc Amt'!J37/'Alloc Amt'!$F37</f>
        <v>0.0017788368379655583</v>
      </c>
      <c r="K37" s="24">
        <f>'Alloc Amt'!K37/'Alloc Amt'!$F37</f>
        <v>0.0373443377024883</v>
      </c>
      <c r="L37" s="24">
        <f>'Alloc Amt'!L37/'Alloc Amt'!$F37</f>
        <v>0.0012838319477319624</v>
      </c>
    </row>
    <row r="38" spans="1:12" ht="15">
      <c r="A38" s="20">
        <f t="shared" si="1"/>
        <v>30</v>
      </c>
      <c r="B38" s="1" t="str">
        <f>'Alloc Amt'!B38</f>
        <v>DSM Allocation</v>
      </c>
      <c r="D38" s="1" t="str">
        <f>'Alloc Amt'!D38</f>
        <v>REVADJ4</v>
      </c>
      <c r="F38" s="24">
        <f t="shared" si="0"/>
        <v>1</v>
      </c>
      <c r="G38" s="24">
        <f>'Alloc Amt'!G38/'Alloc Amt'!$F38</f>
        <v>0.9746117356504264</v>
      </c>
      <c r="H38" s="24">
        <f>'Alloc Amt'!H38/'Alloc Amt'!$F38</f>
        <v>0.023249626280052237</v>
      </c>
      <c r="I38" s="24">
        <f>'Alloc Amt'!I38/'Alloc Amt'!$F38</f>
        <v>0</v>
      </c>
      <c r="J38" s="24">
        <f>'Alloc Amt'!J38/'Alloc Amt'!$F38</f>
        <v>0.00040011277737982067</v>
      </c>
      <c r="K38" s="24">
        <f>'Alloc Amt'!K38/'Alloc Amt'!$F38</f>
        <v>0.001738525292141538</v>
      </c>
      <c r="L38" s="24">
        <f>'Alloc Amt'!L38/'Alloc Amt'!$F38</f>
        <v>0</v>
      </c>
    </row>
    <row r="39" spans="1:12" ht="15">
      <c r="A39" s="20">
        <f t="shared" si="1"/>
        <v>31</v>
      </c>
      <c r="B39" s="1" t="str">
        <f>'Alloc Amt'!B39</f>
        <v>Miscellaneous Revenue Allocation</v>
      </c>
      <c r="D39" s="1" t="str">
        <f>'Alloc Amt'!D39</f>
        <v>REVMISC</v>
      </c>
      <c r="F39" s="24">
        <f t="shared" si="0"/>
        <v>1</v>
      </c>
      <c r="G39" s="24">
        <f>'Alloc Amt'!G39/'Alloc Amt'!$F39</f>
        <v>0.2869579851125275</v>
      </c>
      <c r="H39" s="24">
        <f>'Alloc Amt'!H39/'Alloc Amt'!$F39</f>
        <v>0.7130420148874724</v>
      </c>
      <c r="I39" s="24">
        <f>'Alloc Amt'!I39/'Alloc Amt'!$F39</f>
        <v>0</v>
      </c>
      <c r="J39" s="24">
        <f>'Alloc Amt'!J39/'Alloc Amt'!$F39</f>
        <v>0</v>
      </c>
      <c r="K39" s="24">
        <f>'Alloc Amt'!K39/'Alloc Amt'!$F39</f>
        <v>0</v>
      </c>
      <c r="L39" s="24">
        <f>'Alloc Amt'!L39/'Alloc Amt'!$F39</f>
        <v>0</v>
      </c>
    </row>
    <row r="40" spans="1:12" ht="15">
      <c r="A40" s="20">
        <f t="shared" si="1"/>
        <v>32</v>
      </c>
      <c r="B40" s="1">
        <f>'Alloc Amt'!B40</f>
        <v>0</v>
      </c>
      <c r="D40" s="1">
        <f>'Alloc Amt'!D40</f>
        <v>0</v>
      </c>
      <c r="F40" s="24" t="e">
        <f t="shared" si="0"/>
        <v>#DIV/0!</v>
      </c>
      <c r="G40" s="24" t="e">
        <f>'Alloc Amt'!G40/'Alloc Amt'!$F40</f>
        <v>#DIV/0!</v>
      </c>
      <c r="H40" s="24" t="e">
        <f>'Alloc Amt'!H40/'Alloc Amt'!$F40</f>
        <v>#DIV/0!</v>
      </c>
      <c r="I40" s="24" t="e">
        <f>'Alloc Amt'!I40/'Alloc Amt'!$F40</f>
        <v>#DIV/0!</v>
      </c>
      <c r="J40" s="24" t="e">
        <f>'Alloc Amt'!J40/'Alloc Amt'!$F40</f>
        <v>#DIV/0!</v>
      </c>
      <c r="K40" s="24" t="e">
        <f>'Alloc Amt'!K40/'Alloc Amt'!$F40</f>
        <v>#DIV/0!</v>
      </c>
      <c r="L40" s="24" t="e">
        <f>'Alloc Amt'!L40/'Alloc Amt'!$F40</f>
        <v>#DIV/0!</v>
      </c>
    </row>
    <row r="41" spans="1:12" ht="15">
      <c r="A41" s="20">
        <f t="shared" si="1"/>
        <v>33</v>
      </c>
      <c r="B41" s="1" t="str">
        <f>'Alloc Amt'!B41</f>
        <v>GSC Revenue</v>
      </c>
      <c r="D41" s="1" t="str">
        <f>'Alloc Amt'!D41</f>
        <v>REVGSC</v>
      </c>
      <c r="F41" s="24">
        <f aca="true" t="shared" si="2" ref="F41:F72">SUM(G41:L41)</f>
        <v>0.9999999999999999</v>
      </c>
      <c r="G41" s="24">
        <f>'Alloc Amt'!G41/'Alloc Amt'!$F41</f>
        <v>0.6320252707299477</v>
      </c>
      <c r="H41" s="24">
        <f>'Alloc Amt'!H41/'Alloc Amt'!$F41</f>
        <v>0.32166730580642533</v>
      </c>
      <c r="I41" s="24">
        <f>'Alloc Amt'!I41/'Alloc Amt'!$F41</f>
        <v>0.02946376139219506</v>
      </c>
      <c r="J41" s="24">
        <f>'Alloc Amt'!J41/'Alloc Amt'!$F41</f>
        <v>0.01282415045099111</v>
      </c>
      <c r="K41" s="24">
        <f>'Alloc Amt'!K41/'Alloc Amt'!$F41</f>
        <v>0.0037687457701565436</v>
      </c>
      <c r="L41" s="24">
        <f>'Alloc Amt'!L41/'Alloc Amt'!$F41</f>
        <v>0.00025076585028419826</v>
      </c>
    </row>
    <row r="42" spans="1:12" ht="15">
      <c r="A42" s="20">
        <f aca="true" t="shared" si="3" ref="A42:A69">A41+1</f>
        <v>34</v>
      </c>
      <c r="B42" s="1" t="str">
        <f>'Alloc Amt'!B42</f>
        <v>PTD Plant</v>
      </c>
      <c r="D42" s="1">
        <f>'Alloc Amt'!D42</f>
        <v>0</v>
      </c>
      <c r="F42" s="24">
        <f t="shared" si="2"/>
        <v>1.0000000000000002</v>
      </c>
      <c r="G42" s="24">
        <f ca="1">'Alloc Amt'!G42/'Alloc Amt'!$F42</f>
        <v>0.7073356514975283</v>
      </c>
      <c r="H42" s="24">
        <f ca="1">'Alloc Amt'!H42/'Alloc Amt'!$F42</f>
        <v>0.24691016138882202</v>
      </c>
      <c r="I42" s="24">
        <f ca="1">'Alloc Amt'!I42/'Alloc Amt'!$F42</f>
        <v>0.015255033327455998</v>
      </c>
      <c r="J42" s="24">
        <f ca="1">'Alloc Amt'!J42/'Alloc Amt'!$F42</f>
        <v>0.0032924242486684564</v>
      </c>
      <c r="K42" s="24">
        <f ca="1">'Alloc Amt'!K42/'Alloc Amt'!$F42</f>
        <v>0.02663042129069861</v>
      </c>
      <c r="L42" s="24">
        <f ca="1">'Alloc Amt'!L42/'Alloc Amt'!$F42</f>
        <v>0.000576308246826674</v>
      </c>
    </row>
    <row r="43" spans="1:12" ht="15">
      <c r="A43" s="20">
        <f t="shared" si="3"/>
        <v>35</v>
      </c>
      <c r="B43" s="1" t="str">
        <f>'Alloc Amt'!B43</f>
        <v>Dist Plant</v>
      </c>
      <c r="D43" s="1">
        <f>'Alloc Amt'!D43</f>
        <v>0</v>
      </c>
      <c r="F43" s="24">
        <f t="shared" si="2"/>
        <v>1</v>
      </c>
      <c r="G43" s="24">
        <f ca="1">'Alloc Amt'!G43/'Alloc Amt'!$F43</f>
        <v>0.7130512885005913</v>
      </c>
      <c r="H43" s="24">
        <f ca="1">'Alloc Amt'!H43/'Alloc Amt'!$F43</f>
        <v>0.23682441615285818</v>
      </c>
      <c r="I43" s="24">
        <f ca="1">'Alloc Amt'!I43/'Alloc Amt'!$F43</f>
        <v>0.01431435335231675</v>
      </c>
      <c r="J43" s="24">
        <f ca="1">'Alloc Amt'!J43/'Alloc Amt'!$F43</f>
        <v>0.0038657309049209606</v>
      </c>
      <c r="K43" s="24">
        <f ca="1">'Alloc Amt'!K43/'Alloc Amt'!$F43</f>
        <v>0.03126755084377502</v>
      </c>
      <c r="L43" s="24">
        <f ca="1">'Alloc Amt'!L43/'Alloc Amt'!$F43</f>
        <v>0.0006766602455378262</v>
      </c>
    </row>
    <row r="44" spans="1:12" ht="15">
      <c r="A44" s="20">
        <f t="shared" si="3"/>
        <v>36</v>
      </c>
      <c r="B44" s="1" t="str">
        <f>'Alloc Amt'!B44</f>
        <v>Mains + Services</v>
      </c>
      <c r="D44" s="1">
        <f>'Alloc Amt'!D44</f>
        <v>0</v>
      </c>
      <c r="F44" s="24">
        <f t="shared" si="2"/>
        <v>1</v>
      </c>
      <c r="G44" s="24">
        <f ca="1">'Alloc Amt'!G44/'Alloc Amt'!$F44</f>
        <v>0.7050914968731915</v>
      </c>
      <c r="H44" s="24">
        <f ca="1">'Alloc Amt'!H44/'Alloc Amt'!$F44</f>
        <v>0.24365077888100062</v>
      </c>
      <c r="I44" s="24">
        <f ca="1">'Alloc Amt'!I44/'Alloc Amt'!$F44</f>
        <v>0.015010534239077748</v>
      </c>
      <c r="J44" s="24">
        <f ca="1">'Alloc Amt'!J44/'Alloc Amt'!$F44</f>
        <v>0.004067157252651607</v>
      </c>
      <c r="K44" s="24">
        <f ca="1">'Alloc Amt'!K44/'Alloc Amt'!$F44</f>
        <v>0.03157750084848286</v>
      </c>
      <c r="L44" s="24">
        <f ca="1">'Alloc Amt'!L44/'Alloc Amt'!$F44</f>
        <v>0.0006025319055956828</v>
      </c>
    </row>
    <row r="45" spans="1:12" ht="15">
      <c r="A45" s="20">
        <f t="shared" si="3"/>
        <v>37</v>
      </c>
      <c r="B45" s="1" t="str">
        <f>'Alloc Amt'!B45</f>
        <v>Depreciation Reserve</v>
      </c>
      <c r="D45" s="1">
        <f>'Alloc Amt'!D45</f>
        <v>0</v>
      </c>
      <c r="F45" s="24">
        <f t="shared" si="2"/>
        <v>0.9999999999999999</v>
      </c>
      <c r="G45" s="24">
        <f ca="1">'Alloc Amt'!G45/'Alloc Amt'!$F45</f>
        <v>0.6993889553685736</v>
      </c>
      <c r="H45" s="24">
        <f ca="1">'Alloc Amt'!H45/'Alloc Amt'!$F45</f>
        <v>0.25357994123581723</v>
      </c>
      <c r="I45" s="24">
        <f ca="1">'Alloc Amt'!I45/'Alloc Amt'!$F45</f>
        <v>0.015977742025971672</v>
      </c>
      <c r="J45" s="24">
        <f ca="1">'Alloc Amt'!J45/'Alloc Amt'!$F45</f>
        <v>0.003347227227735836</v>
      </c>
      <c r="K45" s="24">
        <f ca="1">'Alloc Amt'!K45/'Alloc Amt'!$F45</f>
        <v>0.027131386913262893</v>
      </c>
      <c r="L45" s="24">
        <f ca="1">'Alloc Amt'!L45/'Alloc Amt'!$F45</f>
        <v>0.0005747472286386769</v>
      </c>
    </row>
    <row r="46" spans="1:12" ht="15">
      <c r="A46" s="20">
        <f t="shared" si="3"/>
        <v>38</v>
      </c>
      <c r="B46" s="1" t="str">
        <f>'Alloc Amt'!B46</f>
        <v>O&amp;M Expense</v>
      </c>
      <c r="D46" s="1">
        <f>'Alloc Amt'!D46</f>
        <v>0</v>
      </c>
      <c r="F46" s="24">
        <f t="shared" si="2"/>
        <v>1</v>
      </c>
      <c r="G46" s="24">
        <f ca="1">'Alloc Amt'!G46/'Alloc Amt'!$F46</f>
        <v>0.7073797480861247</v>
      </c>
      <c r="H46" s="24">
        <f ca="1">'Alloc Amt'!H46/'Alloc Amt'!$F46</f>
        <v>0.24156656909431776</v>
      </c>
      <c r="I46" s="24">
        <f ca="1">'Alloc Amt'!I46/'Alloc Amt'!$F46</f>
        <v>0.014820789210993437</v>
      </c>
      <c r="J46" s="24">
        <f ca="1">'Alloc Amt'!J46/'Alloc Amt'!$F46</f>
        <v>0.002743096078627427</v>
      </c>
      <c r="K46" s="24">
        <f ca="1">'Alloc Amt'!K46/'Alloc Amt'!$F46</f>
        <v>0.03241609771507427</v>
      </c>
      <c r="L46" s="24">
        <f ca="1">'Alloc Amt'!L46/'Alloc Amt'!$F46</f>
        <v>0.0010736998148624922</v>
      </c>
    </row>
    <row r="47" spans="1:12" ht="15">
      <c r="A47" s="20">
        <f t="shared" si="3"/>
        <v>39</v>
      </c>
      <c r="B47" s="1" t="str">
        <f>'Alloc Amt'!B47</f>
        <v>Labor Excl. A&amp;G</v>
      </c>
      <c r="D47" s="1">
        <f>'Alloc Amt'!D47</f>
        <v>0</v>
      </c>
      <c r="F47" s="24">
        <f t="shared" si="2"/>
        <v>1</v>
      </c>
      <c r="G47" s="24">
        <f ca="1">'Alloc Amt'!G47/'Alloc Amt'!$F47</f>
        <v>0.7007938864064271</v>
      </c>
      <c r="H47" s="24">
        <f ca="1">'Alloc Amt'!H47/'Alloc Amt'!$F47</f>
        <v>0.24222610965157654</v>
      </c>
      <c r="I47" s="24">
        <f ca="1">'Alloc Amt'!I47/'Alloc Amt'!$F47</f>
        <v>0.015178974136858633</v>
      </c>
      <c r="J47" s="24">
        <f ca="1">'Alloc Amt'!J47/'Alloc Amt'!$F47</f>
        <v>0.0028827672640280013</v>
      </c>
      <c r="K47" s="24">
        <f ca="1">'Alloc Amt'!K47/'Alloc Amt'!$F47</f>
        <v>0.03750447482996553</v>
      </c>
      <c r="L47" s="24">
        <f ca="1">'Alloc Amt'!L47/'Alloc Amt'!$F47</f>
        <v>0.0014137877111441782</v>
      </c>
    </row>
    <row r="48" spans="1:12" ht="15">
      <c r="A48" s="20">
        <f t="shared" si="3"/>
        <v>40</v>
      </c>
      <c r="B48" s="1" t="str">
        <f>'Alloc Amt'!B48</f>
        <v>Total Plant + CWIP</v>
      </c>
      <c r="D48" s="1">
        <f>'Alloc Amt'!D48</f>
        <v>0</v>
      </c>
      <c r="F48" s="24">
        <f t="shared" si="2"/>
        <v>1.0000000000000002</v>
      </c>
      <c r="G48" s="24">
        <f ca="1">'Alloc Amt'!G48/'Alloc Amt'!$F48</f>
        <v>0.705025526611114</v>
      </c>
      <c r="H48" s="24">
        <f ca="1">'Alloc Amt'!H48/'Alloc Amt'!$F48</f>
        <v>0.2486166058413491</v>
      </c>
      <c r="I48" s="24">
        <f ca="1">'Alloc Amt'!I48/'Alloc Amt'!$F48</f>
        <v>0.015493537711150461</v>
      </c>
      <c r="J48" s="24">
        <f ca="1">'Alloc Amt'!J48/'Alloc Amt'!$F48</f>
        <v>0.0033339664377275012</v>
      </c>
      <c r="K48" s="24">
        <f ca="1">'Alloc Amt'!K48/'Alloc Amt'!$F48</f>
        <v>0.02695027846387996</v>
      </c>
      <c r="L48" s="24">
        <f ca="1">'Alloc Amt'!L48/'Alloc Amt'!$F48</f>
        <v>0.0005800849347791043</v>
      </c>
    </row>
    <row r="49" spans="1:12" ht="15">
      <c r="A49" s="20">
        <f t="shared" si="3"/>
        <v>41</v>
      </c>
      <c r="B49" s="1" t="str">
        <f>'Alloc Amt'!B49</f>
        <v>Total Labor</v>
      </c>
      <c r="D49" s="1">
        <f>'Alloc Amt'!D49</f>
        <v>0</v>
      </c>
      <c r="F49" s="24">
        <f t="shared" si="2"/>
        <v>0.9999999999999997</v>
      </c>
      <c r="G49" s="24">
        <f ca="1">'Alloc Amt'!G49/'Alloc Amt'!$F49</f>
        <v>0.701240862102375</v>
      </c>
      <c r="H49" s="24">
        <f ca="1">'Alloc Amt'!H49/'Alloc Amt'!$F49</f>
        <v>0.24254615435754742</v>
      </c>
      <c r="I49" s="24">
        <f ca="1">'Alloc Amt'!I49/'Alloc Amt'!$F49</f>
        <v>0.015184170992627224</v>
      </c>
      <c r="J49" s="24">
        <f ca="1">'Alloc Amt'!J49/'Alloc Amt'!$F49</f>
        <v>0.0029107576784283525</v>
      </c>
      <c r="K49" s="24">
        <f ca="1">'Alloc Amt'!K49/'Alloc Amt'!$F49</f>
        <v>0.036761489170773536</v>
      </c>
      <c r="L49" s="24">
        <f ca="1">'Alloc Amt'!L49/'Alloc Amt'!$F49</f>
        <v>0.0013565656982481812</v>
      </c>
    </row>
    <row r="50" spans="1:12" ht="15">
      <c r="A50" s="20">
        <f t="shared" si="3"/>
        <v>42</v>
      </c>
      <c r="B50" s="1" t="str">
        <f>'Alloc Amt'!B50</f>
        <v>Depreciation Expenses</v>
      </c>
      <c r="D50" s="1">
        <f>'Alloc Amt'!D50</f>
        <v>0</v>
      </c>
      <c r="F50" s="24">
        <f t="shared" si="2"/>
        <v>1.0000000000000002</v>
      </c>
      <c r="G50" s="24">
        <f ca="1">'Alloc Amt'!G50/'Alloc Amt'!$F50</f>
        <v>0.7292051185249703</v>
      </c>
      <c r="H50" s="24">
        <f ca="1">'Alloc Amt'!H50/'Alloc Amt'!$F50</f>
        <v>0.23175834737711148</v>
      </c>
      <c r="I50" s="24">
        <f ca="1">'Alloc Amt'!I50/'Alloc Amt'!$F50</f>
        <v>0.013060938796620609</v>
      </c>
      <c r="J50" s="24">
        <f ca="1">'Alloc Amt'!J50/'Alloc Amt'!$F50</f>
        <v>0.002824498061993397</v>
      </c>
      <c r="K50" s="24">
        <f ca="1">'Alloc Amt'!K50/'Alloc Amt'!$F50</f>
        <v>0.02264701119897453</v>
      </c>
      <c r="L50" s="24">
        <f ca="1">'Alloc Amt'!L50/'Alloc Amt'!$F50</f>
        <v>0.0005040860403298563</v>
      </c>
    </row>
    <row r="51" spans="1:12" ht="15">
      <c r="A51" s="20">
        <f t="shared" si="3"/>
        <v>43</v>
      </c>
      <c r="B51" s="1" t="str">
        <f>'Alloc Amt'!B51</f>
        <v>Rate Base</v>
      </c>
      <c r="D51" s="1" t="str">
        <f>'Alloc Amt'!D51</f>
        <v>RBT</v>
      </c>
      <c r="F51" s="24">
        <f t="shared" si="2"/>
        <v>1</v>
      </c>
      <c r="G51" s="24">
        <f ca="1">'Alloc Amt'!G51/'Alloc Amt'!$F51</f>
        <v>0.705729570713153</v>
      </c>
      <c r="H51" s="24">
        <f ca="1">'Alloc Amt'!H51/'Alloc Amt'!$F51</f>
        <v>0.24999941277781246</v>
      </c>
      <c r="I51" s="24">
        <f ca="1">'Alloc Amt'!I51/'Alloc Amt'!$F51</f>
        <v>0.015618539509555057</v>
      </c>
      <c r="J51" s="24">
        <f ca="1">'Alloc Amt'!J51/'Alloc Amt'!$F51</f>
        <v>0.003078887977655002</v>
      </c>
      <c r="K51" s="24">
        <f ca="1">'Alloc Amt'!K51/'Alloc Amt'!$F51</f>
        <v>0.02502325184868823</v>
      </c>
      <c r="L51" s="24">
        <f ca="1">'Alloc Amt'!L51/'Alloc Amt'!$F51</f>
        <v>0.0005503371731362845</v>
      </c>
    </row>
    <row r="52" spans="1:12" ht="15">
      <c r="A52" s="20">
        <f t="shared" si="3"/>
        <v>44</v>
      </c>
      <c r="B52" s="1" t="str">
        <f>'Alloc Amt'!B52</f>
        <v>Year-End Customer Adjustment</v>
      </c>
      <c r="D52" s="1" t="str">
        <f>'Alloc Amt'!D52</f>
        <v>REVADJ2</v>
      </c>
      <c r="F52" s="24">
        <f t="shared" si="2"/>
        <v>1</v>
      </c>
      <c r="G52" s="24">
        <f>'Alloc Amt'!G52/'Alloc Amt'!$F52</f>
        <v>0.6756091081887559</v>
      </c>
      <c r="H52" s="24">
        <f>'Alloc Amt'!H52/'Alloc Amt'!$F52</f>
        <v>0.34609879326041487</v>
      </c>
      <c r="I52" s="24">
        <f>'Alloc Amt'!I52/'Alloc Amt'!$F52</f>
        <v>-0.021707901449170706</v>
      </c>
      <c r="J52" s="24">
        <f>'Alloc Amt'!J52/'Alloc Amt'!$F52</f>
        <v>0</v>
      </c>
      <c r="K52" s="24">
        <f>'Alloc Amt'!K52/'Alloc Amt'!$F52</f>
        <v>0</v>
      </c>
      <c r="L52" s="24">
        <f>'Alloc Amt'!L52/'Alloc Amt'!$F52</f>
        <v>0</v>
      </c>
    </row>
    <row r="53" spans="1:12" ht="15">
      <c r="A53" s="20">
        <f t="shared" si="3"/>
        <v>45</v>
      </c>
      <c r="B53" s="1" t="str">
        <f>'Alloc Amt'!B53</f>
        <v>Mains</v>
      </c>
      <c r="D53" s="1" t="str">
        <f>'Alloc Amt'!D53</f>
        <v>Mains</v>
      </c>
      <c r="F53" s="24">
        <f t="shared" si="2"/>
        <v>1</v>
      </c>
      <c r="G53" s="24">
        <f ca="1">'Alloc Amt'!G53/'Alloc Amt'!$F53</f>
        <v>0.6244979243332398</v>
      </c>
      <c r="H53" s="24">
        <f ca="1">'Alloc Amt'!H53/'Alloc Amt'!$F53</f>
        <v>0.2955786667011979</v>
      </c>
      <c r="I53" s="24">
        <f ca="1">'Alloc Amt'!I53/'Alloc Amt'!$F53</f>
        <v>0.023058781601261506</v>
      </c>
      <c r="J53" s="24">
        <f ca="1">'Alloc Amt'!J53/'Alloc Amt'!$F53</f>
        <v>0.006225872697739802</v>
      </c>
      <c r="K53" s="24">
        <f ca="1">'Alloc Amt'!K53/'Alloc Amt'!$F53</f>
        <v>0.04969276084355733</v>
      </c>
      <c r="L53" s="24">
        <f ca="1">'Alloc Amt'!L53/'Alloc Amt'!$F53</f>
        <v>0.0009459938230037488</v>
      </c>
    </row>
    <row r="54" spans="1:12" ht="15">
      <c r="A54" s="20">
        <f t="shared" si="3"/>
        <v>46</v>
      </c>
      <c r="B54" s="1">
        <f>'Alloc Amt'!B54</f>
        <v>0</v>
      </c>
      <c r="D54" s="1">
        <f>'Alloc Amt'!D54</f>
        <v>0</v>
      </c>
      <c r="F54" s="24" t="e">
        <f t="shared" si="2"/>
        <v>#DIV/0!</v>
      </c>
      <c r="G54" s="24" t="e">
        <f>'Alloc Amt'!G54/'Alloc Amt'!$F54</f>
        <v>#DIV/0!</v>
      </c>
      <c r="H54" s="24" t="e">
        <f>'Alloc Amt'!H54/'Alloc Amt'!$F54</f>
        <v>#DIV/0!</v>
      </c>
      <c r="I54" s="24" t="e">
        <f>'Alloc Amt'!I54/'Alloc Amt'!$F54</f>
        <v>#DIV/0!</v>
      </c>
      <c r="J54" s="24" t="e">
        <f>'Alloc Amt'!J54/'Alloc Amt'!$F54</f>
        <v>#DIV/0!</v>
      </c>
      <c r="K54" s="24" t="e">
        <f>'Alloc Amt'!K54/'Alloc Amt'!$F54</f>
        <v>#DIV/0!</v>
      </c>
      <c r="L54" s="24" t="e">
        <f>'Alloc Amt'!L54/'Alloc Amt'!$F54</f>
        <v>#DIV/0!</v>
      </c>
    </row>
    <row r="55" spans="1:12" ht="15">
      <c r="A55" s="20">
        <f t="shared" si="3"/>
        <v>47</v>
      </c>
      <c r="B55" s="1" t="str">
        <f>'Alloc Amt'!B55</f>
        <v>DSM Revenue</v>
      </c>
      <c r="D55" s="1">
        <f>'Alloc Amt'!D55</f>
        <v>0</v>
      </c>
      <c r="F55" s="24">
        <f t="shared" si="2"/>
        <v>1</v>
      </c>
      <c r="G55" s="24">
        <f>'Alloc Amt'!G55/'Alloc Amt'!$F55</f>
        <v>0.9746117356504264</v>
      </c>
      <c r="H55" s="24">
        <f>'Alloc Amt'!H55/'Alloc Amt'!$F55</f>
        <v>0.023249626280052237</v>
      </c>
      <c r="I55" s="24">
        <f>'Alloc Amt'!I55/'Alloc Amt'!$F55</f>
        <v>0</v>
      </c>
      <c r="J55" s="24">
        <f>'Alloc Amt'!J55/'Alloc Amt'!$F55</f>
        <v>0.00040011277737982067</v>
      </c>
      <c r="K55" s="24">
        <f>'Alloc Amt'!K55/'Alloc Amt'!$F55</f>
        <v>0.001738525292141538</v>
      </c>
      <c r="L55" s="24">
        <f>'Alloc Amt'!L55/'Alloc Amt'!$F55</f>
        <v>0</v>
      </c>
    </row>
    <row r="56" spans="1:12" ht="15">
      <c r="A56" s="20">
        <f t="shared" si="3"/>
        <v>48</v>
      </c>
      <c r="B56" s="1" t="str">
        <f>'Alloc Amt'!B56</f>
        <v>Labor Accts 815-826</v>
      </c>
      <c r="D56" s="1">
        <f>'Alloc Amt'!D56</f>
        <v>0</v>
      </c>
      <c r="F56" s="24">
        <f t="shared" si="2"/>
        <v>0.9999999999999999</v>
      </c>
      <c r="G56" s="24">
        <f ca="1">'Alloc Amt'!G56/'Alloc Amt'!$F56</f>
        <v>0.666484344052914</v>
      </c>
      <c r="H56" s="24">
        <f ca="1">'Alloc Amt'!H56/'Alloc Amt'!$F56</f>
        <v>0.310100328826628</v>
      </c>
      <c r="I56" s="24">
        <f ca="1">'Alloc Amt'!I56/'Alloc Amt'!$F56</f>
        <v>0.023415327120457918</v>
      </c>
      <c r="J56" s="24">
        <f ca="1">'Alloc Amt'!J56/'Alloc Amt'!$F56</f>
        <v>0</v>
      </c>
      <c r="K56" s="24">
        <f ca="1">'Alloc Amt'!K56/'Alloc Amt'!$F56</f>
        <v>0</v>
      </c>
      <c r="L56" s="24">
        <f ca="1">'Alloc Amt'!L56/'Alloc Amt'!$F56</f>
        <v>0</v>
      </c>
    </row>
    <row r="57" spans="1:12" ht="15">
      <c r="A57" s="20">
        <f t="shared" si="3"/>
        <v>49</v>
      </c>
      <c r="B57" s="1" t="str">
        <f>'Alloc Amt'!B57</f>
        <v>Labor Accts 831-837</v>
      </c>
      <c r="D57" s="1">
        <f>'Alloc Amt'!D57</f>
        <v>0</v>
      </c>
      <c r="F57" s="24">
        <f t="shared" si="2"/>
        <v>1</v>
      </c>
      <c r="G57" s="24">
        <f ca="1">'Alloc Amt'!G57/'Alloc Amt'!$F57</f>
        <v>0.6660492643597705</v>
      </c>
      <c r="H57" s="24">
        <f ca="1">'Alloc Amt'!H57/'Alloc Amt'!$F57</f>
        <v>0.3103859172613137</v>
      </c>
      <c r="I57" s="24">
        <f ca="1">'Alloc Amt'!I57/'Alloc Amt'!$F57</f>
        <v>0.02356481837891581</v>
      </c>
      <c r="J57" s="24">
        <f ca="1">'Alloc Amt'!J57/'Alloc Amt'!$F57</f>
        <v>0</v>
      </c>
      <c r="K57" s="24">
        <f ca="1">'Alloc Amt'!K57/'Alloc Amt'!$F57</f>
        <v>0</v>
      </c>
      <c r="L57" s="24">
        <f ca="1">'Alloc Amt'!L57/'Alloc Amt'!$F57</f>
        <v>0</v>
      </c>
    </row>
    <row r="58" spans="1:12" ht="15">
      <c r="A58" s="20">
        <f t="shared" si="3"/>
        <v>50</v>
      </c>
      <c r="B58" s="1" t="str">
        <f>'Alloc Amt'!B58</f>
        <v>Distribution Depr Reserve Basis</v>
      </c>
      <c r="D58" s="1">
        <f>'Alloc Amt'!D58</f>
        <v>0</v>
      </c>
      <c r="F58" s="24">
        <f t="shared" si="2"/>
        <v>1</v>
      </c>
      <c r="G58" s="24">
        <f ca="1">'Alloc Amt'!G58/'Alloc Amt'!$F58</f>
        <v>0.7035874683875839</v>
      </c>
      <c r="H58" s="24">
        <f ca="1">'Alloc Amt'!H58/'Alloc Amt'!$F58</f>
        <v>0.24320261550861777</v>
      </c>
      <c r="I58" s="24">
        <f ca="1">'Alloc Amt'!I58/'Alloc Amt'!$F58</f>
        <v>0.015050495614484594</v>
      </c>
      <c r="J58" s="24">
        <f ca="1">'Alloc Amt'!J58/'Alloc Amt'!$F58</f>
        <v>0.004112307167337097</v>
      </c>
      <c r="K58" s="24">
        <f ca="1">'Alloc Amt'!K58/'Alloc Amt'!$F58</f>
        <v>0.03334294923857204</v>
      </c>
      <c r="L58" s="24">
        <f ca="1">'Alloc Amt'!L58/'Alloc Amt'!$F58</f>
        <v>0.0007041640834046455</v>
      </c>
    </row>
    <row r="59" spans="1:12" ht="15">
      <c r="A59" s="20">
        <f t="shared" si="3"/>
        <v>51</v>
      </c>
      <c r="B59" s="1">
        <f>'Alloc Amt'!B59</f>
        <v>0</v>
      </c>
      <c r="D59" s="1">
        <f>'Alloc Amt'!D59</f>
        <v>0</v>
      </c>
      <c r="F59" s="24" t="e">
        <f t="shared" si="2"/>
        <v>#DIV/0!</v>
      </c>
      <c r="G59" s="24" t="e">
        <f>'Alloc Amt'!G59/'Alloc Amt'!$F59</f>
        <v>#DIV/0!</v>
      </c>
      <c r="H59" s="24" t="e">
        <f>'Alloc Amt'!H59/'Alloc Amt'!$F59</f>
        <v>#DIV/0!</v>
      </c>
      <c r="I59" s="24" t="e">
        <f>'Alloc Amt'!I59/'Alloc Amt'!$F59</f>
        <v>#DIV/0!</v>
      </c>
      <c r="J59" s="24" t="e">
        <f>'Alloc Amt'!J59/'Alloc Amt'!$F59</f>
        <v>#DIV/0!</v>
      </c>
      <c r="K59" s="24" t="e">
        <f>'Alloc Amt'!K59/'Alloc Amt'!$F59</f>
        <v>#DIV/0!</v>
      </c>
      <c r="L59" s="24" t="e">
        <f>'Alloc Amt'!L59/'Alloc Amt'!$F59</f>
        <v>#DIV/0!</v>
      </c>
    </row>
    <row r="60" spans="1:12" ht="15">
      <c r="A60" s="20">
        <f t="shared" si="3"/>
        <v>52</v>
      </c>
      <c r="B60" s="1">
        <f>'Alloc Amt'!B60</f>
        <v>0</v>
      </c>
      <c r="D60" s="1">
        <f>'Alloc Amt'!D60</f>
        <v>0</v>
      </c>
      <c r="F60" s="24" t="e">
        <f t="shared" si="2"/>
        <v>#DIV/0!</v>
      </c>
      <c r="G60" s="24" t="e">
        <f>'Alloc Amt'!G60/'Alloc Amt'!$F60</f>
        <v>#DIV/0!</v>
      </c>
      <c r="H60" s="24" t="e">
        <f>'Alloc Amt'!H60/'Alloc Amt'!$F60</f>
        <v>#DIV/0!</v>
      </c>
      <c r="I60" s="24" t="e">
        <f>'Alloc Amt'!I60/'Alloc Amt'!$F60</f>
        <v>#DIV/0!</v>
      </c>
      <c r="J60" s="24" t="e">
        <f>'Alloc Amt'!J60/'Alloc Amt'!$F60</f>
        <v>#DIV/0!</v>
      </c>
      <c r="K60" s="24" t="e">
        <f>'Alloc Amt'!K60/'Alloc Amt'!$F60</f>
        <v>#DIV/0!</v>
      </c>
      <c r="L60" s="24" t="e">
        <f>'Alloc Amt'!L60/'Alloc Amt'!$F60</f>
        <v>#DIV/0!</v>
      </c>
    </row>
    <row r="61" spans="1:12" ht="15">
      <c r="A61" s="20">
        <f t="shared" si="3"/>
        <v>53</v>
      </c>
      <c r="B61" s="1">
        <f>'Alloc Amt'!B61</f>
        <v>0</v>
      </c>
      <c r="D61" s="1">
        <f>'Alloc Amt'!D61</f>
        <v>0</v>
      </c>
      <c r="F61" s="24" t="e">
        <f t="shared" si="2"/>
        <v>#DIV/0!</v>
      </c>
      <c r="G61" s="24" t="e">
        <f>'Alloc Amt'!G61/'Alloc Amt'!$F61</f>
        <v>#DIV/0!</v>
      </c>
      <c r="H61" s="24" t="e">
        <f>'Alloc Amt'!H61/'Alloc Amt'!$F61</f>
        <v>#DIV/0!</v>
      </c>
      <c r="I61" s="24" t="e">
        <f>'Alloc Amt'!I61/'Alloc Amt'!$F61</f>
        <v>#DIV/0!</v>
      </c>
      <c r="J61" s="24" t="e">
        <f>'Alloc Amt'!J61/'Alloc Amt'!$F61</f>
        <v>#DIV/0!</v>
      </c>
      <c r="K61" s="24" t="e">
        <f>'Alloc Amt'!K61/'Alloc Amt'!$F61</f>
        <v>#DIV/0!</v>
      </c>
      <c r="L61" s="24" t="e">
        <f>'Alloc Amt'!L61/'Alloc Amt'!$F61</f>
        <v>#DIV/0!</v>
      </c>
    </row>
    <row r="62" spans="1:12" ht="15">
      <c r="A62" s="20">
        <f t="shared" si="3"/>
        <v>54</v>
      </c>
      <c r="B62" s="1">
        <f>'Alloc Amt'!B62</f>
        <v>0</v>
      </c>
      <c r="D62" s="1">
        <f>'Alloc Amt'!D62</f>
        <v>0</v>
      </c>
      <c r="F62" s="24" t="e">
        <f t="shared" si="2"/>
        <v>#DIV/0!</v>
      </c>
      <c r="G62" s="24" t="e">
        <f>'Alloc Amt'!G62/'Alloc Amt'!$F62</f>
        <v>#DIV/0!</v>
      </c>
      <c r="H62" s="24" t="e">
        <f>'Alloc Amt'!H62/'Alloc Amt'!$F62</f>
        <v>#DIV/0!</v>
      </c>
      <c r="I62" s="24" t="e">
        <f>'Alloc Amt'!I62/'Alloc Amt'!$F62</f>
        <v>#DIV/0!</v>
      </c>
      <c r="J62" s="24" t="e">
        <f>'Alloc Amt'!J62/'Alloc Amt'!$F62</f>
        <v>#DIV/0!</v>
      </c>
      <c r="K62" s="24" t="e">
        <f>'Alloc Amt'!K62/'Alloc Amt'!$F62</f>
        <v>#DIV/0!</v>
      </c>
      <c r="L62" s="24" t="e">
        <f>'Alloc Amt'!L62/'Alloc Amt'!$F62</f>
        <v>#DIV/0!</v>
      </c>
    </row>
    <row r="63" spans="1:12" ht="15">
      <c r="A63" s="20">
        <f t="shared" si="3"/>
        <v>55</v>
      </c>
      <c r="B63" s="1">
        <f>'Alloc Amt'!B63</f>
        <v>0</v>
      </c>
      <c r="D63" s="1">
        <f>'Alloc Amt'!D63</f>
        <v>0</v>
      </c>
      <c r="F63" s="24" t="e">
        <f t="shared" si="2"/>
        <v>#DIV/0!</v>
      </c>
      <c r="G63" s="24" t="e">
        <f>'Alloc Amt'!G63/'Alloc Amt'!$F63</f>
        <v>#DIV/0!</v>
      </c>
      <c r="H63" s="24" t="e">
        <f>'Alloc Amt'!H63/'Alloc Amt'!$F63</f>
        <v>#DIV/0!</v>
      </c>
      <c r="I63" s="24" t="e">
        <f>'Alloc Amt'!I63/'Alloc Amt'!$F63</f>
        <v>#DIV/0!</v>
      </c>
      <c r="J63" s="24" t="e">
        <f>'Alloc Amt'!J63/'Alloc Amt'!$F63</f>
        <v>#DIV/0!</v>
      </c>
      <c r="K63" s="24" t="e">
        <f>'Alloc Amt'!K63/'Alloc Amt'!$F63</f>
        <v>#DIV/0!</v>
      </c>
      <c r="L63" s="24" t="e">
        <f>'Alloc Amt'!L63/'Alloc Amt'!$F63</f>
        <v>#DIV/0!</v>
      </c>
    </row>
    <row r="64" spans="1:12" ht="15">
      <c r="A64" s="20">
        <f t="shared" si="3"/>
        <v>56</v>
      </c>
      <c r="B64" s="1">
        <f>'Alloc Amt'!B64</f>
        <v>0</v>
      </c>
      <c r="D64" s="1">
        <f>'Alloc Amt'!D64</f>
        <v>0</v>
      </c>
      <c r="F64" s="24" t="e">
        <f t="shared" si="2"/>
        <v>#DIV/0!</v>
      </c>
      <c r="G64" s="24" t="e">
        <f>'Alloc Amt'!G64/'Alloc Amt'!$F64</f>
        <v>#DIV/0!</v>
      </c>
      <c r="H64" s="24" t="e">
        <f>'Alloc Amt'!H64/'Alloc Amt'!$F64</f>
        <v>#DIV/0!</v>
      </c>
      <c r="I64" s="24" t="e">
        <f>'Alloc Amt'!I64/'Alloc Amt'!$F64</f>
        <v>#DIV/0!</v>
      </c>
      <c r="J64" s="24" t="e">
        <f>'Alloc Amt'!J64/'Alloc Amt'!$F64</f>
        <v>#DIV/0!</v>
      </c>
      <c r="K64" s="24" t="e">
        <f>'Alloc Amt'!K64/'Alloc Amt'!$F64</f>
        <v>#DIV/0!</v>
      </c>
      <c r="L64" s="24" t="e">
        <f>'Alloc Amt'!L64/'Alloc Amt'!$F64</f>
        <v>#DIV/0!</v>
      </c>
    </row>
    <row r="65" spans="1:12" ht="15">
      <c r="A65" s="20">
        <f t="shared" si="3"/>
        <v>57</v>
      </c>
      <c r="B65" s="1">
        <f>'Alloc Amt'!B65</f>
        <v>0</v>
      </c>
      <c r="D65" s="1">
        <f>'Alloc Amt'!D65</f>
        <v>0</v>
      </c>
      <c r="F65" s="24" t="e">
        <f t="shared" si="2"/>
        <v>#DIV/0!</v>
      </c>
      <c r="G65" s="24" t="e">
        <f>'Alloc Amt'!G65/'Alloc Amt'!$F65</f>
        <v>#DIV/0!</v>
      </c>
      <c r="H65" s="24" t="e">
        <f>'Alloc Amt'!H65/'Alloc Amt'!$F65</f>
        <v>#DIV/0!</v>
      </c>
      <c r="I65" s="24" t="e">
        <f>'Alloc Amt'!I65/'Alloc Amt'!$F65</f>
        <v>#DIV/0!</v>
      </c>
      <c r="J65" s="24" t="e">
        <f>'Alloc Amt'!J65/'Alloc Amt'!$F65</f>
        <v>#DIV/0!</v>
      </c>
      <c r="K65" s="24" t="e">
        <f>'Alloc Amt'!K65/'Alloc Amt'!$F65</f>
        <v>#DIV/0!</v>
      </c>
      <c r="L65" s="24" t="e">
        <f>'Alloc Amt'!L65/'Alloc Amt'!$F65</f>
        <v>#DIV/0!</v>
      </c>
    </row>
    <row r="66" spans="1:12" ht="15">
      <c r="A66" s="20">
        <f t="shared" si="3"/>
        <v>58</v>
      </c>
      <c r="B66" s="1">
        <f>'Alloc Amt'!B66</f>
        <v>0</v>
      </c>
      <c r="F66" s="24" t="e">
        <f t="shared" si="2"/>
        <v>#DIV/0!</v>
      </c>
      <c r="G66" s="24" t="e">
        <f>'Alloc Amt'!G66/'Alloc Amt'!$F66</f>
        <v>#DIV/0!</v>
      </c>
      <c r="H66" s="24" t="e">
        <f>'Alloc Amt'!H66/'Alloc Amt'!$F66</f>
        <v>#DIV/0!</v>
      </c>
      <c r="I66" s="24" t="e">
        <f>'Alloc Amt'!I66/'Alloc Amt'!$F66</f>
        <v>#DIV/0!</v>
      </c>
      <c r="J66" s="24" t="e">
        <f>'Alloc Amt'!J66/'Alloc Amt'!$F66</f>
        <v>#DIV/0!</v>
      </c>
      <c r="K66" s="24" t="e">
        <f>'Alloc Amt'!K66/'Alloc Amt'!$F66</f>
        <v>#DIV/0!</v>
      </c>
      <c r="L66" s="24" t="e">
        <f>'Alloc Amt'!L66/'Alloc Amt'!$F66</f>
        <v>#DIV/0!</v>
      </c>
    </row>
    <row r="67" spans="1:12" ht="15">
      <c r="A67" s="20">
        <f t="shared" si="3"/>
        <v>59</v>
      </c>
      <c r="B67" s="1">
        <f>'Alloc Amt'!B67</f>
        <v>0</v>
      </c>
      <c r="F67" s="24" t="e">
        <f t="shared" si="2"/>
        <v>#DIV/0!</v>
      </c>
      <c r="G67" s="24" t="e">
        <f>'Alloc Amt'!G67/'Alloc Amt'!$F67</f>
        <v>#DIV/0!</v>
      </c>
      <c r="H67" s="24" t="e">
        <f>'Alloc Amt'!H67/'Alloc Amt'!$F67</f>
        <v>#DIV/0!</v>
      </c>
      <c r="I67" s="24" t="e">
        <f>'Alloc Amt'!I67/'Alloc Amt'!$F67</f>
        <v>#DIV/0!</v>
      </c>
      <c r="J67" s="24" t="e">
        <f>'Alloc Amt'!J67/'Alloc Amt'!$F67</f>
        <v>#DIV/0!</v>
      </c>
      <c r="K67" s="24" t="e">
        <f>'Alloc Amt'!K67/'Alloc Amt'!$F67</f>
        <v>#DIV/0!</v>
      </c>
      <c r="L67" s="24" t="e">
        <f>'Alloc Amt'!L67/'Alloc Amt'!$F67</f>
        <v>#DIV/0!</v>
      </c>
    </row>
    <row r="68" spans="1:12" ht="15">
      <c r="A68" s="20">
        <f t="shared" si="3"/>
        <v>60</v>
      </c>
      <c r="B68" s="1">
        <f>'Alloc Amt'!B68</f>
        <v>0</v>
      </c>
      <c r="F68" s="24" t="e">
        <f t="shared" si="2"/>
        <v>#DIV/0!</v>
      </c>
      <c r="G68" s="24" t="e">
        <f>'Alloc Amt'!G68/'Alloc Amt'!$F68</f>
        <v>#DIV/0!</v>
      </c>
      <c r="H68" s="24" t="e">
        <f>'Alloc Amt'!H68/'Alloc Amt'!$F68</f>
        <v>#DIV/0!</v>
      </c>
      <c r="I68" s="24" t="e">
        <f>'Alloc Amt'!I68/'Alloc Amt'!$F68</f>
        <v>#DIV/0!</v>
      </c>
      <c r="J68" s="24" t="e">
        <f>'Alloc Amt'!J68/'Alloc Amt'!$F68</f>
        <v>#DIV/0!</v>
      </c>
      <c r="K68" s="24" t="e">
        <f>'Alloc Amt'!K68/'Alloc Amt'!$F68</f>
        <v>#DIV/0!</v>
      </c>
      <c r="L68" s="24" t="e">
        <f>'Alloc Amt'!L68/'Alloc Amt'!$F68</f>
        <v>#DIV/0!</v>
      </c>
    </row>
    <row r="69" spans="1:12" ht="15">
      <c r="A69" s="20">
        <f t="shared" si="3"/>
        <v>61</v>
      </c>
      <c r="B69" s="1">
        <f>'Alloc Amt'!B69</f>
        <v>0</v>
      </c>
      <c r="F69" s="24" t="e">
        <f t="shared" si="2"/>
        <v>#DIV/0!</v>
      </c>
      <c r="G69" s="24" t="e">
        <f>'Alloc Amt'!G69/'Alloc Amt'!$F69</f>
        <v>#DIV/0!</v>
      </c>
      <c r="H69" s="24" t="e">
        <f>'Alloc Amt'!H69/'Alloc Amt'!$F69</f>
        <v>#DIV/0!</v>
      </c>
      <c r="I69" s="24" t="e">
        <f>'Alloc Amt'!I69/'Alloc Amt'!$F69</f>
        <v>#DIV/0!</v>
      </c>
      <c r="J69" s="24" t="e">
        <f>'Alloc Amt'!J69/'Alloc Amt'!$F69</f>
        <v>#DIV/0!</v>
      </c>
      <c r="K69" s="24" t="e">
        <f>'Alloc Amt'!K69/'Alloc Amt'!$F69</f>
        <v>#DIV/0!</v>
      </c>
      <c r="L69" s="24" t="e">
        <f>'Alloc Amt'!L69/'Alloc Amt'!$F69</f>
        <v>#DIV/0!</v>
      </c>
    </row>
    <row r="70" spans="1:12" ht="15">
      <c r="A70" s="20">
        <v>61</v>
      </c>
      <c r="B70" s="1">
        <f>'Alloc Amt'!B70</f>
        <v>0</v>
      </c>
      <c r="F70" s="24" t="e">
        <f t="shared" si="2"/>
        <v>#DIV/0!</v>
      </c>
      <c r="G70" s="24" t="e">
        <f>'Alloc Amt'!G70/'Alloc Amt'!$F70</f>
        <v>#DIV/0!</v>
      </c>
      <c r="H70" s="24" t="e">
        <f>'Alloc Amt'!H70/'Alloc Amt'!$F70</f>
        <v>#DIV/0!</v>
      </c>
      <c r="I70" s="24" t="e">
        <f>'Alloc Amt'!I70/'Alloc Amt'!$F70</f>
        <v>#DIV/0!</v>
      </c>
      <c r="J70" s="24" t="e">
        <f>'Alloc Amt'!J70/'Alloc Amt'!$F70</f>
        <v>#DIV/0!</v>
      </c>
      <c r="K70" s="24" t="e">
        <f>'Alloc Amt'!K70/'Alloc Amt'!$F70</f>
        <v>#DIV/0!</v>
      </c>
      <c r="L70" s="24" t="e">
        <f>'Alloc Amt'!L70/'Alloc Amt'!$F70</f>
        <v>#DIV/0!</v>
      </c>
    </row>
    <row r="71" spans="1:12" ht="15">
      <c r="A71" s="20">
        <v>62</v>
      </c>
      <c r="B71" s="1">
        <f>'Alloc Amt'!B71</f>
        <v>0</v>
      </c>
      <c r="F71" s="24" t="e">
        <f t="shared" si="2"/>
        <v>#DIV/0!</v>
      </c>
      <c r="G71" s="24" t="e">
        <f>'Alloc Amt'!G71/'Alloc Amt'!$F71</f>
        <v>#DIV/0!</v>
      </c>
      <c r="H71" s="24" t="e">
        <f>'Alloc Amt'!H71/'Alloc Amt'!$F71</f>
        <v>#DIV/0!</v>
      </c>
      <c r="I71" s="24" t="e">
        <f>'Alloc Amt'!I71/'Alloc Amt'!$F71</f>
        <v>#DIV/0!</v>
      </c>
      <c r="J71" s="24" t="e">
        <f>'Alloc Amt'!J71/'Alloc Amt'!$F71</f>
        <v>#DIV/0!</v>
      </c>
      <c r="K71" s="24" t="e">
        <f>'Alloc Amt'!K71/'Alloc Amt'!$F71</f>
        <v>#DIV/0!</v>
      </c>
      <c r="L71" s="24" t="e">
        <f>'Alloc Amt'!L71/'Alloc Amt'!$F71</f>
        <v>#DIV/0!</v>
      </c>
    </row>
    <row r="72" spans="1:11" ht="15">
      <c r="A72" s="20">
        <v>63</v>
      </c>
      <c r="B72" s="1">
        <f>'Alloc Amt'!B72</f>
        <v>0</v>
      </c>
      <c r="F72" s="24">
        <f t="shared" si="2"/>
        <v>0</v>
      </c>
      <c r="G72" s="24"/>
      <c r="H72" s="24"/>
      <c r="I72" s="24"/>
      <c r="J72" s="24"/>
      <c r="K72" s="24"/>
    </row>
    <row r="73" spans="1:11" ht="15">
      <c r="A73" s="20">
        <v>64</v>
      </c>
      <c r="B73" s="1">
        <f>'Alloc Amt'!B73</f>
        <v>0</v>
      </c>
      <c r="F73" s="24">
        <f>SUM(G73:L73)</f>
        <v>0</v>
      </c>
      <c r="G73" s="24"/>
      <c r="H73" s="24"/>
      <c r="I73" s="24"/>
      <c r="J73" s="24"/>
      <c r="K73" s="24"/>
    </row>
    <row r="74" spans="1:11" ht="15">
      <c r="A74" s="20">
        <v>65</v>
      </c>
      <c r="F74" s="24"/>
      <c r="G74" s="24"/>
      <c r="H74" s="24"/>
      <c r="I74" s="24"/>
      <c r="J74" s="24"/>
      <c r="K74" s="24"/>
    </row>
    <row r="75" spans="1:11" ht="15">
      <c r="A75" s="20">
        <v>66</v>
      </c>
      <c r="F75" s="24"/>
      <c r="G75" s="24"/>
      <c r="H75" s="24"/>
      <c r="I75" s="24"/>
      <c r="J75" s="24"/>
      <c r="K75" s="24"/>
    </row>
    <row r="76" spans="1:11" ht="15">
      <c r="A76" s="20">
        <v>67</v>
      </c>
      <c r="F76" s="24"/>
      <c r="G76" s="24"/>
      <c r="H76" s="24"/>
      <c r="I76" s="24"/>
      <c r="J76" s="24"/>
      <c r="K76" s="24"/>
    </row>
    <row r="77" spans="1:11" ht="15">
      <c r="A77" s="20">
        <v>68</v>
      </c>
      <c r="F77" s="24"/>
      <c r="G77" s="24"/>
      <c r="H77" s="24"/>
      <c r="I77" s="24"/>
      <c r="J77" s="24"/>
      <c r="K77" s="24"/>
    </row>
    <row r="78" spans="1:11" ht="15">
      <c r="A78" s="20">
        <v>69</v>
      </c>
      <c r="F78" s="24"/>
      <c r="G78" s="24"/>
      <c r="H78" s="24"/>
      <c r="I78" s="24"/>
      <c r="J78" s="24"/>
      <c r="K78" s="24"/>
    </row>
    <row r="79" spans="1:11" ht="15">
      <c r="A79" s="20">
        <v>70</v>
      </c>
      <c r="F79" s="24"/>
      <c r="G79" s="24"/>
      <c r="H79" s="24"/>
      <c r="I79" s="24"/>
      <c r="J79" s="24"/>
      <c r="K79" s="24"/>
    </row>
    <row r="80" spans="1:11" ht="15">
      <c r="A80" s="20">
        <v>71</v>
      </c>
      <c r="F80" s="24"/>
      <c r="G80" s="24"/>
      <c r="H80" s="24"/>
      <c r="I80" s="24"/>
      <c r="J80" s="24"/>
      <c r="K80" s="24"/>
    </row>
    <row r="81" spans="1:11" ht="15">
      <c r="A81" s="20">
        <v>72</v>
      </c>
      <c r="F81" s="24"/>
      <c r="G81" s="24"/>
      <c r="H81" s="24"/>
      <c r="I81" s="24"/>
      <c r="J81" s="24"/>
      <c r="K81" s="24"/>
    </row>
    <row r="82" spans="1:11" ht="15">
      <c r="A82" s="20">
        <v>73</v>
      </c>
      <c r="F82" s="24"/>
      <c r="G82" s="24"/>
      <c r="H82" s="24"/>
      <c r="I82" s="24"/>
      <c r="J82" s="24"/>
      <c r="K82" s="24"/>
    </row>
    <row r="83" spans="1:11" ht="15">
      <c r="A83" s="20">
        <v>74</v>
      </c>
      <c r="F83" s="24"/>
      <c r="G83" s="24"/>
      <c r="H83" s="24"/>
      <c r="I83" s="24"/>
      <c r="J83" s="24"/>
      <c r="K83" s="24"/>
    </row>
    <row r="84" spans="1:11" ht="15">
      <c r="A84" s="20">
        <v>75</v>
      </c>
      <c r="F84" s="24"/>
      <c r="G84" s="24"/>
      <c r="H84" s="24"/>
      <c r="I84" s="24"/>
      <c r="J84" s="24"/>
      <c r="K84" s="24"/>
    </row>
    <row r="85" spans="1:11" ht="15">
      <c r="A85" s="20">
        <v>76</v>
      </c>
      <c r="F85" s="24"/>
      <c r="G85" s="24"/>
      <c r="H85" s="24"/>
      <c r="I85" s="24"/>
      <c r="J85" s="24"/>
      <c r="K85" s="24"/>
    </row>
    <row r="86" spans="1:11" ht="15">
      <c r="A86" s="20">
        <v>77</v>
      </c>
      <c r="F86" s="24"/>
      <c r="G86" s="24"/>
      <c r="H86" s="24"/>
      <c r="I86" s="24"/>
      <c r="J86" s="24"/>
      <c r="K86" s="24"/>
    </row>
    <row r="87" spans="1:11" ht="15">
      <c r="A87" s="20">
        <v>78</v>
      </c>
      <c r="F87" s="24"/>
      <c r="G87" s="24"/>
      <c r="H87" s="24"/>
      <c r="I87" s="24"/>
      <c r="J87" s="24"/>
      <c r="K87" s="24"/>
    </row>
    <row r="88" spans="1:11" ht="15">
      <c r="A88" s="20">
        <v>79</v>
      </c>
      <c r="F88" s="24"/>
      <c r="G88" s="24"/>
      <c r="H88" s="24"/>
      <c r="I88" s="24"/>
      <c r="J88" s="24"/>
      <c r="K88" s="24"/>
    </row>
    <row r="89" spans="1:11" ht="15">
      <c r="A89" s="20">
        <v>80</v>
      </c>
      <c r="F89" s="24"/>
      <c r="G89" s="24"/>
      <c r="H89" s="24"/>
      <c r="I89" s="24"/>
      <c r="J89" s="24"/>
      <c r="K89" s="24"/>
    </row>
    <row r="90" spans="1:11" ht="15">
      <c r="A90" s="20">
        <v>81</v>
      </c>
      <c r="F90" s="24"/>
      <c r="G90" s="24"/>
      <c r="H90" s="24"/>
      <c r="I90" s="24"/>
      <c r="J90" s="24"/>
      <c r="K90" s="24"/>
    </row>
    <row r="91" spans="1:11" ht="15">
      <c r="A91" s="20">
        <v>82</v>
      </c>
      <c r="F91" s="24"/>
      <c r="G91" s="24"/>
      <c r="H91" s="24"/>
      <c r="I91" s="24"/>
      <c r="J91" s="24"/>
      <c r="K91" s="24"/>
    </row>
    <row r="92" spans="1:11" ht="15">
      <c r="A92" s="20">
        <v>83</v>
      </c>
      <c r="F92" s="24"/>
      <c r="G92" s="24"/>
      <c r="H92" s="24"/>
      <c r="I92" s="24"/>
      <c r="J92" s="24"/>
      <c r="K92" s="24"/>
    </row>
    <row r="93" spans="1:11" ht="15">
      <c r="A93" s="20">
        <v>84</v>
      </c>
      <c r="F93" s="24"/>
      <c r="G93" s="24"/>
      <c r="H93" s="24"/>
      <c r="I93" s="24"/>
      <c r="J93" s="24"/>
      <c r="K93" s="24"/>
    </row>
    <row r="94" spans="1:11" ht="15">
      <c r="A94" s="20">
        <v>85</v>
      </c>
      <c r="F94" s="24"/>
      <c r="G94" s="24"/>
      <c r="H94" s="24"/>
      <c r="I94" s="24"/>
      <c r="J94" s="24"/>
      <c r="K94" s="24"/>
    </row>
    <row r="95" spans="1:11" ht="15">
      <c r="A95" s="20">
        <v>86</v>
      </c>
      <c r="F95" s="24"/>
      <c r="G95" s="24"/>
      <c r="H95" s="24"/>
      <c r="I95" s="24"/>
      <c r="J95" s="24"/>
      <c r="K95" s="24"/>
    </row>
    <row r="96" spans="1:11" ht="15">
      <c r="A96" s="20">
        <v>87</v>
      </c>
      <c r="F96" s="24"/>
      <c r="G96" s="24"/>
      <c r="H96" s="24"/>
      <c r="I96" s="24"/>
      <c r="J96" s="24"/>
      <c r="K96" s="24"/>
    </row>
    <row r="97" spans="1:11" ht="15">
      <c r="A97" s="20">
        <v>88</v>
      </c>
      <c r="F97" s="24"/>
      <c r="G97" s="24"/>
      <c r="H97" s="24"/>
      <c r="I97" s="24"/>
      <c r="J97" s="24"/>
      <c r="K97" s="24"/>
    </row>
    <row r="98" spans="1:11" ht="15">
      <c r="A98" s="20">
        <v>89</v>
      </c>
      <c r="F98" s="24"/>
      <c r="G98" s="24"/>
      <c r="H98" s="24"/>
      <c r="I98" s="24"/>
      <c r="J98" s="24"/>
      <c r="K98" s="24"/>
    </row>
    <row r="99" spans="1:6" ht="15">
      <c r="A99" s="20">
        <v>90</v>
      </c>
      <c r="F99" s="24"/>
    </row>
    <row r="100" spans="1:6" ht="15">
      <c r="A100" s="20">
        <v>91</v>
      </c>
      <c r="F100" s="24"/>
    </row>
    <row r="101" spans="1:6" ht="15">
      <c r="A101" s="20">
        <v>92</v>
      </c>
      <c r="F101" s="24"/>
    </row>
    <row r="102" spans="1:6" ht="15">
      <c r="A102" s="20">
        <v>93</v>
      </c>
      <c r="F102" s="24"/>
    </row>
    <row r="103" spans="1:6" ht="15">
      <c r="A103" s="20">
        <v>94</v>
      </c>
      <c r="F103" s="24"/>
    </row>
    <row r="104" spans="1:6" ht="15">
      <c r="A104" s="20">
        <v>95</v>
      </c>
      <c r="F104" s="24"/>
    </row>
    <row r="105" spans="1:6" ht="15">
      <c r="A105" s="20">
        <v>96</v>
      </c>
      <c r="F105" s="24"/>
    </row>
    <row r="106" spans="1:6" ht="15">
      <c r="A106" s="20">
        <v>97</v>
      </c>
      <c r="F106" s="24"/>
    </row>
    <row r="107" spans="1:6" ht="15">
      <c r="A107" s="20">
        <v>98</v>
      </c>
      <c r="F107" s="24"/>
    </row>
    <row r="108" spans="1:6" ht="15">
      <c r="A108" s="20">
        <v>99</v>
      </c>
      <c r="F108" s="24"/>
    </row>
    <row r="109" spans="1:6" ht="15">
      <c r="A109" s="20">
        <v>100</v>
      </c>
      <c r="F109" s="24"/>
    </row>
    <row r="110" spans="1:6" ht="15">
      <c r="A110" s="20">
        <v>101</v>
      </c>
      <c r="F110" s="24"/>
    </row>
    <row r="111" spans="1:6" ht="15">
      <c r="A111" s="20">
        <v>102</v>
      </c>
      <c r="F111" s="24"/>
    </row>
    <row r="112" spans="1:6" ht="15">
      <c r="A112" s="20">
        <v>103</v>
      </c>
      <c r="F112" s="24"/>
    </row>
    <row r="113" spans="1:6" ht="15">
      <c r="A113" s="20">
        <v>104</v>
      </c>
      <c r="F113" s="24"/>
    </row>
    <row r="114" spans="1:6" ht="15">
      <c r="A114" s="20">
        <v>105</v>
      </c>
      <c r="F114" s="24"/>
    </row>
    <row r="115" spans="1:6" ht="15">
      <c r="A115" s="20">
        <v>106</v>
      </c>
      <c r="F115" s="24"/>
    </row>
    <row r="116" ht="15">
      <c r="F116" s="24"/>
    </row>
    <row r="117" ht="15">
      <c r="F117" s="24"/>
    </row>
    <row r="118" ht="15">
      <c r="F118" s="24"/>
    </row>
    <row r="119" ht="15">
      <c r="F119" s="24"/>
    </row>
    <row r="120" ht="15">
      <c r="F120" s="24"/>
    </row>
    <row r="121" ht="15">
      <c r="F121" s="24"/>
    </row>
    <row r="122" ht="15">
      <c r="F122" s="24"/>
    </row>
  </sheetData>
  <sheetProtection/>
  <printOptions/>
  <pageMargins left="0.5" right="0.5" top="0.5" bottom="0.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3"/>
  <sheetViews>
    <sheetView tabSelected="1" zoomScale="87" zoomScaleNormal="87" zoomScalePageLayoutView="0" workbookViewId="0" topLeftCell="A26">
      <selection activeCell="G49" sqref="G49"/>
    </sheetView>
  </sheetViews>
  <sheetFormatPr defaultColWidth="8.88671875" defaultRowHeight="15"/>
  <cols>
    <col min="1" max="1" width="9.6640625" style="1" customWidth="1"/>
    <col min="2" max="2" width="39.6640625" style="1" customWidth="1"/>
    <col min="3" max="3" width="9.6640625" style="1" customWidth="1"/>
    <col min="4" max="4" width="8.6640625" style="1" customWidth="1"/>
    <col min="5" max="5" width="13.6640625" style="1" customWidth="1"/>
    <col min="6" max="6" width="14.6640625" style="1" customWidth="1"/>
    <col min="7" max="8" width="11.6640625" style="1" customWidth="1"/>
    <col min="9" max="10" width="10.6640625" style="1" customWidth="1"/>
    <col min="11" max="14" width="9.6640625" style="1" customWidth="1"/>
    <col min="15" max="15" width="10.6640625" style="1" customWidth="1"/>
    <col min="16" max="16" width="9.6640625" style="1" customWidth="1"/>
    <col min="17" max="17" width="10.6640625" style="1" customWidth="1"/>
    <col min="18" max="16384" width="9.6640625" style="1" customWidth="1"/>
  </cols>
  <sheetData>
    <row r="1" ht="15">
      <c r="F1" s="8" t="s">
        <v>408</v>
      </c>
    </row>
    <row r="2" spans="1:7" ht="15">
      <c r="A2" s="10" t="s">
        <v>385</v>
      </c>
      <c r="B2" s="10"/>
      <c r="C2" s="10"/>
      <c r="D2" s="10"/>
      <c r="E2" s="10"/>
      <c r="F2" s="10"/>
      <c r="G2" s="10"/>
    </row>
    <row r="3" spans="1:7" ht="15">
      <c r="A3" s="10" t="s">
        <v>386</v>
      </c>
      <c r="B3" s="10"/>
      <c r="C3" s="10"/>
      <c r="D3" s="10"/>
      <c r="E3" s="10"/>
      <c r="F3" s="10"/>
      <c r="G3" s="10"/>
    </row>
    <row r="4" spans="1:7" ht="15">
      <c r="A4" s="3"/>
      <c r="B4" s="3"/>
      <c r="C4" s="3"/>
      <c r="D4" s="3"/>
      <c r="E4" s="3"/>
      <c r="F4" s="3"/>
      <c r="G4" s="3"/>
    </row>
    <row r="5" ht="15">
      <c r="G5" s="35" t="s">
        <v>409</v>
      </c>
    </row>
    <row r="6" spans="7:8" ht="15">
      <c r="G6" s="35" t="s">
        <v>410</v>
      </c>
      <c r="H6" s="8"/>
    </row>
    <row r="7" spans="1:256" ht="15.75">
      <c r="A7" s="3" t="s">
        <v>387</v>
      </c>
      <c r="B7" s="3"/>
      <c r="C7" s="3"/>
      <c r="D7" s="3"/>
      <c r="E7" s="3"/>
      <c r="F7" s="3"/>
      <c r="G7" s="3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ht="15">
      <c r="B8" s="8" t="s">
        <v>396</v>
      </c>
    </row>
    <row r="9" spans="2:8" ht="15">
      <c r="B9" s="1" t="s">
        <v>88</v>
      </c>
      <c r="G9" s="30">
        <f>'Rate Base'!H35</f>
        <v>157404538.46406376</v>
      </c>
      <c r="H9" s="30"/>
    </row>
    <row r="10" spans="2:8" ht="15">
      <c r="B10" s="1" t="s">
        <v>89</v>
      </c>
      <c r="G10" s="37">
        <f>'Rate Base'!H36</f>
        <v>32895014.497244757</v>
      </c>
      <c r="H10" s="30"/>
    </row>
    <row r="11" spans="2:8" ht="15">
      <c r="B11" s="1" t="s">
        <v>91</v>
      </c>
      <c r="G11" s="38">
        <f>'Rate Base'!H38</f>
        <v>19113408.194270503</v>
      </c>
      <c r="H11" s="30"/>
    </row>
    <row r="12" spans="3:8" ht="15">
      <c r="C12" s="1" t="s">
        <v>48</v>
      </c>
      <c r="G12" s="30">
        <f>SUM(G9:G11)</f>
        <v>209412961.155579</v>
      </c>
      <c r="H12" s="30"/>
    </row>
    <row r="14" spans="2:7" ht="15">
      <c r="B14" s="1" t="s">
        <v>346</v>
      </c>
      <c r="G14" s="30"/>
    </row>
    <row r="15" spans="2:17" ht="15">
      <c r="B15" s="1" t="s">
        <v>88</v>
      </c>
      <c r="G15" s="30">
        <f>Q15</f>
        <v>60126560.558655754</v>
      </c>
      <c r="H15" s="30" t="s">
        <v>411</v>
      </c>
      <c r="O15" s="5">
        <v>71507391</v>
      </c>
      <c r="P15" s="24">
        <f>'Alloc Pct'!G22</f>
        <v>0.8408439983309662</v>
      </c>
      <c r="Q15" s="5">
        <f>P15*O15</f>
        <v>60126560.558655754</v>
      </c>
    </row>
    <row r="16" spans="2:17" ht="15">
      <c r="B16" s="1" t="s">
        <v>89</v>
      </c>
      <c r="G16" s="30">
        <f>Q16</f>
        <v>6572439.876256574</v>
      </c>
      <c r="H16" s="30" t="s">
        <v>411</v>
      </c>
      <c r="O16" s="5">
        <v>7958803</v>
      </c>
      <c r="P16" s="24">
        <f>'Alloc Pct'!G23</f>
        <v>0.8258075839113713</v>
      </c>
      <c r="Q16" s="5">
        <f>P16*O16</f>
        <v>6572439.876256574</v>
      </c>
    </row>
    <row r="17" spans="2:17" ht="15">
      <c r="B17" s="1" t="s">
        <v>91</v>
      </c>
      <c r="G17" s="30">
        <f>Q17</f>
        <v>597349.5674374583</v>
      </c>
      <c r="H17" s="30" t="s">
        <v>411</v>
      </c>
      <c r="O17" s="5">
        <v>723352</v>
      </c>
      <c r="P17" s="24">
        <f>'Alloc Pct'!G23</f>
        <v>0.8258075839113713</v>
      </c>
      <c r="Q17" s="5">
        <f>P17*O17</f>
        <v>597349.5674374583</v>
      </c>
    </row>
    <row r="18" spans="3:8" ht="15">
      <c r="C18" s="1" t="s">
        <v>48</v>
      </c>
      <c r="G18" s="30">
        <f>SUM(G15:G17)</f>
        <v>67296350.00234978</v>
      </c>
      <c r="H18" s="30"/>
    </row>
    <row r="20" spans="1:8" ht="15">
      <c r="A20" s="11"/>
      <c r="B20" s="39" t="s">
        <v>397</v>
      </c>
      <c r="C20" s="11"/>
      <c r="D20" s="11"/>
      <c r="E20" s="11"/>
      <c r="F20" s="11"/>
      <c r="G20" s="40">
        <f>G12-G18</f>
        <v>142116611.15322924</v>
      </c>
      <c r="H20" s="30"/>
    </row>
    <row r="23" ht="15">
      <c r="A23" s="1" t="s">
        <v>388</v>
      </c>
    </row>
    <row r="24" spans="2:8" ht="15">
      <c r="B24" s="8" t="s">
        <v>398</v>
      </c>
      <c r="G24" s="30">
        <f>Expenses!H64</f>
        <v>593164.3746021955</v>
      </c>
      <c r="H24" s="30"/>
    </row>
    <row r="25" spans="2:8" ht="15">
      <c r="B25" s="1" t="s">
        <v>399</v>
      </c>
      <c r="G25" s="30">
        <f>Expenses!H65</f>
        <v>401010.5111321941</v>
      </c>
      <c r="H25" s="30"/>
    </row>
    <row r="26" spans="2:8" ht="15">
      <c r="B26" s="1" t="s">
        <v>400</v>
      </c>
      <c r="G26" s="30">
        <f>Expenses!H78</f>
        <v>888111.2028531432</v>
      </c>
      <c r="H26" s="30"/>
    </row>
    <row r="27" spans="2:12" ht="15">
      <c r="B27" s="1" t="s">
        <v>401</v>
      </c>
      <c r="G27" s="30">
        <f>Expenses!H79</f>
        <v>0</v>
      </c>
      <c r="H27" s="30"/>
      <c r="L27" s="1" t="s">
        <v>421</v>
      </c>
    </row>
    <row r="28" spans="2:12" ht="15">
      <c r="B28" s="1" t="s">
        <v>249</v>
      </c>
      <c r="G28" s="37">
        <f>Expenses!H87</f>
        <v>1484272.7902771295</v>
      </c>
      <c r="H28" s="30"/>
      <c r="J28" s="1" t="s">
        <v>417</v>
      </c>
      <c r="K28" s="8" t="s">
        <v>420</v>
      </c>
      <c r="L28" s="1" t="s">
        <v>420</v>
      </c>
    </row>
    <row r="29" spans="2:12" ht="15">
      <c r="B29" s="1" t="s">
        <v>402</v>
      </c>
      <c r="G29" s="37">
        <f>Expenses!H88</f>
        <v>3662115.4451532597</v>
      </c>
      <c r="H29" s="30"/>
      <c r="I29" s="1" t="s">
        <v>413</v>
      </c>
      <c r="J29" s="13">
        <v>0.5</v>
      </c>
      <c r="K29" s="13">
        <v>0.0381</v>
      </c>
      <c r="L29" s="13">
        <f>K29*J29</f>
        <v>0.01905</v>
      </c>
    </row>
    <row r="30" spans="2:12" ht="15">
      <c r="B30" s="1" t="s">
        <v>403</v>
      </c>
      <c r="G30" s="38">
        <f>Expenses!H90</f>
        <v>268726.63475269265</v>
      </c>
      <c r="H30" s="30"/>
      <c r="I30" s="1" t="s">
        <v>414</v>
      </c>
      <c r="J30" s="13">
        <v>0.5</v>
      </c>
      <c r="K30" s="13">
        <v>0.085</v>
      </c>
      <c r="L30" s="13">
        <f>K30*J30</f>
        <v>0.0425</v>
      </c>
    </row>
    <row r="31" spans="3:12" ht="15">
      <c r="C31" s="1" t="s">
        <v>48</v>
      </c>
      <c r="G31" s="30">
        <f>SUM(G24:G30)</f>
        <v>7297400.958770614</v>
      </c>
      <c r="H31" s="30"/>
      <c r="I31" s="1" t="s">
        <v>48</v>
      </c>
      <c r="J31" s="13">
        <f>J30+J29</f>
        <v>1</v>
      </c>
      <c r="L31" s="13">
        <f>L30+L29</f>
        <v>0.06155000000000001</v>
      </c>
    </row>
    <row r="33" ht="15">
      <c r="A33" s="1" t="s">
        <v>389</v>
      </c>
    </row>
    <row r="34" spans="2:8" ht="15">
      <c r="B34" s="1" t="s">
        <v>88</v>
      </c>
      <c r="G34" s="30">
        <f>0.0379*G9</f>
        <v>5965632.007788017</v>
      </c>
      <c r="H34" s="30" t="s">
        <v>412</v>
      </c>
    </row>
    <row r="35" spans="2:8" ht="15">
      <c r="B35" s="1" t="s">
        <v>89</v>
      </c>
      <c r="G35" s="37">
        <f>0.0403*G10</f>
        <v>1325669.0842389637</v>
      </c>
      <c r="H35" s="30" t="s">
        <v>412</v>
      </c>
    </row>
    <row r="36" spans="2:8" ht="15">
      <c r="B36" s="1" t="s">
        <v>91</v>
      </c>
      <c r="G36" s="38">
        <f>0.041*G11</f>
        <v>783649.7359650907</v>
      </c>
      <c r="H36" s="30" t="s">
        <v>412</v>
      </c>
    </row>
    <row r="37" spans="3:8" ht="15">
      <c r="C37" s="1" t="s">
        <v>48</v>
      </c>
      <c r="G37" s="30">
        <f>G36+G35+G34</f>
        <v>8074950.827992072</v>
      </c>
      <c r="H37" s="30"/>
    </row>
    <row r="39" ht="15">
      <c r="A39" s="1" t="s">
        <v>390</v>
      </c>
    </row>
    <row r="40" spans="2:9" ht="15">
      <c r="B40" s="1" t="s">
        <v>404</v>
      </c>
      <c r="G40" s="30">
        <f>G20*L29</f>
        <v>2707321.442469017</v>
      </c>
      <c r="H40" s="30"/>
      <c r="I40" s="8" t="s">
        <v>415</v>
      </c>
    </row>
    <row r="41" spans="2:7" ht="15">
      <c r="B41" s="1" t="s">
        <v>405</v>
      </c>
      <c r="G41" s="30">
        <f>G20*L30</f>
        <v>6039955.974012243</v>
      </c>
    </row>
    <row r="42" spans="2:10" ht="15">
      <c r="B42" s="8" t="s">
        <v>406</v>
      </c>
      <c r="G42" s="38">
        <f>(+K44/(1-K44))*G41</f>
        <v>4204129.404644162</v>
      </c>
      <c r="J42" s="1" t="s">
        <v>418</v>
      </c>
    </row>
    <row r="43" spans="3:10" ht="15">
      <c r="C43" s="1" t="s">
        <v>407</v>
      </c>
      <c r="G43" s="30">
        <f>G42+G41+G40</f>
        <v>12951406.821125424</v>
      </c>
      <c r="I43" s="1" t="s">
        <v>416</v>
      </c>
      <c r="J43" s="1" t="s">
        <v>419</v>
      </c>
    </row>
    <row r="44" spans="9:11" ht="15">
      <c r="I44" s="5">
        <f>Expenses!F215</f>
        <v>14475575</v>
      </c>
      <c r="J44" s="5">
        <f>Expenses!F213</f>
        <v>35272231.64</v>
      </c>
      <c r="K44" s="13">
        <f>I44/J44</f>
        <v>0.41039577953962425</v>
      </c>
    </row>
    <row r="45" spans="1:7" ht="15">
      <c r="A45" s="11" t="s">
        <v>391</v>
      </c>
      <c r="B45" s="11"/>
      <c r="C45" s="11"/>
      <c r="D45" s="11"/>
      <c r="E45" s="11"/>
      <c r="F45" s="11"/>
      <c r="G45" s="40">
        <f>G31+G37+G43</f>
        <v>28323758.60788811</v>
      </c>
    </row>
    <row r="47" spans="1:7" ht="15">
      <c r="A47" s="1" t="s">
        <v>392</v>
      </c>
      <c r="G47" s="30">
        <f>'Alloc Amt'!G24*12</f>
        <v>3494736</v>
      </c>
    </row>
    <row r="49" spans="1:7" ht="15.75">
      <c r="A49" s="4" t="s">
        <v>393</v>
      </c>
      <c r="B49" s="4"/>
      <c r="C49" s="4"/>
      <c r="D49" s="4"/>
      <c r="E49" s="4"/>
      <c r="F49" s="4"/>
      <c r="G49" s="41">
        <f>G45/G47</f>
        <v>8.104691916038325</v>
      </c>
    </row>
    <row r="50" spans="2:6" ht="15.75">
      <c r="B50" s="4"/>
      <c r="F50" s="5"/>
    </row>
    <row r="51" ht="15">
      <c r="F51" s="5"/>
    </row>
    <row r="52" spans="1:6" ht="15">
      <c r="A52" s="8" t="s">
        <v>394</v>
      </c>
      <c r="F52" s="5"/>
    </row>
    <row r="53" spans="1:6" ht="15">
      <c r="A53" s="8" t="s">
        <v>395</v>
      </c>
      <c r="F53" s="5"/>
    </row>
    <row r="54" ht="15">
      <c r="F54" s="5"/>
    </row>
    <row r="55" spans="2:6" ht="15.75">
      <c r="B55" s="4"/>
      <c r="F55" s="5"/>
    </row>
    <row r="56" ht="15">
      <c r="F56" s="5"/>
    </row>
    <row r="57" spans="1:256" ht="15.75">
      <c r="A57" s="4"/>
      <c r="B57" s="4"/>
      <c r="C57" s="4"/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ht="15">
      <c r="F58" s="5"/>
    </row>
    <row r="59" spans="1:6" ht="15.75">
      <c r="A59" s="4"/>
      <c r="F59" s="5"/>
    </row>
    <row r="60" ht="15">
      <c r="F60" s="5"/>
    </row>
    <row r="61" ht="15">
      <c r="F61" s="5"/>
    </row>
    <row r="62" ht="15">
      <c r="F62" s="5"/>
    </row>
    <row r="63" ht="15">
      <c r="F63" s="5"/>
    </row>
    <row r="64" ht="15">
      <c r="F64" s="5"/>
    </row>
    <row r="65" ht="15">
      <c r="F65" s="5"/>
    </row>
    <row r="66" ht="15">
      <c r="F66" s="5"/>
    </row>
    <row r="67" ht="15">
      <c r="F67" s="5"/>
    </row>
    <row r="68" ht="15">
      <c r="F68" s="5"/>
    </row>
    <row r="69" ht="15">
      <c r="F69" s="5"/>
    </row>
    <row r="70" ht="15">
      <c r="F70" s="5"/>
    </row>
    <row r="71" ht="15">
      <c r="F71" s="5"/>
    </row>
    <row r="72" spans="2:6" ht="15.75">
      <c r="B72" s="4"/>
      <c r="E72" s="5"/>
      <c r="F72" s="5"/>
    </row>
    <row r="73" ht="15">
      <c r="F73" s="5"/>
    </row>
    <row r="74" spans="1:256" ht="15.75">
      <c r="A74" s="16"/>
      <c r="B74" s="16"/>
      <c r="C74" s="16"/>
      <c r="D74" s="4"/>
      <c r="E74" s="6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ht="15">
      <c r="F75" s="5"/>
    </row>
    <row r="76" ht="15">
      <c r="F76" s="5"/>
    </row>
    <row r="77" spans="1:6" ht="15.75">
      <c r="A77" s="16"/>
      <c r="B77" s="7"/>
      <c r="C77" s="7"/>
      <c r="F77" s="5"/>
    </row>
    <row r="78" ht="15">
      <c r="F78" s="5"/>
    </row>
    <row r="79" ht="15">
      <c r="F79" s="5"/>
    </row>
    <row r="80" ht="15">
      <c r="F80" s="5"/>
    </row>
    <row r="81" ht="15">
      <c r="F81" s="5"/>
    </row>
    <row r="82" ht="15">
      <c r="F82" s="5"/>
    </row>
    <row r="83" ht="15">
      <c r="F83" s="5"/>
    </row>
    <row r="84" spans="2:6" ht="15.75">
      <c r="B84" s="4"/>
      <c r="F84" s="5"/>
    </row>
    <row r="85" ht="15">
      <c r="F85" s="5"/>
    </row>
    <row r="86" spans="1:6" ht="15.75">
      <c r="A86" s="16"/>
      <c r="B86" s="7"/>
      <c r="C86" s="7"/>
      <c r="F86" s="5"/>
    </row>
    <row r="87" ht="15">
      <c r="F87" s="5"/>
    </row>
    <row r="88" ht="15">
      <c r="F88" s="5"/>
    </row>
    <row r="89" ht="15">
      <c r="F89" s="5"/>
    </row>
    <row r="90" ht="15">
      <c r="F90" s="5"/>
    </row>
    <row r="91" ht="15">
      <c r="F91" s="5"/>
    </row>
    <row r="92" ht="15">
      <c r="F92" s="5"/>
    </row>
    <row r="93" ht="15">
      <c r="F93" s="5"/>
    </row>
    <row r="94" ht="15">
      <c r="F94" s="5"/>
    </row>
    <row r="95" ht="15">
      <c r="F95" s="5"/>
    </row>
    <row r="96" ht="15">
      <c r="F96" s="5"/>
    </row>
    <row r="97" ht="15">
      <c r="F97" s="5"/>
    </row>
    <row r="98" ht="15">
      <c r="F98" s="5"/>
    </row>
    <row r="99" ht="15">
      <c r="F99" s="5"/>
    </row>
    <row r="100" ht="15">
      <c r="F100" s="5"/>
    </row>
    <row r="101" ht="15">
      <c r="F101" s="5"/>
    </row>
    <row r="102" spans="1:6" ht="15">
      <c r="A102" s="7"/>
      <c r="B102" s="7"/>
      <c r="C102" s="7"/>
      <c r="F102" s="5"/>
    </row>
    <row r="103" spans="4:6" ht="15">
      <c r="D103" s="8"/>
      <c r="F103" s="5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Napier, Heather  (KYOAG)</cp:lastModifiedBy>
  <dcterms:modified xsi:type="dcterms:W3CDTF">2012-10-31T18:12:47Z</dcterms:modified>
  <cp:category/>
  <cp:version/>
  <cp:contentType/>
  <cp:contentStatus/>
</cp:coreProperties>
</file>