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405" yWindow="420" windowWidth="15570" windowHeight="5055" tabRatio="947"/>
  </bookViews>
  <sheets>
    <sheet name="LGE 1.12" sheetId="13" r:id="rId1"/>
    <sheet name="LGE Annualized Depr" sheetId="9" r:id="rId2"/>
    <sheet name="KIUC Adjust LGE Annualized Depr" sheetId="15" r:id="rId3"/>
    <sheet name="ECR Annual Depr" sheetId="14" r:id="rId4"/>
    <sheet name="As FiledECR Proposed Depr Rates" sheetId="12" r:id="rId5"/>
    <sheet name="KIUC ECR Proposed Depr Rates" sheetId="16" r:id="rId6"/>
  </sheets>
  <definedNames>
    <definedName name="_xlnm.Print_Titles" localSheetId="2">'KIUC Adjust LGE Annualized Depr'!$1:$8</definedName>
    <definedName name="_xlnm.Print_Titles" localSheetId="1">'LGE Annualized Depr'!$1:$8</definedName>
  </definedNames>
  <calcPr calcId="145621" iterate="1"/>
</workbook>
</file>

<file path=xl/calcChain.xml><?xml version="1.0" encoding="utf-8"?>
<calcChain xmlns="http://schemas.openxmlformats.org/spreadsheetml/2006/main">
  <c r="D31" i="13" l="1"/>
  <c r="F31" i="13"/>
  <c r="B31" i="13"/>
  <c r="E16" i="16" l="1"/>
  <c r="E42" i="16"/>
  <c r="E41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5" i="16"/>
  <c r="E14" i="16"/>
  <c r="E13" i="16"/>
  <c r="E12" i="16"/>
  <c r="E11" i="16"/>
  <c r="E10" i="16"/>
  <c r="E9" i="16"/>
  <c r="E8" i="16"/>
  <c r="F42" i="16" l="1"/>
  <c r="F41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6" i="16"/>
  <c r="F15" i="16"/>
  <c r="F14" i="16"/>
  <c r="F13" i="16"/>
  <c r="F12" i="16"/>
  <c r="F11" i="16"/>
  <c r="F10" i="16"/>
  <c r="F9" i="16"/>
  <c r="F8" i="16"/>
  <c r="F7" i="16"/>
  <c r="F8" i="14"/>
  <c r="B405" i="15"/>
  <c r="B404" i="15"/>
  <c r="B403" i="15"/>
  <c r="D397" i="15"/>
  <c r="D396" i="15"/>
  <c r="G396" i="15" s="1"/>
  <c r="D395" i="15"/>
  <c r="G395" i="15" s="1"/>
  <c r="D394" i="15"/>
  <c r="G394" i="15" s="1"/>
  <c r="G393" i="15"/>
  <c r="D393" i="15"/>
  <c r="D392" i="15"/>
  <c r="G392" i="15" s="1"/>
  <c r="D391" i="15"/>
  <c r="G391" i="15" s="1"/>
  <c r="D390" i="15"/>
  <c r="G390" i="15" s="1"/>
  <c r="G405" i="15" s="1"/>
  <c r="G389" i="15"/>
  <c r="D389" i="15"/>
  <c r="D388" i="15"/>
  <c r="G388" i="15" s="1"/>
  <c r="D387" i="15"/>
  <c r="G387" i="15" s="1"/>
  <c r="D386" i="15"/>
  <c r="G386" i="15" s="1"/>
  <c r="G404" i="15" s="1"/>
  <c r="G385" i="15"/>
  <c r="D385" i="15"/>
  <c r="D384" i="15"/>
  <c r="G384" i="15" s="1"/>
  <c r="G403" i="15" s="1"/>
  <c r="D383" i="15"/>
  <c r="G383" i="15" s="1"/>
  <c r="D382" i="15"/>
  <c r="G382" i="15" s="1"/>
  <c r="G381" i="15"/>
  <c r="D381" i="15"/>
  <c r="D380" i="15"/>
  <c r="G380" i="15" s="1"/>
  <c r="D379" i="15"/>
  <c r="G379" i="15" s="1"/>
  <c r="D378" i="15"/>
  <c r="G378" i="15" s="1"/>
  <c r="G377" i="15"/>
  <c r="D377" i="15"/>
  <c r="D376" i="15"/>
  <c r="G376" i="15" s="1"/>
  <c r="D375" i="15"/>
  <c r="G375" i="15" s="1"/>
  <c r="D374" i="15"/>
  <c r="G374" i="15" s="1"/>
  <c r="G373" i="15"/>
  <c r="D373" i="15"/>
  <c r="D372" i="15"/>
  <c r="D368" i="15"/>
  <c r="G368" i="15" s="1"/>
  <c r="D367" i="15"/>
  <c r="G367" i="15" s="1"/>
  <c r="G366" i="15"/>
  <c r="D366" i="15"/>
  <c r="B360" i="15"/>
  <c r="B359" i="15"/>
  <c r="B358" i="15"/>
  <c r="B357" i="15"/>
  <c r="G351" i="15"/>
  <c r="G360" i="15" s="1"/>
  <c r="D350" i="15"/>
  <c r="G350" i="15" s="1"/>
  <c r="G349" i="15"/>
  <c r="G359" i="15" s="1"/>
  <c r="D348" i="15"/>
  <c r="G348" i="15" s="1"/>
  <c r="D347" i="15"/>
  <c r="G347" i="15" s="1"/>
  <c r="G358" i="15" s="1"/>
  <c r="D346" i="15"/>
  <c r="G345" i="15"/>
  <c r="G357" i="15" s="1"/>
  <c r="D341" i="15"/>
  <c r="D340" i="15"/>
  <c r="G340" i="15" s="1"/>
  <c r="D339" i="15"/>
  <c r="G339" i="15" s="1"/>
  <c r="D338" i="15"/>
  <c r="G338" i="15" s="1"/>
  <c r="D337" i="15"/>
  <c r="G337" i="15" s="1"/>
  <c r="D336" i="15"/>
  <c r="G336" i="15" s="1"/>
  <c r="D335" i="15"/>
  <c r="G335" i="15" s="1"/>
  <c r="D334" i="15"/>
  <c r="G334" i="15" s="1"/>
  <c r="D333" i="15"/>
  <c r="G333" i="15" s="1"/>
  <c r="D332" i="15"/>
  <c r="G332" i="15" s="1"/>
  <c r="D331" i="15"/>
  <c r="G331" i="15" s="1"/>
  <c r="D330" i="15"/>
  <c r="G330" i="15" s="1"/>
  <c r="D329" i="15"/>
  <c r="D326" i="15"/>
  <c r="D325" i="15"/>
  <c r="G324" i="15"/>
  <c r="D324" i="15"/>
  <c r="G323" i="15"/>
  <c r="D323" i="15"/>
  <c r="D319" i="15"/>
  <c r="D318" i="15"/>
  <c r="G318" i="15" s="1"/>
  <c r="D317" i="15"/>
  <c r="G317" i="15" s="1"/>
  <c r="D316" i="15"/>
  <c r="G316" i="15" s="1"/>
  <c r="D315" i="15"/>
  <c r="G315" i="15" s="1"/>
  <c r="D314" i="15"/>
  <c r="G314" i="15" s="1"/>
  <c r="D313" i="15"/>
  <c r="G313" i="15" s="1"/>
  <c r="D312" i="15"/>
  <c r="G312" i="15" s="1"/>
  <c r="D311" i="15"/>
  <c r="G311" i="15" s="1"/>
  <c r="D310" i="15"/>
  <c r="G310" i="15" s="1"/>
  <c r="D309" i="15"/>
  <c r="G309" i="15" s="1"/>
  <c r="D308" i="15"/>
  <c r="G308" i="15" s="1"/>
  <c r="D307" i="15"/>
  <c r="G307" i="15" s="1"/>
  <c r="D306" i="15"/>
  <c r="G306" i="15" s="1"/>
  <c r="D305" i="15"/>
  <c r="G305" i="15" s="1"/>
  <c r="D304" i="15"/>
  <c r="G304" i="15" s="1"/>
  <c r="D303" i="15"/>
  <c r="G303" i="15" s="1"/>
  <c r="D302" i="15"/>
  <c r="D300" i="15"/>
  <c r="G300" i="15" s="1"/>
  <c r="B292" i="15"/>
  <c r="B291" i="15"/>
  <c r="B290" i="15"/>
  <c r="B289" i="15"/>
  <c r="B288" i="15"/>
  <c r="B287" i="15"/>
  <c r="B286" i="15"/>
  <c r="B285" i="15"/>
  <c r="B284" i="15"/>
  <c r="D278" i="15"/>
  <c r="G278" i="15" s="1"/>
  <c r="G292" i="15" s="1"/>
  <c r="D277" i="15"/>
  <c r="G277" i="15" s="1"/>
  <c r="D276" i="15"/>
  <c r="G276" i="15" s="1"/>
  <c r="G291" i="15" s="1"/>
  <c r="D275" i="15"/>
  <c r="G275" i="15" s="1"/>
  <c r="D274" i="15"/>
  <c r="G274" i="15" s="1"/>
  <c r="G290" i="15" s="1"/>
  <c r="D273" i="15"/>
  <c r="G273" i="15" s="1"/>
  <c r="D272" i="15"/>
  <c r="D268" i="15"/>
  <c r="D267" i="15"/>
  <c r="G267" i="15" s="1"/>
  <c r="D266" i="15"/>
  <c r="G266" i="15" s="1"/>
  <c r="D265" i="15"/>
  <c r="G265" i="15" s="1"/>
  <c r="G264" i="15"/>
  <c r="D264" i="15"/>
  <c r="D263" i="15"/>
  <c r="G263" i="15" s="1"/>
  <c r="D262" i="15"/>
  <c r="G262" i="15" s="1"/>
  <c r="D261" i="15"/>
  <c r="G261" i="15" s="1"/>
  <c r="G260" i="15"/>
  <c r="D260" i="15"/>
  <c r="D259" i="15"/>
  <c r="G259" i="15" s="1"/>
  <c r="D258" i="15"/>
  <c r="G258" i="15" s="1"/>
  <c r="D257" i="15"/>
  <c r="G257" i="15" s="1"/>
  <c r="G256" i="15"/>
  <c r="D256" i="15"/>
  <c r="D255" i="15"/>
  <c r="G255" i="15" s="1"/>
  <c r="D254" i="15"/>
  <c r="D250" i="15"/>
  <c r="D249" i="15"/>
  <c r="G249" i="15" s="1"/>
  <c r="D248" i="15"/>
  <c r="G248" i="15" s="1"/>
  <c r="D247" i="15"/>
  <c r="G247" i="15" s="1"/>
  <c r="D246" i="15"/>
  <c r="G246" i="15" s="1"/>
  <c r="D245" i="15"/>
  <c r="G245" i="15" s="1"/>
  <c r="D244" i="15"/>
  <c r="G244" i="15" s="1"/>
  <c r="D243" i="15"/>
  <c r="G243" i="15" s="1"/>
  <c r="D242" i="15"/>
  <c r="G242" i="15" s="1"/>
  <c r="D241" i="15"/>
  <c r="D236" i="15"/>
  <c r="D233" i="15"/>
  <c r="G233" i="15" s="1"/>
  <c r="D232" i="15"/>
  <c r="G232" i="15" s="1"/>
  <c r="D231" i="15"/>
  <c r="G231" i="15" s="1"/>
  <c r="G230" i="15"/>
  <c r="D230" i="15"/>
  <c r="D229" i="15"/>
  <c r="G229" i="15" s="1"/>
  <c r="D228" i="15"/>
  <c r="G228" i="15" s="1"/>
  <c r="D227" i="15"/>
  <c r="G227" i="15" s="1"/>
  <c r="G226" i="15"/>
  <c r="D226" i="15"/>
  <c r="D225" i="15"/>
  <c r="G225" i="15" s="1"/>
  <c r="D224" i="15"/>
  <c r="G224" i="15" s="1"/>
  <c r="D223" i="15"/>
  <c r="G220" i="15"/>
  <c r="D220" i="15"/>
  <c r="D219" i="15"/>
  <c r="G219" i="15" s="1"/>
  <c r="D218" i="15"/>
  <c r="G218" i="15" s="1"/>
  <c r="D217" i="15"/>
  <c r="G217" i="15" s="1"/>
  <c r="G216" i="15"/>
  <c r="D216" i="15"/>
  <c r="D215" i="15"/>
  <c r="G215" i="15" s="1"/>
  <c r="D214" i="15"/>
  <c r="G214" i="15" s="1"/>
  <c r="D213" i="15"/>
  <c r="G213" i="15" s="1"/>
  <c r="G212" i="15"/>
  <c r="D212" i="15"/>
  <c r="D211" i="15"/>
  <c r="G211" i="15" s="1"/>
  <c r="D210" i="15"/>
  <c r="G210" i="15" s="1"/>
  <c r="D209" i="15"/>
  <c r="G209" i="15" s="1"/>
  <c r="G208" i="15"/>
  <c r="D208" i="15"/>
  <c r="D207" i="15"/>
  <c r="D204" i="15"/>
  <c r="G204" i="15" s="1"/>
  <c r="D203" i="15"/>
  <c r="G203" i="15" s="1"/>
  <c r="G202" i="15"/>
  <c r="D202" i="15"/>
  <c r="D201" i="15"/>
  <c r="G201" i="15" s="1"/>
  <c r="D200" i="15"/>
  <c r="G200" i="15" s="1"/>
  <c r="D199" i="15"/>
  <c r="G199" i="15" s="1"/>
  <c r="G198" i="15"/>
  <c r="D198" i="15"/>
  <c r="D197" i="15"/>
  <c r="G197" i="15" s="1"/>
  <c r="D196" i="15"/>
  <c r="G196" i="15" s="1"/>
  <c r="D195" i="15"/>
  <c r="G195" i="15" s="1"/>
  <c r="G194" i="15"/>
  <c r="D194" i="15"/>
  <c r="D193" i="15"/>
  <c r="G193" i="15" s="1"/>
  <c r="D192" i="15"/>
  <c r="G192" i="15" s="1"/>
  <c r="D191" i="15"/>
  <c r="G188" i="15"/>
  <c r="D188" i="15"/>
  <c r="G187" i="15"/>
  <c r="D187" i="15"/>
  <c r="G186" i="15"/>
  <c r="D186" i="15"/>
  <c r="G185" i="15"/>
  <c r="D185" i="15"/>
  <c r="G184" i="15"/>
  <c r="D184" i="15"/>
  <c r="G183" i="15"/>
  <c r="D183" i="15"/>
  <c r="G182" i="15"/>
  <c r="D182" i="15"/>
  <c r="G181" i="15"/>
  <c r="D181" i="15"/>
  <c r="G180" i="15"/>
  <c r="D180" i="15"/>
  <c r="G179" i="15"/>
  <c r="D179" i="15"/>
  <c r="G176" i="15"/>
  <c r="D176" i="15"/>
  <c r="G175" i="15"/>
  <c r="D175" i="15"/>
  <c r="G174" i="15"/>
  <c r="D174" i="15"/>
  <c r="G173" i="15"/>
  <c r="D173" i="15"/>
  <c r="G172" i="15"/>
  <c r="G288" i="15" s="1"/>
  <c r="D172" i="15"/>
  <c r="G171" i="15"/>
  <c r="D171" i="15"/>
  <c r="G170" i="15"/>
  <c r="D170" i="15"/>
  <c r="G169" i="15"/>
  <c r="D169" i="15"/>
  <c r="G168" i="15"/>
  <c r="D168" i="15"/>
  <c r="G167" i="15"/>
  <c r="D167" i="15"/>
  <c r="G166" i="15"/>
  <c r="D166" i="15"/>
  <c r="G165" i="15"/>
  <c r="D165" i="15"/>
  <c r="G164" i="15"/>
  <c r="D164" i="15"/>
  <c r="G163" i="15"/>
  <c r="D163" i="15"/>
  <c r="G162" i="15"/>
  <c r="D162" i="15"/>
  <c r="G159" i="15"/>
  <c r="D159" i="15"/>
  <c r="G158" i="15"/>
  <c r="D158" i="15"/>
  <c r="G157" i="15"/>
  <c r="D157" i="15"/>
  <c r="G156" i="15"/>
  <c r="D156" i="15"/>
  <c r="G155" i="15"/>
  <c r="D155" i="15"/>
  <c r="G154" i="15"/>
  <c r="D154" i="15"/>
  <c r="G153" i="15"/>
  <c r="D153" i="15"/>
  <c r="G152" i="15"/>
  <c r="D152" i="15"/>
  <c r="G151" i="15"/>
  <c r="D151" i="15"/>
  <c r="G150" i="15"/>
  <c r="D150" i="15"/>
  <c r="G149" i="15"/>
  <c r="D149" i="15"/>
  <c r="G148" i="15"/>
  <c r="D148" i="15"/>
  <c r="G147" i="15"/>
  <c r="D147" i="15"/>
  <c r="G145" i="15"/>
  <c r="D145" i="15"/>
  <c r="D139" i="15"/>
  <c r="D138" i="15"/>
  <c r="G138" i="15" s="1"/>
  <c r="D137" i="15"/>
  <c r="G137" i="15" s="1"/>
  <c r="D136" i="15"/>
  <c r="G136" i="15" s="1"/>
  <c r="D135" i="15"/>
  <c r="D131" i="15"/>
  <c r="G131" i="15" s="1"/>
  <c r="D130" i="15"/>
  <c r="G130" i="15" s="1"/>
  <c r="D129" i="15"/>
  <c r="G129" i="15" s="1"/>
  <c r="D128" i="15"/>
  <c r="G128" i="15" s="1"/>
  <c r="D127" i="15"/>
  <c r="G127" i="15" s="1"/>
  <c r="D126" i="15"/>
  <c r="G126" i="15" s="1"/>
  <c r="G125" i="15"/>
  <c r="D119" i="15"/>
  <c r="D116" i="15"/>
  <c r="G116" i="15" s="1"/>
  <c r="D115" i="15"/>
  <c r="G115" i="15" s="1"/>
  <c r="D114" i="15"/>
  <c r="G114" i="15" s="1"/>
  <c r="D113" i="15"/>
  <c r="G113" i="15" s="1"/>
  <c r="D112" i="15"/>
  <c r="G112" i="15" s="1"/>
  <c r="D111" i="15"/>
  <c r="G111" i="15" s="1"/>
  <c r="D110" i="15"/>
  <c r="G110" i="15" s="1"/>
  <c r="D109" i="15"/>
  <c r="G109" i="15" s="1"/>
  <c r="D108" i="15"/>
  <c r="G108" i="15" s="1"/>
  <c r="D107" i="15"/>
  <c r="G107" i="15" s="1"/>
  <c r="D106" i="15"/>
  <c r="G106" i="15" s="1"/>
  <c r="D105" i="15"/>
  <c r="G105" i="15" s="1"/>
  <c r="D104" i="15"/>
  <c r="G104" i="15" s="1"/>
  <c r="D103" i="15"/>
  <c r="G103" i="15" s="1"/>
  <c r="D102" i="15"/>
  <c r="G102" i="15" s="1"/>
  <c r="D99" i="15"/>
  <c r="G99" i="15" s="1"/>
  <c r="D98" i="15"/>
  <c r="G98" i="15" s="1"/>
  <c r="D97" i="15"/>
  <c r="G97" i="15" s="1"/>
  <c r="D96" i="15"/>
  <c r="G96" i="15" s="1"/>
  <c r="D95" i="15"/>
  <c r="G95" i="15" s="1"/>
  <c r="D94" i="15"/>
  <c r="G94" i="15" s="1"/>
  <c r="D93" i="15"/>
  <c r="G93" i="15" s="1"/>
  <c r="D92" i="15"/>
  <c r="G92" i="15" s="1"/>
  <c r="D91" i="15"/>
  <c r="G91" i="15" s="1"/>
  <c r="D90" i="15"/>
  <c r="G90" i="15" s="1"/>
  <c r="D89" i="15"/>
  <c r="G89" i="15" s="1"/>
  <c r="D88" i="15"/>
  <c r="G88" i="15" s="1"/>
  <c r="D87" i="15"/>
  <c r="G87" i="15" s="1"/>
  <c r="D86" i="15"/>
  <c r="G86" i="15" s="1"/>
  <c r="D85" i="15"/>
  <c r="G85" i="15" s="1"/>
  <c r="D84" i="15"/>
  <c r="G84" i="15" s="1"/>
  <c r="D83" i="15"/>
  <c r="G83" i="15" s="1"/>
  <c r="D82" i="15"/>
  <c r="G82" i="15" s="1"/>
  <c r="D81" i="15"/>
  <c r="G81" i="15" s="1"/>
  <c r="D80" i="15"/>
  <c r="G80" i="15" s="1"/>
  <c r="D77" i="15"/>
  <c r="G77" i="15" s="1"/>
  <c r="D76" i="15"/>
  <c r="G76" i="15" s="1"/>
  <c r="D75" i="15"/>
  <c r="G75" i="15" s="1"/>
  <c r="D74" i="15"/>
  <c r="G74" i="15" s="1"/>
  <c r="D73" i="15"/>
  <c r="G73" i="15" s="1"/>
  <c r="D72" i="15"/>
  <c r="G72" i="15" s="1"/>
  <c r="D71" i="15"/>
  <c r="G71" i="15" s="1"/>
  <c r="D70" i="15"/>
  <c r="G70" i="15" s="1"/>
  <c r="D69" i="15"/>
  <c r="G69" i="15" s="1"/>
  <c r="D68" i="15"/>
  <c r="G68" i="15" s="1"/>
  <c r="D67" i="15"/>
  <c r="G67" i="15" s="1"/>
  <c r="D66" i="15"/>
  <c r="G66" i="15" s="1"/>
  <c r="D63" i="15"/>
  <c r="G63" i="15" s="1"/>
  <c r="D62" i="15"/>
  <c r="G62" i="15" s="1"/>
  <c r="D61" i="15"/>
  <c r="G61" i="15" s="1"/>
  <c r="D60" i="15"/>
  <c r="G60" i="15" s="1"/>
  <c r="D59" i="15"/>
  <c r="G59" i="15" s="1"/>
  <c r="D58" i="15"/>
  <c r="G58" i="15" s="1"/>
  <c r="D57" i="15"/>
  <c r="G57" i="15" s="1"/>
  <c r="D56" i="15"/>
  <c r="G56" i="15" s="1"/>
  <c r="D55" i="15"/>
  <c r="G55" i="15" s="1"/>
  <c r="D54" i="15"/>
  <c r="G54" i="15" s="1"/>
  <c r="D53" i="15"/>
  <c r="G53" i="15" s="1"/>
  <c r="D52" i="15"/>
  <c r="G52" i="15" s="1"/>
  <c r="D51" i="15"/>
  <c r="G51" i="15" s="1"/>
  <c r="G287" i="15" s="1"/>
  <c r="D50" i="15"/>
  <c r="G50" i="15" s="1"/>
  <c r="G286" i="15" s="1"/>
  <c r="D49" i="15"/>
  <c r="G49" i="15" s="1"/>
  <c r="D48" i="15"/>
  <c r="G48" i="15" s="1"/>
  <c r="D47" i="15"/>
  <c r="G47" i="15" s="1"/>
  <c r="D46" i="15"/>
  <c r="G46" i="15" s="1"/>
  <c r="D45" i="15"/>
  <c r="G45" i="15" s="1"/>
  <c r="D44" i="15"/>
  <c r="G44" i="15" s="1"/>
  <c r="D43" i="15"/>
  <c r="G43" i="15" s="1"/>
  <c r="D42" i="15"/>
  <c r="G42" i="15" s="1"/>
  <c r="D41" i="15"/>
  <c r="G41" i="15" s="1"/>
  <c r="G40" i="15"/>
  <c r="G285" i="15" s="1"/>
  <c r="D40" i="15"/>
  <c r="D39" i="15"/>
  <c r="G39" i="15" s="1"/>
  <c r="D36" i="15"/>
  <c r="G36" i="15" s="1"/>
  <c r="G35" i="15"/>
  <c r="D35" i="15"/>
  <c r="D34" i="15"/>
  <c r="G34" i="15" s="1"/>
  <c r="D33" i="15"/>
  <c r="G33" i="15" s="1"/>
  <c r="D32" i="15"/>
  <c r="G32" i="15" s="1"/>
  <c r="D31" i="15"/>
  <c r="G31" i="15" s="1"/>
  <c r="D30" i="15"/>
  <c r="G30" i="15" s="1"/>
  <c r="D29" i="15"/>
  <c r="G29" i="15" s="1"/>
  <c r="D28" i="15"/>
  <c r="G28" i="15" s="1"/>
  <c r="G27" i="15"/>
  <c r="D27" i="15"/>
  <c r="D26" i="15"/>
  <c r="G26" i="15" s="1"/>
  <c r="D25" i="15"/>
  <c r="G25" i="15" s="1"/>
  <c r="D24" i="15"/>
  <c r="G24" i="15" s="1"/>
  <c r="D23" i="15"/>
  <c r="G23" i="15" s="1"/>
  <c r="D22" i="15"/>
  <c r="G22" i="15" s="1"/>
  <c r="D21" i="15"/>
  <c r="G21" i="15" s="1"/>
  <c r="D20" i="15"/>
  <c r="G20" i="15" s="1"/>
  <c r="G19" i="15"/>
  <c r="D19" i="15"/>
  <c r="D18" i="15"/>
  <c r="G18" i="15" s="1"/>
  <c r="D17" i="15"/>
  <c r="D15" i="15"/>
  <c r="G15" i="15" s="1"/>
  <c r="D14" i="15"/>
  <c r="G14" i="15" s="1"/>
  <c r="D11" i="15"/>
  <c r="G11" i="15" s="1"/>
  <c r="G160" i="15" l="1"/>
  <c r="G189" i="15"/>
  <c r="D221" i="15"/>
  <c r="D269" i="15"/>
  <c r="D398" i="15"/>
  <c r="D37" i="15"/>
  <c r="D234" i="15"/>
  <c r="G254" i="15"/>
  <c r="D160" i="15"/>
  <c r="D189" i="15"/>
  <c r="D205" i="15"/>
  <c r="G369" i="15"/>
  <c r="G17" i="15"/>
  <c r="G37" i="15" s="1"/>
  <c r="G100" i="15"/>
  <c r="D177" i="15"/>
  <c r="G191" i="15"/>
  <c r="G205" i="15" s="1"/>
  <c r="G207" i="15"/>
  <c r="G221" i="15" s="1"/>
  <c r="G223" i="15"/>
  <c r="G234" i="15" s="1"/>
  <c r="G372" i="15"/>
  <c r="G398" i="15" s="1"/>
  <c r="G400" i="15" s="1"/>
  <c r="G407" i="15" s="1"/>
  <c r="G409" i="15" s="1"/>
  <c r="F22" i="13" s="1"/>
  <c r="G177" i="15"/>
  <c r="D369" i="15"/>
  <c r="D400" i="15" s="1"/>
  <c r="F43" i="16"/>
  <c r="F24" i="14" s="1"/>
  <c r="F26" i="14" s="1"/>
  <c r="F40" i="16"/>
  <c r="F13" i="14" s="1"/>
  <c r="F15" i="14" s="1"/>
  <c r="F17" i="16"/>
  <c r="F7" i="14" s="1"/>
  <c r="F9" i="14" s="1"/>
  <c r="F11" i="14" s="1"/>
  <c r="G284" i="15"/>
  <c r="G64" i="15"/>
  <c r="G411" i="15"/>
  <c r="D342" i="15"/>
  <c r="G329" i="15"/>
  <c r="G342" i="15" s="1"/>
  <c r="G117" i="15"/>
  <c r="D100" i="15"/>
  <c r="D117" i="15"/>
  <c r="D279" i="15"/>
  <c r="G272" i="15"/>
  <c r="D64" i="15"/>
  <c r="D132" i="15"/>
  <c r="D352" i="15"/>
  <c r="G346" i="15"/>
  <c r="G78" i="15"/>
  <c r="D78" i="15"/>
  <c r="G132" i="15"/>
  <c r="D140" i="15"/>
  <c r="G135" i="15"/>
  <c r="G140" i="15" s="1"/>
  <c r="D238" i="15"/>
  <c r="D251" i="15"/>
  <c r="G241" i="15"/>
  <c r="G251" i="15" s="1"/>
  <c r="G269" i="15"/>
  <c r="D320" i="15"/>
  <c r="G302" i="15"/>
  <c r="G320" i="15" s="1"/>
  <c r="G326" i="15"/>
  <c r="G352" i="15"/>
  <c r="D8" i="14"/>
  <c r="G142" i="15" l="1"/>
  <c r="G238" i="15"/>
  <c r="G354" i="15"/>
  <c r="G361" i="15" s="1"/>
  <c r="D121" i="15"/>
  <c r="G121" i="15"/>
  <c r="F17" i="14"/>
  <c r="F20" i="13" s="1"/>
  <c r="D142" i="15"/>
  <c r="G279" i="15"/>
  <c r="G289" i="15"/>
  <c r="D354" i="15"/>
  <c r="D415" i="15" s="1"/>
  <c r="D281" i="15"/>
  <c r="D347" i="9"/>
  <c r="D395" i="9"/>
  <c r="D394" i="9"/>
  <c r="D393" i="9"/>
  <c r="D392" i="9"/>
  <c r="D391" i="9"/>
  <c r="G281" i="15" l="1"/>
  <c r="F22" i="14"/>
  <c r="F28" i="14"/>
  <c r="G294" i="15" s="1"/>
  <c r="B360" i="9"/>
  <c r="B358" i="9"/>
  <c r="F19" i="12" l="1"/>
  <c r="F21" i="12"/>
  <c r="F20" i="12"/>
  <c r="F7" i="12"/>
  <c r="F8" i="12"/>
  <c r="F9" i="12"/>
  <c r="F10" i="12"/>
  <c r="F11" i="12"/>
  <c r="F27" i="12"/>
  <c r="F22" i="12"/>
  <c r="F23" i="12"/>
  <c r="F26" i="12"/>
  <c r="F12" i="12"/>
  <c r="F13" i="12"/>
  <c r="F14" i="12"/>
  <c r="F24" i="12"/>
  <c r="F15" i="12"/>
  <c r="F25" i="12"/>
  <c r="F32" i="12"/>
  <c r="F30" i="12"/>
  <c r="F31" i="12"/>
  <c r="F38" i="12"/>
  <c r="F36" i="12"/>
  <c r="F33" i="12"/>
  <c r="F42" i="12"/>
  <c r="F39" i="12"/>
  <c r="F41" i="12"/>
  <c r="F37" i="12"/>
  <c r="F35" i="12"/>
  <c r="F34" i="12"/>
  <c r="F28" i="12"/>
  <c r="F29" i="12"/>
  <c r="F18" i="12"/>
  <c r="G395" i="9"/>
  <c r="G394" i="9"/>
  <c r="G393" i="9"/>
  <c r="G392" i="9"/>
  <c r="G391" i="9"/>
  <c r="G351" i="9"/>
  <c r="G349" i="9"/>
  <c r="G347" i="9"/>
  <c r="F43" i="12" l="1"/>
  <c r="D24" i="14" s="1"/>
  <c r="D26" i="14" s="1"/>
  <c r="F40" i="12"/>
  <c r="D13" i="14" s="1"/>
  <c r="D15" i="14" s="1"/>
  <c r="G345" i="9"/>
  <c r="F16" i="12" l="1"/>
  <c r="F17" i="12" s="1"/>
  <c r="D7" i="14" s="1"/>
  <c r="D9" i="14" s="1"/>
  <c r="D11" i="14" s="1"/>
  <c r="D17" i="14" s="1"/>
  <c r="D22" i="14" l="1"/>
  <c r="B20" i="13"/>
  <c r="D28" i="14"/>
  <c r="B404" i="9"/>
  <c r="D386" i="9"/>
  <c r="D384" i="9"/>
  <c r="G384" i="9" s="1"/>
  <c r="G358" i="9"/>
  <c r="D350" i="9"/>
  <c r="G350" i="9" s="1"/>
  <c r="B292" i="9"/>
  <c r="B290" i="9"/>
  <c r="D274" i="9"/>
  <c r="D272" i="9"/>
  <c r="G272" i="9" s="1"/>
  <c r="D278" i="9"/>
  <c r="D276" i="9"/>
  <c r="G276" i="9" s="1"/>
  <c r="D277" i="9"/>
  <c r="G277" i="9" s="1"/>
  <c r="G294" i="9" l="1"/>
  <c r="G296" i="15"/>
  <c r="F18" i="13" s="1"/>
  <c r="F24" i="13" s="1"/>
  <c r="F34" i="13" s="1"/>
  <c r="G278" i="9"/>
  <c r="G274" i="9"/>
  <c r="G386" i="9"/>
  <c r="G291" i="9"/>
  <c r="G404" i="9" l="1"/>
  <c r="G292" i="9"/>
  <c r="G290" i="9"/>
  <c r="D397" i="9" l="1"/>
  <c r="D396" i="9"/>
  <c r="G396" i="9" s="1"/>
  <c r="D389" i="9"/>
  <c r="G389" i="9" s="1"/>
  <c r="D390" i="9"/>
  <c r="G390" i="9" s="1"/>
  <c r="D388" i="9"/>
  <c r="G388" i="9" s="1"/>
  <c r="D387" i="9"/>
  <c r="G387" i="9" s="1"/>
  <c r="D385" i="9"/>
  <c r="G385" i="9" s="1"/>
  <c r="D383" i="9"/>
  <c r="G383" i="9" s="1"/>
  <c r="D382" i="9"/>
  <c r="G382" i="9" s="1"/>
  <c r="D381" i="9"/>
  <c r="G381" i="9" s="1"/>
  <c r="D380" i="9"/>
  <c r="G380" i="9" s="1"/>
  <c r="D379" i="9"/>
  <c r="G379" i="9" s="1"/>
  <c r="D378" i="9"/>
  <c r="G378" i="9" s="1"/>
  <c r="D377" i="9"/>
  <c r="G377" i="9" s="1"/>
  <c r="D376" i="9"/>
  <c r="G376" i="9" s="1"/>
  <c r="D375" i="9"/>
  <c r="G375" i="9" s="1"/>
  <c r="D374" i="9"/>
  <c r="G374" i="9" s="1"/>
  <c r="D373" i="9"/>
  <c r="D372" i="9"/>
  <c r="D368" i="9"/>
  <c r="G368" i="9" s="1"/>
  <c r="D367" i="9"/>
  <c r="G367" i="9" s="1"/>
  <c r="D366" i="9"/>
  <c r="D348" i="9"/>
  <c r="G348" i="9" s="1"/>
  <c r="D346" i="9"/>
  <c r="D341" i="9"/>
  <c r="D340" i="9"/>
  <c r="G340" i="9" s="1"/>
  <c r="D339" i="9"/>
  <c r="G339" i="9" s="1"/>
  <c r="D338" i="9"/>
  <c r="G338" i="9" s="1"/>
  <c r="D337" i="9"/>
  <c r="G337" i="9" s="1"/>
  <c r="D336" i="9"/>
  <c r="G336" i="9" s="1"/>
  <c r="D335" i="9"/>
  <c r="G335" i="9" s="1"/>
  <c r="D334" i="9"/>
  <c r="G334" i="9" s="1"/>
  <c r="D333" i="9"/>
  <c r="G333" i="9" s="1"/>
  <c r="D332" i="9"/>
  <c r="G332" i="9" s="1"/>
  <c r="D331" i="9"/>
  <c r="G331" i="9" s="1"/>
  <c r="D330" i="9"/>
  <c r="G330" i="9" s="1"/>
  <c r="D329" i="9"/>
  <c r="D325" i="9"/>
  <c r="D324" i="9"/>
  <c r="G324" i="9" s="1"/>
  <c r="D323" i="9"/>
  <c r="G323" i="9" s="1"/>
  <c r="D319" i="9"/>
  <c r="D318" i="9"/>
  <c r="G318" i="9" s="1"/>
  <c r="D317" i="9"/>
  <c r="G317" i="9" s="1"/>
  <c r="D316" i="9"/>
  <c r="G316" i="9" s="1"/>
  <c r="D315" i="9"/>
  <c r="G315" i="9" s="1"/>
  <c r="D314" i="9"/>
  <c r="G314" i="9" s="1"/>
  <c r="D313" i="9"/>
  <c r="G313" i="9" s="1"/>
  <c r="D312" i="9"/>
  <c r="G312" i="9" s="1"/>
  <c r="D311" i="9"/>
  <c r="G311" i="9" s="1"/>
  <c r="D310" i="9"/>
  <c r="G310" i="9" s="1"/>
  <c r="D309" i="9"/>
  <c r="G309" i="9" s="1"/>
  <c r="D308" i="9"/>
  <c r="G308" i="9" s="1"/>
  <c r="D307" i="9"/>
  <c r="G307" i="9" s="1"/>
  <c r="D306" i="9"/>
  <c r="G306" i="9" s="1"/>
  <c r="D305" i="9"/>
  <c r="G305" i="9" s="1"/>
  <c r="D304" i="9"/>
  <c r="G304" i="9" s="1"/>
  <c r="D303" i="9"/>
  <c r="G303" i="9" s="1"/>
  <c r="D302" i="9"/>
  <c r="D300" i="9"/>
  <c r="D275" i="9"/>
  <c r="G275" i="9" s="1"/>
  <c r="D273" i="9"/>
  <c r="G273" i="9" s="1"/>
  <c r="D268" i="9"/>
  <c r="D267" i="9"/>
  <c r="G267" i="9" s="1"/>
  <c r="D266" i="9"/>
  <c r="G266" i="9" s="1"/>
  <c r="D265" i="9"/>
  <c r="G265" i="9" s="1"/>
  <c r="D264" i="9"/>
  <c r="G264" i="9" s="1"/>
  <c r="D263" i="9"/>
  <c r="G263" i="9" s="1"/>
  <c r="D262" i="9"/>
  <c r="G262" i="9" s="1"/>
  <c r="D261" i="9"/>
  <c r="G261" i="9" s="1"/>
  <c r="D260" i="9"/>
  <c r="G260" i="9" s="1"/>
  <c r="D259" i="9"/>
  <c r="G259" i="9" s="1"/>
  <c r="D258" i="9"/>
  <c r="G258" i="9" s="1"/>
  <c r="D257" i="9"/>
  <c r="G257" i="9" s="1"/>
  <c r="D256" i="9"/>
  <c r="G256" i="9" s="1"/>
  <c r="D255" i="9"/>
  <c r="G255" i="9" s="1"/>
  <c r="D254" i="9"/>
  <c r="D250" i="9"/>
  <c r="D249" i="9"/>
  <c r="G249" i="9" s="1"/>
  <c r="D248" i="9"/>
  <c r="G248" i="9" s="1"/>
  <c r="D247" i="9"/>
  <c r="G247" i="9" s="1"/>
  <c r="D246" i="9"/>
  <c r="G246" i="9" s="1"/>
  <c r="D245" i="9"/>
  <c r="G245" i="9" s="1"/>
  <c r="D244" i="9"/>
  <c r="G244" i="9" s="1"/>
  <c r="D243" i="9"/>
  <c r="G243" i="9" s="1"/>
  <c r="D242" i="9"/>
  <c r="G242" i="9" s="1"/>
  <c r="D241" i="9"/>
  <c r="D236" i="9"/>
  <c r="D233" i="9"/>
  <c r="G233" i="9" s="1"/>
  <c r="D232" i="9"/>
  <c r="G232" i="9" s="1"/>
  <c r="D231" i="9"/>
  <c r="G231" i="9" s="1"/>
  <c r="D230" i="9"/>
  <c r="G230" i="9" s="1"/>
  <c r="D229" i="9"/>
  <c r="G229" i="9" s="1"/>
  <c r="D228" i="9"/>
  <c r="G228" i="9" s="1"/>
  <c r="D227" i="9"/>
  <c r="G227" i="9" s="1"/>
  <c r="D226" i="9"/>
  <c r="G226" i="9" s="1"/>
  <c r="D225" i="9"/>
  <c r="G225" i="9" s="1"/>
  <c r="D224" i="9"/>
  <c r="G224" i="9" s="1"/>
  <c r="D223" i="9"/>
  <c r="G223" i="9" s="1"/>
  <c r="D220" i="9"/>
  <c r="G220" i="9" s="1"/>
  <c r="D219" i="9"/>
  <c r="G219" i="9" s="1"/>
  <c r="D218" i="9"/>
  <c r="G218" i="9" s="1"/>
  <c r="D217" i="9"/>
  <c r="G217" i="9" s="1"/>
  <c r="D216" i="9"/>
  <c r="G216" i="9" s="1"/>
  <c r="D215" i="9"/>
  <c r="G215" i="9" s="1"/>
  <c r="D214" i="9"/>
  <c r="G214" i="9" s="1"/>
  <c r="D213" i="9"/>
  <c r="G213" i="9" s="1"/>
  <c r="D212" i="9"/>
  <c r="G212" i="9" s="1"/>
  <c r="D211" i="9"/>
  <c r="G211" i="9" s="1"/>
  <c r="D210" i="9"/>
  <c r="G210" i="9" s="1"/>
  <c r="D209" i="9"/>
  <c r="G209" i="9" s="1"/>
  <c r="D208" i="9"/>
  <c r="D207" i="9"/>
  <c r="D204" i="9"/>
  <c r="G204" i="9" s="1"/>
  <c r="D203" i="9"/>
  <c r="G203" i="9" s="1"/>
  <c r="D202" i="9"/>
  <c r="G202" i="9" s="1"/>
  <c r="D201" i="9"/>
  <c r="G201" i="9" s="1"/>
  <c r="D200" i="9"/>
  <c r="G200" i="9" s="1"/>
  <c r="D199" i="9"/>
  <c r="G199" i="9" s="1"/>
  <c r="D198" i="9"/>
  <c r="G198" i="9" s="1"/>
  <c r="D197" i="9"/>
  <c r="G197" i="9" s="1"/>
  <c r="D196" i="9"/>
  <c r="G196" i="9" s="1"/>
  <c r="D195" i="9"/>
  <c r="G195" i="9" s="1"/>
  <c r="D194" i="9"/>
  <c r="G194" i="9" s="1"/>
  <c r="D193" i="9"/>
  <c r="G193" i="9" s="1"/>
  <c r="D192" i="9"/>
  <c r="G192" i="9" s="1"/>
  <c r="D191" i="9"/>
  <c r="G191" i="9" s="1"/>
  <c r="D188" i="9"/>
  <c r="G188" i="9" s="1"/>
  <c r="D187" i="9"/>
  <c r="G187" i="9" s="1"/>
  <c r="D186" i="9"/>
  <c r="G186" i="9" s="1"/>
  <c r="D185" i="9"/>
  <c r="G185" i="9" s="1"/>
  <c r="D184" i="9"/>
  <c r="G184" i="9" s="1"/>
  <c r="D183" i="9"/>
  <c r="G183" i="9" s="1"/>
  <c r="D182" i="9"/>
  <c r="G182" i="9" s="1"/>
  <c r="D181" i="9"/>
  <c r="G181" i="9" s="1"/>
  <c r="D180" i="9"/>
  <c r="G180" i="9" s="1"/>
  <c r="D179" i="9"/>
  <c r="G179" i="9" s="1"/>
  <c r="D176" i="9"/>
  <c r="G176" i="9" s="1"/>
  <c r="D175" i="9"/>
  <c r="G175" i="9" s="1"/>
  <c r="D174" i="9"/>
  <c r="G174" i="9" s="1"/>
  <c r="D173" i="9"/>
  <c r="G173" i="9" s="1"/>
  <c r="D172" i="9"/>
  <c r="G172" i="9" s="1"/>
  <c r="D171" i="9"/>
  <c r="G171" i="9" s="1"/>
  <c r="D170" i="9"/>
  <c r="G170" i="9" s="1"/>
  <c r="D169" i="9"/>
  <c r="G169" i="9" s="1"/>
  <c r="D168" i="9"/>
  <c r="G168" i="9" s="1"/>
  <c r="D167" i="9"/>
  <c r="G167" i="9" s="1"/>
  <c r="D166" i="9"/>
  <c r="G166" i="9" s="1"/>
  <c r="D165" i="9"/>
  <c r="G165" i="9" s="1"/>
  <c r="D164" i="9"/>
  <c r="G164" i="9" s="1"/>
  <c r="D163" i="9"/>
  <c r="G163" i="9" s="1"/>
  <c r="D162" i="9"/>
  <c r="G162" i="9" s="1"/>
  <c r="D159" i="9"/>
  <c r="G159" i="9" s="1"/>
  <c r="D158" i="9"/>
  <c r="G158" i="9" s="1"/>
  <c r="D157" i="9"/>
  <c r="G157" i="9" s="1"/>
  <c r="D156" i="9"/>
  <c r="G156" i="9" s="1"/>
  <c r="D155" i="9"/>
  <c r="G155" i="9" s="1"/>
  <c r="D154" i="9"/>
  <c r="G154" i="9" s="1"/>
  <c r="D153" i="9"/>
  <c r="G153" i="9" s="1"/>
  <c r="D152" i="9"/>
  <c r="G152" i="9" s="1"/>
  <c r="D151" i="9"/>
  <c r="G151" i="9" s="1"/>
  <c r="D150" i="9"/>
  <c r="G150" i="9" s="1"/>
  <c r="D149" i="9"/>
  <c r="G149" i="9" s="1"/>
  <c r="D148" i="9"/>
  <c r="G148" i="9" s="1"/>
  <c r="D147" i="9"/>
  <c r="G147" i="9" s="1"/>
  <c r="D145" i="9"/>
  <c r="D139" i="9"/>
  <c r="D138" i="9"/>
  <c r="D137" i="9"/>
  <c r="G137" i="9" s="1"/>
  <c r="D136" i="9"/>
  <c r="G136" i="9" s="1"/>
  <c r="D135" i="9"/>
  <c r="D131" i="9"/>
  <c r="G131" i="9" s="1"/>
  <c r="D130" i="9"/>
  <c r="G130" i="9" s="1"/>
  <c r="D129" i="9"/>
  <c r="G129" i="9" s="1"/>
  <c r="D128" i="9"/>
  <c r="G128" i="9" s="1"/>
  <c r="D127" i="9"/>
  <c r="G127" i="9" s="1"/>
  <c r="D126" i="9"/>
  <c r="G126" i="9" s="1"/>
  <c r="D119" i="9"/>
  <c r="D116" i="9"/>
  <c r="G116" i="9" s="1"/>
  <c r="D115" i="9"/>
  <c r="G115" i="9" s="1"/>
  <c r="D114" i="9"/>
  <c r="G114" i="9" s="1"/>
  <c r="D113" i="9"/>
  <c r="G113" i="9" s="1"/>
  <c r="D112" i="9"/>
  <c r="G112" i="9" s="1"/>
  <c r="D111" i="9"/>
  <c r="G111" i="9" s="1"/>
  <c r="D110" i="9"/>
  <c r="G110" i="9" s="1"/>
  <c r="D109" i="9"/>
  <c r="G109" i="9" s="1"/>
  <c r="D108" i="9"/>
  <c r="G108" i="9" s="1"/>
  <c r="D107" i="9"/>
  <c r="G107" i="9" s="1"/>
  <c r="D106" i="9"/>
  <c r="G106" i="9" s="1"/>
  <c r="D105" i="9"/>
  <c r="G105" i="9" s="1"/>
  <c r="D104" i="9"/>
  <c r="G104" i="9" s="1"/>
  <c r="D103" i="9"/>
  <c r="D102" i="9"/>
  <c r="G102" i="9" s="1"/>
  <c r="D99" i="9"/>
  <c r="G99" i="9" s="1"/>
  <c r="D98" i="9"/>
  <c r="G98" i="9" s="1"/>
  <c r="D97" i="9"/>
  <c r="G97" i="9" s="1"/>
  <c r="D96" i="9"/>
  <c r="G96" i="9" s="1"/>
  <c r="D95" i="9"/>
  <c r="G95" i="9" s="1"/>
  <c r="D94" i="9"/>
  <c r="G94" i="9" s="1"/>
  <c r="D93" i="9"/>
  <c r="G93" i="9" s="1"/>
  <c r="D92" i="9"/>
  <c r="G92" i="9" s="1"/>
  <c r="D91" i="9"/>
  <c r="G91" i="9" s="1"/>
  <c r="D90" i="9"/>
  <c r="G90" i="9" s="1"/>
  <c r="D89" i="9"/>
  <c r="G89" i="9" s="1"/>
  <c r="D88" i="9"/>
  <c r="G88" i="9" s="1"/>
  <c r="D87" i="9"/>
  <c r="G87" i="9" s="1"/>
  <c r="D86" i="9"/>
  <c r="G86" i="9" s="1"/>
  <c r="D85" i="9"/>
  <c r="G85" i="9" s="1"/>
  <c r="D84" i="9"/>
  <c r="G84" i="9" s="1"/>
  <c r="D83" i="9"/>
  <c r="G83" i="9" s="1"/>
  <c r="D82" i="9"/>
  <c r="D81" i="9"/>
  <c r="D80" i="9"/>
  <c r="G80" i="9" s="1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G70" i="9" s="1"/>
  <c r="D69" i="9"/>
  <c r="G69" i="9" s="1"/>
  <c r="D68" i="9"/>
  <c r="D67" i="9"/>
  <c r="D66" i="9"/>
  <c r="D63" i="9"/>
  <c r="G63" i="9" s="1"/>
  <c r="D62" i="9"/>
  <c r="G62" i="9" s="1"/>
  <c r="D61" i="9"/>
  <c r="G61" i="9" s="1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44" i="9"/>
  <c r="G44" i="9" s="1"/>
  <c r="D43" i="9"/>
  <c r="G43" i="9" s="1"/>
  <c r="D42" i="9"/>
  <c r="G42" i="9" s="1"/>
  <c r="D41" i="9"/>
  <c r="G41" i="9" s="1"/>
  <c r="D40" i="9"/>
  <c r="G40" i="9" s="1"/>
  <c r="D39" i="9"/>
  <c r="D11" i="9"/>
  <c r="D15" i="9"/>
  <c r="D14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D27" i="9"/>
  <c r="G27" i="9" s="1"/>
  <c r="D26" i="9"/>
  <c r="G26" i="9" s="1"/>
  <c r="D25" i="9"/>
  <c r="G25" i="9" s="1"/>
  <c r="D24" i="9"/>
  <c r="G24" i="9" s="1"/>
  <c r="D23" i="9"/>
  <c r="G23" i="9" s="1"/>
  <c r="D22" i="9"/>
  <c r="G22" i="9" s="1"/>
  <c r="D21" i="9"/>
  <c r="D20" i="9"/>
  <c r="D19" i="9"/>
  <c r="D18" i="9"/>
  <c r="D17" i="9"/>
  <c r="D352" i="9" l="1"/>
  <c r="G346" i="9"/>
  <c r="D398" i="9"/>
  <c r="G373" i="9"/>
  <c r="D326" i="9"/>
  <c r="D369" i="9"/>
  <c r="D140" i="9"/>
  <c r="D177" i="9"/>
  <c r="D251" i="9"/>
  <c r="D37" i="9"/>
  <c r="D64" i="9"/>
  <c r="D78" i="9"/>
  <c r="D100" i="9"/>
  <c r="D117" i="9"/>
  <c r="D132" i="9"/>
  <c r="D142" i="9" s="1"/>
  <c r="D160" i="9"/>
  <c r="D234" i="9"/>
  <c r="D269" i="9"/>
  <c r="D320" i="9"/>
  <c r="D342" i="9"/>
  <c r="D189" i="9"/>
  <c r="D221" i="9"/>
  <c r="D205" i="9"/>
  <c r="D279" i="9"/>
  <c r="D400" i="9" l="1"/>
  <c r="D354" i="9"/>
  <c r="D121" i="9"/>
  <c r="D238" i="9"/>
  <c r="D281" i="9" l="1"/>
  <c r="D415" i="9" s="1"/>
  <c r="G15" i="9"/>
  <c r="G14" i="9"/>
  <c r="G11" i="9"/>
  <c r="G300" i="9"/>
  <c r="G254" i="9"/>
  <c r="G241" i="9"/>
  <c r="G208" i="9"/>
  <c r="G207" i="9"/>
  <c r="G288" i="9"/>
  <c r="G145" i="9"/>
  <c r="G138" i="9"/>
  <c r="G135" i="9"/>
  <c r="G125" i="9"/>
  <c r="G103" i="9"/>
  <c r="G82" i="9"/>
  <c r="G81" i="9"/>
  <c r="G67" i="9"/>
  <c r="G66" i="9"/>
  <c r="G287" i="9"/>
  <c r="G286" i="9"/>
  <c r="G285" i="9"/>
  <c r="G39" i="9"/>
  <c r="G372" i="9"/>
  <c r="G366" i="9"/>
  <c r="G359" i="9"/>
  <c r="G360" i="9"/>
  <c r="G329" i="9"/>
  <c r="G302" i="9"/>
  <c r="G289" i="9"/>
  <c r="G68" i="9"/>
  <c r="G18" i="9"/>
  <c r="G19" i="9"/>
  <c r="G20" i="9"/>
  <c r="G21" i="9"/>
  <c r="G17" i="9"/>
  <c r="B405" i="9"/>
  <c r="B403" i="9"/>
  <c r="B359" i="9"/>
  <c r="B357" i="9"/>
  <c r="B291" i="9"/>
  <c r="B289" i="9"/>
  <c r="B288" i="9"/>
  <c r="B287" i="9"/>
  <c r="B286" i="9"/>
  <c r="B285" i="9"/>
  <c r="B284" i="9"/>
  <c r="G284" i="9" l="1"/>
  <c r="G251" i="9"/>
  <c r="G205" i="9"/>
  <c r="G369" i="9"/>
  <c r="G398" i="9"/>
  <c r="G352" i="9"/>
  <c r="G357" i="9"/>
  <c r="G403" i="9"/>
  <c r="G342" i="9"/>
  <c r="G279" i="9"/>
  <c r="G405" i="9"/>
  <c r="G326" i="9"/>
  <c r="G320" i="9"/>
  <c r="G37" i="9"/>
  <c r="G78" i="9"/>
  <c r="G132" i="9"/>
  <c r="G160" i="9"/>
  <c r="G189" i="9"/>
  <c r="G221" i="9"/>
  <c r="G140" i="9"/>
  <c r="G269" i="9"/>
  <c r="G234" i="9"/>
  <c r="G100" i="9"/>
  <c r="G117" i="9"/>
  <c r="G177" i="9"/>
  <c r="G64" i="9"/>
  <c r="G142" i="9" l="1"/>
  <c r="G400" i="9"/>
  <c r="G407" i="9" s="1"/>
  <c r="G121" i="9"/>
  <c r="G354" i="9"/>
  <c r="G361" i="9" s="1"/>
  <c r="D18" i="13" s="1"/>
  <c r="G238" i="9"/>
  <c r="G411" i="9" l="1"/>
  <c r="D22" i="13" s="1"/>
  <c r="D24" i="13" s="1"/>
  <c r="D34" i="13" s="1"/>
  <c r="G409" i="9"/>
  <c r="B22" i="13" s="1"/>
  <c r="G281" i="9"/>
  <c r="G296" i="9" l="1"/>
  <c r="B18" i="13" l="1"/>
  <c r="B24" i="13" s="1"/>
  <c r="B34" i="13" s="1"/>
  <c r="H34" i="13" s="1"/>
</calcChain>
</file>

<file path=xl/sharedStrings.xml><?xml version="1.0" encoding="utf-8"?>
<sst xmlns="http://schemas.openxmlformats.org/spreadsheetml/2006/main" count="890" uniqueCount="301">
  <si>
    <t>Other Production Plant</t>
  </si>
  <si>
    <t>350.1 Land Rights</t>
  </si>
  <si>
    <t>353.1 Station Equipment</t>
  </si>
  <si>
    <t>357 Underground Conduit</t>
  </si>
  <si>
    <t>364 Poles Towers &amp; Fixtures</t>
  </si>
  <si>
    <t>366 Underground Conduit</t>
  </si>
  <si>
    <t>367 Underground Conductors &amp; Devices</t>
  </si>
  <si>
    <t>393 Stores Equipment</t>
  </si>
  <si>
    <t>358 Underground Conductors &amp; Devices</t>
  </si>
  <si>
    <t>354 Towers &amp; Fixtures</t>
  </si>
  <si>
    <t>355 Poles &amp; Fixtures</t>
  </si>
  <si>
    <t>301 Organization</t>
  </si>
  <si>
    <t>Louisville Gas and Electric Company</t>
  </si>
  <si>
    <t>350.2 Transmission Lines Land</t>
  </si>
  <si>
    <t>352.1 Structures &amp; Improvements</t>
  </si>
  <si>
    <t xml:space="preserve">360.2 Substation Land </t>
  </si>
  <si>
    <t xml:space="preserve">361 Substation Structures </t>
  </si>
  <si>
    <t xml:space="preserve">362.1 Substation Equipment </t>
  </si>
  <si>
    <t>365 Overhead Conductors &amp;Devices</t>
  </si>
  <si>
    <t>369.1 Underground Services</t>
  </si>
  <si>
    <t>369.2 Overhead Services</t>
  </si>
  <si>
    <t>373.1 Overhead Street Lighting</t>
  </si>
  <si>
    <t>394 Tools, Shop, and Garage Equipment</t>
  </si>
  <si>
    <t xml:space="preserve">TOTAL ELECTRIC PLANT </t>
  </si>
  <si>
    <t>350.1 Land</t>
  </si>
  <si>
    <t>350.2 Rights of Way</t>
  </si>
  <si>
    <t>351.2 Compressor Station Structures</t>
  </si>
  <si>
    <t>351.3 Reg Station Structures</t>
  </si>
  <si>
    <t>351.4 Other Structures</t>
  </si>
  <si>
    <t>352.40 Well Drilling</t>
  </si>
  <si>
    <t>352.1 Storage Leaseholds &amp; Rights</t>
  </si>
  <si>
    <t>352.2 Reservoirs</t>
  </si>
  <si>
    <t>352.3 Nonrecoverable Natural Gas</t>
  </si>
  <si>
    <t>Gas Stored Underground Non-Current</t>
  </si>
  <si>
    <t>353 Lines</t>
  </si>
  <si>
    <t>354 Compressor Station Equipment</t>
  </si>
  <si>
    <t>355 Measuring &amp; Regulating Equipment</t>
  </si>
  <si>
    <t>356 Purification Equipment</t>
  </si>
  <si>
    <t>365.2 Rights of Way</t>
  </si>
  <si>
    <t>367 Mains</t>
  </si>
  <si>
    <t>374 Land</t>
  </si>
  <si>
    <t>375.1 City Gate Structures</t>
  </si>
  <si>
    <t>375.2 Other Distribution Structures</t>
  </si>
  <si>
    <t>376 Mains</t>
  </si>
  <si>
    <t>378 Measuring and Reg Equipment</t>
  </si>
  <si>
    <t>379 Meas &amp; Reg Equipment - City Gate</t>
  </si>
  <si>
    <t>380 Services</t>
  </si>
  <si>
    <t>381 Meters</t>
  </si>
  <si>
    <t>383 House Regulators</t>
  </si>
  <si>
    <t>385 Industrial Meas &amp; Reg Station Equip</t>
  </si>
  <si>
    <t>392.2 Trailers</t>
  </si>
  <si>
    <t>394 Other Equipment</t>
  </si>
  <si>
    <t>389.1 Land</t>
  </si>
  <si>
    <t>389.2 Land Rights</t>
  </si>
  <si>
    <t>TOTAL COMMON UTILITY PLANT</t>
  </si>
  <si>
    <t>Depreciation</t>
  </si>
  <si>
    <t>Under</t>
  </si>
  <si>
    <t>Annualized Depreciation</t>
  </si>
  <si>
    <t>356 Overhead Conductors &amp; Devices</t>
  </si>
  <si>
    <t>390.20 Structures and Improvements - Transportation</t>
  </si>
  <si>
    <t>390.30 Structures and Improvements - Stores</t>
  </si>
  <si>
    <t>390.40 Structures and Improvements - Shops</t>
  </si>
  <si>
    <t>390.60 Structures and Improvements - Microwave</t>
  </si>
  <si>
    <t>Electric</t>
  </si>
  <si>
    <t>Gas</t>
  </si>
  <si>
    <t>GAS PLANT</t>
  </si>
  <si>
    <t xml:space="preserve">ELECTRIC PLANT </t>
  </si>
  <si>
    <t xml:space="preserve">         TOTAL GAS PLANT</t>
  </si>
  <si>
    <t>COMMON UTILITY PLANT</t>
  </si>
  <si>
    <t>TOTAL PLANT IN SERVICE</t>
  </si>
  <si>
    <t>Rates</t>
  </si>
  <si>
    <t>ASL</t>
  </si>
  <si>
    <t>Land</t>
  </si>
  <si>
    <t>Structures and Improvements</t>
  </si>
  <si>
    <t>0112 Cane Run Unit 1</t>
  </si>
  <si>
    <t>0121 Cane Run Unit 2</t>
  </si>
  <si>
    <t>0131 Cane Run Unit 3</t>
  </si>
  <si>
    <t>0141 Cane Run Unit 4</t>
  </si>
  <si>
    <t>0142 Cane Run Unit 4 Scrubber</t>
  </si>
  <si>
    <t>0151 Cane Run Unit 5</t>
  </si>
  <si>
    <t>0152 Cane Run Unit 5 Scrubber</t>
  </si>
  <si>
    <t>0161 Cane Run Unit 6</t>
  </si>
  <si>
    <t>0162 Cane Run Unit 6 Scrubber</t>
  </si>
  <si>
    <t xml:space="preserve">0211 Mill Creek Unit 1 </t>
  </si>
  <si>
    <t>0212 Mill Creek Unit 1 Scrubber</t>
  </si>
  <si>
    <t>0221 Mill Creek Unit 2</t>
  </si>
  <si>
    <t>0222 Mill Creek Unit 2 Scrubber</t>
  </si>
  <si>
    <t>0231 Mill Creek Unit 3</t>
  </si>
  <si>
    <t>0232 Mill Creel Unit 3 Scrubber</t>
  </si>
  <si>
    <t>0241 Mill Creek Unit 4</t>
  </si>
  <si>
    <t>0242 Mill Creek Unit 4 Scrubber</t>
  </si>
  <si>
    <t>0311 Trimble County Unit 1</t>
  </si>
  <si>
    <t>312.00</t>
  </si>
  <si>
    <t>Boiler Plant Equipment</t>
  </si>
  <si>
    <t>0103 Cane Run Locomotive</t>
  </si>
  <si>
    <t>0104 Cane Run Rail Cars</t>
  </si>
  <si>
    <t>0203 Mill Creek Locomotive</t>
  </si>
  <si>
    <t>0204 Mill Creek Rail Cars</t>
  </si>
  <si>
    <t>314.00</t>
  </si>
  <si>
    <t>Turbogenerator Units</t>
  </si>
  <si>
    <t>315.00</t>
  </si>
  <si>
    <t xml:space="preserve">Accessory Electric Equipment </t>
  </si>
  <si>
    <t>316.00</t>
  </si>
  <si>
    <t>Miscellaneous Plant Equipment</t>
  </si>
  <si>
    <t>317.00</t>
  </si>
  <si>
    <t>Total Steam</t>
  </si>
  <si>
    <t>Hydraulic Production Plant - Project 289</t>
  </si>
  <si>
    <t>331.00 Structures and Improvements</t>
  </si>
  <si>
    <t>332.00 Reservoirs, Dams &amp; Waterways</t>
  </si>
  <si>
    <t>333.00 Water Wheels, Turbines and Generators</t>
  </si>
  <si>
    <t>334.00 Accessory Electric Equipment</t>
  </si>
  <si>
    <t>335.00 Misc. Power Plant Equipment</t>
  </si>
  <si>
    <t>336.00 Roads, Railroads and Bridges</t>
  </si>
  <si>
    <t>330.20 Land</t>
  </si>
  <si>
    <t>0451 - Ohio Falls Project 289</t>
  </si>
  <si>
    <t>Hydraulic Production Plant - Other Than Project 289</t>
  </si>
  <si>
    <t>0450 - Ohio Falls Other Than Project 289</t>
  </si>
  <si>
    <t>340.20</t>
  </si>
  <si>
    <t xml:space="preserve">Land </t>
  </si>
  <si>
    <t>341.00</t>
  </si>
  <si>
    <t>0410 Zorn and River Road Gas Turbine</t>
  </si>
  <si>
    <t>0430 Paddys Run Generator 11</t>
  </si>
  <si>
    <t>0171 Cane Run GT 11</t>
  </si>
  <si>
    <t>0431 Paddys Run Generator 12</t>
  </si>
  <si>
    <t>0432 Paddys Run Generator 13</t>
  </si>
  <si>
    <t>0459 Brown CT 5</t>
  </si>
  <si>
    <t>0460 Brown CT 6</t>
  </si>
  <si>
    <t>0461 Brown CT 7</t>
  </si>
  <si>
    <t>0470 Trimble County CT 5</t>
  </si>
  <si>
    <t>0471 Trimble County CT 6</t>
  </si>
  <si>
    <t>0474 Trimble County CT 7</t>
  </si>
  <si>
    <t>0475 Trimble County CT 8</t>
  </si>
  <si>
    <t>0476 Trimble County CT 9</t>
  </si>
  <si>
    <t>0477 Trimble County CT 10</t>
  </si>
  <si>
    <t>342.00</t>
  </si>
  <si>
    <t>Fuel Holders, Producers and Accessories</t>
  </si>
  <si>
    <t>0473 Trimble County CT Pipeline</t>
  </si>
  <si>
    <t>343.00</t>
  </si>
  <si>
    <t>Prime Movers</t>
  </si>
  <si>
    <t>344.00</t>
  </si>
  <si>
    <t>Generators</t>
  </si>
  <si>
    <t>345.00</t>
  </si>
  <si>
    <t>Accessory Electric Equipment</t>
  </si>
  <si>
    <t>346.00</t>
  </si>
  <si>
    <t>347.00</t>
  </si>
  <si>
    <t>Total Other Production</t>
  </si>
  <si>
    <t>Steam Production Plant</t>
  </si>
  <si>
    <t>Intangible Plant</t>
  </si>
  <si>
    <t>310.20</t>
  </si>
  <si>
    <t>311.00</t>
  </si>
  <si>
    <t>374.2 Land Rights</t>
  </si>
  <si>
    <t>357 Other Equipment</t>
  </si>
  <si>
    <t xml:space="preserve">391.10 Office Furniture </t>
  </si>
  <si>
    <t>391.20 Office Equipment</t>
  </si>
  <si>
    <t>391.30 Computer Equipment - Non PC</t>
  </si>
  <si>
    <t>391.31 Personal Computers</t>
  </si>
  <si>
    <t>391.40 Security Equipment</t>
  </si>
  <si>
    <t>398.00 Miscellaneous Equipment</t>
  </si>
  <si>
    <t>Total Hydraulic Plant</t>
  </si>
  <si>
    <t>368 Line Transformers</t>
  </si>
  <si>
    <t>370 Meters</t>
  </si>
  <si>
    <t>303.1 CCS Software</t>
  </si>
  <si>
    <t>303 Misc. Intangible Plant - Software</t>
  </si>
  <si>
    <t>390.10 Structures and Improvements</t>
  </si>
  <si>
    <t>Property Group</t>
  </si>
  <si>
    <r>
      <t>*</t>
    </r>
    <r>
      <rPr>
        <sz val="12"/>
        <rFont val="Times New Roman"/>
        <family val="1"/>
      </rPr>
      <t xml:space="preserve"> Represents list of ARO assets.  Please note these amounts are not included in the calculation.</t>
    </r>
  </si>
  <si>
    <r>
      <t xml:space="preserve">Asset Retirement Obligations - Steam </t>
    </r>
    <r>
      <rPr>
        <sz val="14"/>
        <rFont val="Times New Roman"/>
        <family val="1"/>
      </rPr>
      <t>*</t>
    </r>
  </si>
  <si>
    <t>Total Transmission Plant</t>
  </si>
  <si>
    <t>Total Distribution Plant</t>
  </si>
  <si>
    <t>Total General Plant</t>
  </si>
  <si>
    <t>Underground Storage</t>
  </si>
  <si>
    <t>Total Underground Storage</t>
  </si>
  <si>
    <t>Total Intangible Plant</t>
  </si>
  <si>
    <t>Electric Transmission Plant</t>
  </si>
  <si>
    <t>Electric Distribution Plant</t>
  </si>
  <si>
    <t>Electric General Plant</t>
  </si>
  <si>
    <t>Gas Transmission Plant</t>
  </si>
  <si>
    <t>Gas Distribution Plant</t>
  </si>
  <si>
    <t>Gas General Plant</t>
  </si>
  <si>
    <t>Common General Plant</t>
  </si>
  <si>
    <r>
      <t xml:space="preserve">337.00 Asset Retirement Obligations - Hydro </t>
    </r>
    <r>
      <rPr>
        <sz val="14"/>
        <rFont val="Times New Roman"/>
        <family val="1"/>
      </rPr>
      <t>*</t>
    </r>
  </si>
  <si>
    <r>
      <t xml:space="preserve">Asset Retirement Obligations Other Production </t>
    </r>
    <r>
      <rPr>
        <sz val="14"/>
        <rFont val="Times New Roman"/>
        <family val="1"/>
      </rPr>
      <t>*</t>
    </r>
  </si>
  <si>
    <r>
      <t xml:space="preserve">374 Asset Retirement Obligations - Distribution </t>
    </r>
    <r>
      <rPr>
        <sz val="14"/>
        <rFont val="Times New Roman"/>
        <family val="1"/>
      </rPr>
      <t>*</t>
    </r>
  </si>
  <si>
    <t>359 Asset Retirement Obligations - Transmission *</t>
  </si>
  <si>
    <t>358 Asset Retirement Obligations - Und Storage *</t>
  </si>
  <si>
    <t>388 Asset Retirement Obligations - Distribution *</t>
  </si>
  <si>
    <t>399.10 ARO Asset Retirement Obligations - Common *</t>
  </si>
  <si>
    <t>Depreciable</t>
  </si>
  <si>
    <t>Plant</t>
  </si>
  <si>
    <t>Less:  Amounts not included in Income Statement Depreciation</t>
  </si>
  <si>
    <t>Less:  ECR Depreciation</t>
  </si>
  <si>
    <t>Total Annualized Depreciation Expense excluding ECR and ARO</t>
  </si>
  <si>
    <t>LOUISVILLE GAS AND ELECTRIC COMPANY</t>
  </si>
  <si>
    <t>0312 Trimble County Unit 1 Scrubber</t>
  </si>
  <si>
    <t>373.2 Underground Street Lighting</t>
  </si>
  <si>
    <t>387 Other Equipment</t>
  </si>
  <si>
    <t>352.55 Well Equipment</t>
  </si>
  <si>
    <t>352.50 Well Equipment ARO</t>
  </si>
  <si>
    <t>0321 Trimble County Unit 2</t>
  </si>
  <si>
    <t>Gas Allocation of Common Depreciation Expense (29%)</t>
  </si>
  <si>
    <t>Electric Allocation of Common Depreciation Expense (71%)</t>
  </si>
  <si>
    <t>0232 Mill Creek Unit 3 Scrubber</t>
  </si>
  <si>
    <t>368.07 Asset Retirement Obligation - Cost Gas Trans</t>
  </si>
  <si>
    <t>310.25</t>
  </si>
  <si>
    <t>at March 31, 2012</t>
  </si>
  <si>
    <t>03/31/12</t>
  </si>
  <si>
    <t>At March 31, 2012</t>
  </si>
  <si>
    <t>Plant Account</t>
  </si>
  <si>
    <t>360.2 Substation Land Class A (Plant Held Future Use)</t>
  </si>
  <si>
    <t>ECR Plan</t>
  </si>
  <si>
    <t>Description</t>
  </si>
  <si>
    <t>Total Installed Cost</t>
  </si>
  <si>
    <t>ECR Adjustment for New Rates</t>
  </si>
  <si>
    <t>0322 Trimble County Unit 2 Scrubber</t>
  </si>
  <si>
    <t>Proposed Monthly Depr Expense</t>
  </si>
  <si>
    <t>Proposed Rates</t>
  </si>
  <si>
    <t>Proposed</t>
  </si>
  <si>
    <t>Proposed Depr Rate</t>
  </si>
  <si>
    <t xml:space="preserve">Adjustment To Reflect Annualized Depreciation Expenses </t>
  </si>
  <si>
    <t xml:space="preserve">  1. Annualized direct depreciation expense under proposed rates</t>
  </si>
  <si>
    <t xml:space="preserve">  2. Annualized depreciation for 2005 and 2006 ECR plans to be eliminated</t>
  </si>
  <si>
    <t>(1) Common plant depreciation was allocated 71% to electric and 29% to gas pursuant to common utility study.</t>
  </si>
  <si>
    <t>392.1 Transportation Equipment - Cars &amp; Light Trucks</t>
  </si>
  <si>
    <t>396.2 Power Operated Equipment - Other</t>
  </si>
  <si>
    <t>396.3 Power Operated Equipment - Large Machinery</t>
  </si>
  <si>
    <t>392.3 Transportation Equipment - Heavy Trucks and Other</t>
  </si>
  <si>
    <t>392.2 Transportation Equipment - Trailers</t>
  </si>
  <si>
    <t>121684 - Trimble County Unit 2 Scrubber</t>
  </si>
  <si>
    <t>121683 - Trimble County Unit 2 Scrubber</t>
  </si>
  <si>
    <t>122656 - Cane Run Unit 4</t>
  </si>
  <si>
    <t>122656 - Cane Run Unit 5</t>
  </si>
  <si>
    <t>122656 - Cane Run Unit 6</t>
  </si>
  <si>
    <t>122656 - Mill Creek Unit 1</t>
  </si>
  <si>
    <t>122656 - Mill Creek Unit 2</t>
  </si>
  <si>
    <t>122656 - Mill Creek Unit 3</t>
  </si>
  <si>
    <t>122656 - Mill Creek Unit 4</t>
  </si>
  <si>
    <t>117136 - Cane Run Unit 6</t>
  </si>
  <si>
    <t>121176 - Cane Run Unit 6</t>
  </si>
  <si>
    <t>115814 - Mill Creek Unit 1</t>
  </si>
  <si>
    <t>115815 - Mill Creek Unit 2</t>
  </si>
  <si>
    <t>115816 - Mill Creek Unit 3</t>
  </si>
  <si>
    <t>121176 - Mill Creek Unit 4</t>
  </si>
  <si>
    <t>122151 - Cane Run Unit 6 Scrubber</t>
  </si>
  <si>
    <t>117136 - Cane Run Unit 6 Scrubber</t>
  </si>
  <si>
    <t>112767 - Mill Creek Unit 4 Scrubber</t>
  </si>
  <si>
    <t>121587 - Trimble County Unit 1 Scrubber</t>
  </si>
  <si>
    <t>119943 - Trimble County Unit 1 Scrubber</t>
  </si>
  <si>
    <t>112767 - Mill Creek Unit 4</t>
  </si>
  <si>
    <t>115817 - Mill Creek Unit 4</t>
  </si>
  <si>
    <t>122280 - Trimble County Unit 1</t>
  </si>
  <si>
    <t>121176 - Trimble County Unit 1</t>
  </si>
  <si>
    <t>122656 - Trimble County Unit 1</t>
  </si>
  <si>
    <t>396.1 Power Operated Equipment - Small Machinery</t>
  </si>
  <si>
    <t>Total 2005 Plan</t>
  </si>
  <si>
    <t>Total 2006 plan</t>
  </si>
  <si>
    <t>Total 2009 Plan</t>
  </si>
  <si>
    <t>397.10 Communications Equipment - General Assets</t>
  </si>
  <si>
    <t>397.20 Communications Equipment - Specific Assets</t>
  </si>
  <si>
    <t>397.30 Communications Equipment - Fully Accrued Assets</t>
  </si>
  <si>
    <t>397.40 Communications Equipment - Transfer to Meter Equipment</t>
  </si>
  <si>
    <t>397.50 Communications Equipment - Transfer to Structure Account</t>
  </si>
  <si>
    <t>392.2 Transportation Equipment Trailers</t>
  </si>
  <si>
    <t xml:space="preserve">  3. Common plant allocated annualized depreciation expense (1)</t>
  </si>
  <si>
    <t xml:space="preserve">  4. Total annualized depreciation expense</t>
  </si>
  <si>
    <t>Reference Schedule 1.12</t>
  </si>
  <si>
    <t>2005 Retirements Monthly Depreciation</t>
  </si>
  <si>
    <t>Net 2005 ECR Plan</t>
  </si>
  <si>
    <t>Months</t>
  </si>
  <si>
    <t>Annualized 2005 ECR Plan</t>
  </si>
  <si>
    <t>Annualized 2009 ECR Plan</t>
  </si>
  <si>
    <t>Annualized 2006 ECR Plan</t>
  </si>
  <si>
    <t>2005 and 2006 ECR Plans Total</t>
  </si>
  <si>
    <t>Annualized All ECR Plans Total</t>
  </si>
  <si>
    <t>Annualized Depreciation for 2005 and 2006 ECR plans to be eliminated</t>
  </si>
  <si>
    <t>2005 ECR Plan Monthly Depreciation (from next page)</t>
  </si>
  <si>
    <t>2006 ECR Plan Monthly Depreciation (from next page)</t>
  </si>
  <si>
    <t>Annualized Depreciation for all ECR plans</t>
  </si>
  <si>
    <t>2005 and 2006 ECR Plans Total (from above)</t>
  </si>
  <si>
    <t>2009 ECR Plan Monthly Depreciation (from next page)</t>
  </si>
  <si>
    <t>121955 - Monitoring System Software</t>
  </si>
  <si>
    <t>132872 - Trimble County Unit 2 Scrubber</t>
  </si>
  <si>
    <t>(2) Reflects the elimination of the 2005 and 2006 ECR Plans.  Only reflects ECR plan amounts which will continue</t>
  </si>
  <si>
    <t xml:space="preserve">      after effective date of new base rates in this proceeding.</t>
  </si>
  <si>
    <t xml:space="preserve">  5. Depreciation expense per books for test year</t>
  </si>
  <si>
    <t xml:space="preserve">  6. Depreciation expense for asset retirement costs (ARO)</t>
  </si>
  <si>
    <t xml:space="preserve">  7. Depreciation for environmental cost recovery (ECR) plans (2)</t>
  </si>
  <si>
    <t xml:space="preserve">  8. Depreciation expense per books excluding ARO and ECR</t>
  </si>
  <si>
    <t>9. Total Adjustment to reflect annualized depreciation expense</t>
  </si>
  <si>
    <t xml:space="preserve">      (Line 4 - Line 8)</t>
  </si>
  <si>
    <t xml:space="preserve">As Filed </t>
  </si>
  <si>
    <t>As Filed</t>
  </si>
  <si>
    <t>As</t>
  </si>
  <si>
    <t>Filed</t>
  </si>
  <si>
    <t>KIUC</t>
  </si>
  <si>
    <t>Adjusted</t>
  </si>
  <si>
    <t xml:space="preserve">Louisville Gas and Electric Company </t>
  </si>
  <si>
    <t>Adjustment</t>
  </si>
  <si>
    <t xml:space="preserve">  8. Depreciation booked above the line for below the line items</t>
  </si>
  <si>
    <t>KIUC Adjusted Exhibit 1</t>
  </si>
  <si>
    <t>KIUC Adjusted ECR Adjustment for New Rates</t>
  </si>
  <si>
    <t>KIUC Adjusted Annualized ECR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</si>
</sst>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0_);\(#,##0.0000\)"/>
    <numFmt numFmtId="167" formatCode="0.0000"/>
    <numFmt numFmtId="168" formatCode="[$-409]mmmm\ d\,\ 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b/>
      <u val="singleAccounting"/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7" fillId="0" borderId="0"/>
    <xf numFmtId="168" fontId="7" fillId="0" borderId="0"/>
    <xf numFmtId="168" fontId="1" fillId="0" borderId="0"/>
    <xf numFmtId="168" fontId="7" fillId="0" borderId="0"/>
    <xf numFmtId="168" fontId="1" fillId="0" borderId="0"/>
    <xf numFmtId="168" fontId="7" fillId="0" borderId="0"/>
  </cellStyleXfs>
  <cellXfs count="166">
    <xf numFmtId="0" fontId="0" fillId="0" borderId="0" xfId="0"/>
    <xf numFmtId="0" fontId="2" fillId="0" borderId="0" xfId="0" quotePrefix="1" applyFont="1" applyFill="1" applyAlignment="1">
      <alignment horizontal="left"/>
    </xf>
    <xf numFmtId="0" fontId="3" fillId="0" borderId="0" xfId="0" applyFont="1" applyFill="1"/>
    <xf numFmtId="164" fontId="3" fillId="0" borderId="0" xfId="1" applyNumberFormat="1" applyFont="1" applyFill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3" fillId="0" borderId="0" xfId="0" quotePrefix="1" applyFont="1" applyFill="1" applyBorder="1" applyAlignment="1">
      <alignment horizontal="left"/>
    </xf>
    <xf numFmtId="43" fontId="3" fillId="0" borderId="0" xfId="1" applyFont="1" applyFill="1" applyAlignment="1">
      <alignment horizontal="left" indent="2"/>
    </xf>
    <xf numFmtId="164" fontId="3" fillId="0" borderId="0" xfId="1" applyNumberFormat="1" applyFont="1" applyFill="1" applyAlignment="1">
      <alignment horizontal="left" indent="2"/>
    </xf>
    <xf numFmtId="43" fontId="3" fillId="0" borderId="0" xfId="1" applyFont="1" applyFill="1" applyAlignment="1"/>
    <xf numFmtId="43" fontId="3" fillId="0" borderId="0" xfId="1" applyFont="1" applyFill="1" applyBorder="1" applyAlignment="1">
      <alignment horizontal="left" indent="2"/>
    </xf>
    <xf numFmtId="164" fontId="2" fillId="0" borderId="0" xfId="1" applyNumberFormat="1" applyFont="1" applyFill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0" xfId="1" quotePrefix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164" fontId="3" fillId="0" borderId="0" xfId="1" applyNumberFormat="1" applyFont="1" applyFill="1" applyBorder="1" applyAlignment="1">
      <alignment horizontal="left" indent="2"/>
    </xf>
    <xf numFmtId="10" fontId="3" fillId="0" borderId="0" xfId="1" applyNumberFormat="1" applyFont="1" applyFill="1" applyBorder="1" applyAlignment="1"/>
    <xf numFmtId="43" fontId="2" fillId="0" borderId="0" xfId="1" quotePrefix="1" applyFont="1" applyFill="1" applyAlignment="1">
      <alignment horizontal="left"/>
    </xf>
    <xf numFmtId="49" fontId="3" fillId="0" borderId="0" xfId="0" applyNumberFormat="1" applyFont="1" applyFill="1"/>
    <xf numFmtId="164" fontId="3" fillId="0" borderId="1" xfId="1" applyNumberFormat="1" applyFont="1" applyFill="1" applyBorder="1" applyAlignment="1">
      <alignment horizontal="left" indent="2"/>
    </xf>
    <xf numFmtId="43" fontId="2" fillId="0" borderId="0" xfId="1" applyFont="1" applyFill="1" applyAlignment="1"/>
    <xf numFmtId="43" fontId="2" fillId="0" borderId="0" xfId="1" applyFont="1" applyFill="1" applyAlignment="1">
      <alignment horizontal="left" indent="2"/>
    </xf>
    <xf numFmtId="10" fontId="2" fillId="0" borderId="0" xfId="1" applyNumberFormat="1" applyFont="1" applyFill="1" applyBorder="1" applyAlignment="1"/>
    <xf numFmtId="43" fontId="3" fillId="0" borderId="0" xfId="1" quotePrefix="1" applyFont="1" applyFill="1" applyAlignment="1">
      <alignment horizontal="left"/>
    </xf>
    <xf numFmtId="43" fontId="2" fillId="0" borderId="0" xfId="1" quotePrefix="1" applyFont="1" applyFill="1" applyAlignment="1">
      <alignment horizontal="left" indent="2"/>
    </xf>
    <xf numFmtId="10" fontId="2" fillId="0" borderId="0" xfId="0" applyNumberFormat="1" applyFont="1" applyFill="1" applyBorder="1" applyAlignment="1"/>
    <xf numFmtId="10" fontId="3" fillId="0" borderId="0" xfId="0" applyNumberFormat="1" applyFont="1" applyFill="1" applyBorder="1" applyAlignment="1"/>
    <xf numFmtId="164" fontId="3" fillId="0" borderId="0" xfId="1" applyNumberFormat="1" applyFont="1" applyFill="1" applyAlignment="1"/>
    <xf numFmtId="43" fontId="3" fillId="0" borderId="0" xfId="1" applyFont="1" applyFill="1" applyAlignment="1">
      <alignment horizontal="left"/>
    </xf>
    <xf numFmtId="43" fontId="2" fillId="0" borderId="0" xfId="1" applyFont="1" applyFill="1" applyAlignment="1">
      <alignment horizontal="right"/>
    </xf>
    <xf numFmtId="10" fontId="3" fillId="0" borderId="0" xfId="1" applyNumberFormat="1" applyFont="1" applyFill="1" applyAlignment="1"/>
    <xf numFmtId="164" fontId="2" fillId="0" borderId="1" xfId="1" quotePrefix="1" applyNumberFormat="1" applyFont="1" applyFill="1" applyBorder="1" applyAlignment="1">
      <alignment horizontal="center"/>
    </xf>
    <xf numFmtId="165" fontId="3" fillId="0" borderId="0" xfId="2" applyNumberFormat="1" applyFont="1" applyFill="1"/>
    <xf numFmtId="165" fontId="3" fillId="0" borderId="0" xfId="2" applyNumberFormat="1" applyFont="1" applyFill="1" applyBorder="1"/>
    <xf numFmtId="164" fontId="2" fillId="0" borderId="0" xfId="1" quotePrefix="1" applyNumberFormat="1" applyFont="1" applyFill="1" applyBorder="1" applyAlignment="1">
      <alignment horizontal="center"/>
    </xf>
    <xf numFmtId="0" fontId="5" fillId="0" borderId="0" xfId="0" applyFont="1" applyFill="1"/>
    <xf numFmtId="0" fontId="3" fillId="0" borderId="0" xfId="0" quotePrefix="1" applyFont="1" applyFill="1" applyAlignment="1">
      <alignment horizontal="left"/>
    </xf>
    <xf numFmtId="43" fontId="2" fillId="0" borderId="0" xfId="1" applyFont="1" applyFill="1" applyAlignment="1">
      <alignment horizontal="left"/>
    </xf>
    <xf numFmtId="43" fontId="3" fillId="0" borderId="0" xfId="1" quotePrefix="1" applyFont="1" applyFill="1" applyBorder="1" applyAlignment="1"/>
    <xf numFmtId="43" fontId="3" fillId="0" borderId="0" xfId="1" quotePrefix="1" applyFont="1" applyFill="1" applyBorder="1" applyAlignment="1">
      <alignment horizontal="left" indent="2"/>
    </xf>
    <xf numFmtId="0" fontId="2" fillId="0" borderId="4" xfId="0" quotePrefix="1" applyFont="1" applyFill="1" applyBorder="1" applyAlignment="1">
      <alignment horizontal="left"/>
    </xf>
    <xf numFmtId="0" fontId="3" fillId="0" borderId="5" xfId="0" applyFont="1" applyFill="1" applyBorder="1"/>
    <xf numFmtId="164" fontId="3" fillId="0" borderId="5" xfId="1" applyNumberFormat="1" applyFont="1" applyFill="1" applyBorder="1"/>
    <xf numFmtId="0" fontId="3" fillId="0" borderId="7" xfId="0" applyFont="1" applyFill="1" applyBorder="1"/>
    <xf numFmtId="0" fontId="2" fillId="0" borderId="7" xfId="0" quotePrefix="1" applyFont="1" applyFill="1" applyBorder="1" applyAlignment="1">
      <alignment horizontal="left"/>
    </xf>
    <xf numFmtId="43" fontId="3" fillId="0" borderId="7" xfId="1" applyFont="1" applyFill="1" applyBorder="1" applyAlignment="1">
      <alignment horizontal="left" indent="2"/>
    </xf>
    <xf numFmtId="43" fontId="2" fillId="0" borderId="7" xfId="1" quotePrefix="1" applyFont="1" applyFill="1" applyBorder="1" applyAlignment="1">
      <alignment horizontal="left"/>
    </xf>
    <xf numFmtId="43" fontId="3" fillId="0" borderId="9" xfId="1" applyFont="1" applyFill="1" applyBorder="1" applyAlignment="1">
      <alignment horizontal="left" indent="2"/>
    </xf>
    <xf numFmtId="164" fontId="3" fillId="0" borderId="9" xfId="1" applyNumberFormat="1" applyFont="1" applyFill="1" applyBorder="1" applyAlignment="1">
      <alignment horizontal="left" indent="2"/>
    </xf>
    <xf numFmtId="43" fontId="3" fillId="0" borderId="0" xfId="1" quotePrefix="1" applyFont="1" applyFill="1" applyBorder="1" applyAlignment="1">
      <alignment horizontal="left"/>
    </xf>
    <xf numFmtId="43" fontId="2" fillId="0" borderId="9" xfId="1" quotePrefix="1" applyFont="1" applyFill="1" applyBorder="1" applyAlignment="1">
      <alignment horizontal="left" indent="2"/>
    </xf>
    <xf numFmtId="43" fontId="3" fillId="0" borderId="9" xfId="1" quotePrefix="1" applyFont="1" applyFill="1" applyBorder="1" applyAlignment="1">
      <alignment horizontal="left"/>
    </xf>
    <xf numFmtId="165" fontId="3" fillId="0" borderId="2" xfId="2" applyNumberFormat="1" applyFont="1" applyFill="1" applyBorder="1"/>
    <xf numFmtId="165" fontId="2" fillId="0" borderId="11" xfId="2" applyNumberFormat="1" applyFont="1" applyFill="1" applyBorder="1"/>
    <xf numFmtId="43" fontId="2" fillId="0" borderId="12" xfId="1" applyFont="1" applyFill="1" applyBorder="1" applyAlignment="1">
      <alignment horizontal="left" indent="2"/>
    </xf>
    <xf numFmtId="43" fontId="3" fillId="0" borderId="12" xfId="1" applyFont="1" applyFill="1" applyBorder="1" applyAlignment="1">
      <alignment horizontal="left" indent="2"/>
    </xf>
    <xf numFmtId="165" fontId="3" fillId="0" borderId="13" xfId="2" applyNumberFormat="1" applyFont="1" applyFill="1" applyBorder="1"/>
    <xf numFmtId="164" fontId="3" fillId="0" borderId="0" xfId="1" quotePrefix="1" applyNumberFormat="1" applyFont="1" applyFill="1" applyAlignment="1">
      <alignment horizontal="left" indent="2"/>
    </xf>
    <xf numFmtId="43" fontId="3" fillId="0" borderId="0" xfId="1" applyFont="1" applyFill="1"/>
    <xf numFmtId="164" fontId="3" fillId="0" borderId="0" xfId="1" applyNumberFormat="1" applyFont="1" applyFill="1" applyAlignment="1">
      <alignment horizontal="left"/>
    </xf>
    <xf numFmtId="164" fontId="3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1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 applyAlignment="1">
      <alignment horizontal="left" indent="2"/>
    </xf>
    <xf numFmtId="10" fontId="2" fillId="0" borderId="9" xfId="1" applyNumberFormat="1" applyFont="1" applyFill="1" applyBorder="1" applyAlignment="1"/>
    <xf numFmtId="43" fontId="2" fillId="0" borderId="9" xfId="1" applyFont="1" applyFill="1" applyBorder="1" applyAlignment="1">
      <alignment horizontal="left" indent="2"/>
    </xf>
    <xf numFmtId="164" fontId="3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left" indent="2"/>
    </xf>
    <xf numFmtId="164" fontId="3" fillId="0" borderId="6" xfId="0" applyNumberFormat="1" applyFont="1" applyFill="1" applyBorder="1"/>
    <xf numFmtId="164" fontId="3" fillId="0" borderId="8" xfId="4" applyNumberFormat="1" applyFont="1" applyFill="1" applyBorder="1"/>
    <xf numFmtId="164" fontId="2" fillId="0" borderId="10" xfId="1" applyNumberFormat="1" applyFont="1" applyFill="1" applyBorder="1" applyAlignment="1">
      <alignment horizontal="left" indent="2"/>
    </xf>
    <xf numFmtId="164" fontId="2" fillId="0" borderId="0" xfId="0" applyNumberFormat="1" applyFont="1" applyFill="1"/>
    <xf numFmtId="164" fontId="3" fillId="0" borderId="10" xfId="1" applyNumberFormat="1" applyFont="1" applyFill="1" applyBorder="1" applyAlignment="1">
      <alignment horizontal="left" indent="2"/>
    </xf>
    <xf numFmtId="44" fontId="3" fillId="0" borderId="0" xfId="2" applyFont="1" applyFill="1"/>
    <xf numFmtId="43" fontId="3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43" fontId="2" fillId="0" borderId="15" xfId="1" quotePrefix="1" applyFont="1" applyFill="1" applyBorder="1" applyAlignment="1">
      <alignment horizontal="center" wrapText="1"/>
    </xf>
    <xf numFmtId="166" fontId="2" fillId="0" borderId="15" xfId="1" applyNumberFormat="1" applyFont="1" applyFill="1" applyBorder="1" applyAlignment="1">
      <alignment horizontal="center" wrapText="1"/>
    </xf>
    <xf numFmtId="43" fontId="2" fillId="0" borderId="15" xfId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15" xfId="0" applyFont="1" applyFill="1" applyBorder="1"/>
    <xf numFmtId="0" fontId="3" fillId="0" borderId="15" xfId="0" quotePrefix="1" applyFont="1" applyFill="1" applyBorder="1" applyAlignment="1">
      <alignment horizontal="left"/>
    </xf>
    <xf numFmtId="43" fontId="3" fillId="0" borderId="15" xfId="1" applyFont="1" applyFill="1" applyBorder="1"/>
    <xf numFmtId="167" fontId="3" fillId="0" borderId="15" xfId="0" applyNumberFormat="1" applyFont="1" applyFill="1" applyBorder="1"/>
    <xf numFmtId="0" fontId="3" fillId="0" borderId="15" xfId="0" quotePrefix="1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165" fontId="3" fillId="0" borderId="8" xfId="2" applyNumberFormat="1" applyFont="1" applyFill="1" applyBorder="1"/>
    <xf numFmtId="165" fontId="2" fillId="0" borderId="14" xfId="2" applyNumberFormat="1" applyFont="1" applyFill="1" applyBorder="1"/>
    <xf numFmtId="0" fontId="2" fillId="0" borderId="0" xfId="0" applyFont="1" applyFill="1" applyAlignment="1">
      <alignment horizontal="center"/>
    </xf>
    <xf numFmtId="37" fontId="3" fillId="0" borderId="0" xfId="0" applyNumberFormat="1" applyFont="1"/>
    <xf numFmtId="37" fontId="2" fillId="0" borderId="0" xfId="0" applyNumberFormat="1" applyFont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quotePrefix="1" applyNumberFormat="1" applyFont="1" applyAlignment="1">
      <alignment horizontal="right"/>
    </xf>
    <xf numFmtId="37" fontId="2" fillId="0" borderId="0" xfId="0" quotePrefix="1" applyNumberFormat="1" applyFont="1" applyBorder="1" applyAlignment="1">
      <alignment horizontal="right"/>
    </xf>
    <xf numFmtId="37" fontId="2" fillId="0" borderId="0" xfId="0" applyNumberFormat="1" applyFont="1" applyAlignment="1">
      <alignment horizontal="centerContinuous"/>
    </xf>
    <xf numFmtId="37" fontId="3" fillId="0" borderId="0" xfId="0" applyNumberFormat="1" applyFont="1" applyBorder="1"/>
    <xf numFmtId="37" fontId="2" fillId="0" borderId="0" xfId="0" quotePrefix="1" applyNumberFormat="1" applyFont="1" applyAlignment="1">
      <alignment horizontal="centerContinuous"/>
    </xf>
    <xf numFmtId="37" fontId="3" fillId="0" borderId="1" xfId="0" applyNumberFormat="1" applyFont="1" applyBorder="1" applyAlignment="1">
      <alignment horizontal="center"/>
    </xf>
    <xf numFmtId="37" fontId="3" fillId="0" borderId="0" xfId="0" applyNumberFormat="1" applyFont="1" applyBorder="1" applyAlignment="1">
      <alignment horizontal="center"/>
    </xf>
    <xf numFmtId="37" fontId="3" fillId="0" borderId="0" xfId="0" quotePrefix="1" applyNumberFormat="1" applyFont="1" applyAlignment="1">
      <alignment horizontal="left"/>
    </xf>
    <xf numFmtId="165" fontId="3" fillId="0" borderId="0" xfId="6" applyNumberFormat="1" applyFont="1" applyBorder="1"/>
    <xf numFmtId="164" fontId="3" fillId="0" borderId="0" xfId="1" applyNumberFormat="1" applyFont="1" applyBorder="1"/>
    <xf numFmtId="164" fontId="3" fillId="0" borderId="1" xfId="1" applyNumberFormat="1" applyFont="1" applyBorder="1"/>
    <xf numFmtId="165" fontId="3" fillId="0" borderId="11" xfId="6" applyNumberFormat="1" applyFont="1" applyBorder="1"/>
    <xf numFmtId="37" fontId="3" fillId="0" borderId="0" xfId="0" applyNumberFormat="1" applyFont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43" fontId="2" fillId="0" borderId="15" xfId="1" applyFont="1" applyFill="1" applyBorder="1"/>
    <xf numFmtId="0" fontId="2" fillId="0" borderId="15" xfId="0" applyFont="1" applyFill="1" applyBorder="1"/>
    <xf numFmtId="167" fontId="2" fillId="0" borderId="15" xfId="0" applyNumberFormat="1" applyFont="1" applyFill="1" applyBorder="1"/>
    <xf numFmtId="0" fontId="2" fillId="0" borderId="15" xfId="0" applyNumberFormat="1" applyFont="1" applyFill="1" applyBorder="1" applyAlignment="1">
      <alignment horizontal="right"/>
    </xf>
    <xf numFmtId="0" fontId="2" fillId="0" borderId="15" xfId="0" applyNumberFormat="1" applyFont="1" applyFill="1" applyBorder="1"/>
    <xf numFmtId="2" fontId="3" fillId="0" borderId="15" xfId="0" applyNumberFormat="1" applyFont="1" applyFill="1" applyBorder="1" applyAlignment="1">
      <alignment horizontal="center"/>
    </xf>
    <xf numFmtId="164" fontId="3" fillId="0" borderId="1" xfId="1" applyNumberFormat="1" applyFont="1" applyFill="1" applyBorder="1"/>
    <xf numFmtId="43" fontId="3" fillId="0" borderId="0" xfId="1" applyFont="1" applyFill="1"/>
    <xf numFmtId="0" fontId="3" fillId="0" borderId="0" xfId="3" applyFont="1" applyFill="1"/>
    <xf numFmtId="0" fontId="3" fillId="0" borderId="0" xfId="3" applyFont="1" applyFill="1" applyAlignment="1">
      <alignment horizontal="left"/>
    </xf>
    <xf numFmtId="0" fontId="3" fillId="0" borderId="0" xfId="3" quotePrefix="1" applyFont="1" applyFill="1" applyAlignment="1">
      <alignment horizontal="left"/>
    </xf>
    <xf numFmtId="0" fontId="3" fillId="0" borderId="0" xfId="0" applyFont="1"/>
    <xf numFmtId="165" fontId="3" fillId="0" borderId="0" xfId="2" applyNumberFormat="1" applyFont="1"/>
    <xf numFmtId="165" fontId="3" fillId="0" borderId="2" xfId="2" applyNumberFormat="1" applyFont="1" applyBorder="1"/>
    <xf numFmtId="165" fontId="3" fillId="0" borderId="3" xfId="2" applyNumberFormat="1" applyFont="1" applyBorder="1"/>
    <xf numFmtId="165" fontId="3" fillId="0" borderId="1" xfId="2" applyNumberFormat="1" applyFont="1" applyBorder="1"/>
    <xf numFmtId="37" fontId="3" fillId="0" borderId="0" xfId="10" applyNumberFormat="1" applyFont="1"/>
    <xf numFmtId="37" fontId="3" fillId="0" borderId="0" xfId="13" quotePrefix="1" applyNumberFormat="1" applyFont="1" applyAlignment="1">
      <alignment horizontal="left"/>
    </xf>
    <xf numFmtId="37" fontId="3" fillId="0" borderId="0" xfId="13" applyNumberFormat="1" applyFont="1" applyAlignment="1">
      <alignment horizontal="left"/>
    </xf>
    <xf numFmtId="168" fontId="7" fillId="0" borderId="0" xfId="15"/>
    <xf numFmtId="168" fontId="3" fillId="0" borderId="0" xfId="15" applyFont="1" applyFill="1"/>
    <xf numFmtId="165" fontId="3" fillId="0" borderId="0" xfId="2" applyNumberFormat="1" applyFont="1" applyFill="1" applyBorder="1"/>
    <xf numFmtId="37" fontId="3" fillId="0" borderId="0" xfId="2" applyNumberFormat="1" applyFont="1" applyFill="1" applyBorder="1"/>
    <xf numFmtId="165" fontId="3" fillId="0" borderId="0" xfId="6" applyNumberFormat="1" applyFont="1" applyBorder="1"/>
    <xf numFmtId="165" fontId="3" fillId="0" borderId="11" xfId="6" applyNumberFormat="1" applyFont="1" applyBorder="1"/>
    <xf numFmtId="164" fontId="3" fillId="0" borderId="0" xfId="7" applyNumberFormat="1" applyFont="1" applyBorder="1"/>
    <xf numFmtId="164" fontId="3" fillId="0" borderId="1" xfId="7" applyNumberFormat="1" applyFont="1" applyBorder="1"/>
    <xf numFmtId="165" fontId="3" fillId="0" borderId="0" xfId="6" applyNumberFormat="1" applyFont="1"/>
    <xf numFmtId="43" fontId="6" fillId="0" borderId="0" xfId="1" applyFont="1" applyFill="1" applyAlignment="1">
      <alignment horizontal="center"/>
    </xf>
    <xf numFmtId="43" fontId="2" fillId="0" borderId="0" xfId="1" applyFont="1" applyFill="1" applyBorder="1" applyAlignment="1">
      <alignment horizontal="center"/>
    </xf>
    <xf numFmtId="37" fontId="3" fillId="0" borderId="0" xfId="0" applyNumberFormat="1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2" fillId="0" borderId="0" xfId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43" fontId="6" fillId="0" borderId="0" xfId="1" applyFont="1" applyFill="1" applyAlignment="1"/>
    <xf numFmtId="0" fontId="3" fillId="0" borderId="1" xfId="0" applyFont="1" applyBorder="1" applyAlignment="1">
      <alignment horizontal="center"/>
    </xf>
    <xf numFmtId="10" fontId="3" fillId="0" borderId="15" xfId="0" applyNumberFormat="1" applyFont="1" applyFill="1" applyBorder="1"/>
    <xf numFmtId="10" fontId="3" fillId="0" borderId="0" xfId="0" applyNumberFormat="1" applyFont="1" applyFill="1"/>
    <xf numFmtId="0" fontId="2" fillId="0" borderId="0" xfId="0" applyFont="1" applyFill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3" fillId="2" borderId="0" xfId="1" applyFont="1" applyFill="1" applyAlignment="1">
      <alignment horizontal="left" indent="2"/>
    </xf>
    <xf numFmtId="10" fontId="3" fillId="0" borderId="15" xfId="4" applyNumberFormat="1" applyFont="1" applyFill="1" applyBorder="1"/>
    <xf numFmtId="165" fontId="3" fillId="0" borderId="11" xfId="2" applyNumberFormat="1" applyFont="1" applyBorder="1"/>
    <xf numFmtId="37" fontId="4" fillId="0" borderId="0" xfId="0" applyNumberFormat="1" applyFont="1" applyAlignment="1">
      <alignment horizontal="center"/>
    </xf>
    <xf numFmtId="37" fontId="4" fillId="0" borderId="0" xfId="0" quotePrefix="1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168" fontId="2" fillId="0" borderId="0" xfId="0" applyNumberFormat="1" applyFont="1" applyFill="1" applyAlignment="1">
      <alignment horizontal="center"/>
    </xf>
  </cellXfs>
  <cellStyles count="16">
    <cellStyle name="=C:\WINNT35\SYSTEM32\COMMAND.COM" xfId="5"/>
    <cellStyle name="=C:\WINNT35\SYSTEM32\COMMAND.COM 2" xfId="14"/>
    <cellStyle name="Comma" xfId="1" builtinId="3"/>
    <cellStyle name="Comma 3" xfId="8"/>
    <cellStyle name="Comma 5" xfId="7"/>
    <cellStyle name="Currency" xfId="2" builtinId="4"/>
    <cellStyle name="Currency 3" xfId="6"/>
    <cellStyle name="Normal" xfId="0" builtinId="0"/>
    <cellStyle name="Normal 2" xfId="10"/>
    <cellStyle name="Normal 3" xfId="3"/>
    <cellStyle name="Normal 3 2" xfId="12"/>
    <cellStyle name="Normal 4" xfId="13"/>
    <cellStyle name="Normal 5" xfId="11"/>
    <cellStyle name="Normal 6" xfId="15"/>
    <cellStyle name="Percent" xfId="4" builtinId="5"/>
    <cellStyle name="Percent 3" xfId="9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0"/>
  <sheetViews>
    <sheetView tabSelected="1" workbookViewId="0">
      <selection activeCell="A36" sqref="A36:A38"/>
    </sheetView>
  </sheetViews>
  <sheetFormatPr defaultColWidth="11" defaultRowHeight="15.75" x14ac:dyDescent="0.25"/>
  <cols>
    <col min="1" max="1" width="76.28515625" style="95" customWidth="1"/>
    <col min="2" max="2" width="16.42578125" style="95" customWidth="1"/>
    <col min="3" max="3" width="4.28515625" style="101" hidden="1" customWidth="1"/>
    <col min="4" max="4" width="16.42578125" style="95" hidden="1" customWidth="1"/>
    <col min="5" max="5" width="5" style="95" customWidth="1"/>
    <col min="6" max="6" width="15" style="95" customWidth="1"/>
    <col min="7" max="7" width="5.140625" style="95" customWidth="1"/>
    <col min="8" max="8" width="15.7109375" style="95" customWidth="1"/>
    <col min="9" max="256" width="11" style="95"/>
    <col min="257" max="257" width="72.7109375" style="95" customWidth="1"/>
    <col min="258" max="258" width="0" style="95" hidden="1" customWidth="1"/>
    <col min="259" max="259" width="16.42578125" style="95" customWidth="1"/>
    <col min="260" max="260" width="0" style="95" hidden="1" customWidth="1"/>
    <col min="261" max="512" width="11" style="95"/>
    <col min="513" max="513" width="72.7109375" style="95" customWidth="1"/>
    <col min="514" max="514" width="0" style="95" hidden="1" customWidth="1"/>
    <col min="515" max="515" width="16.42578125" style="95" customWidth="1"/>
    <col min="516" max="516" width="0" style="95" hidden="1" customWidth="1"/>
    <col min="517" max="768" width="11" style="95"/>
    <col min="769" max="769" width="72.7109375" style="95" customWidth="1"/>
    <col min="770" max="770" width="0" style="95" hidden="1" customWidth="1"/>
    <col min="771" max="771" width="16.42578125" style="95" customWidth="1"/>
    <col min="772" max="772" width="0" style="95" hidden="1" customWidth="1"/>
    <col min="773" max="1024" width="11" style="95"/>
    <col min="1025" max="1025" width="72.7109375" style="95" customWidth="1"/>
    <col min="1026" max="1026" width="0" style="95" hidden="1" customWidth="1"/>
    <col min="1027" max="1027" width="16.42578125" style="95" customWidth="1"/>
    <col min="1028" max="1028" width="0" style="95" hidden="1" customWidth="1"/>
    <col min="1029" max="1280" width="11" style="95"/>
    <col min="1281" max="1281" width="72.7109375" style="95" customWidth="1"/>
    <col min="1282" max="1282" width="0" style="95" hidden="1" customWidth="1"/>
    <col min="1283" max="1283" width="16.42578125" style="95" customWidth="1"/>
    <col min="1284" max="1284" width="0" style="95" hidden="1" customWidth="1"/>
    <col min="1285" max="1536" width="11" style="95"/>
    <col min="1537" max="1537" width="72.7109375" style="95" customWidth="1"/>
    <col min="1538" max="1538" width="0" style="95" hidden="1" customWidth="1"/>
    <col min="1539" max="1539" width="16.42578125" style="95" customWidth="1"/>
    <col min="1540" max="1540" width="0" style="95" hidden="1" customWidth="1"/>
    <col min="1541" max="1792" width="11" style="95"/>
    <col min="1793" max="1793" width="72.7109375" style="95" customWidth="1"/>
    <col min="1794" max="1794" width="0" style="95" hidden="1" customWidth="1"/>
    <col min="1795" max="1795" width="16.42578125" style="95" customWidth="1"/>
    <col min="1796" max="1796" width="0" style="95" hidden="1" customWidth="1"/>
    <col min="1797" max="2048" width="11" style="95"/>
    <col min="2049" max="2049" width="72.7109375" style="95" customWidth="1"/>
    <col min="2050" max="2050" width="0" style="95" hidden="1" customWidth="1"/>
    <col min="2051" max="2051" width="16.42578125" style="95" customWidth="1"/>
    <col min="2052" max="2052" width="0" style="95" hidden="1" customWidth="1"/>
    <col min="2053" max="2304" width="11" style="95"/>
    <col min="2305" max="2305" width="72.7109375" style="95" customWidth="1"/>
    <col min="2306" max="2306" width="0" style="95" hidden="1" customWidth="1"/>
    <col min="2307" max="2307" width="16.42578125" style="95" customWidth="1"/>
    <col min="2308" max="2308" width="0" style="95" hidden="1" customWidth="1"/>
    <col min="2309" max="2560" width="11" style="95"/>
    <col min="2561" max="2561" width="72.7109375" style="95" customWidth="1"/>
    <col min="2562" max="2562" width="0" style="95" hidden="1" customWidth="1"/>
    <col min="2563" max="2563" width="16.42578125" style="95" customWidth="1"/>
    <col min="2564" max="2564" width="0" style="95" hidden="1" customWidth="1"/>
    <col min="2565" max="2816" width="11" style="95"/>
    <col min="2817" max="2817" width="72.7109375" style="95" customWidth="1"/>
    <col min="2818" max="2818" width="0" style="95" hidden="1" customWidth="1"/>
    <col min="2819" max="2819" width="16.42578125" style="95" customWidth="1"/>
    <col min="2820" max="2820" width="0" style="95" hidden="1" customWidth="1"/>
    <col min="2821" max="3072" width="11" style="95"/>
    <col min="3073" max="3073" width="72.7109375" style="95" customWidth="1"/>
    <col min="3074" max="3074" width="0" style="95" hidden="1" customWidth="1"/>
    <col min="3075" max="3075" width="16.42578125" style="95" customWidth="1"/>
    <col min="3076" max="3076" width="0" style="95" hidden="1" customWidth="1"/>
    <col min="3077" max="3328" width="11" style="95"/>
    <col min="3329" max="3329" width="72.7109375" style="95" customWidth="1"/>
    <col min="3330" max="3330" width="0" style="95" hidden="1" customWidth="1"/>
    <col min="3331" max="3331" width="16.42578125" style="95" customWidth="1"/>
    <col min="3332" max="3332" width="0" style="95" hidden="1" customWidth="1"/>
    <col min="3333" max="3584" width="11" style="95"/>
    <col min="3585" max="3585" width="72.7109375" style="95" customWidth="1"/>
    <col min="3586" max="3586" width="0" style="95" hidden="1" customWidth="1"/>
    <col min="3587" max="3587" width="16.42578125" style="95" customWidth="1"/>
    <col min="3588" max="3588" width="0" style="95" hidden="1" customWidth="1"/>
    <col min="3589" max="3840" width="11" style="95"/>
    <col min="3841" max="3841" width="72.7109375" style="95" customWidth="1"/>
    <col min="3842" max="3842" width="0" style="95" hidden="1" customWidth="1"/>
    <col min="3843" max="3843" width="16.42578125" style="95" customWidth="1"/>
    <col min="3844" max="3844" width="0" style="95" hidden="1" customWidth="1"/>
    <col min="3845" max="4096" width="11" style="95"/>
    <col min="4097" max="4097" width="72.7109375" style="95" customWidth="1"/>
    <col min="4098" max="4098" width="0" style="95" hidden="1" customWidth="1"/>
    <col min="4099" max="4099" width="16.42578125" style="95" customWidth="1"/>
    <col min="4100" max="4100" width="0" style="95" hidden="1" customWidth="1"/>
    <col min="4101" max="4352" width="11" style="95"/>
    <col min="4353" max="4353" width="72.7109375" style="95" customWidth="1"/>
    <col min="4354" max="4354" width="0" style="95" hidden="1" customWidth="1"/>
    <col min="4355" max="4355" width="16.42578125" style="95" customWidth="1"/>
    <col min="4356" max="4356" width="0" style="95" hidden="1" customWidth="1"/>
    <col min="4357" max="4608" width="11" style="95"/>
    <col min="4609" max="4609" width="72.7109375" style="95" customWidth="1"/>
    <col min="4610" max="4610" width="0" style="95" hidden="1" customWidth="1"/>
    <col min="4611" max="4611" width="16.42578125" style="95" customWidth="1"/>
    <col min="4612" max="4612" width="0" style="95" hidden="1" customWidth="1"/>
    <col min="4613" max="4864" width="11" style="95"/>
    <col min="4865" max="4865" width="72.7109375" style="95" customWidth="1"/>
    <col min="4866" max="4866" width="0" style="95" hidden="1" customWidth="1"/>
    <col min="4867" max="4867" width="16.42578125" style="95" customWidth="1"/>
    <col min="4868" max="4868" width="0" style="95" hidden="1" customWidth="1"/>
    <col min="4869" max="5120" width="11" style="95"/>
    <col min="5121" max="5121" width="72.7109375" style="95" customWidth="1"/>
    <col min="5122" max="5122" width="0" style="95" hidden="1" customWidth="1"/>
    <col min="5123" max="5123" width="16.42578125" style="95" customWidth="1"/>
    <col min="5124" max="5124" width="0" style="95" hidden="1" customWidth="1"/>
    <col min="5125" max="5376" width="11" style="95"/>
    <col min="5377" max="5377" width="72.7109375" style="95" customWidth="1"/>
    <col min="5378" max="5378" width="0" style="95" hidden="1" customWidth="1"/>
    <col min="5379" max="5379" width="16.42578125" style="95" customWidth="1"/>
    <col min="5380" max="5380" width="0" style="95" hidden="1" customWidth="1"/>
    <col min="5381" max="5632" width="11" style="95"/>
    <col min="5633" max="5633" width="72.7109375" style="95" customWidth="1"/>
    <col min="5634" max="5634" width="0" style="95" hidden="1" customWidth="1"/>
    <col min="5635" max="5635" width="16.42578125" style="95" customWidth="1"/>
    <col min="5636" max="5636" width="0" style="95" hidden="1" customWidth="1"/>
    <col min="5637" max="5888" width="11" style="95"/>
    <col min="5889" max="5889" width="72.7109375" style="95" customWidth="1"/>
    <col min="5890" max="5890" width="0" style="95" hidden="1" customWidth="1"/>
    <col min="5891" max="5891" width="16.42578125" style="95" customWidth="1"/>
    <col min="5892" max="5892" width="0" style="95" hidden="1" customWidth="1"/>
    <col min="5893" max="6144" width="11" style="95"/>
    <col min="6145" max="6145" width="72.7109375" style="95" customWidth="1"/>
    <col min="6146" max="6146" width="0" style="95" hidden="1" customWidth="1"/>
    <col min="6147" max="6147" width="16.42578125" style="95" customWidth="1"/>
    <col min="6148" max="6148" width="0" style="95" hidden="1" customWidth="1"/>
    <col min="6149" max="6400" width="11" style="95"/>
    <col min="6401" max="6401" width="72.7109375" style="95" customWidth="1"/>
    <col min="6402" max="6402" width="0" style="95" hidden="1" customWidth="1"/>
    <col min="6403" max="6403" width="16.42578125" style="95" customWidth="1"/>
    <col min="6404" max="6404" width="0" style="95" hidden="1" customWidth="1"/>
    <col min="6405" max="6656" width="11" style="95"/>
    <col min="6657" max="6657" width="72.7109375" style="95" customWidth="1"/>
    <col min="6658" max="6658" width="0" style="95" hidden="1" customWidth="1"/>
    <col min="6659" max="6659" width="16.42578125" style="95" customWidth="1"/>
    <col min="6660" max="6660" width="0" style="95" hidden="1" customWidth="1"/>
    <col min="6661" max="6912" width="11" style="95"/>
    <col min="6913" max="6913" width="72.7109375" style="95" customWidth="1"/>
    <col min="6914" max="6914" width="0" style="95" hidden="1" customWidth="1"/>
    <col min="6915" max="6915" width="16.42578125" style="95" customWidth="1"/>
    <col min="6916" max="6916" width="0" style="95" hidden="1" customWidth="1"/>
    <col min="6917" max="7168" width="11" style="95"/>
    <col min="7169" max="7169" width="72.7109375" style="95" customWidth="1"/>
    <col min="7170" max="7170" width="0" style="95" hidden="1" customWidth="1"/>
    <col min="7171" max="7171" width="16.42578125" style="95" customWidth="1"/>
    <col min="7172" max="7172" width="0" style="95" hidden="1" customWidth="1"/>
    <col min="7173" max="7424" width="11" style="95"/>
    <col min="7425" max="7425" width="72.7109375" style="95" customWidth="1"/>
    <col min="7426" max="7426" width="0" style="95" hidden="1" customWidth="1"/>
    <col min="7427" max="7427" width="16.42578125" style="95" customWidth="1"/>
    <col min="7428" max="7428" width="0" style="95" hidden="1" customWidth="1"/>
    <col min="7429" max="7680" width="11" style="95"/>
    <col min="7681" max="7681" width="72.7109375" style="95" customWidth="1"/>
    <col min="7682" max="7682" width="0" style="95" hidden="1" customWidth="1"/>
    <col min="7683" max="7683" width="16.42578125" style="95" customWidth="1"/>
    <col min="7684" max="7684" width="0" style="95" hidden="1" customWidth="1"/>
    <col min="7685" max="7936" width="11" style="95"/>
    <col min="7937" max="7937" width="72.7109375" style="95" customWidth="1"/>
    <col min="7938" max="7938" width="0" style="95" hidden="1" customWidth="1"/>
    <col min="7939" max="7939" width="16.42578125" style="95" customWidth="1"/>
    <col min="7940" max="7940" width="0" style="95" hidden="1" customWidth="1"/>
    <col min="7941" max="8192" width="11" style="95"/>
    <col min="8193" max="8193" width="72.7109375" style="95" customWidth="1"/>
    <col min="8194" max="8194" width="0" style="95" hidden="1" customWidth="1"/>
    <col min="8195" max="8195" width="16.42578125" style="95" customWidth="1"/>
    <col min="8196" max="8196" width="0" style="95" hidden="1" customWidth="1"/>
    <col min="8197" max="8448" width="11" style="95"/>
    <col min="8449" max="8449" width="72.7109375" style="95" customWidth="1"/>
    <col min="8450" max="8450" width="0" style="95" hidden="1" customWidth="1"/>
    <col min="8451" max="8451" width="16.42578125" style="95" customWidth="1"/>
    <col min="8452" max="8452" width="0" style="95" hidden="1" customWidth="1"/>
    <col min="8453" max="8704" width="11" style="95"/>
    <col min="8705" max="8705" width="72.7109375" style="95" customWidth="1"/>
    <col min="8706" max="8706" width="0" style="95" hidden="1" customWidth="1"/>
    <col min="8707" max="8707" width="16.42578125" style="95" customWidth="1"/>
    <col min="8708" max="8708" width="0" style="95" hidden="1" customWidth="1"/>
    <col min="8709" max="8960" width="11" style="95"/>
    <col min="8961" max="8961" width="72.7109375" style="95" customWidth="1"/>
    <col min="8962" max="8962" width="0" style="95" hidden="1" customWidth="1"/>
    <col min="8963" max="8963" width="16.42578125" style="95" customWidth="1"/>
    <col min="8964" max="8964" width="0" style="95" hidden="1" customWidth="1"/>
    <col min="8965" max="9216" width="11" style="95"/>
    <col min="9217" max="9217" width="72.7109375" style="95" customWidth="1"/>
    <col min="9218" max="9218" width="0" style="95" hidden="1" customWidth="1"/>
    <col min="9219" max="9219" width="16.42578125" style="95" customWidth="1"/>
    <col min="9220" max="9220" width="0" style="95" hidden="1" customWidth="1"/>
    <col min="9221" max="9472" width="11" style="95"/>
    <col min="9473" max="9473" width="72.7109375" style="95" customWidth="1"/>
    <col min="9474" max="9474" width="0" style="95" hidden="1" customWidth="1"/>
    <col min="9475" max="9475" width="16.42578125" style="95" customWidth="1"/>
    <col min="9476" max="9476" width="0" style="95" hidden="1" customWidth="1"/>
    <col min="9477" max="9728" width="11" style="95"/>
    <col min="9729" max="9729" width="72.7109375" style="95" customWidth="1"/>
    <col min="9730" max="9730" width="0" style="95" hidden="1" customWidth="1"/>
    <col min="9731" max="9731" width="16.42578125" style="95" customWidth="1"/>
    <col min="9732" max="9732" width="0" style="95" hidden="1" customWidth="1"/>
    <col min="9733" max="9984" width="11" style="95"/>
    <col min="9985" max="9985" width="72.7109375" style="95" customWidth="1"/>
    <col min="9986" max="9986" width="0" style="95" hidden="1" customWidth="1"/>
    <col min="9987" max="9987" width="16.42578125" style="95" customWidth="1"/>
    <col min="9988" max="9988" width="0" style="95" hidden="1" customWidth="1"/>
    <col min="9989" max="10240" width="11" style="95"/>
    <col min="10241" max="10241" width="72.7109375" style="95" customWidth="1"/>
    <col min="10242" max="10242" width="0" style="95" hidden="1" customWidth="1"/>
    <col min="10243" max="10243" width="16.42578125" style="95" customWidth="1"/>
    <col min="10244" max="10244" width="0" style="95" hidden="1" customWidth="1"/>
    <col min="10245" max="10496" width="11" style="95"/>
    <col min="10497" max="10497" width="72.7109375" style="95" customWidth="1"/>
    <col min="10498" max="10498" width="0" style="95" hidden="1" customWidth="1"/>
    <col min="10499" max="10499" width="16.42578125" style="95" customWidth="1"/>
    <col min="10500" max="10500" width="0" style="95" hidden="1" customWidth="1"/>
    <col min="10501" max="10752" width="11" style="95"/>
    <col min="10753" max="10753" width="72.7109375" style="95" customWidth="1"/>
    <col min="10754" max="10754" width="0" style="95" hidden="1" customWidth="1"/>
    <col min="10755" max="10755" width="16.42578125" style="95" customWidth="1"/>
    <col min="10756" max="10756" width="0" style="95" hidden="1" customWidth="1"/>
    <col min="10757" max="11008" width="11" style="95"/>
    <col min="11009" max="11009" width="72.7109375" style="95" customWidth="1"/>
    <col min="11010" max="11010" width="0" style="95" hidden="1" customWidth="1"/>
    <col min="11011" max="11011" width="16.42578125" style="95" customWidth="1"/>
    <col min="11012" max="11012" width="0" style="95" hidden="1" customWidth="1"/>
    <col min="11013" max="11264" width="11" style="95"/>
    <col min="11265" max="11265" width="72.7109375" style="95" customWidth="1"/>
    <col min="11266" max="11266" width="0" style="95" hidden="1" customWidth="1"/>
    <col min="11267" max="11267" width="16.42578125" style="95" customWidth="1"/>
    <col min="11268" max="11268" width="0" style="95" hidden="1" customWidth="1"/>
    <col min="11269" max="11520" width="11" style="95"/>
    <col min="11521" max="11521" width="72.7109375" style="95" customWidth="1"/>
    <col min="11522" max="11522" width="0" style="95" hidden="1" customWidth="1"/>
    <col min="11523" max="11523" width="16.42578125" style="95" customWidth="1"/>
    <col min="11524" max="11524" width="0" style="95" hidden="1" customWidth="1"/>
    <col min="11525" max="11776" width="11" style="95"/>
    <col min="11777" max="11777" width="72.7109375" style="95" customWidth="1"/>
    <col min="11778" max="11778" width="0" style="95" hidden="1" customWidth="1"/>
    <col min="11779" max="11779" width="16.42578125" style="95" customWidth="1"/>
    <col min="11780" max="11780" width="0" style="95" hidden="1" customWidth="1"/>
    <col min="11781" max="12032" width="11" style="95"/>
    <col min="12033" max="12033" width="72.7109375" style="95" customWidth="1"/>
    <col min="12034" max="12034" width="0" style="95" hidden="1" customWidth="1"/>
    <col min="12035" max="12035" width="16.42578125" style="95" customWidth="1"/>
    <col min="12036" max="12036" width="0" style="95" hidden="1" customWidth="1"/>
    <col min="12037" max="12288" width="11" style="95"/>
    <col min="12289" max="12289" width="72.7109375" style="95" customWidth="1"/>
    <col min="12290" max="12290" width="0" style="95" hidden="1" customWidth="1"/>
    <col min="12291" max="12291" width="16.42578125" style="95" customWidth="1"/>
    <col min="12292" max="12292" width="0" style="95" hidden="1" customWidth="1"/>
    <col min="12293" max="12544" width="11" style="95"/>
    <col min="12545" max="12545" width="72.7109375" style="95" customWidth="1"/>
    <col min="12546" max="12546" width="0" style="95" hidden="1" customWidth="1"/>
    <col min="12547" max="12547" width="16.42578125" style="95" customWidth="1"/>
    <col min="12548" max="12548" width="0" style="95" hidden="1" customWidth="1"/>
    <col min="12549" max="12800" width="11" style="95"/>
    <col min="12801" max="12801" width="72.7109375" style="95" customWidth="1"/>
    <col min="12802" max="12802" width="0" style="95" hidden="1" customWidth="1"/>
    <col min="12803" max="12803" width="16.42578125" style="95" customWidth="1"/>
    <col min="12804" max="12804" width="0" style="95" hidden="1" customWidth="1"/>
    <col min="12805" max="13056" width="11" style="95"/>
    <col min="13057" max="13057" width="72.7109375" style="95" customWidth="1"/>
    <col min="13058" max="13058" width="0" style="95" hidden="1" customWidth="1"/>
    <col min="13059" max="13059" width="16.42578125" style="95" customWidth="1"/>
    <col min="13060" max="13060" width="0" style="95" hidden="1" customWidth="1"/>
    <col min="13061" max="13312" width="11" style="95"/>
    <col min="13313" max="13313" width="72.7109375" style="95" customWidth="1"/>
    <col min="13314" max="13314" width="0" style="95" hidden="1" customWidth="1"/>
    <col min="13315" max="13315" width="16.42578125" style="95" customWidth="1"/>
    <col min="13316" max="13316" width="0" style="95" hidden="1" customWidth="1"/>
    <col min="13317" max="13568" width="11" style="95"/>
    <col min="13569" max="13569" width="72.7109375" style="95" customWidth="1"/>
    <col min="13570" max="13570" width="0" style="95" hidden="1" customWidth="1"/>
    <col min="13571" max="13571" width="16.42578125" style="95" customWidth="1"/>
    <col min="13572" max="13572" width="0" style="95" hidden="1" customWidth="1"/>
    <col min="13573" max="13824" width="11" style="95"/>
    <col min="13825" max="13825" width="72.7109375" style="95" customWidth="1"/>
    <col min="13826" max="13826" width="0" style="95" hidden="1" customWidth="1"/>
    <col min="13827" max="13827" width="16.42578125" style="95" customWidth="1"/>
    <col min="13828" max="13828" width="0" style="95" hidden="1" customWidth="1"/>
    <col min="13829" max="14080" width="11" style="95"/>
    <col min="14081" max="14081" width="72.7109375" style="95" customWidth="1"/>
    <col min="14082" max="14082" width="0" style="95" hidden="1" customWidth="1"/>
    <col min="14083" max="14083" width="16.42578125" style="95" customWidth="1"/>
    <col min="14084" max="14084" width="0" style="95" hidden="1" customWidth="1"/>
    <col min="14085" max="14336" width="11" style="95"/>
    <col min="14337" max="14337" width="72.7109375" style="95" customWidth="1"/>
    <col min="14338" max="14338" width="0" style="95" hidden="1" customWidth="1"/>
    <col min="14339" max="14339" width="16.42578125" style="95" customWidth="1"/>
    <col min="14340" max="14340" width="0" style="95" hidden="1" customWidth="1"/>
    <col min="14341" max="14592" width="11" style="95"/>
    <col min="14593" max="14593" width="72.7109375" style="95" customWidth="1"/>
    <col min="14594" max="14594" width="0" style="95" hidden="1" customWidth="1"/>
    <col min="14595" max="14595" width="16.42578125" style="95" customWidth="1"/>
    <col min="14596" max="14596" width="0" style="95" hidden="1" customWidth="1"/>
    <col min="14597" max="14848" width="11" style="95"/>
    <col min="14849" max="14849" width="72.7109375" style="95" customWidth="1"/>
    <col min="14850" max="14850" width="0" style="95" hidden="1" customWidth="1"/>
    <col min="14851" max="14851" width="16.42578125" style="95" customWidth="1"/>
    <col min="14852" max="14852" width="0" style="95" hidden="1" customWidth="1"/>
    <col min="14853" max="15104" width="11" style="95"/>
    <col min="15105" max="15105" width="72.7109375" style="95" customWidth="1"/>
    <col min="15106" max="15106" width="0" style="95" hidden="1" customWidth="1"/>
    <col min="15107" max="15107" width="16.42578125" style="95" customWidth="1"/>
    <col min="15108" max="15108" width="0" style="95" hidden="1" customWidth="1"/>
    <col min="15109" max="15360" width="11" style="95"/>
    <col min="15361" max="15361" width="72.7109375" style="95" customWidth="1"/>
    <col min="15362" max="15362" width="0" style="95" hidden="1" customWidth="1"/>
    <col min="15363" max="15363" width="16.42578125" style="95" customWidth="1"/>
    <col min="15364" max="15364" width="0" style="95" hidden="1" customWidth="1"/>
    <col min="15365" max="15616" width="11" style="95"/>
    <col min="15617" max="15617" width="72.7109375" style="95" customWidth="1"/>
    <col min="15618" max="15618" width="0" style="95" hidden="1" customWidth="1"/>
    <col min="15619" max="15619" width="16.42578125" style="95" customWidth="1"/>
    <col min="15620" max="15620" width="0" style="95" hidden="1" customWidth="1"/>
    <col min="15621" max="15872" width="11" style="95"/>
    <col min="15873" max="15873" width="72.7109375" style="95" customWidth="1"/>
    <col min="15874" max="15874" width="0" style="95" hidden="1" customWidth="1"/>
    <col min="15875" max="15875" width="16.42578125" style="95" customWidth="1"/>
    <col min="15876" max="15876" width="0" style="95" hidden="1" customWidth="1"/>
    <col min="15877" max="16128" width="11" style="95"/>
    <col min="16129" max="16129" width="72.7109375" style="95" customWidth="1"/>
    <col min="16130" max="16130" width="0" style="95" hidden="1" customWidth="1"/>
    <col min="16131" max="16131" width="16.42578125" style="95" customWidth="1"/>
    <col min="16132" max="16132" width="0" style="95" hidden="1" customWidth="1"/>
    <col min="16133" max="16384" width="11" style="95"/>
  </cols>
  <sheetData>
    <row r="3" spans="1:8" x14ac:dyDescent="0.25">
      <c r="B3" s="96" t="s">
        <v>298</v>
      </c>
      <c r="C3" s="97"/>
      <c r="D3" s="96"/>
    </row>
    <row r="4" spans="1:8" x14ac:dyDescent="0.25">
      <c r="B4" s="98" t="s">
        <v>264</v>
      </c>
      <c r="C4" s="99"/>
      <c r="D4" s="98"/>
    </row>
    <row r="5" spans="1:8" x14ac:dyDescent="0.25">
      <c r="B5" s="96"/>
      <c r="C5" s="97"/>
      <c r="D5" s="96"/>
    </row>
    <row r="8" spans="1:8" x14ac:dyDescent="0.25">
      <c r="A8" s="155" t="s">
        <v>192</v>
      </c>
      <c r="B8" s="155"/>
      <c r="C8" s="155"/>
      <c r="D8" s="155"/>
    </row>
    <row r="9" spans="1:8" x14ac:dyDescent="0.25">
      <c r="A9" s="100"/>
    </row>
    <row r="10" spans="1:8" x14ac:dyDescent="0.25">
      <c r="A10" s="100"/>
    </row>
    <row r="11" spans="1:8" x14ac:dyDescent="0.25">
      <c r="A11" s="102"/>
    </row>
    <row r="12" spans="1:8" x14ac:dyDescent="0.25">
      <c r="A12" s="156" t="s">
        <v>218</v>
      </c>
      <c r="B12" s="156"/>
      <c r="C12" s="156"/>
      <c r="D12" s="156"/>
    </row>
    <row r="13" spans="1:8" x14ac:dyDescent="0.25">
      <c r="A13" s="155" t="s">
        <v>206</v>
      </c>
      <c r="B13" s="155"/>
      <c r="C13" s="155"/>
      <c r="D13" s="155"/>
    </row>
    <row r="15" spans="1:8" x14ac:dyDescent="0.25">
      <c r="B15" s="157" t="s">
        <v>289</v>
      </c>
      <c r="C15" s="157"/>
      <c r="D15" s="157"/>
      <c r="F15" s="142" t="s">
        <v>293</v>
      </c>
      <c r="H15" s="104" t="s">
        <v>293</v>
      </c>
    </row>
    <row r="16" spans="1:8" x14ac:dyDescent="0.25">
      <c r="B16" s="103" t="s">
        <v>63</v>
      </c>
      <c r="C16" s="104"/>
      <c r="D16" s="103" t="s">
        <v>64</v>
      </c>
      <c r="F16" s="103" t="s">
        <v>63</v>
      </c>
      <c r="H16" s="103" t="s">
        <v>296</v>
      </c>
    </row>
    <row r="17" spans="1:6" x14ac:dyDescent="0.25">
      <c r="B17" s="104"/>
      <c r="C17" s="104"/>
      <c r="D17" s="104"/>
      <c r="F17" s="104"/>
    </row>
    <row r="18" spans="1:6" x14ac:dyDescent="0.25">
      <c r="A18" s="105" t="s">
        <v>219</v>
      </c>
      <c r="B18" s="35">
        <f>ROUND('LGE Annualized Depr'!G296,0)</f>
        <v>111689000</v>
      </c>
      <c r="C18" s="35"/>
      <c r="D18" s="35">
        <f>'LGE Annualized Depr'!G361</f>
        <v>18845830</v>
      </c>
      <c r="F18" s="133">
        <f>ROUND('KIUC Adjust LGE Annualized Depr'!G296,0)</f>
        <v>67790855</v>
      </c>
    </row>
    <row r="19" spans="1:6" x14ac:dyDescent="0.25">
      <c r="A19" s="105"/>
      <c r="B19" s="106"/>
      <c r="C19" s="106"/>
      <c r="D19" s="106"/>
      <c r="F19" s="135"/>
    </row>
    <row r="20" spans="1:6" x14ac:dyDescent="0.25">
      <c r="A20" s="105" t="s">
        <v>220</v>
      </c>
      <c r="B20" s="107">
        <f>ROUND('ECR Annual Depr'!D17,0)</f>
        <v>1892892</v>
      </c>
      <c r="C20" s="107"/>
      <c r="D20" s="107">
        <v>0</v>
      </c>
      <c r="F20" s="107">
        <f>ROUND('ECR Annual Depr'!F17,0)</f>
        <v>1332276</v>
      </c>
    </row>
    <row r="21" spans="1:6" x14ac:dyDescent="0.25">
      <c r="A21" s="105"/>
      <c r="B21" s="106"/>
      <c r="C21" s="106"/>
      <c r="D21" s="106"/>
      <c r="F21" s="135"/>
    </row>
    <row r="22" spans="1:6" x14ac:dyDescent="0.25">
      <c r="A22" s="105" t="s">
        <v>262</v>
      </c>
      <c r="B22" s="108">
        <f>ROUND('LGE Annualized Depr'!G409,0)</f>
        <v>12731875</v>
      </c>
      <c r="C22" s="107"/>
      <c r="D22" s="108">
        <f>'LGE Annualized Depr'!G411</f>
        <v>5200343</v>
      </c>
      <c r="F22" s="108">
        <f>ROUND('KIUC Adjust LGE Annualized Depr'!G409,0)</f>
        <v>12731875</v>
      </c>
    </row>
    <row r="23" spans="1:6" x14ac:dyDescent="0.25">
      <c r="A23" s="105"/>
      <c r="B23" s="106"/>
      <c r="C23" s="106"/>
      <c r="D23" s="106"/>
      <c r="F23" s="135"/>
    </row>
    <row r="24" spans="1:6" ht="16.5" thickBot="1" x14ac:dyDescent="0.3">
      <c r="A24" s="105" t="s">
        <v>263</v>
      </c>
      <c r="B24" s="109">
        <f>SUM(B18:B22)</f>
        <v>126313767</v>
      </c>
      <c r="C24" s="106"/>
      <c r="D24" s="109">
        <f>SUM(D18:D22)</f>
        <v>24046173</v>
      </c>
      <c r="F24" s="136">
        <f>SUM(F18:F22)</f>
        <v>81855006</v>
      </c>
    </row>
    <row r="25" spans="1:6" ht="16.5" thickTop="1" x14ac:dyDescent="0.25">
      <c r="A25" s="105"/>
      <c r="B25" s="106"/>
      <c r="C25" s="106"/>
      <c r="D25" s="106"/>
      <c r="F25" s="135"/>
    </row>
    <row r="26" spans="1:6" x14ac:dyDescent="0.25">
      <c r="A26" s="129" t="s">
        <v>283</v>
      </c>
      <c r="B26" s="133">
        <v>127895417</v>
      </c>
      <c r="C26" s="132"/>
      <c r="D26" s="133">
        <v>23851374</v>
      </c>
      <c r="F26" s="133">
        <v>127895417</v>
      </c>
    </row>
    <row r="27" spans="1:6" x14ac:dyDescent="0.25">
      <c r="A27" s="129" t="s">
        <v>284</v>
      </c>
      <c r="B27" s="134">
        <v>-2206653</v>
      </c>
      <c r="C27" s="132"/>
      <c r="D27" s="134">
        <v>-1045200</v>
      </c>
      <c r="F27" s="134">
        <v>-2206653</v>
      </c>
    </row>
    <row r="28" spans="1:6" x14ac:dyDescent="0.25">
      <c r="A28" s="129" t="s">
        <v>285</v>
      </c>
      <c r="B28" s="137">
        <v>-71533.03</v>
      </c>
      <c r="C28" s="137"/>
      <c r="D28" s="137">
        <v>0</v>
      </c>
      <c r="E28" s="101"/>
      <c r="F28" s="137">
        <v>-71533.03</v>
      </c>
    </row>
    <row r="29" spans="1:6" x14ac:dyDescent="0.25">
      <c r="A29" s="105" t="s">
        <v>297</v>
      </c>
      <c r="B29" s="138">
        <v>-115</v>
      </c>
      <c r="C29" s="137"/>
      <c r="D29" s="138">
        <v>-47</v>
      </c>
      <c r="E29" s="101"/>
      <c r="F29" s="138">
        <v>-115</v>
      </c>
    </row>
    <row r="30" spans="1:6" x14ac:dyDescent="0.25">
      <c r="A30" s="129"/>
      <c r="B30" s="137"/>
      <c r="C30" s="137"/>
      <c r="D30" s="137"/>
      <c r="E30" s="101"/>
      <c r="F30" s="137"/>
    </row>
    <row r="31" spans="1:6" ht="16.5" thickBot="1" x14ac:dyDescent="0.3">
      <c r="A31" s="129" t="s">
        <v>286</v>
      </c>
      <c r="B31" s="136">
        <f>SUM(B26:B29)</f>
        <v>125617115.97</v>
      </c>
      <c r="C31" s="135"/>
      <c r="D31" s="136">
        <f>SUM(D26:D29)</f>
        <v>22806127</v>
      </c>
      <c r="F31" s="136">
        <f>SUM(F26:F29)</f>
        <v>125617115.97</v>
      </c>
    </row>
    <row r="32" spans="1:6" ht="16.5" thickTop="1" x14ac:dyDescent="0.25">
      <c r="A32" s="129"/>
      <c r="B32" s="139"/>
      <c r="C32" s="135"/>
      <c r="D32" s="139"/>
      <c r="F32" s="139"/>
    </row>
    <row r="33" spans="1:8" x14ac:dyDescent="0.25">
      <c r="A33" s="129" t="s">
        <v>287</v>
      </c>
      <c r="B33" s="131"/>
      <c r="C33" s="131"/>
      <c r="D33" s="131"/>
      <c r="F33" s="131"/>
    </row>
    <row r="34" spans="1:8" ht="16.5" thickBot="1" x14ac:dyDescent="0.3">
      <c r="A34" s="130" t="s">
        <v>288</v>
      </c>
      <c r="B34" s="136">
        <f>B24-B31</f>
        <v>696651.03000000119</v>
      </c>
      <c r="C34" s="135"/>
      <c r="D34" s="136">
        <f>D24-D31</f>
        <v>1240046</v>
      </c>
      <c r="F34" s="136">
        <f>F24-F31</f>
        <v>-43762109.969999999</v>
      </c>
      <c r="H34" s="154">
        <f>F34-B34</f>
        <v>-44458761</v>
      </c>
    </row>
    <row r="35" spans="1:8" ht="16.5" thickTop="1" x14ac:dyDescent="0.25">
      <c r="B35" s="110"/>
      <c r="C35" s="110"/>
      <c r="D35" s="110"/>
      <c r="F35" s="110"/>
    </row>
    <row r="36" spans="1:8" x14ac:dyDescent="0.25">
      <c r="B36" s="110"/>
      <c r="C36" s="110"/>
      <c r="D36" s="110"/>
      <c r="F36" s="110"/>
    </row>
    <row r="38" spans="1:8" x14ac:dyDescent="0.25">
      <c r="A38" s="95" t="s">
        <v>221</v>
      </c>
    </row>
    <row r="39" spans="1:8" x14ac:dyDescent="0.25">
      <c r="A39" s="128" t="s">
        <v>281</v>
      </c>
    </row>
    <row r="40" spans="1:8" x14ac:dyDescent="0.25">
      <c r="A40" s="128" t="s">
        <v>282</v>
      </c>
    </row>
  </sheetData>
  <mergeCells count="4">
    <mergeCell ref="A8:D8"/>
    <mergeCell ref="A12:D12"/>
    <mergeCell ref="A13:D13"/>
    <mergeCell ref="B15:D15"/>
  </mergeCells>
  <pageMargins left="0.5" right="0.45" top="1" bottom="0.75" header="0.55000000000000004" footer="0.3"/>
  <pageSetup scale="72" orientation="portrait" r:id="rId1"/>
  <headerFooter>
    <oddHeader>&amp;R&amp;14Exhibit___(LK-22)
Page 1 of 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9"/>
  <sheetViews>
    <sheetView view="pageBreakPreview" zoomScale="90" zoomScaleNormal="100" zoomScaleSheetLayoutView="90" workbookViewId="0">
      <pane ySplit="8" topLeftCell="A36" activePane="bottomLeft" state="frozen"/>
      <selection activeCell="A15" sqref="A15"/>
      <selection pane="bottomLeft" activeCell="E5" sqref="E5:G5"/>
    </sheetView>
  </sheetViews>
  <sheetFormatPr defaultColWidth="9.140625" defaultRowHeight="15.75" x14ac:dyDescent="0.25"/>
  <cols>
    <col min="1" max="1" width="8.7109375" style="7" customWidth="1"/>
    <col min="2" max="2" width="61.42578125" style="7" customWidth="1"/>
    <col min="3" max="3" width="1.7109375" style="7" customWidth="1"/>
    <col min="4" max="4" width="19" style="8" bestFit="1" customWidth="1"/>
    <col min="5" max="5" width="10.5703125" style="7" bestFit="1" customWidth="1"/>
    <col min="6" max="6" width="1.7109375" style="7" customWidth="1"/>
    <col min="7" max="7" width="18.5703125" style="8" bestFit="1" customWidth="1"/>
    <col min="8" max="16384" width="9.140625" style="7"/>
  </cols>
  <sheetData>
    <row r="1" spans="1:7" s="2" customFormat="1" x14ac:dyDescent="0.25">
      <c r="A1" s="160" t="s">
        <v>12</v>
      </c>
      <c r="B1" s="160"/>
      <c r="C1" s="160"/>
      <c r="D1" s="160"/>
      <c r="E1" s="160"/>
      <c r="F1" s="160"/>
      <c r="G1" s="160"/>
    </row>
    <row r="2" spans="1:7" s="2" customFormat="1" x14ac:dyDescent="0.25">
      <c r="A2" s="160" t="s">
        <v>57</v>
      </c>
      <c r="B2" s="160"/>
      <c r="C2" s="160"/>
      <c r="D2" s="160"/>
      <c r="E2" s="160"/>
      <c r="F2" s="160"/>
      <c r="G2" s="160"/>
    </row>
    <row r="3" spans="1:7" s="2" customFormat="1" x14ac:dyDescent="0.25">
      <c r="A3" s="161" t="s">
        <v>204</v>
      </c>
      <c r="B3" s="161"/>
      <c r="C3" s="161"/>
      <c r="D3" s="161"/>
      <c r="E3" s="161"/>
      <c r="F3" s="161"/>
      <c r="G3" s="161"/>
    </row>
    <row r="4" spans="1:7" x14ac:dyDescent="0.25">
      <c r="B4" s="158"/>
      <c r="C4" s="158"/>
      <c r="D4" s="158"/>
    </row>
    <row r="5" spans="1:7" x14ac:dyDescent="0.25">
      <c r="E5" s="141" t="s">
        <v>290</v>
      </c>
      <c r="F5" s="144"/>
      <c r="G5" s="141" t="s">
        <v>290</v>
      </c>
    </row>
    <row r="6" spans="1:7" x14ac:dyDescent="0.25">
      <c r="D6" s="11" t="s">
        <v>187</v>
      </c>
      <c r="E6" s="94" t="s">
        <v>216</v>
      </c>
      <c r="G6" s="70" t="s">
        <v>55</v>
      </c>
    </row>
    <row r="7" spans="1:7" x14ac:dyDescent="0.25">
      <c r="B7" s="9"/>
      <c r="C7" s="9"/>
      <c r="D7" s="11" t="s">
        <v>188</v>
      </c>
      <c r="E7" s="80" t="s">
        <v>70</v>
      </c>
      <c r="G7" s="11" t="s">
        <v>56</v>
      </c>
    </row>
    <row r="8" spans="1:7" x14ac:dyDescent="0.25">
      <c r="A8" s="159" t="s">
        <v>164</v>
      </c>
      <c r="B8" s="159"/>
      <c r="D8" s="33" t="s">
        <v>205</v>
      </c>
      <c r="E8" s="13" t="s">
        <v>71</v>
      </c>
      <c r="G8" s="71" t="s">
        <v>215</v>
      </c>
    </row>
    <row r="9" spans="1:7" x14ac:dyDescent="0.25">
      <c r="D9" s="36"/>
      <c r="E9" s="12"/>
    </row>
    <row r="10" spans="1:7" x14ac:dyDescent="0.25">
      <c r="A10" s="14" t="s">
        <v>66</v>
      </c>
      <c r="D10" s="15"/>
      <c r="E10" s="10"/>
    </row>
    <row r="11" spans="1:7" x14ac:dyDescent="0.25">
      <c r="A11" s="16" t="s">
        <v>147</v>
      </c>
      <c r="D11" s="54">
        <f>ROUND(2240.29,0)</f>
        <v>2240</v>
      </c>
      <c r="E11" s="18">
        <v>0</v>
      </c>
      <c r="G11" s="54">
        <f>E11*D11</f>
        <v>0</v>
      </c>
    </row>
    <row r="12" spans="1:7" x14ac:dyDescent="0.25">
      <c r="B12" s="19"/>
      <c r="C12" s="19"/>
      <c r="E12" s="18"/>
    </row>
    <row r="13" spans="1:7" x14ac:dyDescent="0.25">
      <c r="A13" s="16" t="s">
        <v>146</v>
      </c>
      <c r="E13" s="18"/>
    </row>
    <row r="14" spans="1:7" x14ac:dyDescent="0.25">
      <c r="A14" s="20" t="s">
        <v>148</v>
      </c>
      <c r="B14" s="9" t="s">
        <v>72</v>
      </c>
      <c r="C14" s="9"/>
      <c r="D14" s="34">
        <f>ROUND(6193327.37,0)</f>
        <v>6193327</v>
      </c>
      <c r="E14" s="18">
        <v>0</v>
      </c>
      <c r="G14" s="34">
        <f>D14*E14</f>
        <v>0</v>
      </c>
    </row>
    <row r="15" spans="1:7" x14ac:dyDescent="0.25">
      <c r="A15" s="20" t="s">
        <v>203</v>
      </c>
      <c r="B15" s="9" t="s">
        <v>72</v>
      </c>
      <c r="C15" s="9"/>
      <c r="D15" s="3">
        <f>ROUND(100000,0)</f>
        <v>100000</v>
      </c>
      <c r="E15" s="18">
        <v>0</v>
      </c>
      <c r="G15" s="8">
        <f>D15*E15</f>
        <v>0</v>
      </c>
    </row>
    <row r="16" spans="1:7" x14ac:dyDescent="0.25">
      <c r="A16" s="20" t="s">
        <v>149</v>
      </c>
      <c r="B16" s="2" t="s">
        <v>73</v>
      </c>
      <c r="C16" s="2"/>
      <c r="E16" s="18"/>
    </row>
    <row r="17" spans="1:7" x14ac:dyDescent="0.25">
      <c r="B17" s="9" t="s">
        <v>74</v>
      </c>
      <c r="C17" s="9"/>
      <c r="D17" s="34">
        <f>ROUND(4233239.81,0)</f>
        <v>4233240</v>
      </c>
      <c r="E17" s="18">
        <v>0</v>
      </c>
      <c r="G17" s="34">
        <f>D17*E17</f>
        <v>0</v>
      </c>
    </row>
    <row r="18" spans="1:7" x14ac:dyDescent="0.25">
      <c r="B18" s="9" t="s">
        <v>75</v>
      </c>
      <c r="C18" s="9"/>
      <c r="D18" s="8">
        <f>ROUND(2102422.11,0)</f>
        <v>2102422</v>
      </c>
      <c r="E18" s="18">
        <v>0</v>
      </c>
      <c r="G18" s="8">
        <f>D18*E18</f>
        <v>0</v>
      </c>
    </row>
    <row r="19" spans="1:7" x14ac:dyDescent="0.25">
      <c r="B19" s="9" t="s">
        <v>76</v>
      </c>
      <c r="C19" s="9"/>
      <c r="D19" s="59">
        <f>ROUND(3536934.29,0)</f>
        <v>3536934</v>
      </c>
      <c r="E19" s="18">
        <v>0</v>
      </c>
      <c r="G19" s="8">
        <f>D19*E19</f>
        <v>0</v>
      </c>
    </row>
    <row r="20" spans="1:7" x14ac:dyDescent="0.25">
      <c r="B20" s="9" t="s">
        <v>77</v>
      </c>
      <c r="C20" s="9"/>
      <c r="D20" s="8">
        <f>ROUND(4089674.1,0)</f>
        <v>4089674</v>
      </c>
      <c r="E20" s="18">
        <v>0</v>
      </c>
      <c r="G20" s="8">
        <f>D20*E20</f>
        <v>0</v>
      </c>
    </row>
    <row r="21" spans="1:7" x14ac:dyDescent="0.25">
      <c r="B21" s="9" t="s">
        <v>78</v>
      </c>
      <c r="C21" s="9"/>
      <c r="D21" s="8">
        <f>ROUND(821432.87,0)</f>
        <v>821433</v>
      </c>
      <c r="E21" s="18">
        <v>0</v>
      </c>
      <c r="G21" s="8">
        <f>D21*E21</f>
        <v>0</v>
      </c>
    </row>
    <row r="22" spans="1:7" x14ac:dyDescent="0.25">
      <c r="B22" s="9" t="s">
        <v>79</v>
      </c>
      <c r="C22" s="9"/>
      <c r="D22" s="8">
        <f>ROUND(6288069.71,0)</f>
        <v>6288070</v>
      </c>
      <c r="E22" s="18">
        <v>2.4899999999999999E-2</v>
      </c>
      <c r="G22" s="8">
        <f t="shared" ref="G22:G36" si="0">ROUND(D22*E22,0)</f>
        <v>156573</v>
      </c>
    </row>
    <row r="23" spans="1:7" x14ac:dyDescent="0.25">
      <c r="B23" s="9" t="s">
        <v>80</v>
      </c>
      <c r="C23" s="9"/>
      <c r="D23" s="8">
        <f>ROUND(1696435.28,0)</f>
        <v>1696435</v>
      </c>
      <c r="E23" s="18">
        <v>0</v>
      </c>
      <c r="G23" s="8">
        <f t="shared" si="0"/>
        <v>0</v>
      </c>
    </row>
    <row r="24" spans="1:7" x14ac:dyDescent="0.25">
      <c r="B24" s="9" t="s">
        <v>81</v>
      </c>
      <c r="C24" s="9"/>
      <c r="D24" s="8">
        <f>ROUND(28208879.55,0)</f>
        <v>28208880</v>
      </c>
      <c r="E24" s="18">
        <v>0.09</v>
      </c>
      <c r="G24" s="8">
        <f t="shared" si="0"/>
        <v>2538799</v>
      </c>
    </row>
    <row r="25" spans="1:7" x14ac:dyDescent="0.25">
      <c r="B25" s="9" t="s">
        <v>82</v>
      </c>
      <c r="C25" s="9"/>
      <c r="D25" s="8">
        <f>ROUND(2004301.96,0)</f>
        <v>2004302</v>
      </c>
      <c r="E25" s="18">
        <v>0</v>
      </c>
      <c r="G25" s="8">
        <f t="shared" si="0"/>
        <v>0</v>
      </c>
    </row>
    <row r="26" spans="1:7" x14ac:dyDescent="0.25">
      <c r="A26" s="14"/>
      <c r="B26" s="9" t="s">
        <v>83</v>
      </c>
      <c r="C26" s="9"/>
      <c r="D26" s="8">
        <f>ROUND(19884638.65,0)</f>
        <v>19884639</v>
      </c>
      <c r="E26" s="18">
        <v>1.2800000000000001E-2</v>
      </c>
      <c r="G26" s="8">
        <f t="shared" si="0"/>
        <v>254523</v>
      </c>
    </row>
    <row r="27" spans="1:7" x14ac:dyDescent="0.25">
      <c r="B27" s="9" t="s">
        <v>84</v>
      </c>
      <c r="C27" s="9"/>
      <c r="D27" s="8">
        <f>ROUND(1709710.58,0)</f>
        <v>1709711</v>
      </c>
      <c r="E27" s="18">
        <v>0</v>
      </c>
      <c r="G27" s="8">
        <f t="shared" si="0"/>
        <v>0</v>
      </c>
    </row>
    <row r="28" spans="1:7" x14ac:dyDescent="0.25">
      <c r="B28" s="9" t="s">
        <v>85</v>
      </c>
      <c r="C28" s="9"/>
      <c r="D28" s="8">
        <f>ROUND(11486429.02,0)</f>
        <v>11486429</v>
      </c>
      <c r="E28" s="18">
        <v>1.2699999999999999E-2</v>
      </c>
      <c r="G28" s="8">
        <f t="shared" si="0"/>
        <v>145878</v>
      </c>
    </row>
    <row r="29" spans="1:7" x14ac:dyDescent="0.25">
      <c r="B29" s="9" t="s">
        <v>86</v>
      </c>
      <c r="C29" s="9"/>
      <c r="D29" s="8">
        <f>ROUND(1393403.67,0)</f>
        <v>1393404</v>
      </c>
      <c r="E29" s="18">
        <v>0</v>
      </c>
      <c r="G29" s="8">
        <f t="shared" si="0"/>
        <v>0</v>
      </c>
    </row>
    <row r="30" spans="1:7" x14ac:dyDescent="0.25">
      <c r="B30" s="9" t="s">
        <v>87</v>
      </c>
      <c r="C30" s="9"/>
      <c r="D30" s="8">
        <f>ROUND(24500220.92,0)</f>
        <v>24500221</v>
      </c>
      <c r="E30" s="18">
        <v>1.1900000000000001E-2</v>
      </c>
      <c r="G30" s="8">
        <f t="shared" si="0"/>
        <v>291553</v>
      </c>
    </row>
    <row r="31" spans="1:7" x14ac:dyDescent="0.25">
      <c r="B31" s="9" t="s">
        <v>88</v>
      </c>
      <c r="C31" s="9"/>
      <c r="D31" s="8">
        <f>ROUND(362866.58,2)</f>
        <v>362866.58</v>
      </c>
      <c r="E31" s="18">
        <v>0</v>
      </c>
      <c r="G31" s="8">
        <f t="shared" si="0"/>
        <v>0</v>
      </c>
    </row>
    <row r="32" spans="1:7" x14ac:dyDescent="0.25">
      <c r="B32" s="9" t="s">
        <v>89</v>
      </c>
      <c r="C32" s="9"/>
      <c r="D32" s="8">
        <f>ROUND(64289491.22,0)</f>
        <v>64289491</v>
      </c>
      <c r="E32" s="18">
        <v>1.8499999999999999E-2</v>
      </c>
      <c r="G32" s="8">
        <f t="shared" si="0"/>
        <v>1189356</v>
      </c>
    </row>
    <row r="33" spans="1:7" x14ac:dyDescent="0.25">
      <c r="B33" s="9" t="s">
        <v>90</v>
      </c>
      <c r="C33" s="9"/>
      <c r="D33" s="8">
        <f>ROUND(5330551.76,0)</f>
        <v>5330552</v>
      </c>
      <c r="E33" s="18">
        <v>7.1000000000000004E-3</v>
      </c>
      <c r="G33" s="8">
        <f t="shared" si="0"/>
        <v>37847</v>
      </c>
    </row>
    <row r="34" spans="1:7" x14ac:dyDescent="0.25">
      <c r="B34" s="9" t="s">
        <v>91</v>
      </c>
      <c r="C34" s="9"/>
      <c r="D34" s="8">
        <f>ROUND(115104804.01,0)</f>
        <v>115104804</v>
      </c>
      <c r="E34" s="18">
        <v>1.7000000000000001E-2</v>
      </c>
      <c r="G34" s="8">
        <f t="shared" si="0"/>
        <v>1956782</v>
      </c>
    </row>
    <row r="35" spans="1:7" x14ac:dyDescent="0.25">
      <c r="B35" s="9" t="s">
        <v>193</v>
      </c>
      <c r="C35" s="9"/>
      <c r="D35" s="17">
        <f>ROUND(493909.53,0)</f>
        <v>493910</v>
      </c>
      <c r="E35" s="18">
        <v>1.12E-2</v>
      </c>
      <c r="G35" s="8">
        <f t="shared" si="0"/>
        <v>5532</v>
      </c>
    </row>
    <row r="36" spans="1:7" x14ac:dyDescent="0.25">
      <c r="B36" s="9" t="s">
        <v>198</v>
      </c>
      <c r="C36" s="9"/>
      <c r="D36" s="21">
        <f>ROUND(26139486.29,0)</f>
        <v>26139486</v>
      </c>
      <c r="E36" s="18">
        <v>2.18E-2</v>
      </c>
      <c r="G36" s="21">
        <f t="shared" si="0"/>
        <v>569841</v>
      </c>
    </row>
    <row r="37" spans="1:7" x14ac:dyDescent="0.25">
      <c r="B37" s="9"/>
      <c r="C37" s="9"/>
      <c r="D37" s="34">
        <f>ROUND(SUM(D17:D36),0)</f>
        <v>323676904</v>
      </c>
      <c r="E37" s="18"/>
      <c r="G37" s="34">
        <f>ROUND(SUM(G17:G36),0)</f>
        <v>7146684</v>
      </c>
    </row>
    <row r="38" spans="1:7" x14ac:dyDescent="0.25">
      <c r="A38" s="20" t="s">
        <v>92</v>
      </c>
      <c r="B38" s="2" t="s">
        <v>93</v>
      </c>
      <c r="C38" s="2"/>
      <c r="E38" s="18"/>
    </row>
    <row r="39" spans="1:7" x14ac:dyDescent="0.25">
      <c r="A39" s="20"/>
      <c r="B39" s="9" t="s">
        <v>94</v>
      </c>
      <c r="C39" s="9"/>
      <c r="D39" s="34">
        <f>ROUND(51549.42,0)</f>
        <v>51549</v>
      </c>
      <c r="E39" s="18">
        <v>0</v>
      </c>
      <c r="G39" s="34">
        <f>D39*E39</f>
        <v>0</v>
      </c>
    </row>
    <row r="40" spans="1:7" x14ac:dyDescent="0.25">
      <c r="A40" s="20"/>
      <c r="B40" s="9" t="s">
        <v>95</v>
      </c>
      <c r="C40" s="9"/>
      <c r="D40" s="8">
        <f>ROUND(1501772.81,0)</f>
        <v>1501773</v>
      </c>
      <c r="E40" s="18">
        <v>6.8900000000000003E-2</v>
      </c>
      <c r="G40" s="8">
        <f t="shared" ref="G40:G63" si="1">ROUND(D40*E40,0)</f>
        <v>103472</v>
      </c>
    </row>
    <row r="41" spans="1:7" x14ac:dyDescent="0.25">
      <c r="B41" s="9" t="s">
        <v>74</v>
      </c>
      <c r="C41" s="9"/>
      <c r="D41" s="8">
        <f>ROUND(1052271.11,0)</f>
        <v>1052271</v>
      </c>
      <c r="E41" s="18">
        <v>0</v>
      </c>
      <c r="G41" s="8">
        <f t="shared" si="1"/>
        <v>0</v>
      </c>
    </row>
    <row r="42" spans="1:7" x14ac:dyDescent="0.25">
      <c r="B42" s="9" t="s">
        <v>75</v>
      </c>
      <c r="C42" s="9"/>
      <c r="D42" s="8">
        <f>ROUND(132275.6,0)</f>
        <v>132276</v>
      </c>
      <c r="E42" s="18">
        <v>0</v>
      </c>
      <c r="G42" s="8">
        <f t="shared" si="1"/>
        <v>0</v>
      </c>
    </row>
    <row r="43" spans="1:7" x14ac:dyDescent="0.25">
      <c r="B43" s="9" t="s">
        <v>76</v>
      </c>
      <c r="C43" s="9"/>
      <c r="D43" s="8">
        <f>ROUND(705479.63,0)</f>
        <v>705480</v>
      </c>
      <c r="E43" s="18">
        <v>0</v>
      </c>
      <c r="G43" s="8">
        <f t="shared" si="1"/>
        <v>0</v>
      </c>
    </row>
    <row r="44" spans="1:7" x14ac:dyDescent="0.25">
      <c r="B44" s="9" t="s">
        <v>77</v>
      </c>
      <c r="C44" s="9"/>
      <c r="D44" s="8">
        <f>ROUND(31384489.52,0)</f>
        <v>31384490</v>
      </c>
      <c r="E44" s="18">
        <v>9.7100000000000006E-2</v>
      </c>
      <c r="G44" s="8">
        <f t="shared" si="1"/>
        <v>3047434</v>
      </c>
    </row>
    <row r="45" spans="1:7" x14ac:dyDescent="0.25">
      <c r="B45" s="9" t="s">
        <v>78</v>
      </c>
      <c r="C45" s="9"/>
      <c r="D45" s="8">
        <f>ROUND(17050367.53,0)</f>
        <v>17050368</v>
      </c>
      <c r="E45" s="18">
        <v>0</v>
      </c>
      <c r="G45" s="8">
        <f t="shared" si="1"/>
        <v>0</v>
      </c>
    </row>
    <row r="46" spans="1:7" x14ac:dyDescent="0.25">
      <c r="B46" s="9" t="s">
        <v>79</v>
      </c>
      <c r="C46" s="9"/>
      <c r="D46" s="8">
        <f>ROUND(40758449.7,0)</f>
        <v>40758450</v>
      </c>
      <c r="E46" s="18">
        <v>0.15579999999999999</v>
      </c>
      <c r="G46" s="8">
        <f t="shared" si="1"/>
        <v>6350167</v>
      </c>
    </row>
    <row r="47" spans="1:7" x14ac:dyDescent="0.25">
      <c r="B47" s="9" t="s">
        <v>80</v>
      </c>
      <c r="C47" s="9"/>
      <c r="D47" s="8">
        <f>ROUND(28112261.04,0)</f>
        <v>28112261</v>
      </c>
      <c r="E47" s="18">
        <v>1.2999999999999999E-3</v>
      </c>
      <c r="G47" s="8">
        <f t="shared" si="1"/>
        <v>36546</v>
      </c>
    </row>
    <row r="48" spans="1:7" x14ac:dyDescent="0.25">
      <c r="B48" s="9" t="s">
        <v>81</v>
      </c>
      <c r="C48" s="9"/>
      <c r="D48" s="8">
        <f>ROUND(55736437.06,0)</f>
        <v>55736437</v>
      </c>
      <c r="E48" s="18">
        <v>0.1573</v>
      </c>
      <c r="G48" s="8">
        <f t="shared" si="1"/>
        <v>8767342</v>
      </c>
    </row>
    <row r="49" spans="2:7" x14ac:dyDescent="0.25">
      <c r="B49" s="9" t="s">
        <v>82</v>
      </c>
      <c r="C49" s="9"/>
      <c r="D49" s="8">
        <f>ROUND(32458664.89,0)</f>
        <v>32458665</v>
      </c>
      <c r="E49" s="18">
        <v>5.74E-2</v>
      </c>
      <c r="G49" s="8">
        <f t="shared" si="1"/>
        <v>1863127</v>
      </c>
    </row>
    <row r="50" spans="2:7" x14ac:dyDescent="0.25">
      <c r="B50" s="9" t="s">
        <v>96</v>
      </c>
      <c r="C50" s="9"/>
      <c r="D50" s="8">
        <f>ROUND(613424.43,0)</f>
        <v>613424</v>
      </c>
      <c r="E50" s="18">
        <v>6.08E-2</v>
      </c>
      <c r="G50" s="8">
        <f t="shared" si="1"/>
        <v>37296</v>
      </c>
    </row>
    <row r="51" spans="2:7" x14ac:dyDescent="0.25">
      <c r="B51" s="9" t="s">
        <v>97</v>
      </c>
      <c r="C51" s="9"/>
      <c r="D51" s="8">
        <f>ROUND(2965011.63,0)</f>
        <v>2965012</v>
      </c>
      <c r="E51" s="18">
        <v>3.5999999999999999E-3</v>
      </c>
      <c r="G51" s="8">
        <f t="shared" si="1"/>
        <v>10674</v>
      </c>
    </row>
    <row r="52" spans="2:7" x14ac:dyDescent="0.25">
      <c r="B52" s="9" t="s">
        <v>83</v>
      </c>
      <c r="C52" s="9"/>
      <c r="D52" s="8">
        <f>ROUND(56237501.49,0)</f>
        <v>56237501</v>
      </c>
      <c r="E52" s="18">
        <v>2.87E-2</v>
      </c>
      <c r="G52" s="8">
        <f t="shared" si="1"/>
        <v>1614016</v>
      </c>
    </row>
    <row r="53" spans="2:7" x14ac:dyDescent="0.25">
      <c r="B53" s="9" t="s">
        <v>84</v>
      </c>
      <c r="C53" s="9"/>
      <c r="D53" s="8">
        <f>ROUND(43569497.2,0)</f>
        <v>43569497</v>
      </c>
      <c r="E53" s="18">
        <v>2.1000000000000001E-2</v>
      </c>
      <c r="G53" s="8">
        <f t="shared" si="1"/>
        <v>914959</v>
      </c>
    </row>
    <row r="54" spans="2:7" x14ac:dyDescent="0.25">
      <c r="B54" s="9" t="s">
        <v>85</v>
      </c>
      <c r="C54" s="9"/>
      <c r="D54" s="8">
        <f>ROUND(53553847.6,0)</f>
        <v>53553848</v>
      </c>
      <c r="E54" s="18">
        <v>3.15E-2</v>
      </c>
      <c r="G54" s="8">
        <f t="shared" si="1"/>
        <v>1686946</v>
      </c>
    </row>
    <row r="55" spans="2:7" x14ac:dyDescent="0.25">
      <c r="B55" s="9" t="s">
        <v>86</v>
      </c>
      <c r="C55" s="9"/>
      <c r="D55" s="8">
        <f>ROUND(35719946.95,0)</f>
        <v>35719947</v>
      </c>
      <c r="E55" s="18">
        <v>1.7100000000000001E-2</v>
      </c>
      <c r="G55" s="8">
        <f t="shared" si="1"/>
        <v>610811</v>
      </c>
    </row>
    <row r="56" spans="2:7" x14ac:dyDescent="0.25">
      <c r="B56" s="9" t="s">
        <v>87</v>
      </c>
      <c r="C56" s="9"/>
      <c r="D56" s="8">
        <f>ROUND(146490838.89,0)</f>
        <v>146490839</v>
      </c>
      <c r="E56" s="18">
        <v>2.9100000000000001E-2</v>
      </c>
      <c r="G56" s="8">
        <f t="shared" si="1"/>
        <v>4262883</v>
      </c>
    </row>
    <row r="57" spans="2:7" x14ac:dyDescent="0.25">
      <c r="B57" s="9" t="s">
        <v>201</v>
      </c>
      <c r="C57" s="9"/>
      <c r="D57" s="8">
        <f>ROUND(63256714.47,0)</f>
        <v>63256714</v>
      </c>
      <c r="E57" s="18">
        <v>2.4299999999999999E-2</v>
      </c>
      <c r="G57" s="8">
        <f t="shared" si="1"/>
        <v>1537138</v>
      </c>
    </row>
    <row r="58" spans="2:7" x14ac:dyDescent="0.25">
      <c r="B58" s="9" t="s">
        <v>89</v>
      </c>
      <c r="C58" s="9"/>
      <c r="D58" s="8">
        <f>ROUND(246684528.99,0)</f>
        <v>246684529</v>
      </c>
      <c r="E58" s="18">
        <v>2.7799999999999998E-2</v>
      </c>
      <c r="G58" s="8">
        <f t="shared" si="1"/>
        <v>6857830</v>
      </c>
    </row>
    <row r="59" spans="2:7" x14ac:dyDescent="0.25">
      <c r="B59" s="9" t="s">
        <v>90</v>
      </c>
      <c r="C59" s="9"/>
      <c r="D59" s="8">
        <f>ROUND(113972386.06,0)</f>
        <v>113972386</v>
      </c>
      <c r="E59" s="18">
        <v>1.7999999999999999E-2</v>
      </c>
      <c r="G59" s="8">
        <f t="shared" si="1"/>
        <v>2051503</v>
      </c>
    </row>
    <row r="60" spans="2:7" x14ac:dyDescent="0.25">
      <c r="B60" s="9" t="s">
        <v>91</v>
      </c>
      <c r="C60" s="9"/>
      <c r="D60" s="8">
        <f>ROUND(217329447.26,0)</f>
        <v>217329447</v>
      </c>
      <c r="E60" s="18">
        <v>2.6700000000000002E-2</v>
      </c>
      <c r="G60" s="8">
        <f t="shared" si="1"/>
        <v>5802696</v>
      </c>
    </row>
    <row r="61" spans="2:7" x14ac:dyDescent="0.25">
      <c r="B61" s="9" t="s">
        <v>193</v>
      </c>
      <c r="C61" s="9"/>
      <c r="D61" s="17">
        <f>ROUND(63633187.06,0)</f>
        <v>63633187</v>
      </c>
      <c r="E61" s="18">
        <v>1.3899999999999999E-2</v>
      </c>
      <c r="G61" s="8">
        <f t="shared" si="1"/>
        <v>884501</v>
      </c>
    </row>
    <row r="62" spans="2:7" x14ac:dyDescent="0.25">
      <c r="B62" s="9" t="s">
        <v>198</v>
      </c>
      <c r="C62" s="9"/>
      <c r="D62" s="17">
        <f>ROUND(121967166.09,0)</f>
        <v>121967166</v>
      </c>
      <c r="E62" s="18">
        <v>2.5600000000000001E-2</v>
      </c>
      <c r="G62" s="8">
        <f t="shared" si="1"/>
        <v>3122359</v>
      </c>
    </row>
    <row r="63" spans="2:7" x14ac:dyDescent="0.25">
      <c r="B63" s="9" t="s">
        <v>213</v>
      </c>
      <c r="C63" s="9"/>
      <c r="D63" s="21">
        <f>ROUND(14607918.1,0)</f>
        <v>14607918</v>
      </c>
      <c r="E63" s="18">
        <v>2.5600000000000001E-2</v>
      </c>
      <c r="G63" s="8">
        <f t="shared" si="1"/>
        <v>373963</v>
      </c>
    </row>
    <row r="64" spans="2:7" x14ac:dyDescent="0.25">
      <c r="B64" s="8"/>
      <c r="C64" s="8"/>
      <c r="D64" s="58">
        <f>ROUND(SUM(D39:D63),0)</f>
        <v>1389545435</v>
      </c>
      <c r="E64" s="18"/>
      <c r="G64" s="58">
        <f>ROUND(SUM(G39:G63),0)</f>
        <v>49935663</v>
      </c>
    </row>
    <row r="65" spans="1:7" x14ac:dyDescent="0.25">
      <c r="A65" s="20" t="s">
        <v>98</v>
      </c>
      <c r="B65" s="2" t="s">
        <v>99</v>
      </c>
      <c r="C65" s="2"/>
      <c r="E65" s="18"/>
    </row>
    <row r="66" spans="1:7" x14ac:dyDescent="0.25">
      <c r="B66" s="9" t="s">
        <v>74</v>
      </c>
      <c r="C66" s="9"/>
      <c r="D66" s="34">
        <f>ROUND(106008.54,0)</f>
        <v>106009</v>
      </c>
      <c r="E66" s="18">
        <v>0</v>
      </c>
      <c r="G66" s="34">
        <f>D66*E66</f>
        <v>0</v>
      </c>
    </row>
    <row r="67" spans="1:7" x14ac:dyDescent="0.25">
      <c r="B67" s="9" t="s">
        <v>75</v>
      </c>
      <c r="C67" s="9"/>
      <c r="D67" s="8">
        <f>ROUND(19998.97,0)</f>
        <v>19999</v>
      </c>
      <c r="E67" s="18">
        <v>0</v>
      </c>
      <c r="G67" s="8">
        <f>D67*E67</f>
        <v>0</v>
      </c>
    </row>
    <row r="68" spans="1:7" x14ac:dyDescent="0.25">
      <c r="B68" s="9" t="s">
        <v>76</v>
      </c>
      <c r="C68" s="9"/>
      <c r="D68" s="8">
        <f>ROUND(581177.52,0)</f>
        <v>581178</v>
      </c>
      <c r="E68" s="18">
        <v>0</v>
      </c>
      <c r="G68" s="8">
        <f>D68*E68</f>
        <v>0</v>
      </c>
    </row>
    <row r="69" spans="1:7" x14ac:dyDescent="0.25">
      <c r="B69" s="9" t="s">
        <v>77</v>
      </c>
      <c r="C69" s="9"/>
      <c r="D69" s="8">
        <f>ROUND(9404418.95,0)</f>
        <v>9404419</v>
      </c>
      <c r="E69" s="18">
        <v>3.49E-2</v>
      </c>
      <c r="G69" s="8">
        <f t="shared" ref="G69:G77" si="2">ROUND(D69*E69,0)</f>
        <v>328214</v>
      </c>
    </row>
    <row r="70" spans="1:7" x14ac:dyDescent="0.25">
      <c r="B70" s="9" t="s">
        <v>79</v>
      </c>
      <c r="C70" s="9"/>
      <c r="D70" s="8">
        <f>ROUND(7931772.69,0)</f>
        <v>7931773</v>
      </c>
      <c r="E70" s="18">
        <v>2.8400000000000002E-2</v>
      </c>
      <c r="G70" s="8">
        <f t="shared" si="2"/>
        <v>225262</v>
      </c>
    </row>
    <row r="71" spans="1:7" x14ac:dyDescent="0.25">
      <c r="B71" s="9" t="s">
        <v>81</v>
      </c>
      <c r="C71" s="9"/>
      <c r="D71" s="8">
        <f>ROUND(16728234.75,0)</f>
        <v>16728235</v>
      </c>
      <c r="E71" s="18">
        <v>0.104</v>
      </c>
      <c r="G71" s="8">
        <f t="shared" si="2"/>
        <v>1739736</v>
      </c>
    </row>
    <row r="72" spans="1:7" x14ac:dyDescent="0.25">
      <c r="B72" s="9" t="s">
        <v>83</v>
      </c>
      <c r="C72" s="9"/>
      <c r="D72" s="8">
        <f>ROUND(14686467.88,0)</f>
        <v>14686468</v>
      </c>
      <c r="E72" s="18">
        <v>1.37E-2</v>
      </c>
      <c r="G72" s="8">
        <f t="shared" si="2"/>
        <v>201205</v>
      </c>
    </row>
    <row r="73" spans="1:7" x14ac:dyDescent="0.25">
      <c r="B73" s="9" t="s">
        <v>85</v>
      </c>
      <c r="C73" s="9"/>
      <c r="D73" s="8">
        <f>ROUND(17110424.55,0)</f>
        <v>17110425</v>
      </c>
      <c r="E73" s="18">
        <v>1.8100000000000002E-2</v>
      </c>
      <c r="G73" s="8">
        <f t="shared" si="2"/>
        <v>309699</v>
      </c>
    </row>
    <row r="74" spans="1:7" x14ac:dyDescent="0.25">
      <c r="B74" s="9" t="s">
        <v>87</v>
      </c>
      <c r="C74" s="9"/>
      <c r="D74" s="8">
        <f>ROUND(31564298.46,0)</f>
        <v>31564298</v>
      </c>
      <c r="E74" s="18">
        <v>2.18E-2</v>
      </c>
      <c r="G74" s="8">
        <f t="shared" si="2"/>
        <v>688102</v>
      </c>
    </row>
    <row r="75" spans="1:7" x14ac:dyDescent="0.25">
      <c r="B75" s="9" t="s">
        <v>89</v>
      </c>
      <c r="C75" s="9"/>
      <c r="D75" s="8">
        <f>ROUND(42570314.17,0)</f>
        <v>42570314</v>
      </c>
      <c r="E75" s="18">
        <v>1.8100000000000002E-2</v>
      </c>
      <c r="G75" s="8">
        <f t="shared" si="2"/>
        <v>770523</v>
      </c>
    </row>
    <row r="76" spans="1:7" x14ac:dyDescent="0.25">
      <c r="B76" s="9" t="s">
        <v>91</v>
      </c>
      <c r="C76" s="9"/>
      <c r="D76" s="17">
        <f>ROUND(56998844.55,0)</f>
        <v>56998845</v>
      </c>
      <c r="E76" s="18">
        <v>2.3E-2</v>
      </c>
      <c r="G76" s="8">
        <f t="shared" si="2"/>
        <v>1310973</v>
      </c>
    </row>
    <row r="77" spans="1:7" x14ac:dyDescent="0.25">
      <c r="B77" s="9" t="s">
        <v>198</v>
      </c>
      <c r="C77" s="9"/>
      <c r="D77" s="21">
        <f>ROUND(20515722.42,0)</f>
        <v>20515722</v>
      </c>
      <c r="E77" s="18">
        <v>2.1999999999999999E-2</v>
      </c>
      <c r="G77" s="21">
        <f t="shared" si="2"/>
        <v>451346</v>
      </c>
    </row>
    <row r="78" spans="1:7" x14ac:dyDescent="0.25">
      <c r="B78" s="9"/>
      <c r="C78" s="9"/>
      <c r="D78" s="34">
        <f>ROUND(SUM(D66:D77),0)</f>
        <v>218217685</v>
      </c>
      <c r="E78" s="18"/>
      <c r="G78" s="34">
        <f>ROUND(SUM(G66:G77),0)</f>
        <v>6025060</v>
      </c>
    </row>
    <row r="79" spans="1:7" x14ac:dyDescent="0.25">
      <c r="A79" s="20" t="s">
        <v>100</v>
      </c>
      <c r="B79" s="2" t="s">
        <v>101</v>
      </c>
      <c r="C79" s="2"/>
      <c r="E79" s="18"/>
    </row>
    <row r="80" spans="1:7" x14ac:dyDescent="0.25">
      <c r="B80" s="9" t="s">
        <v>74</v>
      </c>
      <c r="C80" s="9"/>
      <c r="D80" s="34">
        <f>ROUND(1883656.75,0)</f>
        <v>1883657</v>
      </c>
      <c r="E80" s="18">
        <v>0</v>
      </c>
      <c r="G80" s="34">
        <f>D80*E80</f>
        <v>0</v>
      </c>
    </row>
    <row r="81" spans="2:7" x14ac:dyDescent="0.25">
      <c r="B81" s="9" t="s">
        <v>75</v>
      </c>
      <c r="C81" s="9"/>
      <c r="D81" s="8">
        <f>ROUND(1238068.17,0)</f>
        <v>1238068</v>
      </c>
      <c r="E81" s="18">
        <v>0</v>
      </c>
      <c r="G81" s="8">
        <f>D81*E81</f>
        <v>0</v>
      </c>
    </row>
    <row r="82" spans="2:7" x14ac:dyDescent="0.25">
      <c r="B82" s="9" t="s">
        <v>76</v>
      </c>
      <c r="C82" s="9"/>
      <c r="D82" s="8">
        <f>ROUND(766540.46,0)</f>
        <v>766540</v>
      </c>
      <c r="E82" s="18">
        <v>0</v>
      </c>
      <c r="G82" s="8">
        <f>D82*E82</f>
        <v>0</v>
      </c>
    </row>
    <row r="83" spans="2:7" x14ac:dyDescent="0.25">
      <c r="B83" s="9" t="s">
        <v>77</v>
      </c>
      <c r="C83" s="9"/>
      <c r="D83" s="8">
        <f>ROUND(5920914.16,0)</f>
        <v>5920914</v>
      </c>
      <c r="E83" s="18">
        <v>5.33E-2</v>
      </c>
      <c r="G83" s="8">
        <f t="shared" ref="G83:G99" si="3">ROUND(D83*E83,0)</f>
        <v>315585</v>
      </c>
    </row>
    <row r="84" spans="2:7" x14ac:dyDescent="0.25">
      <c r="B84" s="9" t="s">
        <v>78</v>
      </c>
      <c r="C84" s="9"/>
      <c r="D84" s="8">
        <f>ROUND(987949.29,0)</f>
        <v>987949</v>
      </c>
      <c r="E84" s="18">
        <v>0</v>
      </c>
      <c r="G84" s="8">
        <f t="shared" si="3"/>
        <v>0</v>
      </c>
    </row>
    <row r="85" spans="2:7" x14ac:dyDescent="0.25">
      <c r="B85" s="9" t="s">
        <v>79</v>
      </c>
      <c r="C85" s="9"/>
      <c r="D85" s="8">
        <f>ROUND(9434824.98,0)</f>
        <v>9434825</v>
      </c>
      <c r="E85" s="18">
        <v>0.13239999999999999</v>
      </c>
      <c r="G85" s="8">
        <f t="shared" si="3"/>
        <v>1249171</v>
      </c>
    </row>
    <row r="86" spans="2:7" x14ac:dyDescent="0.25">
      <c r="B86" s="9" t="s">
        <v>80</v>
      </c>
      <c r="C86" s="9"/>
      <c r="D86" s="8">
        <f>ROUND(2216498.71,0)</f>
        <v>2216499</v>
      </c>
      <c r="E86" s="18">
        <v>0</v>
      </c>
      <c r="G86" s="8">
        <f t="shared" si="3"/>
        <v>0</v>
      </c>
    </row>
    <row r="87" spans="2:7" x14ac:dyDescent="0.25">
      <c r="B87" s="9" t="s">
        <v>81</v>
      </c>
      <c r="C87" s="9"/>
      <c r="D87" s="8">
        <f>ROUND(12638294.41,0)</f>
        <v>12638294</v>
      </c>
      <c r="E87" s="18">
        <v>0.128</v>
      </c>
      <c r="G87" s="8">
        <f t="shared" si="3"/>
        <v>1617702</v>
      </c>
    </row>
    <row r="88" spans="2:7" x14ac:dyDescent="0.25">
      <c r="B88" s="9" t="s">
        <v>82</v>
      </c>
      <c r="C88" s="9"/>
      <c r="D88" s="8">
        <f>ROUND(2199914.62,0)</f>
        <v>2199915</v>
      </c>
      <c r="E88" s="18">
        <v>0</v>
      </c>
      <c r="G88" s="8">
        <f t="shared" si="3"/>
        <v>0</v>
      </c>
    </row>
    <row r="89" spans="2:7" x14ac:dyDescent="0.25">
      <c r="B89" s="9" t="s">
        <v>83</v>
      </c>
      <c r="C89" s="9"/>
      <c r="D89" s="8">
        <f>ROUND(15685071.52,0)</f>
        <v>15685072</v>
      </c>
      <c r="E89" s="18">
        <v>3.09E-2</v>
      </c>
      <c r="G89" s="8">
        <f t="shared" si="3"/>
        <v>484669</v>
      </c>
    </row>
    <row r="90" spans="2:7" x14ac:dyDescent="0.25">
      <c r="B90" s="9" t="s">
        <v>84</v>
      </c>
      <c r="C90" s="9"/>
      <c r="D90" s="8">
        <f>ROUND(5541694.53,0)</f>
        <v>5541695</v>
      </c>
      <c r="E90" s="18">
        <v>0</v>
      </c>
      <c r="G90" s="8">
        <f t="shared" si="3"/>
        <v>0</v>
      </c>
    </row>
    <row r="91" spans="2:7" x14ac:dyDescent="0.25">
      <c r="B91" s="9" t="s">
        <v>85</v>
      </c>
      <c r="C91" s="9"/>
      <c r="D91" s="8">
        <f>ROUND(7415270.57,0)</f>
        <v>7415271</v>
      </c>
      <c r="E91" s="18">
        <v>2.1100000000000001E-2</v>
      </c>
      <c r="G91" s="8">
        <f t="shared" si="3"/>
        <v>156462</v>
      </c>
    </row>
    <row r="92" spans="2:7" x14ac:dyDescent="0.25">
      <c r="B92" s="9" t="s">
        <v>86</v>
      </c>
      <c r="C92" s="9"/>
      <c r="D92" s="8">
        <f>ROUND(4505053.12,0)</f>
        <v>4505053</v>
      </c>
      <c r="E92" s="18">
        <v>0</v>
      </c>
      <c r="G92" s="8">
        <f t="shared" si="3"/>
        <v>0</v>
      </c>
    </row>
    <row r="93" spans="2:7" x14ac:dyDescent="0.25">
      <c r="B93" s="9" t="s">
        <v>87</v>
      </c>
      <c r="C93" s="9"/>
      <c r="D93" s="8">
        <f>ROUND(15049879.52,0)</f>
        <v>15049880</v>
      </c>
      <c r="E93" s="18">
        <v>1.21E-2</v>
      </c>
      <c r="G93" s="8">
        <f t="shared" si="3"/>
        <v>182104</v>
      </c>
    </row>
    <row r="94" spans="2:7" x14ac:dyDescent="0.25">
      <c r="B94" s="9" t="s">
        <v>88</v>
      </c>
      <c r="C94" s="9"/>
      <c r="D94" s="8">
        <f>ROUND(2531772.82,0)</f>
        <v>2531773</v>
      </c>
      <c r="E94" s="18">
        <v>0</v>
      </c>
      <c r="G94" s="8">
        <f t="shared" si="3"/>
        <v>0</v>
      </c>
    </row>
    <row r="95" spans="2:7" x14ac:dyDescent="0.25">
      <c r="B95" s="9" t="s">
        <v>89</v>
      </c>
      <c r="C95" s="9"/>
      <c r="D95" s="8">
        <f>ROUND(24032540.98,0)</f>
        <v>24032541</v>
      </c>
      <c r="E95" s="18">
        <v>1.7500000000000002E-2</v>
      </c>
      <c r="G95" s="8">
        <f t="shared" si="3"/>
        <v>420569</v>
      </c>
    </row>
    <row r="96" spans="2:7" x14ac:dyDescent="0.25">
      <c r="B96" s="9" t="s">
        <v>90</v>
      </c>
      <c r="C96" s="9"/>
      <c r="D96" s="8">
        <f>ROUND(5864978.88,0)</f>
        <v>5864979</v>
      </c>
      <c r="E96" s="18">
        <v>6.4999999999999997E-3</v>
      </c>
      <c r="G96" s="8">
        <f t="shared" si="3"/>
        <v>38122</v>
      </c>
    </row>
    <row r="97" spans="1:7" x14ac:dyDescent="0.25">
      <c r="B97" s="9" t="s">
        <v>91</v>
      </c>
      <c r="C97" s="9"/>
      <c r="D97" s="8">
        <f>ROUND(49158460.56,0)</f>
        <v>49158461</v>
      </c>
      <c r="E97" s="18">
        <v>2.1399999999999999E-2</v>
      </c>
      <c r="G97" s="8">
        <f t="shared" si="3"/>
        <v>1051991</v>
      </c>
    </row>
    <row r="98" spans="1:7" x14ac:dyDescent="0.25">
      <c r="B98" s="9" t="s">
        <v>193</v>
      </c>
      <c r="C98" s="9"/>
      <c r="D98" s="17">
        <f>ROUND(2736920.21,0)</f>
        <v>2736920</v>
      </c>
      <c r="E98" s="18">
        <v>1.0200000000000001E-2</v>
      </c>
      <c r="G98" s="8">
        <f t="shared" si="3"/>
        <v>27917</v>
      </c>
    </row>
    <row r="99" spans="1:7" x14ac:dyDescent="0.25">
      <c r="B99" s="9" t="s">
        <v>198</v>
      </c>
      <c r="C99" s="9"/>
      <c r="D99" s="21">
        <f>ROUND(8459460.79,0)</f>
        <v>8459461</v>
      </c>
      <c r="E99" s="18">
        <v>2.3699999999999999E-2</v>
      </c>
      <c r="G99" s="21">
        <f t="shared" si="3"/>
        <v>200489</v>
      </c>
    </row>
    <row r="100" spans="1:7" x14ac:dyDescent="0.25">
      <c r="B100" s="9"/>
      <c r="C100" s="9"/>
      <c r="D100" s="34">
        <f>ROUND(SUM(D80:D99),0)</f>
        <v>178267767</v>
      </c>
      <c r="E100" s="18"/>
      <c r="G100" s="34">
        <f>ROUND(SUM(G80:G99),0)</f>
        <v>5744781</v>
      </c>
    </row>
    <row r="101" spans="1:7" x14ac:dyDescent="0.25">
      <c r="A101" s="20" t="s">
        <v>102</v>
      </c>
      <c r="B101" s="2" t="s">
        <v>103</v>
      </c>
      <c r="C101" s="2"/>
      <c r="E101" s="18"/>
    </row>
    <row r="102" spans="1:7" x14ac:dyDescent="0.25">
      <c r="B102" s="9" t="s">
        <v>74</v>
      </c>
      <c r="C102" s="9"/>
      <c r="D102" s="34">
        <f>ROUND(38746.19,0)</f>
        <v>38746</v>
      </c>
      <c r="E102" s="18">
        <v>0</v>
      </c>
      <c r="G102" s="34">
        <f>D102*E102</f>
        <v>0</v>
      </c>
    </row>
    <row r="103" spans="1:7" x14ac:dyDescent="0.25">
      <c r="B103" s="9" t="s">
        <v>76</v>
      </c>
      <c r="C103" s="9"/>
      <c r="D103" s="8">
        <f>ROUND(11664.48,0)</f>
        <v>11664</v>
      </c>
      <c r="E103" s="18">
        <v>0</v>
      </c>
      <c r="G103" s="8">
        <f>D103*E103</f>
        <v>0</v>
      </c>
    </row>
    <row r="104" spans="1:7" x14ac:dyDescent="0.25">
      <c r="B104" s="9" t="s">
        <v>77</v>
      </c>
      <c r="C104" s="9"/>
      <c r="D104" s="8">
        <f>ROUND(87249.03,0)</f>
        <v>87249</v>
      </c>
      <c r="E104" s="18">
        <v>0.188</v>
      </c>
      <c r="G104" s="8">
        <f t="shared" ref="G104:G116" si="4">ROUND(D104*E104,0)</f>
        <v>16403</v>
      </c>
    </row>
    <row r="105" spans="1:7" x14ac:dyDescent="0.25">
      <c r="B105" s="9" t="s">
        <v>78</v>
      </c>
      <c r="C105" s="9"/>
      <c r="D105" s="8">
        <f>ROUND(6464.3,0)</f>
        <v>6464</v>
      </c>
      <c r="E105" s="18">
        <v>0</v>
      </c>
      <c r="G105" s="8">
        <f t="shared" si="4"/>
        <v>0</v>
      </c>
    </row>
    <row r="106" spans="1:7" x14ac:dyDescent="0.25">
      <c r="B106" s="9" t="s">
        <v>79</v>
      </c>
      <c r="C106" s="9"/>
      <c r="D106" s="8">
        <f>ROUND(96972.33,0)</f>
        <v>96972</v>
      </c>
      <c r="E106" s="18">
        <v>0.17399999999999999</v>
      </c>
      <c r="G106" s="8">
        <f t="shared" si="4"/>
        <v>16873</v>
      </c>
    </row>
    <row r="107" spans="1:7" x14ac:dyDescent="0.25">
      <c r="B107" s="9" t="s">
        <v>80</v>
      </c>
      <c r="C107" s="9"/>
      <c r="D107" s="8">
        <f>ROUND(47299.47,0)</f>
        <v>47299</v>
      </c>
      <c r="E107" s="18">
        <v>0</v>
      </c>
      <c r="G107" s="8">
        <f t="shared" si="4"/>
        <v>0</v>
      </c>
    </row>
    <row r="108" spans="1:7" x14ac:dyDescent="0.25">
      <c r="B108" s="9" t="s">
        <v>81</v>
      </c>
      <c r="C108" s="9"/>
      <c r="D108" s="8">
        <f>ROUND(2987195.98,0)</f>
        <v>2987196</v>
      </c>
      <c r="E108" s="18">
        <v>0.15740000000000001</v>
      </c>
      <c r="G108" s="8">
        <f t="shared" si="4"/>
        <v>470185</v>
      </c>
    </row>
    <row r="109" spans="1:7" x14ac:dyDescent="0.25">
      <c r="B109" s="9" t="s">
        <v>82</v>
      </c>
      <c r="C109" s="9"/>
      <c r="D109" s="8">
        <f>ROUND(31568.91,0)</f>
        <v>31569</v>
      </c>
      <c r="E109" s="18">
        <v>0</v>
      </c>
      <c r="G109" s="8">
        <f t="shared" si="4"/>
        <v>0</v>
      </c>
    </row>
    <row r="110" spans="1:7" x14ac:dyDescent="0.25">
      <c r="B110" s="9" t="s">
        <v>83</v>
      </c>
      <c r="C110" s="9"/>
      <c r="D110" s="8">
        <f>ROUND(758151.11,0)</f>
        <v>758151</v>
      </c>
      <c r="E110" s="18">
        <v>2.92E-2</v>
      </c>
      <c r="G110" s="8">
        <f t="shared" si="4"/>
        <v>22138</v>
      </c>
    </row>
    <row r="111" spans="1:7" x14ac:dyDescent="0.25">
      <c r="B111" s="9" t="s">
        <v>85</v>
      </c>
      <c r="C111" s="9"/>
      <c r="D111" s="8">
        <f>ROUND(125820.55,0)</f>
        <v>125821</v>
      </c>
      <c r="E111" s="18">
        <v>2.1299999999999999E-2</v>
      </c>
      <c r="G111" s="8">
        <f t="shared" si="4"/>
        <v>2680</v>
      </c>
    </row>
    <row r="112" spans="1:7" x14ac:dyDescent="0.25">
      <c r="B112" s="9" t="s">
        <v>87</v>
      </c>
      <c r="C112" s="9"/>
      <c r="D112" s="8">
        <f>ROUND(328574.63,0)</f>
        <v>328575</v>
      </c>
      <c r="E112" s="18">
        <v>1.55E-2</v>
      </c>
      <c r="G112" s="8">
        <f t="shared" si="4"/>
        <v>5093</v>
      </c>
    </row>
    <row r="113" spans="1:7" x14ac:dyDescent="0.25">
      <c r="B113" s="9" t="s">
        <v>89</v>
      </c>
      <c r="C113" s="9"/>
      <c r="D113" s="8">
        <f>ROUND(7331264,0)</f>
        <v>7331264</v>
      </c>
      <c r="E113" s="18">
        <v>2.9399999999999999E-2</v>
      </c>
      <c r="G113" s="8">
        <f t="shared" si="4"/>
        <v>215539</v>
      </c>
    </row>
    <row r="114" spans="1:7" x14ac:dyDescent="0.25">
      <c r="B114" s="9" t="s">
        <v>90</v>
      </c>
      <c r="C114" s="9"/>
      <c r="D114" s="8">
        <f>ROUND(74850.95,0)</f>
        <v>74851</v>
      </c>
      <c r="E114" s="18">
        <v>2.3099999999999999E-2</v>
      </c>
      <c r="G114" s="8">
        <f t="shared" si="4"/>
        <v>1729</v>
      </c>
    </row>
    <row r="115" spans="1:7" x14ac:dyDescent="0.25">
      <c r="B115" s="9" t="s">
        <v>91</v>
      </c>
      <c r="C115" s="9"/>
      <c r="D115" s="17">
        <f>ROUND(2917560.39,0)</f>
        <v>2917560</v>
      </c>
      <c r="E115" s="18">
        <v>2.6200000000000001E-2</v>
      </c>
      <c r="G115" s="8">
        <f t="shared" si="4"/>
        <v>76440</v>
      </c>
    </row>
    <row r="116" spans="1:7" x14ac:dyDescent="0.25">
      <c r="B116" s="9" t="s">
        <v>198</v>
      </c>
      <c r="C116" s="9"/>
      <c r="D116" s="21">
        <f>ROUND(1608916.96,0)</f>
        <v>1608917</v>
      </c>
      <c r="E116" s="18">
        <v>2.63E-2</v>
      </c>
      <c r="G116" s="21">
        <f t="shared" si="4"/>
        <v>42315</v>
      </c>
    </row>
    <row r="117" spans="1:7" x14ac:dyDescent="0.25">
      <c r="B117" s="9"/>
      <c r="C117" s="9"/>
      <c r="D117" s="34">
        <f>ROUND(SUM(D102:D116),0)</f>
        <v>16452298</v>
      </c>
      <c r="E117" s="18"/>
      <c r="G117" s="34">
        <f>ROUND(SUM(G102:G116),0)</f>
        <v>869395</v>
      </c>
    </row>
    <row r="118" spans="1:7" x14ac:dyDescent="0.25">
      <c r="B118" s="9"/>
      <c r="C118" s="9"/>
      <c r="E118" s="18"/>
    </row>
    <row r="119" spans="1:7" ht="18.75" x14ac:dyDescent="0.3">
      <c r="A119" s="20" t="s">
        <v>104</v>
      </c>
      <c r="B119" s="2" t="s">
        <v>166</v>
      </c>
      <c r="C119" s="2"/>
      <c r="D119" s="8">
        <f>ROUND(27798267.34,0)</f>
        <v>27798267</v>
      </c>
      <c r="E119" s="18"/>
    </row>
    <row r="120" spans="1:7" x14ac:dyDescent="0.25">
      <c r="B120" s="9"/>
      <c r="C120" s="9"/>
      <c r="E120" s="18"/>
    </row>
    <row r="121" spans="1:7" x14ac:dyDescent="0.25">
      <c r="B121" s="16" t="s">
        <v>105</v>
      </c>
      <c r="C121" s="2"/>
      <c r="D121" s="54">
        <f>ROUND(D119+D117+D100+D78+D64+D37+D14+D15,0)</f>
        <v>2160251683</v>
      </c>
      <c r="E121" s="18"/>
      <c r="G121" s="54">
        <f>G119+G117+G100+G78+G64+G37+G14</f>
        <v>69721583</v>
      </c>
    </row>
    <row r="122" spans="1:7" x14ac:dyDescent="0.25">
      <c r="B122" s="9"/>
      <c r="C122" s="9"/>
      <c r="E122" s="18"/>
    </row>
    <row r="123" spans="1:7" x14ac:dyDescent="0.25">
      <c r="A123" s="16" t="s">
        <v>106</v>
      </c>
      <c r="B123" s="9"/>
      <c r="C123" s="9"/>
      <c r="E123" s="18"/>
    </row>
    <row r="124" spans="1:7" x14ac:dyDescent="0.25">
      <c r="A124" s="16"/>
      <c r="B124" s="22" t="s">
        <v>114</v>
      </c>
      <c r="C124" s="22"/>
      <c r="E124" s="18"/>
    </row>
    <row r="125" spans="1:7" x14ac:dyDescent="0.25">
      <c r="B125" s="9" t="s">
        <v>113</v>
      </c>
      <c r="C125" s="9"/>
      <c r="D125" s="34">
        <v>6</v>
      </c>
      <c r="E125" s="18">
        <v>0</v>
      </c>
      <c r="G125" s="34">
        <f>D125*E125</f>
        <v>0</v>
      </c>
    </row>
    <row r="126" spans="1:7" x14ac:dyDescent="0.25">
      <c r="B126" s="9" t="s">
        <v>107</v>
      </c>
      <c r="C126" s="9"/>
      <c r="D126" s="8">
        <f>ROUND(4897071.78,0)</f>
        <v>4897072</v>
      </c>
      <c r="E126" s="18">
        <v>5.5999999999999999E-3</v>
      </c>
      <c r="G126" s="8">
        <f t="shared" ref="G126:G131" si="5">ROUND(D126*E126,0)</f>
        <v>27424</v>
      </c>
    </row>
    <row r="127" spans="1:7" x14ac:dyDescent="0.25">
      <c r="B127" s="9" t="s">
        <v>108</v>
      </c>
      <c r="C127" s="9"/>
      <c r="D127" s="8">
        <f>ROUND(11690251.61,0)</f>
        <v>11690252</v>
      </c>
      <c r="E127" s="18">
        <v>2.7099999999999999E-2</v>
      </c>
      <c r="G127" s="8">
        <f t="shared" si="5"/>
        <v>316806</v>
      </c>
    </row>
    <row r="128" spans="1:7" x14ac:dyDescent="0.25">
      <c r="B128" s="9" t="s">
        <v>109</v>
      </c>
      <c r="C128" s="9"/>
      <c r="D128" s="8">
        <f>ROUND(19945213.62,0)</f>
        <v>19945214</v>
      </c>
      <c r="E128" s="18">
        <v>3.0499999999999999E-2</v>
      </c>
      <c r="G128" s="8">
        <f t="shared" si="5"/>
        <v>608329</v>
      </c>
    </row>
    <row r="129" spans="1:7" x14ac:dyDescent="0.25">
      <c r="B129" s="9" t="s">
        <v>110</v>
      </c>
      <c r="C129" s="9"/>
      <c r="D129" s="8">
        <f>ROUND(5509836.22,0)</f>
        <v>5509836</v>
      </c>
      <c r="E129" s="18">
        <v>2.1000000000000001E-2</v>
      </c>
      <c r="G129" s="8">
        <f t="shared" si="5"/>
        <v>115707</v>
      </c>
    </row>
    <row r="130" spans="1:7" x14ac:dyDescent="0.25">
      <c r="B130" s="9" t="s">
        <v>111</v>
      </c>
      <c r="C130" s="9"/>
      <c r="D130" s="8">
        <f>ROUND(284788.68,0)</f>
        <v>284789</v>
      </c>
      <c r="E130" s="18">
        <v>2.7199999999999998E-2</v>
      </c>
      <c r="G130" s="8">
        <f t="shared" si="5"/>
        <v>7746</v>
      </c>
    </row>
    <row r="131" spans="1:7" x14ac:dyDescent="0.25">
      <c r="B131" s="9" t="s">
        <v>112</v>
      </c>
      <c r="C131" s="9"/>
      <c r="D131" s="21">
        <f>ROUND(28796.63,0)</f>
        <v>28797</v>
      </c>
      <c r="E131" s="18">
        <v>2.4500000000000001E-2</v>
      </c>
      <c r="G131" s="21">
        <f t="shared" si="5"/>
        <v>706</v>
      </c>
    </row>
    <row r="132" spans="1:7" x14ac:dyDescent="0.25">
      <c r="B132" s="9"/>
      <c r="C132" s="9"/>
      <c r="D132" s="34">
        <f>ROUND(SUM(D125:D131),0)</f>
        <v>42355966</v>
      </c>
      <c r="E132" s="18"/>
      <c r="G132" s="34">
        <f>ROUND(SUM(G125:G131),0)</f>
        <v>1076718</v>
      </c>
    </row>
    <row r="133" spans="1:7" x14ac:dyDescent="0.25">
      <c r="A133" s="16" t="s">
        <v>115</v>
      </c>
      <c r="B133" s="9"/>
      <c r="C133" s="9"/>
      <c r="E133" s="18"/>
    </row>
    <row r="134" spans="1:7" x14ac:dyDescent="0.25">
      <c r="B134" s="22" t="s">
        <v>116</v>
      </c>
      <c r="C134" s="22"/>
      <c r="E134" s="18"/>
    </row>
    <row r="135" spans="1:7" x14ac:dyDescent="0.25">
      <c r="B135" s="9" t="s">
        <v>113</v>
      </c>
      <c r="C135" s="9"/>
      <c r="D135" s="34">
        <f>ROUND(0.5,0)</f>
        <v>1</v>
      </c>
      <c r="E135" s="18">
        <v>0</v>
      </c>
      <c r="G135" s="34">
        <f>D135*E135</f>
        <v>0</v>
      </c>
    </row>
    <row r="136" spans="1:7" x14ac:dyDescent="0.25">
      <c r="B136" s="9" t="s">
        <v>107</v>
      </c>
      <c r="C136" s="9"/>
      <c r="D136" s="8">
        <f>ROUND(65796.14,0)</f>
        <v>65796</v>
      </c>
      <c r="E136" s="18">
        <v>1.5699999999999999E-2</v>
      </c>
      <c r="G136" s="8">
        <f>ROUND(D136*E136,0)</f>
        <v>1033</v>
      </c>
    </row>
    <row r="137" spans="1:7" x14ac:dyDescent="0.25">
      <c r="B137" s="9" t="s">
        <v>111</v>
      </c>
      <c r="C137" s="9"/>
      <c r="D137" s="8">
        <f>ROUND(25458.41,0)</f>
        <v>25458</v>
      </c>
      <c r="E137" s="18">
        <v>2.9100000000000001E-2</v>
      </c>
      <c r="G137" s="8">
        <f>ROUND(D137*E137,0)</f>
        <v>741</v>
      </c>
    </row>
    <row r="138" spans="1:7" x14ac:dyDescent="0.25">
      <c r="B138" s="9" t="s">
        <v>112</v>
      </c>
      <c r="C138" s="9"/>
      <c r="D138" s="8">
        <f>ROUND(1133.98,0)</f>
        <v>1134</v>
      </c>
      <c r="E138" s="18">
        <v>0</v>
      </c>
      <c r="G138" s="8">
        <f>D138*E138</f>
        <v>0</v>
      </c>
    </row>
    <row r="139" spans="1:7" ht="18.75" x14ac:dyDescent="0.3">
      <c r="B139" s="9" t="s">
        <v>180</v>
      </c>
      <c r="C139" s="9"/>
      <c r="D139" s="21">
        <f>ROUND(103528.98,0)</f>
        <v>103529</v>
      </c>
      <c r="E139" s="18"/>
      <c r="G139" s="21"/>
    </row>
    <row r="140" spans="1:7" x14ac:dyDescent="0.25">
      <c r="B140" s="9"/>
      <c r="C140" s="9"/>
      <c r="D140" s="34">
        <f>ROUND(SUM(D135:D139),0)</f>
        <v>195918</v>
      </c>
      <c r="E140" s="18"/>
      <c r="G140" s="34">
        <f>ROUND(SUM(G135:G139),0)</f>
        <v>1774</v>
      </c>
    </row>
    <row r="141" spans="1:7" x14ac:dyDescent="0.25">
      <c r="B141" s="9"/>
      <c r="C141" s="9"/>
      <c r="E141" s="18"/>
    </row>
    <row r="142" spans="1:7" x14ac:dyDescent="0.25">
      <c r="B142" s="22" t="s">
        <v>158</v>
      </c>
      <c r="C142" s="9"/>
      <c r="D142" s="54">
        <f>ROUND(D140+D132,0)</f>
        <v>42551884</v>
      </c>
      <c r="E142" s="18"/>
      <c r="G142" s="54">
        <f>ROUND(G140+G132,0)</f>
        <v>1078492</v>
      </c>
    </row>
    <row r="143" spans="1:7" x14ac:dyDescent="0.25">
      <c r="B143" s="9"/>
      <c r="C143" s="9"/>
      <c r="E143" s="18"/>
    </row>
    <row r="144" spans="1:7" x14ac:dyDescent="0.25">
      <c r="A144" s="16" t="s">
        <v>0</v>
      </c>
      <c r="B144" s="9"/>
      <c r="C144" s="9"/>
      <c r="E144" s="18"/>
    </row>
    <row r="145" spans="1:7" x14ac:dyDescent="0.25">
      <c r="A145" s="20" t="s">
        <v>117</v>
      </c>
      <c r="B145" s="2" t="s">
        <v>118</v>
      </c>
      <c r="C145" s="2"/>
      <c r="D145" s="34">
        <f>ROUND(8132.93,0)</f>
        <v>8133</v>
      </c>
      <c r="E145" s="18">
        <v>0</v>
      </c>
      <c r="G145" s="78">
        <f>D145*E145</f>
        <v>0</v>
      </c>
    </row>
    <row r="146" spans="1:7" x14ac:dyDescent="0.25">
      <c r="A146" s="20" t="s">
        <v>119</v>
      </c>
      <c r="B146" s="2" t="s">
        <v>73</v>
      </c>
      <c r="C146" s="2"/>
      <c r="E146" s="18"/>
    </row>
    <row r="147" spans="1:7" x14ac:dyDescent="0.25">
      <c r="B147" s="9" t="s">
        <v>122</v>
      </c>
      <c r="C147" s="9"/>
      <c r="D147" s="34">
        <f>ROUND(211518.43,0)</f>
        <v>211518</v>
      </c>
      <c r="E147" s="18">
        <v>0.14330000000000001</v>
      </c>
      <c r="G147" s="34">
        <f t="shared" ref="G147:G159" si="6">ROUND(D147*E147,0)</f>
        <v>30311</v>
      </c>
    </row>
    <row r="148" spans="1:7" x14ac:dyDescent="0.25">
      <c r="B148" s="9" t="s">
        <v>120</v>
      </c>
      <c r="C148" s="9"/>
      <c r="D148" s="8">
        <f>ROUND(8241.14,0)</f>
        <v>8241</v>
      </c>
      <c r="E148" s="18">
        <v>0</v>
      </c>
      <c r="G148" s="8">
        <f t="shared" si="6"/>
        <v>0</v>
      </c>
    </row>
    <row r="149" spans="1:7" x14ac:dyDescent="0.25">
      <c r="B149" s="9" t="s">
        <v>123</v>
      </c>
      <c r="C149" s="9"/>
      <c r="D149" s="8">
        <f>ROUND(64113.35,0)</f>
        <v>64113</v>
      </c>
      <c r="E149" s="18">
        <v>3.5400000000000001E-2</v>
      </c>
      <c r="G149" s="8">
        <f t="shared" si="6"/>
        <v>2270</v>
      </c>
    </row>
    <row r="150" spans="1:7" x14ac:dyDescent="0.25">
      <c r="B150" s="9" t="s">
        <v>124</v>
      </c>
      <c r="C150" s="9"/>
      <c r="D150" s="8">
        <f>ROUND(2158698.12,0)</f>
        <v>2158698</v>
      </c>
      <c r="E150" s="18">
        <v>3.6799999999999999E-2</v>
      </c>
      <c r="G150" s="8">
        <f t="shared" si="6"/>
        <v>79440</v>
      </c>
    </row>
    <row r="151" spans="1:7" x14ac:dyDescent="0.25">
      <c r="B151" s="9" t="s">
        <v>125</v>
      </c>
      <c r="C151" s="9"/>
      <c r="D151" s="8">
        <f>ROUND(858538.64,0)</f>
        <v>858539</v>
      </c>
      <c r="E151" s="18">
        <v>3.6799999999999999E-2</v>
      </c>
      <c r="G151" s="8">
        <f t="shared" si="6"/>
        <v>31594</v>
      </c>
    </row>
    <row r="152" spans="1:7" x14ac:dyDescent="0.25">
      <c r="B152" s="9" t="s">
        <v>126</v>
      </c>
      <c r="C152" s="9"/>
      <c r="D152" s="8">
        <f>ROUND(105977.86,0)</f>
        <v>105978</v>
      </c>
      <c r="E152" s="18">
        <v>4.2099999999999999E-2</v>
      </c>
      <c r="G152" s="8">
        <f t="shared" si="6"/>
        <v>4462</v>
      </c>
    </row>
    <row r="153" spans="1:7" x14ac:dyDescent="0.25">
      <c r="B153" s="9" t="s">
        <v>127</v>
      </c>
      <c r="C153" s="9"/>
      <c r="D153" s="8">
        <f>ROUND(144356.29,0)</f>
        <v>144356</v>
      </c>
      <c r="E153" s="18">
        <v>4.2000000000000003E-2</v>
      </c>
      <c r="G153" s="8">
        <f t="shared" si="6"/>
        <v>6063</v>
      </c>
    </row>
    <row r="154" spans="1:7" x14ac:dyDescent="0.25">
      <c r="B154" s="9" t="s">
        <v>128</v>
      </c>
      <c r="C154" s="9"/>
      <c r="D154" s="8">
        <f>ROUND(1555655.08,0)</f>
        <v>1555655</v>
      </c>
      <c r="E154" s="18">
        <v>3.6799999999999999E-2</v>
      </c>
      <c r="G154" s="8">
        <f t="shared" si="6"/>
        <v>57248</v>
      </c>
    </row>
    <row r="155" spans="1:7" x14ac:dyDescent="0.25">
      <c r="B155" s="9" t="s">
        <v>129</v>
      </c>
      <c r="C155" s="9"/>
      <c r="D155" s="8">
        <f>ROUND(1467923.89,0)</f>
        <v>1467924</v>
      </c>
      <c r="E155" s="18">
        <v>3.6700000000000003E-2</v>
      </c>
      <c r="G155" s="8">
        <f t="shared" si="6"/>
        <v>53873</v>
      </c>
    </row>
    <row r="156" spans="1:7" x14ac:dyDescent="0.25">
      <c r="B156" s="9" t="s">
        <v>130</v>
      </c>
      <c r="C156" s="9"/>
      <c r="D156" s="8">
        <f>ROUND(2083698.13,0)</f>
        <v>2083698</v>
      </c>
      <c r="E156" s="18">
        <v>3.61E-2</v>
      </c>
      <c r="G156" s="8">
        <f t="shared" si="6"/>
        <v>75221</v>
      </c>
    </row>
    <row r="157" spans="1:7" x14ac:dyDescent="0.25">
      <c r="B157" s="9" t="s">
        <v>131</v>
      </c>
      <c r="C157" s="9"/>
      <c r="D157" s="8">
        <f>ROUND(2075526.5,0)</f>
        <v>2075527</v>
      </c>
      <c r="E157" s="18">
        <v>3.61E-2</v>
      </c>
      <c r="G157" s="8">
        <f t="shared" si="6"/>
        <v>74927</v>
      </c>
    </row>
    <row r="158" spans="1:7" x14ac:dyDescent="0.25">
      <c r="B158" s="9" t="s">
        <v>132</v>
      </c>
      <c r="C158" s="9"/>
      <c r="D158" s="8">
        <f>ROUND(2137402.33,0)</f>
        <v>2137402</v>
      </c>
      <c r="E158" s="18">
        <v>3.6200000000000003E-2</v>
      </c>
      <c r="G158" s="8">
        <f t="shared" si="6"/>
        <v>77374</v>
      </c>
    </row>
    <row r="159" spans="1:7" x14ac:dyDescent="0.25">
      <c r="B159" s="9" t="s">
        <v>133</v>
      </c>
      <c r="C159" s="9"/>
      <c r="D159" s="21">
        <f>ROUND(2132789.69,0)</f>
        <v>2132790</v>
      </c>
      <c r="E159" s="18">
        <v>3.6200000000000003E-2</v>
      </c>
      <c r="G159" s="21">
        <f t="shared" si="6"/>
        <v>77207</v>
      </c>
    </row>
    <row r="160" spans="1:7" x14ac:dyDescent="0.25">
      <c r="B160" s="9"/>
      <c r="C160" s="9"/>
      <c r="D160" s="34">
        <f>ROUND(SUM(D147:D159),0)</f>
        <v>15004439</v>
      </c>
      <c r="E160" s="18"/>
      <c r="G160" s="34">
        <f>ROUND(SUM(G147:G159),0)</f>
        <v>569990</v>
      </c>
    </row>
    <row r="161" spans="1:7" x14ac:dyDescent="0.25">
      <c r="A161" s="20" t="s">
        <v>134</v>
      </c>
      <c r="B161" s="2" t="s">
        <v>135</v>
      </c>
      <c r="C161" s="2"/>
      <c r="E161" s="18"/>
    </row>
    <row r="162" spans="1:7" x14ac:dyDescent="0.25">
      <c r="B162" s="9" t="s">
        <v>122</v>
      </c>
      <c r="C162" s="9"/>
      <c r="D162" s="34">
        <f>ROUND(319042.17,0)</f>
        <v>319042</v>
      </c>
      <c r="E162" s="18">
        <v>0.14649999999999999</v>
      </c>
      <c r="G162" s="34">
        <f t="shared" ref="G162:G176" si="7">ROUND(D162*E162,0)</f>
        <v>46740</v>
      </c>
    </row>
    <row r="163" spans="1:7" x14ac:dyDescent="0.25">
      <c r="B163" s="9" t="s">
        <v>120</v>
      </c>
      <c r="C163" s="9"/>
      <c r="D163" s="8">
        <f>ROUND(23433.81,0)</f>
        <v>23434</v>
      </c>
      <c r="E163" s="18">
        <v>4.1099999999999998E-2</v>
      </c>
      <c r="G163" s="8">
        <f t="shared" si="7"/>
        <v>963</v>
      </c>
    </row>
    <row r="164" spans="1:7" x14ac:dyDescent="0.25">
      <c r="B164" s="9" t="s">
        <v>121</v>
      </c>
      <c r="C164" s="9"/>
      <c r="D164" s="8">
        <f>ROUND(9237.57,0)</f>
        <v>9238</v>
      </c>
      <c r="E164" s="18">
        <v>0</v>
      </c>
      <c r="G164" s="8">
        <f t="shared" si="7"/>
        <v>0</v>
      </c>
    </row>
    <row r="165" spans="1:7" x14ac:dyDescent="0.25">
      <c r="B165" s="9" t="s">
        <v>123</v>
      </c>
      <c r="C165" s="9"/>
      <c r="D165" s="8">
        <f>ROUND(21667.08,0)</f>
        <v>21667</v>
      </c>
      <c r="E165" s="18">
        <v>5.2299999999999999E-2</v>
      </c>
      <c r="G165" s="8">
        <f t="shared" si="7"/>
        <v>1133</v>
      </c>
    </row>
    <row r="166" spans="1:7" x14ac:dyDescent="0.25">
      <c r="B166" s="9" t="s">
        <v>124</v>
      </c>
      <c r="C166" s="9"/>
      <c r="D166" s="8">
        <f>ROUND(2255338.17,0)</f>
        <v>2255338</v>
      </c>
      <c r="E166" s="18">
        <v>3.7999999999999999E-2</v>
      </c>
      <c r="G166" s="8">
        <f t="shared" si="7"/>
        <v>85703</v>
      </c>
    </row>
    <row r="167" spans="1:7" x14ac:dyDescent="0.25">
      <c r="B167" s="9" t="s">
        <v>125</v>
      </c>
      <c r="C167" s="9"/>
      <c r="D167" s="8">
        <f>ROUND(846906.63,0)</f>
        <v>846907</v>
      </c>
      <c r="E167" s="18">
        <v>4.2099999999999999E-2</v>
      </c>
      <c r="G167" s="8">
        <f t="shared" si="7"/>
        <v>35655</v>
      </c>
    </row>
    <row r="168" spans="1:7" x14ac:dyDescent="0.25">
      <c r="B168" s="9" t="s">
        <v>126</v>
      </c>
      <c r="C168" s="9"/>
      <c r="D168" s="8">
        <f>ROUND(403060.13,0)</f>
        <v>403060</v>
      </c>
      <c r="E168" s="18">
        <v>5.5199999999999999E-2</v>
      </c>
      <c r="G168" s="8">
        <f t="shared" si="7"/>
        <v>22249</v>
      </c>
    </row>
    <row r="169" spans="1:7" x14ac:dyDescent="0.25">
      <c r="B169" s="9" t="s">
        <v>127</v>
      </c>
      <c r="C169" s="9"/>
      <c r="D169" s="8">
        <f>ROUND(141363.16,0)</f>
        <v>141363</v>
      </c>
      <c r="E169" s="18">
        <v>8.1900000000000001E-2</v>
      </c>
      <c r="G169" s="8">
        <f t="shared" si="7"/>
        <v>11578</v>
      </c>
    </row>
    <row r="170" spans="1:7" x14ac:dyDescent="0.25">
      <c r="B170" s="9" t="s">
        <v>128</v>
      </c>
      <c r="C170" s="9"/>
      <c r="D170" s="8">
        <f>ROUND(97996.9,0)</f>
        <v>97997</v>
      </c>
      <c r="E170" s="18">
        <v>3.78E-2</v>
      </c>
      <c r="G170" s="8">
        <f t="shared" si="7"/>
        <v>3704</v>
      </c>
    </row>
    <row r="171" spans="1:7" x14ac:dyDescent="0.25">
      <c r="B171" s="9" t="s">
        <v>129</v>
      </c>
      <c r="C171" s="9"/>
      <c r="D171" s="8">
        <f>ROUND(97861.58,0)</f>
        <v>97862</v>
      </c>
      <c r="E171" s="18">
        <v>3.78E-2</v>
      </c>
      <c r="G171" s="8">
        <f t="shared" si="7"/>
        <v>3699</v>
      </c>
    </row>
    <row r="172" spans="1:7" x14ac:dyDescent="0.25">
      <c r="B172" s="9" t="s">
        <v>136</v>
      </c>
      <c r="C172" s="9"/>
      <c r="D172" s="8">
        <f>ROUND(1998390.62,0)</f>
        <v>1998391</v>
      </c>
      <c r="E172" s="18">
        <v>3.44E-2</v>
      </c>
      <c r="G172" s="8">
        <f t="shared" si="7"/>
        <v>68745</v>
      </c>
    </row>
    <row r="173" spans="1:7" x14ac:dyDescent="0.25">
      <c r="B173" s="9" t="s">
        <v>130</v>
      </c>
      <c r="C173" s="9"/>
      <c r="D173" s="8">
        <f>ROUND(338423.07,0)</f>
        <v>338423</v>
      </c>
      <c r="E173" s="18">
        <v>3.73E-2</v>
      </c>
      <c r="G173" s="8">
        <f t="shared" si="7"/>
        <v>12623</v>
      </c>
    </row>
    <row r="174" spans="1:7" x14ac:dyDescent="0.25">
      <c r="B174" s="9" t="s">
        <v>131</v>
      </c>
      <c r="C174" s="9"/>
      <c r="D174" s="8">
        <f>ROUND(337096.18,0)</f>
        <v>337096</v>
      </c>
      <c r="E174" s="18">
        <v>3.73E-2</v>
      </c>
      <c r="G174" s="8">
        <f t="shared" si="7"/>
        <v>12574</v>
      </c>
    </row>
    <row r="175" spans="1:7" x14ac:dyDescent="0.25">
      <c r="B175" s="9" t="s">
        <v>132</v>
      </c>
      <c r="C175" s="9"/>
      <c r="D175" s="8">
        <f>ROUND(347146.53,0)</f>
        <v>347147</v>
      </c>
      <c r="E175" s="18">
        <v>3.7400000000000003E-2</v>
      </c>
      <c r="G175" s="8">
        <f t="shared" si="7"/>
        <v>12983</v>
      </c>
    </row>
    <row r="176" spans="1:7" x14ac:dyDescent="0.25">
      <c r="B176" s="9" t="s">
        <v>133</v>
      </c>
      <c r="C176" s="9"/>
      <c r="D176" s="21">
        <f>ROUND(361860.02,0)</f>
        <v>361860</v>
      </c>
      <c r="E176" s="18">
        <v>3.7499999999999999E-2</v>
      </c>
      <c r="G176" s="21">
        <f t="shared" si="7"/>
        <v>13570</v>
      </c>
    </row>
    <row r="177" spans="1:7" x14ac:dyDescent="0.25">
      <c r="B177" s="9"/>
      <c r="C177" s="9"/>
      <c r="D177" s="34">
        <f>ROUND(SUM(D162:D176),0)</f>
        <v>7598825</v>
      </c>
      <c r="E177" s="18"/>
      <c r="G177" s="34">
        <f>ROUND(SUM(G162:G176),0)</f>
        <v>331919</v>
      </c>
    </row>
    <row r="178" spans="1:7" x14ac:dyDescent="0.25">
      <c r="A178" s="20" t="s">
        <v>137</v>
      </c>
      <c r="B178" s="2" t="s">
        <v>138</v>
      </c>
      <c r="C178" s="2"/>
      <c r="E178" s="18"/>
    </row>
    <row r="179" spans="1:7" x14ac:dyDescent="0.25">
      <c r="B179" s="9" t="s">
        <v>124</v>
      </c>
      <c r="C179" s="9"/>
      <c r="D179" s="34">
        <f>ROUND(20575460.98,0)</f>
        <v>20575461</v>
      </c>
      <c r="E179" s="18">
        <v>4.6899999999999997E-2</v>
      </c>
      <c r="G179" s="34">
        <f t="shared" ref="G179:G188" si="8">ROUND(D179*E179,0)</f>
        <v>964989</v>
      </c>
    </row>
    <row r="180" spans="1:7" x14ac:dyDescent="0.25">
      <c r="B180" s="9" t="s">
        <v>125</v>
      </c>
      <c r="C180" s="9"/>
      <c r="D180" s="8">
        <f>ROUND(15877891,0)</f>
        <v>15877891</v>
      </c>
      <c r="E180" s="18">
        <v>4.4499999999999998E-2</v>
      </c>
      <c r="G180" s="8">
        <f t="shared" si="8"/>
        <v>706566</v>
      </c>
    </row>
    <row r="181" spans="1:7" x14ac:dyDescent="0.25">
      <c r="B181" s="9" t="s">
        <v>126</v>
      </c>
      <c r="C181" s="9"/>
      <c r="D181" s="8">
        <f>ROUND(19951721.96,0)</f>
        <v>19951722</v>
      </c>
      <c r="E181" s="18">
        <v>6.1199999999999997E-2</v>
      </c>
      <c r="G181" s="8">
        <f t="shared" si="8"/>
        <v>1221045</v>
      </c>
    </row>
    <row r="182" spans="1:7" x14ac:dyDescent="0.25">
      <c r="B182" s="9" t="s">
        <v>127</v>
      </c>
      <c r="C182" s="9"/>
      <c r="D182" s="8">
        <f>ROUND(18239647.01,0)</f>
        <v>18239647</v>
      </c>
      <c r="E182" s="18">
        <v>5.1799999999999999E-2</v>
      </c>
      <c r="G182" s="8">
        <f t="shared" si="8"/>
        <v>944814</v>
      </c>
    </row>
    <row r="183" spans="1:7" x14ac:dyDescent="0.25">
      <c r="B183" s="9" t="s">
        <v>128</v>
      </c>
      <c r="C183" s="9"/>
      <c r="D183" s="8">
        <f>ROUND(13538629.58,0)</f>
        <v>13538630</v>
      </c>
      <c r="E183" s="18">
        <v>4.4900000000000002E-2</v>
      </c>
      <c r="G183" s="8">
        <f t="shared" si="8"/>
        <v>607884</v>
      </c>
    </row>
    <row r="184" spans="1:7" x14ac:dyDescent="0.25">
      <c r="B184" s="9" t="s">
        <v>129</v>
      </c>
      <c r="C184" s="9"/>
      <c r="D184" s="8">
        <f>ROUND(13456801.43,0)</f>
        <v>13456801</v>
      </c>
      <c r="E184" s="18">
        <v>4.6100000000000002E-2</v>
      </c>
      <c r="G184" s="8">
        <f t="shared" si="8"/>
        <v>620359</v>
      </c>
    </row>
    <row r="185" spans="1:7" x14ac:dyDescent="0.25">
      <c r="B185" s="9" t="s">
        <v>130</v>
      </c>
      <c r="C185" s="9"/>
      <c r="D185" s="8">
        <f>ROUND(14040786.39,0)</f>
        <v>14040786</v>
      </c>
      <c r="E185" s="18">
        <v>4.1399999999999999E-2</v>
      </c>
      <c r="G185" s="8">
        <f t="shared" si="8"/>
        <v>581289</v>
      </c>
    </row>
    <row r="186" spans="1:7" x14ac:dyDescent="0.25">
      <c r="B186" s="9" t="s">
        <v>131</v>
      </c>
      <c r="C186" s="9"/>
      <c r="D186" s="8">
        <f>ROUND(13925741.6,0)</f>
        <v>13925742</v>
      </c>
      <c r="E186" s="18">
        <v>4.1399999999999999E-2</v>
      </c>
      <c r="G186" s="8">
        <f t="shared" si="8"/>
        <v>576526</v>
      </c>
    </row>
    <row r="187" spans="1:7" x14ac:dyDescent="0.25">
      <c r="B187" s="9" t="s">
        <v>132</v>
      </c>
      <c r="C187" s="9"/>
      <c r="D187" s="8">
        <f>ROUND(13836331.56,0)</f>
        <v>13836332</v>
      </c>
      <c r="E187" s="18">
        <v>4.19E-2</v>
      </c>
      <c r="G187" s="8">
        <f t="shared" si="8"/>
        <v>579742</v>
      </c>
    </row>
    <row r="188" spans="1:7" x14ac:dyDescent="0.25">
      <c r="B188" s="9" t="s">
        <v>133</v>
      </c>
      <c r="C188" s="9"/>
      <c r="D188" s="21">
        <f>ROUND(13781724.09,0)</f>
        <v>13781724</v>
      </c>
      <c r="E188" s="18">
        <v>4.19E-2</v>
      </c>
      <c r="G188" s="21">
        <f t="shared" si="8"/>
        <v>577454</v>
      </c>
    </row>
    <row r="189" spans="1:7" x14ac:dyDescent="0.25">
      <c r="B189" s="9"/>
      <c r="C189" s="9"/>
      <c r="D189" s="34">
        <f>ROUND(SUM(D179:D188),0)</f>
        <v>157224736</v>
      </c>
      <c r="E189" s="18"/>
      <c r="G189" s="34">
        <f>ROUND(SUM(G179:G188),0)</f>
        <v>7380668</v>
      </c>
    </row>
    <row r="190" spans="1:7" x14ac:dyDescent="0.25">
      <c r="A190" s="20" t="s">
        <v>139</v>
      </c>
      <c r="B190" s="2" t="s">
        <v>140</v>
      </c>
      <c r="C190" s="2"/>
      <c r="E190" s="18"/>
    </row>
    <row r="191" spans="1:7" x14ac:dyDescent="0.25">
      <c r="B191" s="9" t="s">
        <v>122</v>
      </c>
      <c r="C191" s="9"/>
      <c r="D191" s="34">
        <f>ROUND(2910123.6,0)</f>
        <v>2910124</v>
      </c>
      <c r="E191" s="18">
        <v>5.2299999999999999E-2</v>
      </c>
      <c r="G191" s="34">
        <f t="shared" ref="G191:G204" si="9">ROUND(D191*E191,0)</f>
        <v>152199</v>
      </c>
    </row>
    <row r="192" spans="1:7" x14ac:dyDescent="0.25">
      <c r="B192" s="9" t="s">
        <v>120</v>
      </c>
      <c r="C192" s="9"/>
      <c r="D192" s="8">
        <f>ROUND(1827580.88,0)</f>
        <v>1827581</v>
      </c>
      <c r="E192" s="18">
        <v>0</v>
      </c>
      <c r="G192" s="8">
        <f t="shared" si="9"/>
        <v>0</v>
      </c>
    </row>
    <row r="193" spans="1:7" x14ac:dyDescent="0.25">
      <c r="B193" s="9" t="s">
        <v>121</v>
      </c>
      <c r="C193" s="9"/>
      <c r="D193" s="8">
        <f>ROUND(1523115.56,0)</f>
        <v>1523116</v>
      </c>
      <c r="E193" s="18">
        <v>0</v>
      </c>
      <c r="G193" s="8">
        <f t="shared" si="9"/>
        <v>0</v>
      </c>
    </row>
    <row r="194" spans="1:7" x14ac:dyDescent="0.25">
      <c r="B194" s="9" t="s">
        <v>123</v>
      </c>
      <c r="C194" s="9"/>
      <c r="D194" s="8">
        <f>ROUND(2991589.41,0)</f>
        <v>2991589</v>
      </c>
      <c r="E194" s="18">
        <v>0</v>
      </c>
      <c r="G194" s="8">
        <f t="shared" si="9"/>
        <v>0</v>
      </c>
    </row>
    <row r="195" spans="1:7" x14ac:dyDescent="0.25">
      <c r="B195" s="9" t="s">
        <v>124</v>
      </c>
      <c r="C195" s="9"/>
      <c r="D195" s="8">
        <f>ROUND(5859857.93,0)</f>
        <v>5859858</v>
      </c>
      <c r="E195" s="18">
        <v>3.3599999999999998E-2</v>
      </c>
      <c r="G195" s="8">
        <f t="shared" si="9"/>
        <v>196891</v>
      </c>
    </row>
    <row r="196" spans="1:7" x14ac:dyDescent="0.25">
      <c r="B196" s="9" t="s">
        <v>125</v>
      </c>
      <c r="C196" s="9"/>
      <c r="D196" s="8">
        <f>ROUND(3249359.88,0)</f>
        <v>3249360</v>
      </c>
      <c r="E196" s="18">
        <v>3.7100000000000001E-2</v>
      </c>
      <c r="G196" s="8">
        <f t="shared" si="9"/>
        <v>120551</v>
      </c>
    </row>
    <row r="197" spans="1:7" x14ac:dyDescent="0.25">
      <c r="B197" s="9" t="s">
        <v>126</v>
      </c>
      <c r="C197" s="9"/>
      <c r="D197" s="8">
        <f>ROUND(2417994.54,0)</f>
        <v>2417995</v>
      </c>
      <c r="E197" s="18">
        <v>3.9E-2</v>
      </c>
      <c r="G197" s="8">
        <f t="shared" si="9"/>
        <v>94302</v>
      </c>
    </row>
    <row r="198" spans="1:7" x14ac:dyDescent="0.25">
      <c r="B198" s="9" t="s">
        <v>127</v>
      </c>
      <c r="C198" s="9"/>
      <c r="D198" s="8">
        <f>ROUND(2421079.26,0)</f>
        <v>2421079</v>
      </c>
      <c r="E198" s="18">
        <v>3.9600000000000003E-2</v>
      </c>
      <c r="G198" s="8">
        <f t="shared" si="9"/>
        <v>95875</v>
      </c>
    </row>
    <row r="199" spans="1:7" x14ac:dyDescent="0.25">
      <c r="B199" s="9" t="s">
        <v>128</v>
      </c>
      <c r="C199" s="9"/>
      <c r="D199" s="8">
        <f>ROUND(1539295.24,0)</f>
        <v>1539295</v>
      </c>
      <c r="E199" s="18">
        <v>3.5999999999999997E-2</v>
      </c>
      <c r="G199" s="8">
        <f t="shared" si="9"/>
        <v>55415</v>
      </c>
    </row>
    <row r="200" spans="1:7" x14ac:dyDescent="0.25">
      <c r="B200" s="9" t="s">
        <v>129</v>
      </c>
      <c r="C200" s="9"/>
      <c r="D200" s="8">
        <f>ROUND(1537167.6,0)</f>
        <v>1537168</v>
      </c>
      <c r="E200" s="18">
        <v>3.5999999999999997E-2</v>
      </c>
      <c r="G200" s="8">
        <f t="shared" si="9"/>
        <v>55338</v>
      </c>
    </row>
    <row r="201" spans="1:7" x14ac:dyDescent="0.25">
      <c r="B201" s="9" t="s">
        <v>130</v>
      </c>
      <c r="C201" s="9"/>
      <c r="D201" s="8">
        <f>ROUND(1726823.88,0)</f>
        <v>1726824</v>
      </c>
      <c r="E201" s="18">
        <v>3.5499999999999997E-2</v>
      </c>
      <c r="G201" s="8">
        <f t="shared" si="9"/>
        <v>61302</v>
      </c>
    </row>
    <row r="202" spans="1:7" x14ac:dyDescent="0.25">
      <c r="B202" s="9" t="s">
        <v>131</v>
      </c>
      <c r="C202" s="9"/>
      <c r="D202" s="8">
        <f>ROUND(1717276.72,0)</f>
        <v>1717277</v>
      </c>
      <c r="E202" s="18">
        <v>3.5499999999999997E-2</v>
      </c>
      <c r="G202" s="8">
        <f t="shared" si="9"/>
        <v>60963</v>
      </c>
    </row>
    <row r="203" spans="1:7" x14ac:dyDescent="0.25">
      <c r="B203" s="9" t="s">
        <v>132</v>
      </c>
      <c r="C203" s="9"/>
      <c r="D203" s="8">
        <f>ROUND(1728008.37,0)</f>
        <v>1728008</v>
      </c>
      <c r="E203" s="18">
        <v>3.56E-2</v>
      </c>
      <c r="G203" s="8">
        <f t="shared" si="9"/>
        <v>61517</v>
      </c>
    </row>
    <row r="204" spans="1:7" x14ac:dyDescent="0.25">
      <c r="B204" s="9" t="s">
        <v>133</v>
      </c>
      <c r="C204" s="9"/>
      <c r="D204" s="21">
        <f>ROUND(1722674.29,0)</f>
        <v>1722674</v>
      </c>
      <c r="E204" s="18">
        <v>3.56E-2</v>
      </c>
      <c r="G204" s="21">
        <f t="shared" si="9"/>
        <v>61327</v>
      </c>
    </row>
    <row r="205" spans="1:7" x14ac:dyDescent="0.25">
      <c r="B205" s="9"/>
      <c r="C205" s="9"/>
      <c r="D205" s="34">
        <f>ROUND(SUM(D191:D204),0)</f>
        <v>33171948</v>
      </c>
      <c r="E205" s="18"/>
      <c r="G205" s="34">
        <f>ROUND(SUM(G191:G204),0)</f>
        <v>1015680</v>
      </c>
    </row>
    <row r="206" spans="1:7" x14ac:dyDescent="0.25">
      <c r="A206" s="20" t="s">
        <v>141</v>
      </c>
      <c r="B206" s="2" t="s">
        <v>142</v>
      </c>
      <c r="C206" s="2"/>
      <c r="E206" s="18"/>
    </row>
    <row r="207" spans="1:7" x14ac:dyDescent="0.25">
      <c r="B207" s="9" t="s">
        <v>122</v>
      </c>
      <c r="C207" s="9"/>
      <c r="D207" s="34">
        <f>ROUND(116627.22,0)</f>
        <v>116627</v>
      </c>
      <c r="E207" s="18">
        <v>0</v>
      </c>
      <c r="G207" s="34">
        <f>D207*E207</f>
        <v>0</v>
      </c>
    </row>
    <row r="208" spans="1:7" x14ac:dyDescent="0.25">
      <c r="B208" s="9" t="s">
        <v>120</v>
      </c>
      <c r="C208" s="9"/>
      <c r="D208" s="8">
        <f>ROUND(44282.77,0)</f>
        <v>44283</v>
      </c>
      <c r="E208" s="18">
        <v>0</v>
      </c>
      <c r="G208" s="8">
        <f>D208*E208</f>
        <v>0</v>
      </c>
    </row>
    <row r="209" spans="1:7" x14ac:dyDescent="0.25">
      <c r="B209" s="9" t="s">
        <v>121</v>
      </c>
      <c r="C209" s="9"/>
      <c r="D209" s="8">
        <f>ROUND(68109.35,0)</f>
        <v>68109</v>
      </c>
      <c r="E209" s="18">
        <v>1.4E-3</v>
      </c>
      <c r="G209" s="8">
        <f t="shared" ref="G209:G220" si="10">ROUND(D209*E209,0)</f>
        <v>95</v>
      </c>
    </row>
    <row r="210" spans="1:7" x14ac:dyDescent="0.25">
      <c r="B210" s="9" t="s">
        <v>123</v>
      </c>
      <c r="C210" s="9"/>
      <c r="D210" s="8">
        <f>ROUND(912641.5,0)</f>
        <v>912642</v>
      </c>
      <c r="E210" s="18">
        <v>0.14030000000000001</v>
      </c>
      <c r="G210" s="8">
        <f t="shared" si="10"/>
        <v>128044</v>
      </c>
    </row>
    <row r="211" spans="1:7" x14ac:dyDescent="0.25">
      <c r="B211" s="9" t="s">
        <v>124</v>
      </c>
      <c r="C211" s="9"/>
      <c r="D211" s="8">
        <f>ROUND(2778992.6,0)</f>
        <v>2778993</v>
      </c>
      <c r="E211" s="18">
        <v>3.6999999999999998E-2</v>
      </c>
      <c r="G211" s="8">
        <f t="shared" si="10"/>
        <v>102823</v>
      </c>
    </row>
    <row r="212" spans="1:7" x14ac:dyDescent="0.25">
      <c r="B212" s="9" t="s">
        <v>125</v>
      </c>
      <c r="C212" s="9"/>
      <c r="D212" s="8">
        <f>ROUND(2742562.59,0)</f>
        <v>2742563</v>
      </c>
      <c r="E212" s="18">
        <v>3.7100000000000001E-2</v>
      </c>
      <c r="G212" s="8">
        <f t="shared" si="10"/>
        <v>101749</v>
      </c>
    </row>
    <row r="213" spans="1:7" x14ac:dyDescent="0.25">
      <c r="B213" s="9" t="s">
        <v>126</v>
      </c>
      <c r="C213" s="9"/>
      <c r="D213" s="8">
        <f>ROUND(970189.22,0)</f>
        <v>970189</v>
      </c>
      <c r="E213" s="18">
        <v>4.0300000000000002E-2</v>
      </c>
      <c r="G213" s="8">
        <f t="shared" si="10"/>
        <v>39099</v>
      </c>
    </row>
    <row r="214" spans="1:7" x14ac:dyDescent="0.25">
      <c r="B214" s="9" t="s">
        <v>127</v>
      </c>
      <c r="C214" s="9"/>
      <c r="D214" s="8">
        <f>ROUND(953200.45,0)</f>
        <v>953200</v>
      </c>
      <c r="E214" s="18">
        <v>4.0500000000000001E-2</v>
      </c>
      <c r="G214" s="8">
        <f t="shared" si="10"/>
        <v>38605</v>
      </c>
    </row>
    <row r="215" spans="1:7" x14ac:dyDescent="0.25">
      <c r="B215" s="9" t="s">
        <v>128</v>
      </c>
      <c r="C215" s="9"/>
      <c r="D215" s="8">
        <f>ROUND(706963.22,0)</f>
        <v>706963</v>
      </c>
      <c r="E215" s="18">
        <v>3.7999999999999999E-2</v>
      </c>
      <c r="G215" s="8">
        <f t="shared" si="10"/>
        <v>26865</v>
      </c>
    </row>
    <row r="216" spans="1:7" x14ac:dyDescent="0.25">
      <c r="B216" s="9" t="s">
        <v>129</v>
      </c>
      <c r="C216" s="9"/>
      <c r="D216" s="8">
        <f>ROUND(1594892.41,0)</f>
        <v>1594892</v>
      </c>
      <c r="E216" s="18">
        <v>3.9100000000000003E-2</v>
      </c>
      <c r="G216" s="8">
        <f t="shared" si="10"/>
        <v>62360</v>
      </c>
    </row>
    <row r="217" spans="1:7" x14ac:dyDescent="0.25">
      <c r="B217" s="9" t="s">
        <v>130</v>
      </c>
      <c r="C217" s="9"/>
      <c r="D217" s="8">
        <f>ROUND(1843364.42,0)</f>
        <v>1843364</v>
      </c>
      <c r="E217" s="18">
        <v>3.6499999999999998E-2</v>
      </c>
      <c r="G217" s="8">
        <f t="shared" si="10"/>
        <v>67283</v>
      </c>
    </row>
    <row r="218" spans="1:7" x14ac:dyDescent="0.25">
      <c r="B218" s="9" t="s">
        <v>131</v>
      </c>
      <c r="C218" s="9"/>
      <c r="D218" s="8">
        <f>ROUND(1836141.17,0)</f>
        <v>1836141</v>
      </c>
      <c r="E218" s="18">
        <v>3.6499999999999998E-2</v>
      </c>
      <c r="G218" s="8">
        <f t="shared" si="10"/>
        <v>67019</v>
      </c>
    </row>
    <row r="219" spans="1:7" x14ac:dyDescent="0.25">
      <c r="B219" s="9" t="s">
        <v>132</v>
      </c>
      <c r="C219" s="9"/>
      <c r="D219" s="8">
        <f>ROUND(1890840.33,0)</f>
        <v>1890840</v>
      </c>
      <c r="E219" s="18">
        <v>3.6600000000000001E-2</v>
      </c>
      <c r="G219" s="8">
        <f t="shared" si="10"/>
        <v>69205</v>
      </c>
    </row>
    <row r="220" spans="1:7" x14ac:dyDescent="0.25">
      <c r="B220" s="9" t="s">
        <v>133</v>
      </c>
      <c r="C220" s="9"/>
      <c r="D220" s="21">
        <f>ROUND(4387836.09,0)</f>
        <v>4387836</v>
      </c>
      <c r="E220" s="18">
        <v>3.8300000000000001E-2</v>
      </c>
      <c r="G220" s="21">
        <f t="shared" si="10"/>
        <v>168054</v>
      </c>
    </row>
    <row r="221" spans="1:7" x14ac:dyDescent="0.25">
      <c r="B221" s="9"/>
      <c r="C221" s="9"/>
      <c r="D221" s="34">
        <f>ROUND(SUM(D207:D220),0)</f>
        <v>20846642</v>
      </c>
      <c r="E221" s="18"/>
      <c r="G221" s="34">
        <f>ROUND(SUM(G207:G220),0)</f>
        <v>871201</v>
      </c>
    </row>
    <row r="222" spans="1:7" x14ac:dyDescent="0.25">
      <c r="A222" s="20" t="s">
        <v>143</v>
      </c>
      <c r="B222" s="2" t="s">
        <v>103</v>
      </c>
      <c r="C222" s="2"/>
      <c r="E222" s="18"/>
    </row>
    <row r="223" spans="1:7" x14ac:dyDescent="0.25">
      <c r="B223" s="9" t="s">
        <v>120</v>
      </c>
      <c r="C223" s="9"/>
      <c r="D223" s="34">
        <f>ROUND(9488.39,0)</f>
        <v>9488</v>
      </c>
      <c r="E223" s="18">
        <v>0.1348</v>
      </c>
      <c r="G223" s="34">
        <f t="shared" ref="G223:G233" si="11">ROUND(D223*E223,0)</f>
        <v>1279</v>
      </c>
    </row>
    <row r="224" spans="1:7" x14ac:dyDescent="0.25">
      <c r="B224" s="9" t="s">
        <v>121</v>
      </c>
      <c r="C224" s="9"/>
      <c r="D224" s="8">
        <f>ROUND(9494.38,0)</f>
        <v>9494</v>
      </c>
      <c r="E224" s="18">
        <v>0.1555</v>
      </c>
      <c r="G224" s="8">
        <f t="shared" si="11"/>
        <v>1476</v>
      </c>
    </row>
    <row r="225" spans="1:7" x14ac:dyDescent="0.25">
      <c r="B225" s="9" t="s">
        <v>124</v>
      </c>
      <c r="C225" s="9"/>
      <c r="D225" s="8">
        <f>ROUND(1281034.19,0)</f>
        <v>1281034</v>
      </c>
      <c r="E225" s="18">
        <v>3.8199999999999998E-2</v>
      </c>
      <c r="G225" s="8">
        <f t="shared" si="11"/>
        <v>48935</v>
      </c>
    </row>
    <row r="226" spans="1:7" x14ac:dyDescent="0.25">
      <c r="B226" s="9" t="s">
        <v>125</v>
      </c>
      <c r="C226" s="9"/>
      <c r="D226" s="8">
        <f>ROUND(2395225.12,0)</f>
        <v>2395225</v>
      </c>
      <c r="E226" s="18">
        <v>3.6799999999999999E-2</v>
      </c>
      <c r="G226" s="8">
        <f t="shared" si="11"/>
        <v>88144</v>
      </c>
    </row>
    <row r="227" spans="1:7" x14ac:dyDescent="0.25">
      <c r="B227" s="9" t="s">
        <v>126</v>
      </c>
      <c r="C227" s="9"/>
      <c r="D227" s="8">
        <f>ROUND(22455.77,0)</f>
        <v>22456</v>
      </c>
      <c r="E227" s="18">
        <v>3.95E-2</v>
      </c>
      <c r="G227" s="8">
        <f t="shared" si="11"/>
        <v>887</v>
      </c>
    </row>
    <row r="228" spans="1:7" x14ac:dyDescent="0.25">
      <c r="B228" s="9" t="s">
        <v>127</v>
      </c>
      <c r="C228" s="9"/>
      <c r="D228" s="8">
        <f>ROUND(23047.78,0)</f>
        <v>23048</v>
      </c>
      <c r="E228" s="18">
        <v>4.0099999999999997E-2</v>
      </c>
      <c r="G228" s="8">
        <f t="shared" si="11"/>
        <v>924</v>
      </c>
    </row>
    <row r="229" spans="1:7" x14ac:dyDescent="0.25">
      <c r="B229" s="9" t="s">
        <v>128</v>
      </c>
      <c r="C229" s="9"/>
      <c r="D229" s="8">
        <f>ROUND(14528.92,0)</f>
        <v>14529</v>
      </c>
      <c r="E229" s="18">
        <v>3.8199999999999998E-2</v>
      </c>
      <c r="G229" s="8">
        <f t="shared" si="11"/>
        <v>555</v>
      </c>
    </row>
    <row r="230" spans="1:7" x14ac:dyDescent="0.25">
      <c r="B230" s="9" t="s">
        <v>130</v>
      </c>
      <c r="C230" s="9"/>
      <c r="D230" s="8">
        <f>ROUND(5204.51,0)</f>
        <v>5205</v>
      </c>
      <c r="E230" s="18">
        <v>3.5900000000000001E-2</v>
      </c>
      <c r="G230" s="8">
        <f t="shared" si="11"/>
        <v>187</v>
      </c>
    </row>
    <row r="231" spans="1:7" x14ac:dyDescent="0.25">
      <c r="B231" s="9" t="s">
        <v>131</v>
      </c>
      <c r="C231" s="9"/>
      <c r="D231" s="8">
        <f>ROUND(5182.59,0)</f>
        <v>5183</v>
      </c>
      <c r="E231" s="18">
        <v>3.5900000000000001E-2</v>
      </c>
      <c r="G231" s="8">
        <f t="shared" si="11"/>
        <v>186</v>
      </c>
    </row>
    <row r="232" spans="1:7" x14ac:dyDescent="0.25">
      <c r="B232" s="9" t="s">
        <v>132</v>
      </c>
      <c r="C232" s="9"/>
      <c r="D232" s="8">
        <f>ROUND(5328.44,0)</f>
        <v>5328</v>
      </c>
      <c r="E232" s="18">
        <v>3.5999999999999997E-2</v>
      </c>
      <c r="G232" s="8">
        <f t="shared" si="11"/>
        <v>192</v>
      </c>
    </row>
    <row r="233" spans="1:7" x14ac:dyDescent="0.25">
      <c r="B233" s="9" t="s">
        <v>133</v>
      </c>
      <c r="C233" s="9"/>
      <c r="D233" s="21">
        <f>ROUND(25332.91,0)</f>
        <v>25333</v>
      </c>
      <c r="E233" s="18">
        <v>4.2599999999999999E-2</v>
      </c>
      <c r="G233" s="21">
        <f t="shared" si="11"/>
        <v>1079</v>
      </c>
    </row>
    <row r="234" spans="1:7" x14ac:dyDescent="0.25">
      <c r="B234" s="9"/>
      <c r="C234" s="9"/>
      <c r="D234" s="34">
        <f>ROUND(SUM(D223:D233),0)</f>
        <v>3796323</v>
      </c>
      <c r="E234" s="18"/>
      <c r="G234" s="34">
        <f>ROUND(SUM(G223:G233),0)</f>
        <v>143844</v>
      </c>
    </row>
    <row r="235" spans="1:7" x14ac:dyDescent="0.25">
      <c r="B235" s="9"/>
      <c r="C235" s="9"/>
      <c r="E235" s="18"/>
    </row>
    <row r="236" spans="1:7" ht="18.75" x14ac:dyDescent="0.3">
      <c r="A236" s="20" t="s">
        <v>144</v>
      </c>
      <c r="B236" s="38" t="s">
        <v>181</v>
      </c>
      <c r="C236" s="2"/>
      <c r="D236" s="8">
        <f>ROUND(38429.14,0)</f>
        <v>38429</v>
      </c>
      <c r="E236" s="18"/>
    </row>
    <row r="237" spans="1:7" x14ac:dyDescent="0.25">
      <c r="B237" s="9"/>
      <c r="C237" s="9"/>
      <c r="E237" s="18"/>
    </row>
    <row r="238" spans="1:7" x14ac:dyDescent="0.25">
      <c r="B238" s="16" t="s">
        <v>145</v>
      </c>
      <c r="C238" s="2"/>
      <c r="D238" s="54">
        <f>ROUND(D236+D234+D221+D205+D189+D177+D160+D145,0)</f>
        <v>237689475</v>
      </c>
      <c r="E238" s="18"/>
      <c r="G238" s="54">
        <f>ROUND(G236+G234+G221+G205+G189+G177+G160+G145,0)</f>
        <v>10313302</v>
      </c>
    </row>
    <row r="239" spans="1:7" s="23" customFormat="1" x14ac:dyDescent="0.25">
      <c r="D239" s="8"/>
      <c r="E239" s="24"/>
      <c r="G239" s="72"/>
    </row>
    <row r="240" spans="1:7" x14ac:dyDescent="0.25">
      <c r="A240" s="1" t="s">
        <v>173</v>
      </c>
      <c r="B240" s="23"/>
      <c r="C240" s="23"/>
      <c r="E240" s="18"/>
    </row>
    <row r="241" spans="1:7" x14ac:dyDescent="0.25">
      <c r="B241" s="25" t="s">
        <v>13</v>
      </c>
      <c r="C241" s="25"/>
      <c r="D241" s="34">
        <f>ROUND(1573048.99,0)</f>
        <v>1573049</v>
      </c>
      <c r="E241" s="18">
        <v>0</v>
      </c>
      <c r="G241" s="34">
        <f>D241*E241</f>
        <v>0</v>
      </c>
    </row>
    <row r="242" spans="1:7" x14ac:dyDescent="0.25">
      <c r="B242" s="25" t="s">
        <v>1</v>
      </c>
      <c r="C242" s="25"/>
      <c r="D242" s="8">
        <f>ROUND(7791510.59,0)</f>
        <v>7791511</v>
      </c>
      <c r="E242" s="18">
        <v>1.4999999999999999E-2</v>
      </c>
      <c r="G242" s="8">
        <f t="shared" ref="G242:G249" si="12">ROUND(D242*E242,0)</f>
        <v>116873</v>
      </c>
    </row>
    <row r="243" spans="1:7" x14ac:dyDescent="0.25">
      <c r="B243" s="25" t="s">
        <v>14</v>
      </c>
      <c r="C243" s="25"/>
      <c r="D243" s="8">
        <f>ROUND(6471400.2,0)</f>
        <v>6471400</v>
      </c>
      <c r="E243" s="18">
        <v>1.7399999999999999E-2</v>
      </c>
      <c r="G243" s="8">
        <f t="shared" si="12"/>
        <v>112602</v>
      </c>
    </row>
    <row r="244" spans="1:7" x14ac:dyDescent="0.25">
      <c r="B244" s="25" t="s">
        <v>2</v>
      </c>
      <c r="C244" s="25"/>
      <c r="D244" s="8">
        <f>ROUND(127692585.34,0)</f>
        <v>127692585</v>
      </c>
      <c r="E244" s="18">
        <v>1.38E-2</v>
      </c>
      <c r="G244" s="8">
        <f t="shared" si="12"/>
        <v>1762158</v>
      </c>
    </row>
    <row r="245" spans="1:7" x14ac:dyDescent="0.25">
      <c r="B245" s="25" t="s">
        <v>9</v>
      </c>
      <c r="C245" s="25"/>
      <c r="D245" s="8">
        <f>ROUND(43126250.22,0)</f>
        <v>43126250</v>
      </c>
      <c r="E245" s="18">
        <v>1.72E-2</v>
      </c>
      <c r="G245" s="8">
        <f t="shared" si="12"/>
        <v>741772</v>
      </c>
    </row>
    <row r="246" spans="1:7" x14ac:dyDescent="0.25">
      <c r="B246" s="25" t="s">
        <v>10</v>
      </c>
      <c r="C246" s="25"/>
      <c r="D246" s="8">
        <f>ROUND(53760275.05,0)</f>
        <v>53760275</v>
      </c>
      <c r="E246" s="18">
        <v>2.8899999999999999E-2</v>
      </c>
      <c r="G246" s="8">
        <f t="shared" si="12"/>
        <v>1553672</v>
      </c>
    </row>
    <row r="247" spans="1:7" x14ac:dyDescent="0.25">
      <c r="B247" s="25" t="s">
        <v>58</v>
      </c>
      <c r="C247" s="25"/>
      <c r="D247" s="8">
        <f>ROUND(47544070.28,0)</f>
        <v>47544070</v>
      </c>
      <c r="E247" s="18">
        <v>2.5000000000000001E-2</v>
      </c>
      <c r="G247" s="8">
        <f t="shared" si="12"/>
        <v>1188602</v>
      </c>
    </row>
    <row r="248" spans="1:7" x14ac:dyDescent="0.25">
      <c r="B248" s="25" t="s">
        <v>3</v>
      </c>
      <c r="C248" s="25"/>
      <c r="D248" s="17">
        <f>ROUND(2278627.52,0)</f>
        <v>2278628</v>
      </c>
      <c r="E248" s="18">
        <v>1.67E-2</v>
      </c>
      <c r="G248" s="8">
        <f t="shared" si="12"/>
        <v>38053</v>
      </c>
    </row>
    <row r="249" spans="1:7" x14ac:dyDescent="0.25">
      <c r="B249" s="25" t="s">
        <v>8</v>
      </c>
      <c r="C249" s="25"/>
      <c r="D249" s="17">
        <f>ROUND(7425283.57,0)</f>
        <v>7425284</v>
      </c>
      <c r="E249" s="18">
        <v>2.98E-2</v>
      </c>
      <c r="G249" s="8">
        <f t="shared" si="12"/>
        <v>221273</v>
      </c>
    </row>
    <row r="250" spans="1:7" x14ac:dyDescent="0.25">
      <c r="B250" s="25" t="s">
        <v>183</v>
      </c>
      <c r="C250" s="25"/>
      <c r="D250" s="21">
        <f>ROUND(13760.73+238693.59,0)</f>
        <v>252454</v>
      </c>
      <c r="E250" s="18"/>
    </row>
    <row r="251" spans="1:7" s="23" customFormat="1" x14ac:dyDescent="0.25">
      <c r="B251" s="16" t="s">
        <v>167</v>
      </c>
      <c r="C251" s="25"/>
      <c r="D251" s="54">
        <f>ROUND(SUM(D241:D250),0)</f>
        <v>297915506</v>
      </c>
      <c r="E251" s="24"/>
      <c r="G251" s="54">
        <f>ROUND(SUM(G241:G250),0)</f>
        <v>5735005</v>
      </c>
    </row>
    <row r="252" spans="1:7" x14ac:dyDescent="0.25">
      <c r="E252" s="18"/>
    </row>
    <row r="253" spans="1:7" x14ac:dyDescent="0.25">
      <c r="A253" s="1" t="s">
        <v>174</v>
      </c>
      <c r="B253" s="25"/>
      <c r="C253" s="25"/>
      <c r="E253" s="18"/>
    </row>
    <row r="254" spans="1:7" x14ac:dyDescent="0.25">
      <c r="B254" s="25" t="s">
        <v>15</v>
      </c>
      <c r="C254" s="25"/>
      <c r="D254" s="34">
        <f>ROUND(5348664.67,0)</f>
        <v>5348665</v>
      </c>
      <c r="E254" s="18">
        <v>0</v>
      </c>
      <c r="G254" s="34">
        <f>D254*E254</f>
        <v>0</v>
      </c>
    </row>
    <row r="255" spans="1:7" x14ac:dyDescent="0.25">
      <c r="B255" s="25" t="s">
        <v>208</v>
      </c>
      <c r="C255" s="25"/>
      <c r="D255" s="8">
        <f>ROUND(627087.6,0)</f>
        <v>627088</v>
      </c>
      <c r="E255" s="18">
        <v>0</v>
      </c>
      <c r="G255" s="8">
        <f t="shared" ref="G255:G267" si="13">ROUND(D255*E255,0)</f>
        <v>0</v>
      </c>
    </row>
    <row r="256" spans="1:7" x14ac:dyDescent="0.25">
      <c r="B256" s="25" t="s">
        <v>16</v>
      </c>
      <c r="C256" s="25"/>
      <c r="D256" s="8">
        <f>ROUND(4888254.44,0)</f>
        <v>4888254</v>
      </c>
      <c r="E256" s="18">
        <v>1.61E-2</v>
      </c>
      <c r="G256" s="8">
        <f t="shared" si="13"/>
        <v>78701</v>
      </c>
    </row>
    <row r="257" spans="1:7" x14ac:dyDescent="0.25">
      <c r="B257" s="25" t="s">
        <v>17</v>
      </c>
      <c r="C257" s="25"/>
      <c r="D257" s="8">
        <f>ROUND(114763925.99,0)</f>
        <v>114763926</v>
      </c>
      <c r="E257" s="18">
        <v>2.0899999999999998E-2</v>
      </c>
      <c r="G257" s="8">
        <f t="shared" si="13"/>
        <v>2398566</v>
      </c>
    </row>
    <row r="258" spans="1:7" x14ac:dyDescent="0.25">
      <c r="B258" s="25" t="s">
        <v>4</v>
      </c>
      <c r="C258" s="25"/>
      <c r="D258" s="8">
        <f>ROUND(140371135.98,0)</f>
        <v>140371136</v>
      </c>
      <c r="E258" s="18">
        <v>3.39E-2</v>
      </c>
      <c r="G258" s="8">
        <f t="shared" si="13"/>
        <v>4758582</v>
      </c>
    </row>
    <row r="259" spans="1:7" x14ac:dyDescent="0.25">
      <c r="B259" s="25" t="s">
        <v>18</v>
      </c>
      <c r="C259" s="25"/>
      <c r="D259" s="8">
        <f>ROUND(241550956.02,0)</f>
        <v>241550956</v>
      </c>
      <c r="E259" s="18">
        <v>2.98E-2</v>
      </c>
      <c r="G259" s="8">
        <f t="shared" si="13"/>
        <v>7198218</v>
      </c>
    </row>
    <row r="260" spans="1:7" x14ac:dyDescent="0.25">
      <c r="B260" s="25" t="s">
        <v>5</v>
      </c>
      <c r="C260" s="25"/>
      <c r="D260" s="8">
        <f>ROUND(69033771.39,0)</f>
        <v>69033771</v>
      </c>
      <c r="E260" s="18">
        <v>1.4999999999999999E-2</v>
      </c>
      <c r="G260" s="8">
        <f t="shared" si="13"/>
        <v>1035507</v>
      </c>
    </row>
    <row r="261" spans="1:7" x14ac:dyDescent="0.25">
      <c r="B261" s="25" t="s">
        <v>6</v>
      </c>
      <c r="C261" s="25"/>
      <c r="D261" s="8">
        <f>ROUND(149365140.06,0)</f>
        <v>149365140</v>
      </c>
      <c r="E261" s="18">
        <v>1.9199999999999998E-2</v>
      </c>
      <c r="G261" s="8">
        <f t="shared" si="13"/>
        <v>2867811</v>
      </c>
    </row>
    <row r="262" spans="1:7" x14ac:dyDescent="0.25">
      <c r="B262" s="25" t="s">
        <v>159</v>
      </c>
      <c r="C262" s="25"/>
      <c r="D262" s="8">
        <f>ROUND(140986633.86,0)</f>
        <v>140986634</v>
      </c>
      <c r="E262" s="18">
        <v>2.3800000000000002E-2</v>
      </c>
      <c r="G262" s="8">
        <f t="shared" si="13"/>
        <v>3355482</v>
      </c>
    </row>
    <row r="263" spans="1:7" x14ac:dyDescent="0.25">
      <c r="B263" s="25" t="s">
        <v>19</v>
      </c>
      <c r="C263" s="25"/>
      <c r="D263" s="8">
        <f>ROUND(6064960.75,0)</f>
        <v>6064961</v>
      </c>
      <c r="E263" s="18">
        <v>3.32E-2</v>
      </c>
      <c r="G263" s="8">
        <f t="shared" si="13"/>
        <v>201357</v>
      </c>
    </row>
    <row r="264" spans="1:7" x14ac:dyDescent="0.25">
      <c r="B264" s="25" t="s">
        <v>20</v>
      </c>
      <c r="C264" s="25"/>
      <c r="D264" s="8">
        <f>ROUND(22341687.73,0)</f>
        <v>22341688</v>
      </c>
      <c r="E264" s="18">
        <v>3.5900000000000001E-2</v>
      </c>
      <c r="G264" s="8">
        <f t="shared" si="13"/>
        <v>802067</v>
      </c>
    </row>
    <row r="265" spans="1:7" x14ac:dyDescent="0.25">
      <c r="B265" s="25" t="s">
        <v>160</v>
      </c>
      <c r="C265" s="25"/>
      <c r="D265" s="8">
        <f>ROUND(38125261.35,0)</f>
        <v>38125261</v>
      </c>
      <c r="E265" s="18">
        <v>2.92E-2</v>
      </c>
      <c r="G265" s="8">
        <f t="shared" si="13"/>
        <v>1113258</v>
      </c>
    </row>
    <row r="266" spans="1:7" x14ac:dyDescent="0.25">
      <c r="B266" s="25" t="s">
        <v>21</v>
      </c>
      <c r="C266" s="25"/>
      <c r="D266" s="8">
        <f>ROUND(35629640.02,0)</f>
        <v>35629640</v>
      </c>
      <c r="E266" s="18">
        <v>3.9699999999999999E-2</v>
      </c>
      <c r="G266" s="8">
        <f t="shared" si="13"/>
        <v>1414497</v>
      </c>
    </row>
    <row r="267" spans="1:7" x14ac:dyDescent="0.25">
      <c r="B267" s="25" t="s">
        <v>194</v>
      </c>
      <c r="C267" s="25"/>
      <c r="D267" s="8">
        <f>ROUND(48916028.12,0)</f>
        <v>48916028</v>
      </c>
      <c r="E267" s="18">
        <v>3.44E-2</v>
      </c>
      <c r="G267" s="8">
        <f t="shared" si="13"/>
        <v>1682711</v>
      </c>
    </row>
    <row r="268" spans="1:7" ht="18.75" x14ac:dyDescent="0.3">
      <c r="B268" s="30" t="s">
        <v>182</v>
      </c>
      <c r="C268" s="25"/>
      <c r="D268" s="21">
        <f>ROUND(481206.24+145309.24,0)</f>
        <v>626515</v>
      </c>
      <c r="E268" s="18"/>
    </row>
    <row r="269" spans="1:7" s="23" customFormat="1" x14ac:dyDescent="0.25">
      <c r="B269" s="16" t="s">
        <v>168</v>
      </c>
      <c r="C269" s="25"/>
      <c r="D269" s="54">
        <f>ROUND(SUM(D254:D268),0)</f>
        <v>1018639663</v>
      </c>
      <c r="E269" s="24"/>
      <c r="G269" s="54">
        <f>ROUND(SUM(G254:G268),0)</f>
        <v>26906757</v>
      </c>
    </row>
    <row r="270" spans="1:7" s="23" customFormat="1" x14ac:dyDescent="0.25">
      <c r="B270" s="25"/>
      <c r="C270" s="25"/>
      <c r="D270" s="8"/>
      <c r="E270" s="24"/>
      <c r="G270" s="72"/>
    </row>
    <row r="271" spans="1:7" x14ac:dyDescent="0.25">
      <c r="A271" s="1" t="s">
        <v>175</v>
      </c>
      <c r="B271" s="25"/>
      <c r="C271" s="25"/>
      <c r="E271" s="18"/>
    </row>
    <row r="272" spans="1:7" x14ac:dyDescent="0.25">
      <c r="B272" s="25" t="s">
        <v>222</v>
      </c>
      <c r="C272" s="25"/>
      <c r="D272" s="34">
        <f>ROUND(1570997.82,0)</f>
        <v>1570998</v>
      </c>
      <c r="E272" s="18">
        <v>5.4800000000000001E-2</v>
      </c>
      <c r="G272" s="34">
        <f t="shared" ref="G272:G278" si="14">ROUND(D272*E272,0)</f>
        <v>86091</v>
      </c>
    </row>
    <row r="273" spans="1:7" x14ac:dyDescent="0.25">
      <c r="B273" s="25" t="s">
        <v>261</v>
      </c>
      <c r="C273" s="25"/>
      <c r="D273" s="8">
        <f>ROUND(682934.33,0)</f>
        <v>682934</v>
      </c>
      <c r="E273" s="18">
        <v>6.2100000000000002E-2</v>
      </c>
      <c r="G273" s="8">
        <f t="shared" si="14"/>
        <v>42410</v>
      </c>
    </row>
    <row r="274" spans="1:7" x14ac:dyDescent="0.25">
      <c r="B274" s="25" t="s">
        <v>225</v>
      </c>
      <c r="C274" s="25"/>
      <c r="D274" s="8">
        <f>ROUND(6692703,0)</f>
        <v>6692703</v>
      </c>
      <c r="E274" s="18">
        <v>6.0000000000000001E-3</v>
      </c>
      <c r="G274" s="8">
        <f t="shared" si="14"/>
        <v>40156</v>
      </c>
    </row>
    <row r="275" spans="1:7" x14ac:dyDescent="0.25">
      <c r="B275" s="25" t="s">
        <v>22</v>
      </c>
      <c r="C275" s="25"/>
      <c r="D275" s="8">
        <f>ROUND(4652754.99,0)</f>
        <v>4652755</v>
      </c>
      <c r="E275" s="18">
        <v>4.5100000000000001E-2</v>
      </c>
      <c r="G275" s="8">
        <f t="shared" si="14"/>
        <v>209839</v>
      </c>
    </row>
    <row r="276" spans="1:7" x14ac:dyDescent="0.25">
      <c r="B276" s="25" t="s">
        <v>252</v>
      </c>
      <c r="C276" s="25"/>
      <c r="D276" s="8">
        <f>ROUND(1292580.47,0)</f>
        <v>1292580</v>
      </c>
      <c r="E276" s="18">
        <v>0</v>
      </c>
      <c r="G276" s="8">
        <f t="shared" si="14"/>
        <v>0</v>
      </c>
    </row>
    <row r="277" spans="1:7" x14ac:dyDescent="0.25">
      <c r="B277" s="25" t="s">
        <v>223</v>
      </c>
      <c r="C277" s="25"/>
      <c r="D277" s="17">
        <f>ROUND(151086.93,0)</f>
        <v>151087</v>
      </c>
      <c r="E277" s="18">
        <v>7.5999999999999998E-2</v>
      </c>
      <c r="G277" s="8">
        <f t="shared" si="14"/>
        <v>11483</v>
      </c>
    </row>
    <row r="278" spans="1:7" x14ac:dyDescent="0.25">
      <c r="B278" s="25" t="s">
        <v>224</v>
      </c>
      <c r="C278" s="25"/>
      <c r="D278" s="17">
        <f>ROUND(1110685,0)</f>
        <v>1110685</v>
      </c>
      <c r="E278" s="18">
        <v>2.12E-2</v>
      </c>
      <c r="G278" s="8">
        <f t="shared" si="14"/>
        <v>23547</v>
      </c>
    </row>
    <row r="279" spans="1:7" s="23" customFormat="1" x14ac:dyDescent="0.25">
      <c r="B279" s="16" t="s">
        <v>169</v>
      </c>
      <c r="C279" s="25"/>
      <c r="D279" s="54">
        <f>ROUND(SUM(D272:D278),0)</f>
        <v>16153742</v>
      </c>
      <c r="E279" s="24"/>
      <c r="G279" s="54">
        <f>ROUND(SUM(G272:G278),0)</f>
        <v>413526</v>
      </c>
    </row>
    <row r="280" spans="1:7" s="23" customFormat="1" x14ac:dyDescent="0.25">
      <c r="B280" s="25"/>
      <c r="C280" s="25"/>
      <c r="D280" s="34"/>
      <c r="E280" s="24"/>
      <c r="G280" s="72"/>
    </row>
    <row r="281" spans="1:7" s="23" customFormat="1" ht="16.5" thickBot="1" x14ac:dyDescent="0.3">
      <c r="B281" s="26" t="s">
        <v>23</v>
      </c>
      <c r="C281" s="25"/>
      <c r="D281" s="55">
        <f>ROUND(D279+D269+D251+D238+D140+D132+D121+D11,0)</f>
        <v>3773204193</v>
      </c>
      <c r="E281" s="24"/>
      <c r="G281" s="55">
        <f>ROUND(G279+G269+G251+G238+G140+G132+G121+G11,0)</f>
        <v>114168665</v>
      </c>
    </row>
    <row r="282" spans="1:7" s="23" customFormat="1" ht="17.25" thickTop="1" thickBot="1" x14ac:dyDescent="0.3">
      <c r="B282" s="26"/>
      <c r="C282" s="25"/>
      <c r="D282" s="17"/>
      <c r="E282" s="24"/>
      <c r="G282" s="17"/>
    </row>
    <row r="283" spans="1:7" s="2" customFormat="1" x14ac:dyDescent="0.25">
      <c r="A283" s="42" t="s">
        <v>189</v>
      </c>
      <c r="B283" s="43"/>
      <c r="C283" s="43"/>
      <c r="D283" s="44"/>
      <c r="E283" s="43"/>
      <c r="F283" s="43"/>
      <c r="G283" s="73"/>
    </row>
    <row r="284" spans="1:7" s="2" customFormat="1" x14ac:dyDescent="0.25">
      <c r="A284" s="45"/>
      <c r="B284" s="51" t="str">
        <f>B39</f>
        <v>0103 Cane Run Locomotive</v>
      </c>
      <c r="C284" s="41"/>
      <c r="D284" s="5"/>
      <c r="E284" s="4"/>
      <c r="F284" s="4"/>
      <c r="G284" s="92">
        <f>-G39</f>
        <v>0</v>
      </c>
    </row>
    <row r="285" spans="1:7" s="2" customFormat="1" x14ac:dyDescent="0.25">
      <c r="A285" s="45"/>
      <c r="B285" s="51" t="str">
        <f>B40</f>
        <v>0104 Cane Run Rail Cars</v>
      </c>
      <c r="C285" s="41"/>
      <c r="D285" s="17"/>
      <c r="E285" s="4"/>
      <c r="F285" s="4"/>
      <c r="G285" s="66">
        <f>-G40</f>
        <v>-103472</v>
      </c>
    </row>
    <row r="286" spans="1:7" s="2" customFormat="1" x14ac:dyDescent="0.25">
      <c r="A286" s="45"/>
      <c r="B286" s="51" t="str">
        <f>B50</f>
        <v>0203 Mill Creek Locomotive</v>
      </c>
      <c r="C286" s="41"/>
      <c r="D286" s="17"/>
      <c r="E286" s="4"/>
      <c r="F286" s="4"/>
      <c r="G286" s="66">
        <f>-G50</f>
        <v>-37296</v>
      </c>
    </row>
    <row r="287" spans="1:7" s="2" customFormat="1" x14ac:dyDescent="0.25">
      <c r="A287" s="45"/>
      <c r="B287" s="51" t="str">
        <f>B51</f>
        <v>0204 Mill Creek Rail Cars</v>
      </c>
      <c r="C287" s="41"/>
      <c r="D287" s="17"/>
      <c r="E287" s="4"/>
      <c r="F287" s="4"/>
      <c r="G287" s="66">
        <f>-G51</f>
        <v>-10674</v>
      </c>
    </row>
    <row r="288" spans="1:7" s="2" customFormat="1" x14ac:dyDescent="0.25">
      <c r="A288" s="45"/>
      <c r="B288" s="51" t="str">
        <f>B172</f>
        <v>0473 Trimble County CT Pipeline</v>
      </c>
      <c r="C288" s="41"/>
      <c r="D288" s="17"/>
      <c r="E288" s="4"/>
      <c r="F288" s="4"/>
      <c r="G288" s="66">
        <f>-G172</f>
        <v>-68745</v>
      </c>
    </row>
    <row r="289" spans="1:7" s="2" customFormat="1" x14ac:dyDescent="0.25">
      <c r="A289" s="45"/>
      <c r="B289" s="51" t="str">
        <f>B272</f>
        <v>392.1 Transportation Equipment - Cars &amp; Light Trucks</v>
      </c>
      <c r="C289" s="41"/>
      <c r="D289" s="17"/>
      <c r="E289" s="4"/>
      <c r="F289" s="4"/>
      <c r="G289" s="66">
        <f>-G272</f>
        <v>-86091</v>
      </c>
    </row>
    <row r="290" spans="1:7" s="2" customFormat="1" x14ac:dyDescent="0.25">
      <c r="A290" s="45"/>
      <c r="B290" s="51" t="str">
        <f>B274</f>
        <v>392.3 Transportation Equipment - Heavy Trucks and Other</v>
      </c>
      <c r="C290" s="41"/>
      <c r="D290" s="17"/>
      <c r="E290" s="4"/>
      <c r="F290" s="4"/>
      <c r="G290" s="66">
        <f>-G274</f>
        <v>-40156</v>
      </c>
    </row>
    <row r="291" spans="1:7" s="2" customFormat="1" x14ac:dyDescent="0.25">
      <c r="A291" s="45"/>
      <c r="B291" s="51" t="str">
        <f>B276</f>
        <v>396.1 Power Operated Equipment - Small Machinery</v>
      </c>
      <c r="C291" s="41"/>
      <c r="D291" s="17"/>
      <c r="E291" s="4"/>
      <c r="F291" s="4"/>
      <c r="G291" s="66">
        <f>-G276</f>
        <v>0</v>
      </c>
    </row>
    <row r="292" spans="1:7" s="2" customFormat="1" x14ac:dyDescent="0.25">
      <c r="A292" s="45"/>
      <c r="B292" s="79" t="str">
        <f>B278</f>
        <v>396.3 Power Operated Equipment - Large Machinery</v>
      </c>
      <c r="C292" s="4"/>
      <c r="D292" s="5"/>
      <c r="E292" s="4"/>
      <c r="F292" s="4"/>
      <c r="G292" s="74">
        <f>-G278</f>
        <v>-23547</v>
      </c>
    </row>
    <row r="293" spans="1:7" s="2" customFormat="1" x14ac:dyDescent="0.25">
      <c r="A293" s="45"/>
      <c r="B293" s="79"/>
      <c r="C293" s="4"/>
      <c r="D293" s="5"/>
      <c r="E293" s="4"/>
      <c r="F293" s="4"/>
      <c r="G293" s="74"/>
    </row>
    <row r="294" spans="1:7" x14ac:dyDescent="0.25">
      <c r="A294" s="46" t="s">
        <v>190</v>
      </c>
      <c r="B294" s="10"/>
      <c r="C294" s="10"/>
      <c r="D294" s="17"/>
      <c r="E294" s="18"/>
      <c r="F294" s="10"/>
      <c r="G294" s="66">
        <f>-'ECR Annual Depr'!D28</f>
        <v>-2109684</v>
      </c>
    </row>
    <row r="295" spans="1:7" x14ac:dyDescent="0.25">
      <c r="A295" s="47"/>
      <c r="B295" s="10"/>
      <c r="C295" s="10"/>
      <c r="D295" s="17"/>
      <c r="E295" s="18"/>
      <c r="F295" s="10"/>
      <c r="G295" s="66"/>
    </row>
    <row r="296" spans="1:7" ht="16.5" thickBot="1" x14ac:dyDescent="0.3">
      <c r="A296" s="46" t="s">
        <v>191</v>
      </c>
      <c r="B296" s="10"/>
      <c r="C296" s="10"/>
      <c r="D296" s="17"/>
      <c r="E296" s="18"/>
      <c r="F296" s="10"/>
      <c r="G296" s="93">
        <f>ROUND(G281+SUM(G284:G294),0)</f>
        <v>111689000</v>
      </c>
    </row>
    <row r="297" spans="1:7" s="23" customFormat="1" ht="17.25" thickTop="1" thickBot="1" x14ac:dyDescent="0.3">
      <c r="A297" s="56"/>
      <c r="B297" s="52"/>
      <c r="C297" s="53"/>
      <c r="D297" s="50"/>
      <c r="E297" s="67"/>
      <c r="F297" s="68"/>
      <c r="G297" s="75"/>
    </row>
    <row r="298" spans="1:7" x14ac:dyDescent="0.25">
      <c r="B298" s="26"/>
      <c r="C298" s="26"/>
      <c r="E298" s="18"/>
    </row>
    <row r="299" spans="1:7" x14ac:dyDescent="0.25">
      <c r="A299" s="14" t="s">
        <v>65</v>
      </c>
      <c r="E299" s="18"/>
    </row>
    <row r="300" spans="1:7" x14ac:dyDescent="0.25">
      <c r="A300" s="16" t="s">
        <v>147</v>
      </c>
      <c r="B300" s="25"/>
      <c r="C300" s="25"/>
      <c r="D300" s="54">
        <f>ROUND(387.49,0)</f>
        <v>387</v>
      </c>
      <c r="E300" s="18">
        <v>0.10580000000000001</v>
      </c>
      <c r="G300" s="54">
        <f>D300*E300</f>
        <v>40.944600000000001</v>
      </c>
    </row>
    <row r="301" spans="1:7" x14ac:dyDescent="0.25">
      <c r="A301" s="16" t="s">
        <v>170</v>
      </c>
      <c r="C301" s="25"/>
      <c r="D301" s="3"/>
      <c r="E301" s="18"/>
    </row>
    <row r="302" spans="1:7" x14ac:dyDescent="0.25">
      <c r="B302" s="25" t="s">
        <v>24</v>
      </c>
      <c r="C302" s="25"/>
      <c r="D302" s="34">
        <f>ROUND(32864.07,0)</f>
        <v>32864</v>
      </c>
      <c r="E302" s="18">
        <v>0</v>
      </c>
      <c r="G302" s="34">
        <f>D302*E302</f>
        <v>0</v>
      </c>
    </row>
    <row r="303" spans="1:7" x14ac:dyDescent="0.25">
      <c r="B303" s="25" t="s">
        <v>25</v>
      </c>
      <c r="C303" s="25"/>
      <c r="D303" s="3">
        <f>ROUND(95613.59,0)</f>
        <v>95614</v>
      </c>
      <c r="E303" s="18">
        <v>5.5999999999999999E-3</v>
      </c>
      <c r="G303" s="8">
        <f t="shared" ref="G303:G318" si="15">ROUND(D303*E303,0)</f>
        <v>535</v>
      </c>
    </row>
    <row r="304" spans="1:7" x14ac:dyDescent="0.25">
      <c r="B304" s="25" t="s">
        <v>26</v>
      </c>
      <c r="C304" s="25"/>
      <c r="D304" s="61">
        <f>ROUND(5426009.54,0)</f>
        <v>5426010</v>
      </c>
      <c r="E304" s="18">
        <v>2.01E-2</v>
      </c>
      <c r="G304" s="8">
        <f t="shared" si="15"/>
        <v>109063</v>
      </c>
    </row>
    <row r="305" spans="2:7" x14ac:dyDescent="0.25">
      <c r="B305" s="25" t="s">
        <v>27</v>
      </c>
      <c r="C305" s="25"/>
      <c r="D305" s="61">
        <f>ROUND(33151.61,0)</f>
        <v>33152</v>
      </c>
      <c r="E305" s="18">
        <v>1.14E-2</v>
      </c>
      <c r="G305" s="8">
        <f t="shared" si="15"/>
        <v>378</v>
      </c>
    </row>
    <row r="306" spans="2:7" x14ac:dyDescent="0.25">
      <c r="B306" s="25" t="s">
        <v>28</v>
      </c>
      <c r="C306" s="25"/>
      <c r="D306" s="61">
        <f>ROUND(2652175.7,0)</f>
        <v>2652176</v>
      </c>
      <c r="E306" s="18">
        <v>1.8200000000000001E-2</v>
      </c>
      <c r="G306" s="8">
        <f t="shared" si="15"/>
        <v>48270</v>
      </c>
    </row>
    <row r="307" spans="2:7" x14ac:dyDescent="0.25">
      <c r="B307" s="25" t="s">
        <v>29</v>
      </c>
      <c r="C307" s="25"/>
      <c r="D307" s="61">
        <f>ROUND(2724714.27,0)</f>
        <v>2724714</v>
      </c>
      <c r="E307" s="18">
        <v>7.1999999999999998E-3</v>
      </c>
      <c r="G307" s="8">
        <f t="shared" si="15"/>
        <v>19618</v>
      </c>
    </row>
    <row r="308" spans="2:7" x14ac:dyDescent="0.25">
      <c r="B308" s="25" t="s">
        <v>197</v>
      </c>
      <c r="C308" s="25"/>
      <c r="D308" s="61">
        <f>ROUND(5793187.76,0)</f>
        <v>5793188</v>
      </c>
      <c r="E308" s="18">
        <v>2.7E-2</v>
      </c>
      <c r="G308" s="8">
        <f t="shared" si="15"/>
        <v>156416</v>
      </c>
    </row>
    <row r="309" spans="2:7" x14ac:dyDescent="0.25">
      <c r="B309" s="25" t="s">
        <v>196</v>
      </c>
      <c r="C309" s="25"/>
      <c r="D309" s="61">
        <f>ROUND(7475494.1,0)</f>
        <v>7475494</v>
      </c>
      <c r="E309" s="18">
        <v>2.7E-2</v>
      </c>
      <c r="G309" s="8">
        <f t="shared" si="15"/>
        <v>201838</v>
      </c>
    </row>
    <row r="310" spans="2:7" x14ac:dyDescent="0.25">
      <c r="B310" s="25" t="s">
        <v>30</v>
      </c>
      <c r="C310" s="25"/>
      <c r="D310" s="61">
        <f>ROUND(548241.14,0)</f>
        <v>548241</v>
      </c>
      <c r="E310" s="18">
        <v>0</v>
      </c>
      <c r="G310" s="8">
        <f t="shared" si="15"/>
        <v>0</v>
      </c>
    </row>
    <row r="311" spans="2:7" x14ac:dyDescent="0.25">
      <c r="B311" s="25" t="s">
        <v>31</v>
      </c>
      <c r="C311" s="25"/>
      <c r="D311" s="61">
        <f>ROUND(400511.4,0)</f>
        <v>400511</v>
      </c>
      <c r="E311" s="18">
        <v>0</v>
      </c>
      <c r="G311" s="8">
        <f t="shared" si="15"/>
        <v>0</v>
      </c>
    </row>
    <row r="312" spans="2:7" x14ac:dyDescent="0.25">
      <c r="B312" s="25" t="s">
        <v>32</v>
      </c>
      <c r="C312" s="25"/>
      <c r="D312" s="61">
        <f>ROUND(9648855,0)</f>
        <v>9648855</v>
      </c>
      <c r="E312" s="18">
        <v>8.3000000000000001E-3</v>
      </c>
      <c r="G312" s="8">
        <f t="shared" si="15"/>
        <v>80085</v>
      </c>
    </row>
    <row r="313" spans="2:7" x14ac:dyDescent="0.25">
      <c r="B313" s="25" t="s">
        <v>33</v>
      </c>
      <c r="C313" s="25"/>
      <c r="D313" s="61">
        <f>ROUND(1882661.68+257328.32,0)</f>
        <v>2139990</v>
      </c>
      <c r="E313" s="18">
        <v>0</v>
      </c>
      <c r="G313" s="8">
        <f t="shared" si="15"/>
        <v>0</v>
      </c>
    </row>
    <row r="314" spans="2:7" x14ac:dyDescent="0.25">
      <c r="B314" s="25" t="s">
        <v>34</v>
      </c>
      <c r="C314" s="25"/>
      <c r="D314" s="3">
        <f>ROUND(15285579.55,0)</f>
        <v>15285580</v>
      </c>
      <c r="E314" s="18">
        <v>1.8200000000000001E-2</v>
      </c>
      <c r="G314" s="8">
        <f t="shared" si="15"/>
        <v>278198</v>
      </c>
    </row>
    <row r="315" spans="2:7" x14ac:dyDescent="0.25">
      <c r="B315" s="25" t="s">
        <v>35</v>
      </c>
      <c r="C315" s="25"/>
      <c r="D315" s="61">
        <f>ROUND(17056347.99,0)</f>
        <v>17056348</v>
      </c>
      <c r="E315" s="18">
        <v>2.3699999999999999E-2</v>
      </c>
      <c r="G315" s="8">
        <f t="shared" si="15"/>
        <v>404235</v>
      </c>
    </row>
    <row r="316" spans="2:7" x14ac:dyDescent="0.25">
      <c r="B316" s="25" t="s">
        <v>36</v>
      </c>
      <c r="C316" s="25"/>
      <c r="D316" s="61">
        <f>ROUND(524849.76,0)</f>
        <v>524850</v>
      </c>
      <c r="E316" s="18">
        <v>1.5299999999999999E-2</v>
      </c>
      <c r="G316" s="8">
        <f t="shared" si="15"/>
        <v>8030</v>
      </c>
    </row>
    <row r="317" spans="2:7" x14ac:dyDescent="0.25">
      <c r="B317" s="25" t="s">
        <v>37</v>
      </c>
      <c r="C317" s="25"/>
      <c r="D317" s="61">
        <f>ROUND(13340431.35,0)</f>
        <v>13340431</v>
      </c>
      <c r="E317" s="18">
        <v>1.9699999999999999E-2</v>
      </c>
      <c r="G317" s="8">
        <f t="shared" si="15"/>
        <v>262806</v>
      </c>
    </row>
    <row r="318" spans="2:7" x14ac:dyDescent="0.25">
      <c r="B318" s="25" t="s">
        <v>151</v>
      </c>
      <c r="C318" s="25"/>
      <c r="D318" s="61">
        <f>ROUND(1719439.12,0)</f>
        <v>1719439</v>
      </c>
      <c r="E318" s="18">
        <v>2.2499999999999999E-2</v>
      </c>
      <c r="G318" s="8">
        <f t="shared" si="15"/>
        <v>38687</v>
      </c>
    </row>
    <row r="319" spans="2:7" x14ac:dyDescent="0.25">
      <c r="B319" s="25" t="s">
        <v>184</v>
      </c>
      <c r="C319" s="25"/>
      <c r="D319" s="62">
        <f>ROUND(30876.41+5170297.07,0)</f>
        <v>5201173</v>
      </c>
      <c r="E319" s="18"/>
    </row>
    <row r="320" spans="2:7" s="23" customFormat="1" x14ac:dyDescent="0.25">
      <c r="B320" s="39" t="s">
        <v>171</v>
      </c>
      <c r="C320" s="25"/>
      <c r="D320" s="54">
        <f>ROUND(SUM(D302:D319),0)</f>
        <v>90098630</v>
      </c>
      <c r="E320" s="24"/>
      <c r="G320" s="54">
        <f>ROUND(SUM(G302:G319),0)</f>
        <v>1608159</v>
      </c>
    </row>
    <row r="321" spans="1:7" s="23" customFormat="1" x14ac:dyDescent="0.25">
      <c r="B321" s="25"/>
      <c r="C321" s="25"/>
      <c r="D321" s="8"/>
      <c r="E321" s="24"/>
      <c r="G321" s="72"/>
    </row>
    <row r="322" spans="1:7" x14ac:dyDescent="0.25">
      <c r="A322" s="1" t="s">
        <v>176</v>
      </c>
      <c r="B322" s="25"/>
      <c r="C322" s="25"/>
      <c r="D322" s="3"/>
      <c r="E322" s="18"/>
    </row>
    <row r="323" spans="1:7" x14ac:dyDescent="0.25">
      <c r="B323" s="25" t="s">
        <v>38</v>
      </c>
      <c r="C323" s="25"/>
      <c r="D323" s="34">
        <f>ROUND(220659.05,0)</f>
        <v>220659</v>
      </c>
      <c r="E323" s="18">
        <v>1.6000000000000001E-3</v>
      </c>
      <c r="G323" s="34">
        <f>ROUND(D323*E323,0)</f>
        <v>353</v>
      </c>
    </row>
    <row r="324" spans="1:7" x14ac:dyDescent="0.25">
      <c r="B324" s="25" t="s">
        <v>39</v>
      </c>
      <c r="C324" s="25"/>
      <c r="D324" s="63">
        <f>ROUND(18939474.97,0)</f>
        <v>18939475</v>
      </c>
      <c r="E324" s="18">
        <v>7.9000000000000008E-3</v>
      </c>
      <c r="G324" s="8">
        <f>ROUND(D324*E324,0)</f>
        <v>149622</v>
      </c>
    </row>
    <row r="325" spans="1:7" x14ac:dyDescent="0.25">
      <c r="B325" s="30" t="s">
        <v>202</v>
      </c>
      <c r="C325" s="25"/>
      <c r="D325" s="62">
        <f>ROUND(3941518.65,0)</f>
        <v>3941519</v>
      </c>
      <c r="E325" s="18"/>
    </row>
    <row r="326" spans="1:7" s="23" customFormat="1" x14ac:dyDescent="0.25">
      <c r="B326" s="16" t="s">
        <v>167</v>
      </c>
      <c r="C326" s="25"/>
      <c r="D326" s="54">
        <f>ROUND(SUM(D323:D325),0)</f>
        <v>23101653</v>
      </c>
      <c r="E326" s="24"/>
      <c r="G326" s="54">
        <f>ROUND(SUM(G323:G325),0)</f>
        <v>149975</v>
      </c>
    </row>
    <row r="327" spans="1:7" s="23" customFormat="1" x14ac:dyDescent="0.25">
      <c r="B327" s="25"/>
      <c r="C327" s="25"/>
      <c r="D327" s="8"/>
      <c r="E327" s="24"/>
      <c r="G327" s="72"/>
    </row>
    <row r="328" spans="1:7" x14ac:dyDescent="0.25">
      <c r="A328" s="1" t="s">
        <v>177</v>
      </c>
      <c r="B328" s="25"/>
      <c r="C328" s="25"/>
      <c r="D328" s="3"/>
      <c r="E328" s="18"/>
    </row>
    <row r="329" spans="1:7" x14ac:dyDescent="0.25">
      <c r="B329" s="25" t="s">
        <v>40</v>
      </c>
      <c r="C329" s="25"/>
      <c r="D329" s="34">
        <f>ROUND(59724.58,0)</f>
        <v>59725</v>
      </c>
      <c r="E329" s="18">
        <v>0</v>
      </c>
      <c r="G329" s="34">
        <f>D329*E329</f>
        <v>0</v>
      </c>
    </row>
    <row r="330" spans="1:7" x14ac:dyDescent="0.25">
      <c r="B330" s="25" t="s">
        <v>150</v>
      </c>
      <c r="C330" s="25"/>
      <c r="D330" s="3">
        <f>ROUND(74018.23,0)</f>
        <v>74018</v>
      </c>
      <c r="E330" s="18">
        <v>0</v>
      </c>
      <c r="G330" s="8">
        <f t="shared" ref="G330:G340" si="16">ROUND(D330*E330,0)</f>
        <v>0</v>
      </c>
    </row>
    <row r="331" spans="1:7" x14ac:dyDescent="0.25">
      <c r="B331" s="25" t="s">
        <v>41</v>
      </c>
      <c r="C331" s="25"/>
      <c r="D331" s="61">
        <f>ROUND(367965.77,0)</f>
        <v>367966</v>
      </c>
      <c r="E331" s="18">
        <v>1.46E-2</v>
      </c>
      <c r="G331" s="8">
        <f t="shared" si="16"/>
        <v>5372</v>
      </c>
    </row>
    <row r="332" spans="1:7" x14ac:dyDescent="0.25">
      <c r="B332" s="25" t="s">
        <v>42</v>
      </c>
      <c r="C332" s="25"/>
      <c r="D332" s="61">
        <f>ROUND(532497.3,0)</f>
        <v>532497</v>
      </c>
      <c r="E332" s="18">
        <v>5.2600000000000001E-2</v>
      </c>
      <c r="G332" s="8">
        <f t="shared" si="16"/>
        <v>28009</v>
      </c>
    </row>
    <row r="333" spans="1:7" x14ac:dyDescent="0.25">
      <c r="B333" s="25" t="s">
        <v>43</v>
      </c>
      <c r="C333" s="25"/>
      <c r="D333" s="61">
        <f>ROUND(336076716.81,0)</f>
        <v>336076717</v>
      </c>
      <c r="E333" s="18">
        <v>1.89E-2</v>
      </c>
      <c r="G333" s="8">
        <f t="shared" si="16"/>
        <v>6351850</v>
      </c>
    </row>
    <row r="334" spans="1:7" x14ac:dyDescent="0.25">
      <c r="B334" s="25" t="s">
        <v>44</v>
      </c>
      <c r="C334" s="25"/>
      <c r="D334" s="61">
        <f>ROUND(12466709.02,0)</f>
        <v>12466709</v>
      </c>
      <c r="E334" s="18">
        <v>2.58E-2</v>
      </c>
      <c r="G334" s="8">
        <f t="shared" si="16"/>
        <v>321641</v>
      </c>
    </row>
    <row r="335" spans="1:7" x14ac:dyDescent="0.25">
      <c r="B335" s="25" t="s">
        <v>45</v>
      </c>
      <c r="C335" s="25"/>
      <c r="D335" s="61">
        <f>ROUND(4460808.49,0)</f>
        <v>4460808</v>
      </c>
      <c r="E335" s="18">
        <v>2.12E-2</v>
      </c>
      <c r="G335" s="8">
        <f t="shared" si="16"/>
        <v>94569</v>
      </c>
    </row>
    <row r="336" spans="1:7" x14ac:dyDescent="0.25">
      <c r="B336" s="25" t="s">
        <v>46</v>
      </c>
      <c r="C336" s="25"/>
      <c r="D336" s="61">
        <f>ROUND(195651821.21,0)</f>
        <v>195651821</v>
      </c>
      <c r="E336" s="18">
        <v>3.7900000000000003E-2</v>
      </c>
      <c r="G336" s="8">
        <f t="shared" si="16"/>
        <v>7415204</v>
      </c>
    </row>
    <row r="337" spans="1:7" x14ac:dyDescent="0.25">
      <c r="B337" s="25" t="s">
        <v>47</v>
      </c>
      <c r="C337" s="25"/>
      <c r="D337" s="3">
        <f>ROUND(39990525.16,0)</f>
        <v>39990525</v>
      </c>
      <c r="E337" s="18">
        <v>4.0300000000000002E-2</v>
      </c>
      <c r="G337" s="8">
        <f t="shared" si="16"/>
        <v>1611618</v>
      </c>
    </row>
    <row r="338" spans="1:7" x14ac:dyDescent="0.25">
      <c r="B338" s="25" t="s">
        <v>48</v>
      </c>
      <c r="C338" s="25"/>
      <c r="D338" s="29">
        <f>ROUND(23914705.78,0)</f>
        <v>23914706</v>
      </c>
      <c r="E338" s="18">
        <v>4.1000000000000002E-2</v>
      </c>
      <c r="G338" s="8">
        <f t="shared" si="16"/>
        <v>980503</v>
      </c>
    </row>
    <row r="339" spans="1:7" x14ac:dyDescent="0.25">
      <c r="B339" s="25" t="s">
        <v>49</v>
      </c>
      <c r="C339" s="25"/>
      <c r="D339" s="3">
        <f>ROUND(944360.15,0)</f>
        <v>944360</v>
      </c>
      <c r="E339" s="18">
        <v>2.8500000000000001E-2</v>
      </c>
      <c r="G339" s="8">
        <f t="shared" si="16"/>
        <v>26914</v>
      </c>
    </row>
    <row r="340" spans="1:7" x14ac:dyDescent="0.25">
      <c r="B340" s="25" t="s">
        <v>195</v>
      </c>
      <c r="C340" s="25"/>
      <c r="D340" s="3">
        <f>ROUND(51112.34,0)</f>
        <v>51112</v>
      </c>
      <c r="E340" s="18">
        <v>2.7799999999999998E-2</v>
      </c>
      <c r="G340" s="8">
        <f t="shared" si="16"/>
        <v>1421</v>
      </c>
    </row>
    <row r="341" spans="1:7" x14ac:dyDescent="0.25">
      <c r="B341" s="25" t="s">
        <v>185</v>
      </c>
      <c r="C341" s="25"/>
      <c r="D341" s="64">
        <f>ROUND(2962.94+11928646.51,0)</f>
        <v>11931609</v>
      </c>
      <c r="E341" s="18"/>
    </row>
    <row r="342" spans="1:7" s="23" customFormat="1" x14ac:dyDescent="0.25">
      <c r="B342" s="16" t="s">
        <v>168</v>
      </c>
      <c r="C342" s="25"/>
      <c r="D342" s="54">
        <f>ROUND(SUM(D329:D341),0)</f>
        <v>626522573</v>
      </c>
      <c r="E342" s="24"/>
      <c r="G342" s="54">
        <f>ROUND(SUM(G329:G341),0)</f>
        <v>16837101</v>
      </c>
    </row>
    <row r="343" spans="1:7" s="23" customFormat="1" x14ac:dyDescent="0.25">
      <c r="B343" s="25"/>
      <c r="C343" s="25"/>
      <c r="D343" s="8"/>
      <c r="E343" s="24"/>
      <c r="G343" s="72"/>
    </row>
    <row r="344" spans="1:7" x14ac:dyDescent="0.25">
      <c r="A344" s="16" t="s">
        <v>178</v>
      </c>
      <c r="C344" s="25"/>
      <c r="D344" s="3"/>
      <c r="E344" s="18"/>
    </row>
    <row r="345" spans="1:7" x14ac:dyDescent="0.25">
      <c r="B345" s="25" t="s">
        <v>222</v>
      </c>
      <c r="C345" s="25"/>
      <c r="D345" s="34">
        <v>250262.2</v>
      </c>
      <c r="E345" s="18">
        <v>2.63E-2</v>
      </c>
      <c r="G345" s="34">
        <f t="shared" ref="G345:G351" si="17">ROUND(D345*E345,0)</f>
        <v>6582</v>
      </c>
    </row>
    <row r="346" spans="1:7" x14ac:dyDescent="0.25">
      <c r="B346" s="25" t="s">
        <v>50</v>
      </c>
      <c r="C346" s="25"/>
      <c r="D346" s="3">
        <f>ROUND(599856.29,0)</f>
        <v>599856</v>
      </c>
      <c r="E346" s="18">
        <v>4.8000000000000001E-2</v>
      </c>
      <c r="G346" s="8">
        <f t="shared" si="17"/>
        <v>28793</v>
      </c>
    </row>
    <row r="347" spans="1:7" x14ac:dyDescent="0.25">
      <c r="B347" s="25" t="s">
        <v>225</v>
      </c>
      <c r="C347" s="25"/>
      <c r="D347" s="3">
        <f>ROUND(1131842.4,0)</f>
        <v>1131842</v>
      </c>
      <c r="E347" s="18">
        <v>1.7500000000000002E-2</v>
      </c>
      <c r="G347" s="8">
        <f t="shared" si="17"/>
        <v>19807</v>
      </c>
    </row>
    <row r="348" spans="1:7" x14ac:dyDescent="0.25">
      <c r="B348" s="25" t="s">
        <v>51</v>
      </c>
      <c r="C348" s="25"/>
      <c r="D348" s="3">
        <f>ROUND(4533726.39,0)</f>
        <v>4533726</v>
      </c>
      <c r="E348" s="18">
        <v>4.6600000000000003E-2</v>
      </c>
      <c r="G348" s="8">
        <f t="shared" si="17"/>
        <v>211272</v>
      </c>
    </row>
    <row r="349" spans="1:7" x14ac:dyDescent="0.25">
      <c r="B349" s="25" t="s">
        <v>252</v>
      </c>
      <c r="C349" s="25"/>
      <c r="D349" s="3">
        <v>105665.04</v>
      </c>
      <c r="E349" s="18">
        <v>0</v>
      </c>
      <c r="G349" s="8">
        <f t="shared" si="17"/>
        <v>0</v>
      </c>
    </row>
    <row r="350" spans="1:7" x14ac:dyDescent="0.25">
      <c r="B350" s="25" t="s">
        <v>223</v>
      </c>
      <c r="C350" s="25"/>
      <c r="D350" s="5">
        <f>ROUND(177781.8,0)</f>
        <v>177782</v>
      </c>
      <c r="E350" s="18">
        <v>5.8999999999999997E-2</v>
      </c>
      <c r="G350" s="8">
        <f t="shared" si="17"/>
        <v>10489</v>
      </c>
    </row>
    <row r="351" spans="1:7" x14ac:dyDescent="0.25">
      <c r="B351" s="25" t="s">
        <v>224</v>
      </c>
      <c r="C351" s="25"/>
      <c r="D351" s="64">
        <v>2181086.96</v>
      </c>
      <c r="E351" s="18">
        <v>1.1599999999999999E-2</v>
      </c>
      <c r="G351" s="8">
        <f t="shared" si="17"/>
        <v>25301</v>
      </c>
    </row>
    <row r="352" spans="1:7" s="23" customFormat="1" x14ac:dyDescent="0.25">
      <c r="B352" s="1" t="s">
        <v>169</v>
      </c>
      <c r="C352" s="25"/>
      <c r="D352" s="54">
        <f>ROUND(SUM(D345:D351),0)</f>
        <v>8980220</v>
      </c>
      <c r="E352" s="24"/>
      <c r="G352" s="54">
        <f>ROUND(SUM(G345:G351),0)</f>
        <v>302244</v>
      </c>
    </row>
    <row r="353" spans="1:7" s="23" customFormat="1" x14ac:dyDescent="0.25">
      <c r="B353" s="25"/>
      <c r="C353" s="25"/>
      <c r="D353" s="8"/>
      <c r="E353" s="24"/>
      <c r="G353" s="72"/>
    </row>
    <row r="354" spans="1:7" s="23" customFormat="1" ht="16.5" thickBot="1" x14ac:dyDescent="0.3">
      <c r="B354" s="26" t="s">
        <v>67</v>
      </c>
      <c r="C354" s="25"/>
      <c r="D354" s="55">
        <f>ROUND(D352+D342+D326+D320+D300,0)</f>
        <v>748703463</v>
      </c>
      <c r="E354" s="24"/>
      <c r="G354" s="55">
        <f>ROUND(G352+G342+G326+G320+G300,0)</f>
        <v>18897520</v>
      </c>
    </row>
    <row r="355" spans="1:7" s="23" customFormat="1" ht="17.25" thickTop="1" thickBot="1" x14ac:dyDescent="0.3">
      <c r="B355" s="26"/>
      <c r="C355" s="25"/>
      <c r="D355" s="17"/>
      <c r="E355" s="24"/>
      <c r="G355" s="72"/>
    </row>
    <row r="356" spans="1:7" s="2" customFormat="1" x14ac:dyDescent="0.25">
      <c r="A356" s="42" t="s">
        <v>189</v>
      </c>
      <c r="B356" s="43"/>
      <c r="C356" s="43"/>
      <c r="D356" s="44"/>
      <c r="E356" s="43"/>
      <c r="F356" s="43"/>
      <c r="G356" s="73"/>
    </row>
    <row r="357" spans="1:7" s="2" customFormat="1" x14ac:dyDescent="0.25">
      <c r="A357" s="45"/>
      <c r="B357" s="51" t="str">
        <f>B345</f>
        <v>392.1 Transportation Equipment - Cars &amp; Light Trucks</v>
      </c>
      <c r="C357" s="41"/>
      <c r="D357" s="17"/>
      <c r="E357" s="4"/>
      <c r="F357" s="4"/>
      <c r="G357" s="92">
        <f>-G345</f>
        <v>-6582</v>
      </c>
    </row>
    <row r="358" spans="1:7" s="2" customFormat="1" x14ac:dyDescent="0.25">
      <c r="A358" s="45"/>
      <c r="B358" s="51" t="str">
        <f>B347</f>
        <v>392.3 Transportation Equipment - Heavy Trucks and Other</v>
      </c>
      <c r="C358" s="41"/>
      <c r="D358" s="17"/>
      <c r="E358" s="4"/>
      <c r="F358" s="4"/>
      <c r="G358" s="66">
        <f>-G347</f>
        <v>-19807</v>
      </c>
    </row>
    <row r="359" spans="1:7" s="2" customFormat="1" x14ac:dyDescent="0.25">
      <c r="A359" s="45"/>
      <c r="B359" s="51" t="str">
        <f>B349</f>
        <v>396.1 Power Operated Equipment - Small Machinery</v>
      </c>
      <c r="C359" s="41"/>
      <c r="D359" s="17"/>
      <c r="E359" s="4"/>
      <c r="F359" s="4"/>
      <c r="G359" s="66">
        <f>-G349</f>
        <v>0</v>
      </c>
    </row>
    <row r="360" spans="1:7" x14ac:dyDescent="0.25">
      <c r="A360" s="47"/>
      <c r="B360" s="51" t="str">
        <f>B351</f>
        <v>396.3 Power Operated Equipment - Large Machinery</v>
      </c>
      <c r="C360" s="10"/>
      <c r="D360" s="17"/>
      <c r="E360" s="18"/>
      <c r="F360" s="10"/>
      <c r="G360" s="66">
        <f>-G351</f>
        <v>-25301</v>
      </c>
    </row>
    <row r="361" spans="1:7" ht="16.5" thickBot="1" x14ac:dyDescent="0.3">
      <c r="A361" s="46" t="s">
        <v>191</v>
      </c>
      <c r="B361" s="10"/>
      <c r="C361" s="10"/>
      <c r="D361" s="17"/>
      <c r="E361" s="18"/>
      <c r="F361" s="10"/>
      <c r="G361" s="93">
        <f>ROUND(SUM(G354:G360),0)</f>
        <v>18845830</v>
      </c>
    </row>
    <row r="362" spans="1:7" s="23" customFormat="1" ht="17.25" thickTop="1" thickBot="1" x14ac:dyDescent="0.3">
      <c r="A362" s="56"/>
      <c r="B362" s="52"/>
      <c r="C362" s="53"/>
      <c r="D362" s="50"/>
      <c r="E362" s="67"/>
      <c r="F362" s="68"/>
      <c r="G362" s="75"/>
    </row>
    <row r="363" spans="1:7" s="23" customFormat="1" x14ac:dyDescent="0.25">
      <c r="B363" s="26"/>
      <c r="C363" s="25"/>
      <c r="D363" s="17"/>
      <c r="E363" s="24"/>
      <c r="G363" s="72"/>
    </row>
    <row r="364" spans="1:7" x14ac:dyDescent="0.25">
      <c r="A364" s="14" t="s">
        <v>68</v>
      </c>
      <c r="D364" s="3"/>
      <c r="E364" s="18"/>
    </row>
    <row r="365" spans="1:7" x14ac:dyDescent="0.25">
      <c r="A365" s="16" t="s">
        <v>147</v>
      </c>
      <c r="B365" s="25"/>
      <c r="C365" s="25"/>
      <c r="D365" s="3"/>
      <c r="E365" s="18"/>
    </row>
    <row r="366" spans="1:7" x14ac:dyDescent="0.25">
      <c r="B366" s="25" t="s">
        <v>11</v>
      </c>
      <c r="C366" s="25"/>
      <c r="D366" s="34">
        <f>ROUND(83782.29,0)</f>
        <v>83782</v>
      </c>
      <c r="E366" s="18">
        <v>0</v>
      </c>
      <c r="G366" s="34">
        <f>D366*E366</f>
        <v>0</v>
      </c>
    </row>
    <row r="367" spans="1:7" x14ac:dyDescent="0.25">
      <c r="B367" s="25" t="s">
        <v>162</v>
      </c>
      <c r="C367" s="25"/>
      <c r="D367" s="3">
        <f>ROUND(21873636.33,0)</f>
        <v>21873636</v>
      </c>
      <c r="E367" s="18">
        <v>0.13969999999999999</v>
      </c>
      <c r="G367" s="8">
        <f>ROUND(D367*E367,0)</f>
        <v>3055747</v>
      </c>
    </row>
    <row r="368" spans="1:7" s="2" customFormat="1" x14ac:dyDescent="0.25">
      <c r="B368" s="25" t="s">
        <v>161</v>
      </c>
      <c r="C368" s="25"/>
      <c r="D368" s="21">
        <f>ROUND(44513679.94,0)</f>
        <v>44513680</v>
      </c>
      <c r="E368" s="18">
        <v>9.9199999999999997E-2</v>
      </c>
      <c r="G368" s="8">
        <f>ROUND(D368*E368,0)</f>
        <v>4415757</v>
      </c>
    </row>
    <row r="369" spans="1:7" s="16" customFormat="1" x14ac:dyDescent="0.25">
      <c r="B369" s="1" t="s">
        <v>172</v>
      </c>
      <c r="C369" s="25"/>
      <c r="D369" s="54">
        <f>ROUND(SUM(D366:D368),0)</f>
        <v>66471098</v>
      </c>
      <c r="E369" s="27"/>
      <c r="G369" s="54">
        <f>ROUND(SUM(G366:G368),0)</f>
        <v>7471504</v>
      </c>
    </row>
    <row r="370" spans="1:7" s="2" customFormat="1" x14ac:dyDescent="0.25">
      <c r="B370" s="25"/>
      <c r="C370" s="25"/>
      <c r="D370" s="17"/>
      <c r="E370" s="28"/>
      <c r="G370" s="69"/>
    </row>
    <row r="371" spans="1:7" x14ac:dyDescent="0.25">
      <c r="A371" s="1" t="s">
        <v>179</v>
      </c>
      <c r="B371" s="25"/>
      <c r="C371" s="25"/>
      <c r="E371" s="18"/>
    </row>
    <row r="372" spans="1:7" x14ac:dyDescent="0.25">
      <c r="B372" s="25" t="s">
        <v>52</v>
      </c>
      <c r="C372" s="25"/>
      <c r="D372" s="34">
        <f>ROUND(1685316.06,0)</f>
        <v>1685316</v>
      </c>
      <c r="E372" s="18">
        <v>0</v>
      </c>
      <c r="G372" s="34">
        <f>D372*E372</f>
        <v>0</v>
      </c>
    </row>
    <row r="373" spans="1:7" x14ac:dyDescent="0.25">
      <c r="B373" s="25" t="s">
        <v>53</v>
      </c>
      <c r="C373" s="25"/>
      <c r="D373" s="8">
        <f>ROUND(202094.94,0)</f>
        <v>202095</v>
      </c>
      <c r="E373" s="18">
        <v>0</v>
      </c>
      <c r="G373" s="8">
        <f t="shared" ref="G373:G396" si="18">ROUND(D373*E373,0)</f>
        <v>0</v>
      </c>
    </row>
    <row r="374" spans="1:7" x14ac:dyDescent="0.25">
      <c r="B374" s="25" t="s">
        <v>163</v>
      </c>
      <c r="C374" s="25"/>
      <c r="D374" s="8">
        <f>ROUND(61433239.99,0)</f>
        <v>61433240</v>
      </c>
      <c r="E374" s="18">
        <v>3.4000000000000002E-2</v>
      </c>
      <c r="G374" s="8">
        <f t="shared" si="18"/>
        <v>2088730</v>
      </c>
    </row>
    <row r="375" spans="1:7" x14ac:dyDescent="0.25">
      <c r="B375" s="25" t="s">
        <v>59</v>
      </c>
      <c r="C375" s="25"/>
      <c r="D375" s="8">
        <f>ROUND(412150.57,0)</f>
        <v>412151</v>
      </c>
      <c r="E375" s="18">
        <v>5.9799999999999999E-2</v>
      </c>
      <c r="G375" s="8">
        <f t="shared" si="18"/>
        <v>24647</v>
      </c>
    </row>
    <row r="376" spans="1:7" x14ac:dyDescent="0.25">
      <c r="B376" s="25" t="s">
        <v>60</v>
      </c>
      <c r="C376" s="25"/>
      <c r="D376" s="8">
        <f>ROUND(10750497.54,0)</f>
        <v>10750498</v>
      </c>
      <c r="E376" s="18">
        <v>1.9599999999999999E-2</v>
      </c>
      <c r="G376" s="8">
        <f t="shared" si="18"/>
        <v>210710</v>
      </c>
    </row>
    <row r="377" spans="1:7" x14ac:dyDescent="0.25">
      <c r="B377" s="25" t="s">
        <v>61</v>
      </c>
      <c r="C377" s="25"/>
      <c r="D377" s="8">
        <f>ROUND(536692.08,0)</f>
        <v>536692</v>
      </c>
      <c r="E377" s="18">
        <v>2.0500000000000001E-2</v>
      </c>
      <c r="G377" s="8">
        <f t="shared" si="18"/>
        <v>11002</v>
      </c>
    </row>
    <row r="378" spans="1:7" x14ac:dyDescent="0.25">
      <c r="B378" s="25" t="s">
        <v>62</v>
      </c>
      <c r="C378" s="25"/>
      <c r="D378" s="8">
        <f>ROUND(1078816.3,0)</f>
        <v>1078816</v>
      </c>
      <c r="E378" s="18">
        <v>2.3E-2</v>
      </c>
      <c r="G378" s="8">
        <f t="shared" si="18"/>
        <v>24813</v>
      </c>
    </row>
    <row r="379" spans="1:7" x14ac:dyDescent="0.25">
      <c r="B379" s="25" t="s">
        <v>152</v>
      </c>
      <c r="C379" s="25"/>
      <c r="D379" s="8">
        <f>ROUND(8673967.2,0)</f>
        <v>8673967</v>
      </c>
      <c r="E379" s="18">
        <v>0.19939999999999999</v>
      </c>
      <c r="G379" s="8">
        <f t="shared" si="18"/>
        <v>1729589</v>
      </c>
    </row>
    <row r="380" spans="1:7" x14ac:dyDescent="0.25">
      <c r="B380" s="25" t="s">
        <v>153</v>
      </c>
      <c r="C380" s="25"/>
      <c r="D380" s="8">
        <f>ROUND(2086579.53,0)</f>
        <v>2086580</v>
      </c>
      <c r="E380" s="18">
        <v>8.1600000000000006E-2</v>
      </c>
      <c r="G380" s="8">
        <f t="shared" si="18"/>
        <v>170265</v>
      </c>
    </row>
    <row r="381" spans="1:7" x14ac:dyDescent="0.25">
      <c r="B381" s="25" t="s">
        <v>154</v>
      </c>
      <c r="C381" s="25"/>
      <c r="D381" s="8">
        <f>ROUND(14508118.12,0)</f>
        <v>14508118</v>
      </c>
      <c r="E381" s="18">
        <v>3.4299999999999997E-2</v>
      </c>
      <c r="G381" s="8">
        <f t="shared" si="18"/>
        <v>497628</v>
      </c>
    </row>
    <row r="382" spans="1:7" x14ac:dyDescent="0.25">
      <c r="B382" s="30" t="s">
        <v>155</v>
      </c>
      <c r="C382" s="30"/>
      <c r="D382" s="8">
        <f>ROUND(4059068.43+77639.12,0)</f>
        <v>4136708</v>
      </c>
      <c r="E382" s="18">
        <v>0.21879999999999999</v>
      </c>
      <c r="G382" s="8">
        <f t="shared" si="18"/>
        <v>905112</v>
      </c>
    </row>
    <row r="383" spans="1:7" x14ac:dyDescent="0.25">
      <c r="B383" s="30" t="s">
        <v>156</v>
      </c>
      <c r="C383" s="30"/>
      <c r="D383" s="8">
        <f>ROUND(2241823.44,0)</f>
        <v>2241823</v>
      </c>
      <c r="E383" s="18">
        <v>0.18179999999999999</v>
      </c>
      <c r="G383" s="8">
        <f t="shared" si="18"/>
        <v>407563</v>
      </c>
    </row>
    <row r="384" spans="1:7" x14ac:dyDescent="0.25">
      <c r="B384" s="25" t="s">
        <v>222</v>
      </c>
      <c r="C384" s="25"/>
      <c r="D384" s="8">
        <f>ROUND(179512.9,0)</f>
        <v>179513</v>
      </c>
      <c r="E384" s="18">
        <v>0.1138</v>
      </c>
      <c r="G384" s="8">
        <f t="shared" si="18"/>
        <v>20429</v>
      </c>
    </row>
    <row r="385" spans="2:7" x14ac:dyDescent="0.25">
      <c r="B385" s="25" t="s">
        <v>226</v>
      </c>
      <c r="C385" s="25"/>
      <c r="D385" s="8">
        <f>ROUND(83874.3,0)</f>
        <v>83874</v>
      </c>
      <c r="E385" s="18">
        <v>6.3399999999999998E-2</v>
      </c>
      <c r="G385" s="8">
        <f t="shared" si="18"/>
        <v>5318</v>
      </c>
    </row>
    <row r="386" spans="2:7" x14ac:dyDescent="0.25">
      <c r="B386" s="25" t="s">
        <v>225</v>
      </c>
      <c r="C386" s="25"/>
      <c r="D386" s="8">
        <f>ROUND(65583.61,0)</f>
        <v>65584</v>
      </c>
      <c r="E386" s="18">
        <v>0</v>
      </c>
      <c r="G386" s="8">
        <f t="shared" si="18"/>
        <v>0</v>
      </c>
    </row>
    <row r="387" spans="2:7" x14ac:dyDescent="0.25">
      <c r="B387" s="25" t="s">
        <v>7</v>
      </c>
      <c r="C387" s="25"/>
      <c r="D387" s="8">
        <f>ROUND(1135864.09,0)</f>
        <v>1135864</v>
      </c>
      <c r="E387" s="18">
        <v>5.8200000000000002E-2</v>
      </c>
      <c r="G387" s="8">
        <f t="shared" si="18"/>
        <v>66107</v>
      </c>
    </row>
    <row r="388" spans="2:7" x14ac:dyDescent="0.25">
      <c r="B388" s="25" t="s">
        <v>51</v>
      </c>
      <c r="C388" s="25"/>
      <c r="D388" s="8">
        <f>ROUND(3624118.9,0)</f>
        <v>3624119</v>
      </c>
      <c r="E388" s="18">
        <v>5.04E-2</v>
      </c>
      <c r="G388" s="8">
        <f t="shared" si="18"/>
        <v>182656</v>
      </c>
    </row>
    <row r="389" spans="2:7" x14ac:dyDescent="0.25">
      <c r="B389" s="25" t="s">
        <v>223</v>
      </c>
      <c r="C389" s="25"/>
      <c r="D389" s="8">
        <f>ROUND(14147.08,0)</f>
        <v>14147</v>
      </c>
      <c r="E389" s="18">
        <v>6.5699999999999995E-2</v>
      </c>
      <c r="G389" s="8">
        <f t="shared" si="18"/>
        <v>929</v>
      </c>
    </row>
    <row r="390" spans="2:7" x14ac:dyDescent="0.25">
      <c r="B390" s="25" t="s">
        <v>224</v>
      </c>
      <c r="C390" s="25"/>
      <c r="D390" s="8">
        <f>ROUND(235831.06,0)</f>
        <v>235831</v>
      </c>
      <c r="E390" s="18">
        <v>1.1299999999999999E-2</v>
      </c>
      <c r="G390" s="8">
        <f t="shared" si="18"/>
        <v>2665</v>
      </c>
    </row>
    <row r="391" spans="2:7" x14ac:dyDescent="0.25">
      <c r="B391" s="25" t="s">
        <v>256</v>
      </c>
      <c r="C391" s="25"/>
      <c r="D391" s="8">
        <f>ROUND(29003599.78,0)</f>
        <v>29003600</v>
      </c>
      <c r="E391" s="18">
        <v>0.13139999999999999</v>
      </c>
      <c r="G391" s="8">
        <f t="shared" si="18"/>
        <v>3811073</v>
      </c>
    </row>
    <row r="392" spans="2:7" x14ac:dyDescent="0.25">
      <c r="B392" s="25" t="s">
        <v>257</v>
      </c>
      <c r="C392" s="25"/>
      <c r="D392" s="8">
        <f>ROUND(5292033.07,0)</f>
        <v>5292033</v>
      </c>
      <c r="E392" s="18">
        <v>4.8899999999999999E-2</v>
      </c>
      <c r="G392" s="8">
        <f t="shared" si="18"/>
        <v>258780</v>
      </c>
    </row>
    <row r="393" spans="2:7" x14ac:dyDescent="0.25">
      <c r="B393" s="25" t="s">
        <v>258</v>
      </c>
      <c r="C393" s="25"/>
      <c r="D393" s="8">
        <f>ROUND(11378217.07,0)</f>
        <v>11378217</v>
      </c>
      <c r="E393" s="18">
        <v>0</v>
      </c>
      <c r="G393" s="8">
        <f t="shared" si="18"/>
        <v>0</v>
      </c>
    </row>
    <row r="394" spans="2:7" x14ac:dyDescent="0.25">
      <c r="B394" s="25" t="s">
        <v>259</v>
      </c>
      <c r="C394" s="25"/>
      <c r="D394" s="8">
        <f>ROUND(2243314.65,0)</f>
        <v>2243315</v>
      </c>
      <c r="E394" s="18">
        <v>2.8400000000000002E-2</v>
      </c>
      <c r="G394" s="8">
        <f t="shared" si="18"/>
        <v>63710</v>
      </c>
    </row>
    <row r="395" spans="2:7" x14ac:dyDescent="0.25">
      <c r="B395" s="25" t="s">
        <v>260</v>
      </c>
      <c r="C395" s="25"/>
      <c r="D395" s="8">
        <f>ROUND(77122.64,0)</f>
        <v>77123</v>
      </c>
      <c r="E395" s="18">
        <v>2.7E-2</v>
      </c>
      <c r="G395" s="8">
        <f t="shared" si="18"/>
        <v>2082</v>
      </c>
    </row>
    <row r="396" spans="2:7" x14ac:dyDescent="0.25">
      <c r="B396" s="30" t="s">
        <v>157</v>
      </c>
      <c r="C396" s="30"/>
      <c r="D396" s="8">
        <f>ROUND(17206.03,0)</f>
        <v>17206</v>
      </c>
      <c r="E396" s="18">
        <v>0</v>
      </c>
      <c r="G396" s="8">
        <f t="shared" si="18"/>
        <v>0</v>
      </c>
    </row>
    <row r="397" spans="2:7" x14ac:dyDescent="0.25">
      <c r="B397" s="25" t="s">
        <v>186</v>
      </c>
      <c r="C397" s="25"/>
      <c r="D397" s="21">
        <f>ROUND(101389.77,0)</f>
        <v>101390</v>
      </c>
      <c r="E397" s="18"/>
    </row>
    <row r="398" spans="2:7" s="23" customFormat="1" x14ac:dyDescent="0.25">
      <c r="B398" s="1" t="s">
        <v>169</v>
      </c>
      <c r="C398" s="25"/>
      <c r="D398" s="54">
        <f>ROUND(SUM(D372:D397),0)</f>
        <v>161197820</v>
      </c>
      <c r="E398" s="24"/>
      <c r="G398" s="54">
        <f>ROUND(SUM(G372:G397),0)</f>
        <v>10483808</v>
      </c>
    </row>
    <row r="399" spans="2:7" x14ac:dyDescent="0.25">
      <c r="D399" s="17"/>
      <c r="E399" s="18"/>
    </row>
    <row r="400" spans="2:7" s="23" customFormat="1" ht="16.5" thickBot="1" x14ac:dyDescent="0.3">
      <c r="B400" s="26" t="s">
        <v>54</v>
      </c>
      <c r="C400" s="26"/>
      <c r="D400" s="55">
        <f>ROUND(D398+D369,0)</f>
        <v>227668918</v>
      </c>
      <c r="E400" s="24"/>
      <c r="G400" s="55">
        <f>ROUND(G398+G369,0)</f>
        <v>17955312</v>
      </c>
    </row>
    <row r="401" spans="1:7" ht="17.25" thickTop="1" thickBot="1" x14ac:dyDescent="0.3">
      <c r="E401" s="18"/>
    </row>
    <row r="402" spans="1:7" s="2" customFormat="1" x14ac:dyDescent="0.25">
      <c r="A402" s="42" t="s">
        <v>189</v>
      </c>
      <c r="B402" s="43"/>
      <c r="C402" s="43"/>
      <c r="D402" s="44"/>
      <c r="E402" s="43"/>
      <c r="F402" s="43"/>
      <c r="G402" s="73"/>
    </row>
    <row r="403" spans="1:7" s="2" customFormat="1" x14ac:dyDescent="0.25">
      <c r="A403" s="45"/>
      <c r="B403" s="40" t="str">
        <f>B384</f>
        <v>392.1 Transportation Equipment - Cars &amp; Light Trucks</v>
      </c>
      <c r="C403" s="41"/>
      <c r="D403" s="17"/>
      <c r="E403" s="4"/>
      <c r="F403" s="4"/>
      <c r="G403" s="92">
        <f>-G384</f>
        <v>-20429</v>
      </c>
    </row>
    <row r="404" spans="1:7" s="2" customFormat="1" x14ac:dyDescent="0.25">
      <c r="A404" s="45"/>
      <c r="B404" s="40" t="str">
        <f>B386</f>
        <v>392.3 Transportation Equipment - Heavy Trucks and Other</v>
      </c>
      <c r="C404" s="41"/>
      <c r="D404" s="17"/>
      <c r="E404" s="4"/>
      <c r="F404" s="4"/>
      <c r="G404" s="66">
        <f>-G386</f>
        <v>0</v>
      </c>
    </row>
    <row r="405" spans="1:7" s="2" customFormat="1" x14ac:dyDescent="0.25">
      <c r="A405" s="45"/>
      <c r="B405" s="40" t="str">
        <f>B390</f>
        <v>396.3 Power Operated Equipment - Large Machinery</v>
      </c>
      <c r="C405" s="41"/>
      <c r="D405" s="17"/>
      <c r="E405" s="4"/>
      <c r="F405" s="4"/>
      <c r="G405" s="66">
        <f>-G390</f>
        <v>-2665</v>
      </c>
    </row>
    <row r="406" spans="1:7" s="2" customFormat="1" x14ac:dyDescent="0.25">
      <c r="A406" s="45"/>
      <c r="B406" s="4"/>
      <c r="C406" s="4"/>
      <c r="D406" s="5"/>
      <c r="E406" s="4"/>
      <c r="F406" s="4"/>
      <c r="G406" s="74"/>
    </row>
    <row r="407" spans="1:7" s="2" customFormat="1" ht="16.5" thickBot="1" x14ac:dyDescent="0.3">
      <c r="A407" s="46" t="s">
        <v>191</v>
      </c>
      <c r="B407" s="4"/>
      <c r="C407" s="6"/>
      <c r="D407" s="5"/>
      <c r="E407" s="4"/>
      <c r="F407" s="4"/>
      <c r="G407" s="93">
        <f>ROUND(SUM(G400:G406),0)</f>
        <v>17932218</v>
      </c>
    </row>
    <row r="408" spans="1:7" ht="16.5" thickTop="1" x14ac:dyDescent="0.25">
      <c r="A408" s="47"/>
      <c r="B408" s="10"/>
      <c r="C408" s="10"/>
      <c r="D408" s="17"/>
      <c r="E408" s="18"/>
      <c r="F408" s="10"/>
      <c r="G408" s="66"/>
    </row>
    <row r="409" spans="1:7" ht="16.5" thickBot="1" x14ac:dyDescent="0.3">
      <c r="A409" s="48" t="s">
        <v>200</v>
      </c>
      <c r="B409" s="10"/>
      <c r="C409" s="10"/>
      <c r="D409" s="17"/>
      <c r="E409" s="18"/>
      <c r="F409" s="10"/>
      <c r="G409" s="93">
        <f>ROUND(G407*0.71,0)</f>
        <v>12731875</v>
      </c>
    </row>
    <row r="410" spans="1:7" ht="16.5" thickTop="1" x14ac:dyDescent="0.25">
      <c r="A410" s="47"/>
      <c r="B410" s="10"/>
      <c r="C410" s="10"/>
      <c r="D410" s="17"/>
      <c r="E410" s="18"/>
      <c r="F410" s="10"/>
      <c r="G410" s="66"/>
    </row>
    <row r="411" spans="1:7" ht="16.5" thickBot="1" x14ac:dyDescent="0.3">
      <c r="A411" s="48" t="s">
        <v>199</v>
      </c>
      <c r="B411" s="10"/>
      <c r="C411" s="10"/>
      <c r="D411" s="17"/>
      <c r="E411" s="5"/>
      <c r="F411" s="10"/>
      <c r="G411" s="93">
        <f>ROUND(G407*0.29,0)</f>
        <v>5200343</v>
      </c>
    </row>
    <row r="412" spans="1:7" ht="17.25" thickTop="1" thickBot="1" x14ac:dyDescent="0.3">
      <c r="A412" s="57"/>
      <c r="B412" s="49"/>
      <c r="C412" s="49"/>
      <c r="D412" s="50"/>
      <c r="E412" s="65"/>
      <c r="F412" s="49"/>
      <c r="G412" s="77"/>
    </row>
    <row r="413" spans="1:7" x14ac:dyDescent="0.25">
      <c r="E413" s="18"/>
    </row>
    <row r="414" spans="1:7" x14ac:dyDescent="0.25">
      <c r="D414" s="17"/>
      <c r="E414" s="18"/>
    </row>
    <row r="415" spans="1:7" s="16" customFormat="1" ht="16.5" customHeight="1" thickBot="1" x14ac:dyDescent="0.3">
      <c r="A415" s="1" t="s">
        <v>69</v>
      </c>
      <c r="C415" s="1"/>
      <c r="D415" s="55">
        <f>ROUND(D400+D354+D281,0)</f>
        <v>4749576574</v>
      </c>
      <c r="E415" s="27"/>
      <c r="G415" s="76"/>
    </row>
    <row r="416" spans="1:7" s="2" customFormat="1" ht="12.75" customHeight="1" thickTop="1" x14ac:dyDescent="0.25">
      <c r="D416" s="3"/>
      <c r="E416" s="28"/>
      <c r="G416" s="69"/>
    </row>
    <row r="417" spans="2:5" x14ac:dyDescent="0.25">
      <c r="B417" s="31"/>
      <c r="C417" s="31"/>
      <c r="E417" s="18"/>
    </row>
    <row r="418" spans="2:5" ht="18.75" x14ac:dyDescent="0.3">
      <c r="B418" s="37" t="s">
        <v>165</v>
      </c>
      <c r="C418" s="31"/>
      <c r="E418" s="32"/>
    </row>
    <row r="419" spans="2:5" x14ac:dyDescent="0.25">
      <c r="B419" s="31"/>
      <c r="C419" s="31"/>
      <c r="E419" s="32"/>
    </row>
  </sheetData>
  <mergeCells count="5">
    <mergeCell ref="B4:D4"/>
    <mergeCell ref="A8:B8"/>
    <mergeCell ref="A1:G1"/>
    <mergeCell ref="A2:G2"/>
    <mergeCell ref="A3:G3"/>
  </mergeCells>
  <printOptions horizontalCentered="1"/>
  <pageMargins left="1.25" right="0" top="1.25" bottom="0.75" header="0.5" footer="0.5"/>
  <pageSetup scale="65" fitToHeight="9" orientation="portrait" r:id="rId1"/>
  <headerFooter alignWithMargins="0">
    <oddHeader>&amp;R&amp;"Times New Roman,Bold"&amp;12Attachment to Response to LGE PSC-2 Question No. 64(b)
Page &amp;P of &amp;N
Charnas</oddHeader>
  </headerFooter>
  <rowBreaks count="10" manualBreakCount="10">
    <brk id="37" max="16383" man="1"/>
    <brk id="78" max="16383" man="1"/>
    <brk id="121" max="16383" man="1"/>
    <brk id="160" max="16383" man="1"/>
    <brk id="205" max="16383" man="1"/>
    <brk id="239" max="16383" man="1"/>
    <brk id="270" max="16383" man="1"/>
    <brk id="298" max="16383" man="1"/>
    <brk id="327" max="16383" man="1"/>
    <brk id="3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7"/>
  <sheetViews>
    <sheetView view="pageBreakPreview" zoomScale="90" zoomScaleNormal="100" zoomScaleSheetLayoutView="90" workbookViewId="0">
      <pane ySplit="8" topLeftCell="A9" activePane="bottomLeft" state="frozen"/>
      <selection activeCell="A15" sqref="A15"/>
      <selection pane="bottomLeft" activeCell="A9" sqref="A9"/>
    </sheetView>
  </sheetViews>
  <sheetFormatPr defaultColWidth="9.140625" defaultRowHeight="15.75" x14ac:dyDescent="0.25"/>
  <cols>
    <col min="1" max="1" width="8.7109375" style="7" customWidth="1"/>
    <col min="2" max="2" width="61.42578125" style="7" customWidth="1"/>
    <col min="3" max="3" width="1.7109375" style="7" customWidth="1"/>
    <col min="4" max="4" width="19" style="8" bestFit="1" customWidth="1"/>
    <col min="5" max="5" width="10.5703125" style="152" bestFit="1" customWidth="1"/>
    <col min="6" max="6" width="1.7109375" style="7" customWidth="1"/>
    <col min="7" max="7" width="18.5703125" style="8" bestFit="1" customWidth="1"/>
    <col min="8" max="16384" width="9.140625" style="7"/>
  </cols>
  <sheetData>
    <row r="1" spans="1:7" s="2" customFormat="1" x14ac:dyDescent="0.25">
      <c r="A1" s="160" t="s">
        <v>12</v>
      </c>
      <c r="B1" s="160"/>
      <c r="C1" s="160"/>
      <c r="D1" s="160"/>
      <c r="E1" s="160"/>
      <c r="F1" s="160"/>
      <c r="G1" s="160"/>
    </row>
    <row r="2" spans="1:7" s="2" customFormat="1" x14ac:dyDescent="0.25">
      <c r="A2" s="160" t="s">
        <v>57</v>
      </c>
      <c r="B2" s="160"/>
      <c r="C2" s="160"/>
      <c r="D2" s="160"/>
      <c r="E2" s="160"/>
      <c r="F2" s="160"/>
      <c r="G2" s="160"/>
    </row>
    <row r="3" spans="1:7" s="2" customFormat="1" x14ac:dyDescent="0.25">
      <c r="A3" s="161" t="s">
        <v>204</v>
      </c>
      <c r="B3" s="161"/>
      <c r="C3" s="161"/>
      <c r="D3" s="161"/>
      <c r="E3" s="161"/>
      <c r="F3" s="161"/>
      <c r="G3" s="161"/>
    </row>
    <row r="4" spans="1:7" x14ac:dyDescent="0.25">
      <c r="B4" s="158"/>
      <c r="C4" s="158"/>
      <c r="D4" s="158"/>
      <c r="E4" s="7"/>
    </row>
    <row r="5" spans="1:7" x14ac:dyDescent="0.25">
      <c r="E5" s="151" t="s">
        <v>293</v>
      </c>
      <c r="F5" s="144"/>
      <c r="G5" s="141" t="s">
        <v>293</v>
      </c>
    </row>
    <row r="6" spans="1:7" x14ac:dyDescent="0.25">
      <c r="D6" s="11" t="s">
        <v>187</v>
      </c>
      <c r="E6" s="150" t="s">
        <v>216</v>
      </c>
      <c r="G6" s="70" t="s">
        <v>55</v>
      </c>
    </row>
    <row r="7" spans="1:7" x14ac:dyDescent="0.25">
      <c r="B7" s="9"/>
      <c r="C7" s="9"/>
      <c r="D7" s="11" t="s">
        <v>188</v>
      </c>
      <c r="E7" s="150" t="s">
        <v>70</v>
      </c>
      <c r="G7" s="11" t="s">
        <v>56</v>
      </c>
    </row>
    <row r="8" spans="1:7" x14ac:dyDescent="0.25">
      <c r="A8" s="159" t="s">
        <v>164</v>
      </c>
      <c r="B8" s="159"/>
      <c r="D8" s="33" t="s">
        <v>205</v>
      </c>
      <c r="E8" s="13" t="s">
        <v>71</v>
      </c>
      <c r="G8" s="71" t="s">
        <v>215</v>
      </c>
    </row>
    <row r="9" spans="1:7" x14ac:dyDescent="0.25">
      <c r="D9" s="36"/>
      <c r="E9" s="151"/>
    </row>
    <row r="10" spans="1:7" x14ac:dyDescent="0.25">
      <c r="A10" s="14" t="s">
        <v>66</v>
      </c>
      <c r="D10" s="15"/>
      <c r="E10" s="10"/>
    </row>
    <row r="11" spans="1:7" x14ac:dyDescent="0.25">
      <c r="A11" s="16" t="s">
        <v>147</v>
      </c>
      <c r="D11" s="54">
        <f>ROUND(2240.29,0)</f>
        <v>2240</v>
      </c>
      <c r="E11" s="18">
        <v>0</v>
      </c>
      <c r="G11" s="54">
        <f>E11*D11</f>
        <v>0</v>
      </c>
    </row>
    <row r="12" spans="1:7" x14ac:dyDescent="0.25">
      <c r="B12" s="19"/>
      <c r="C12" s="19"/>
      <c r="E12" s="18"/>
    </row>
    <row r="13" spans="1:7" x14ac:dyDescent="0.25">
      <c r="A13" s="16" t="s">
        <v>146</v>
      </c>
      <c r="E13" s="18"/>
    </row>
    <row r="14" spans="1:7" x14ac:dyDescent="0.25">
      <c r="A14" s="20" t="s">
        <v>148</v>
      </c>
      <c r="B14" s="9" t="s">
        <v>72</v>
      </c>
      <c r="C14" s="9"/>
      <c r="D14" s="34">
        <f>ROUND(6193327.37,0)</f>
        <v>6193327</v>
      </c>
      <c r="E14" s="18">
        <v>0</v>
      </c>
      <c r="G14" s="34">
        <f>D14*E14</f>
        <v>0</v>
      </c>
    </row>
    <row r="15" spans="1:7" x14ac:dyDescent="0.25">
      <c r="A15" s="20" t="s">
        <v>203</v>
      </c>
      <c r="B15" s="9" t="s">
        <v>72</v>
      </c>
      <c r="C15" s="9"/>
      <c r="D15" s="3">
        <f>ROUND(100000,0)</f>
        <v>100000</v>
      </c>
      <c r="E15" s="18">
        <v>0</v>
      </c>
      <c r="G15" s="8">
        <f>D15*E15</f>
        <v>0</v>
      </c>
    </row>
    <row r="16" spans="1:7" x14ac:dyDescent="0.25">
      <c r="A16" s="20" t="s">
        <v>149</v>
      </c>
      <c r="B16" s="2" t="s">
        <v>73</v>
      </c>
      <c r="C16" s="2"/>
      <c r="E16" s="18"/>
    </row>
    <row r="17" spans="1:7" x14ac:dyDescent="0.25">
      <c r="B17" s="9" t="s">
        <v>74</v>
      </c>
      <c r="C17" s="9"/>
      <c r="D17" s="34">
        <f>ROUND(4233239.81,0)</f>
        <v>4233240</v>
      </c>
      <c r="E17" s="18">
        <v>1.4974766568775093E-2</v>
      </c>
      <c r="G17" s="34">
        <f>D17*E17</f>
        <v>63391.780829601477</v>
      </c>
    </row>
    <row r="18" spans="1:7" x14ac:dyDescent="0.25">
      <c r="B18" s="9" t="s">
        <v>75</v>
      </c>
      <c r="C18" s="9"/>
      <c r="D18" s="8">
        <f>ROUND(2102422.11,0)</f>
        <v>2102422</v>
      </c>
      <c r="E18" s="18">
        <v>1.4974766568775093E-2</v>
      </c>
      <c r="G18" s="8">
        <f>D18*E18</f>
        <v>31483.278679057268</v>
      </c>
    </row>
    <row r="19" spans="1:7" x14ac:dyDescent="0.25">
      <c r="B19" s="9" t="s">
        <v>76</v>
      </c>
      <c r="C19" s="9"/>
      <c r="D19" s="59">
        <f>ROUND(3536934.29,0)</f>
        <v>3536934</v>
      </c>
      <c r="E19" s="18">
        <v>1.4974766568775093E-2</v>
      </c>
      <c r="G19" s="8">
        <f>D19*E19</f>
        <v>52964.761019163969</v>
      </c>
    </row>
    <row r="20" spans="1:7" x14ac:dyDescent="0.25">
      <c r="B20" s="9" t="s">
        <v>77</v>
      </c>
      <c r="C20" s="9"/>
      <c r="D20" s="8">
        <f>ROUND(4089674.1,0)</f>
        <v>4089674</v>
      </c>
      <c r="E20" s="18">
        <v>1.4974766568775093E-2</v>
      </c>
      <c r="G20" s="8">
        <f>D20*E20</f>
        <v>61241.91349238871</v>
      </c>
    </row>
    <row r="21" spans="1:7" x14ac:dyDescent="0.25">
      <c r="B21" s="9" t="s">
        <v>78</v>
      </c>
      <c r="C21" s="9"/>
      <c r="D21" s="8">
        <f>ROUND(821432.87,0)</f>
        <v>821433</v>
      </c>
      <c r="E21" s="18">
        <v>1.4974766568775093E-2</v>
      </c>
      <c r="G21" s="8">
        <f>D21*E21</f>
        <v>12300.767426888631</v>
      </c>
    </row>
    <row r="22" spans="1:7" x14ac:dyDescent="0.25">
      <c r="B22" s="9" t="s">
        <v>79</v>
      </c>
      <c r="C22" s="9"/>
      <c r="D22" s="8">
        <f>ROUND(6288069.71,0)</f>
        <v>6288070</v>
      </c>
      <c r="E22" s="18">
        <v>1.4974766568775093E-2</v>
      </c>
      <c r="G22" s="8">
        <f t="shared" ref="G22:G36" si="0">ROUND(D22*E22,0)</f>
        <v>94162</v>
      </c>
    </row>
    <row r="23" spans="1:7" x14ac:dyDescent="0.25">
      <c r="B23" s="9" t="s">
        <v>80</v>
      </c>
      <c r="C23" s="9"/>
      <c r="D23" s="8">
        <f>ROUND(1696435.28,0)</f>
        <v>1696435</v>
      </c>
      <c r="E23" s="18">
        <v>1.4974766568775093E-2</v>
      </c>
      <c r="G23" s="8">
        <f t="shared" si="0"/>
        <v>25404</v>
      </c>
    </row>
    <row r="24" spans="1:7" x14ac:dyDescent="0.25">
      <c r="B24" s="9" t="s">
        <v>81</v>
      </c>
      <c r="C24" s="9"/>
      <c r="D24" s="8">
        <f>ROUND(28208879.55,0)</f>
        <v>28208880</v>
      </c>
      <c r="E24" s="18">
        <v>1.4974766568775093E-2</v>
      </c>
      <c r="G24" s="8">
        <f t="shared" si="0"/>
        <v>422421</v>
      </c>
    </row>
    <row r="25" spans="1:7" x14ac:dyDescent="0.25">
      <c r="B25" s="9" t="s">
        <v>82</v>
      </c>
      <c r="C25" s="9"/>
      <c r="D25" s="8">
        <f>ROUND(2004301.96,0)</f>
        <v>2004302</v>
      </c>
      <c r="E25" s="18">
        <v>1.4974766568775093E-2</v>
      </c>
      <c r="G25" s="8">
        <f t="shared" si="0"/>
        <v>30014</v>
      </c>
    </row>
    <row r="26" spans="1:7" x14ac:dyDescent="0.25">
      <c r="A26" s="14"/>
      <c r="B26" s="9" t="s">
        <v>83</v>
      </c>
      <c r="C26" s="9"/>
      <c r="D26" s="8">
        <f>ROUND(19884638.65,0)</f>
        <v>19884639</v>
      </c>
      <c r="E26" s="18">
        <v>1.4974766568775093E-2</v>
      </c>
      <c r="G26" s="8">
        <f t="shared" si="0"/>
        <v>297768</v>
      </c>
    </row>
    <row r="27" spans="1:7" x14ac:dyDescent="0.25">
      <c r="B27" s="9" t="s">
        <v>84</v>
      </c>
      <c r="C27" s="9"/>
      <c r="D27" s="8">
        <f>ROUND(1709710.58,0)</f>
        <v>1709711</v>
      </c>
      <c r="E27" s="18">
        <v>1.4974766568775093E-2</v>
      </c>
      <c r="G27" s="8">
        <f t="shared" si="0"/>
        <v>25603</v>
      </c>
    </row>
    <row r="28" spans="1:7" x14ac:dyDescent="0.25">
      <c r="B28" s="9" t="s">
        <v>85</v>
      </c>
      <c r="C28" s="9"/>
      <c r="D28" s="8">
        <f>ROUND(11486429.02,0)</f>
        <v>11486429</v>
      </c>
      <c r="E28" s="18">
        <v>1.4974766568775093E-2</v>
      </c>
      <c r="G28" s="8">
        <f t="shared" si="0"/>
        <v>172007</v>
      </c>
    </row>
    <row r="29" spans="1:7" x14ac:dyDescent="0.25">
      <c r="B29" s="9" t="s">
        <v>86</v>
      </c>
      <c r="C29" s="9"/>
      <c r="D29" s="8">
        <f>ROUND(1393403.67,0)</f>
        <v>1393404</v>
      </c>
      <c r="E29" s="18">
        <v>1.4974766568775093E-2</v>
      </c>
      <c r="G29" s="8">
        <f t="shared" si="0"/>
        <v>20866</v>
      </c>
    </row>
    <row r="30" spans="1:7" x14ac:dyDescent="0.25">
      <c r="B30" s="9" t="s">
        <v>87</v>
      </c>
      <c r="C30" s="9"/>
      <c r="D30" s="8">
        <f>ROUND(24500220.92,0)</f>
        <v>24500221</v>
      </c>
      <c r="E30" s="18">
        <v>1.4974766568775093E-2</v>
      </c>
      <c r="G30" s="8">
        <f t="shared" si="0"/>
        <v>366885</v>
      </c>
    </row>
    <row r="31" spans="1:7" x14ac:dyDescent="0.25">
      <c r="B31" s="9" t="s">
        <v>88</v>
      </c>
      <c r="C31" s="9"/>
      <c r="D31" s="8">
        <f>ROUND(362866.58,2)</f>
        <v>362866.58</v>
      </c>
      <c r="E31" s="18">
        <v>1.4974766568775093E-2</v>
      </c>
      <c r="G31" s="8">
        <f t="shared" si="0"/>
        <v>5434</v>
      </c>
    </row>
    <row r="32" spans="1:7" x14ac:dyDescent="0.25">
      <c r="B32" s="9" t="s">
        <v>89</v>
      </c>
      <c r="C32" s="9"/>
      <c r="D32" s="8">
        <f>ROUND(64289491.22,0)</f>
        <v>64289491</v>
      </c>
      <c r="E32" s="18">
        <v>1.4974766568775093E-2</v>
      </c>
      <c r="G32" s="8">
        <f t="shared" si="0"/>
        <v>962720</v>
      </c>
    </row>
    <row r="33" spans="1:7" x14ac:dyDescent="0.25">
      <c r="B33" s="9" t="s">
        <v>90</v>
      </c>
      <c r="C33" s="9"/>
      <c r="D33" s="8">
        <f>ROUND(5330551.76,0)</f>
        <v>5330552</v>
      </c>
      <c r="E33" s="18">
        <v>1.4974766568775093E-2</v>
      </c>
      <c r="G33" s="8">
        <f t="shared" si="0"/>
        <v>79824</v>
      </c>
    </row>
    <row r="34" spans="1:7" x14ac:dyDescent="0.25">
      <c r="B34" s="9" t="s">
        <v>91</v>
      </c>
      <c r="C34" s="9"/>
      <c r="D34" s="8">
        <f>ROUND(115104804.01,0)</f>
        <v>115104804</v>
      </c>
      <c r="E34" s="18">
        <v>1.4974766568775093E-2</v>
      </c>
      <c r="G34" s="8">
        <f t="shared" si="0"/>
        <v>1723668</v>
      </c>
    </row>
    <row r="35" spans="1:7" x14ac:dyDescent="0.25">
      <c r="B35" s="9" t="s">
        <v>193</v>
      </c>
      <c r="C35" s="9"/>
      <c r="D35" s="17">
        <f>ROUND(493909.53,0)</f>
        <v>493910</v>
      </c>
      <c r="E35" s="18">
        <v>1.4974766568775093E-2</v>
      </c>
      <c r="G35" s="8">
        <f t="shared" si="0"/>
        <v>7396</v>
      </c>
    </row>
    <row r="36" spans="1:7" x14ac:dyDescent="0.25">
      <c r="B36" s="9" t="s">
        <v>198</v>
      </c>
      <c r="C36" s="9"/>
      <c r="D36" s="21">
        <f>ROUND(26139486.29,0)</f>
        <v>26139486</v>
      </c>
      <c r="E36" s="18">
        <v>1.4974766568775093E-2</v>
      </c>
      <c r="G36" s="21">
        <f t="shared" si="0"/>
        <v>391433</v>
      </c>
    </row>
    <row r="37" spans="1:7" x14ac:dyDescent="0.25">
      <c r="B37" s="9"/>
      <c r="C37" s="9"/>
      <c r="D37" s="34">
        <f>ROUND(SUM(D17:D36),0)</f>
        <v>323676904</v>
      </c>
      <c r="E37" s="18"/>
      <c r="G37" s="34">
        <f>ROUND(SUM(G17:G36),0)</f>
        <v>4846988</v>
      </c>
    </row>
    <row r="38" spans="1:7" x14ac:dyDescent="0.25">
      <c r="A38" s="20" t="s">
        <v>92</v>
      </c>
      <c r="B38" s="2" t="s">
        <v>93</v>
      </c>
      <c r="C38" s="2"/>
      <c r="E38" s="18"/>
    </row>
    <row r="39" spans="1:7" x14ac:dyDescent="0.25">
      <c r="A39" s="20"/>
      <c r="B39" s="9" t="s">
        <v>94</v>
      </c>
      <c r="C39" s="9"/>
      <c r="D39" s="34">
        <f>ROUND(51549.42,0)</f>
        <v>51549</v>
      </c>
      <c r="E39" s="18">
        <v>2.0945647426202144E-2</v>
      </c>
      <c r="G39" s="34">
        <f>D39*E39</f>
        <v>1079.7271791732944</v>
      </c>
    </row>
    <row r="40" spans="1:7" x14ac:dyDescent="0.25">
      <c r="A40" s="20"/>
      <c r="B40" s="9" t="s">
        <v>95</v>
      </c>
      <c r="C40" s="9"/>
      <c r="D40" s="8">
        <f>ROUND(1501772.81,0)</f>
        <v>1501773</v>
      </c>
      <c r="E40" s="18">
        <v>2.0945647426202144E-2</v>
      </c>
      <c r="G40" s="8">
        <f t="shared" ref="G40:G63" si="1">ROUND(D40*E40,0)</f>
        <v>31456</v>
      </c>
    </row>
    <row r="41" spans="1:7" x14ac:dyDescent="0.25">
      <c r="B41" s="9" t="s">
        <v>74</v>
      </c>
      <c r="C41" s="9"/>
      <c r="D41" s="8">
        <f>ROUND(1052271.11,0)</f>
        <v>1052271</v>
      </c>
      <c r="E41" s="18">
        <v>2.0945647426202144E-2</v>
      </c>
      <c r="G41" s="8">
        <f t="shared" si="1"/>
        <v>22040</v>
      </c>
    </row>
    <row r="42" spans="1:7" x14ac:dyDescent="0.25">
      <c r="B42" s="9" t="s">
        <v>75</v>
      </c>
      <c r="C42" s="9"/>
      <c r="D42" s="8">
        <f>ROUND(132275.6,0)</f>
        <v>132276</v>
      </c>
      <c r="E42" s="18">
        <v>2.0945647426202144E-2</v>
      </c>
      <c r="G42" s="8">
        <f t="shared" si="1"/>
        <v>2771</v>
      </c>
    </row>
    <row r="43" spans="1:7" x14ac:dyDescent="0.25">
      <c r="B43" s="9" t="s">
        <v>76</v>
      </c>
      <c r="C43" s="9"/>
      <c r="D43" s="8">
        <f>ROUND(705479.63,0)</f>
        <v>705480</v>
      </c>
      <c r="E43" s="18">
        <v>2.0945647426202144E-2</v>
      </c>
      <c r="G43" s="8">
        <f t="shared" si="1"/>
        <v>14777</v>
      </c>
    </row>
    <row r="44" spans="1:7" x14ac:dyDescent="0.25">
      <c r="B44" s="9" t="s">
        <v>77</v>
      </c>
      <c r="C44" s="9"/>
      <c r="D44" s="8">
        <f>ROUND(31384489.52,0)</f>
        <v>31384490</v>
      </c>
      <c r="E44" s="18">
        <v>2.0945647426202144E-2</v>
      </c>
      <c r="G44" s="8">
        <f t="shared" si="1"/>
        <v>657368</v>
      </c>
    </row>
    <row r="45" spans="1:7" x14ac:dyDescent="0.25">
      <c r="B45" s="9" t="s">
        <v>78</v>
      </c>
      <c r="C45" s="9"/>
      <c r="D45" s="8">
        <f>ROUND(17050367.53,0)</f>
        <v>17050368</v>
      </c>
      <c r="E45" s="18">
        <v>2.0945647426202144E-2</v>
      </c>
      <c r="G45" s="8">
        <f t="shared" si="1"/>
        <v>357131</v>
      </c>
    </row>
    <row r="46" spans="1:7" x14ac:dyDescent="0.25">
      <c r="B46" s="9" t="s">
        <v>79</v>
      </c>
      <c r="C46" s="9"/>
      <c r="D46" s="8">
        <f>ROUND(40758449.7,0)</f>
        <v>40758450</v>
      </c>
      <c r="E46" s="18">
        <v>2.0945647426202144E-2</v>
      </c>
      <c r="G46" s="8">
        <f t="shared" si="1"/>
        <v>853712</v>
      </c>
    </row>
    <row r="47" spans="1:7" x14ac:dyDescent="0.25">
      <c r="B47" s="9" t="s">
        <v>80</v>
      </c>
      <c r="C47" s="9"/>
      <c r="D47" s="8">
        <f>ROUND(28112261.04,0)</f>
        <v>28112261</v>
      </c>
      <c r="E47" s="18">
        <v>2.0945647426202144E-2</v>
      </c>
      <c r="G47" s="8">
        <f t="shared" si="1"/>
        <v>588830</v>
      </c>
    </row>
    <row r="48" spans="1:7" x14ac:dyDescent="0.25">
      <c r="B48" s="9" t="s">
        <v>81</v>
      </c>
      <c r="C48" s="9"/>
      <c r="D48" s="8">
        <f>ROUND(55736437.06,0)</f>
        <v>55736437</v>
      </c>
      <c r="E48" s="18">
        <v>2.0945647426202144E-2</v>
      </c>
      <c r="G48" s="8">
        <f t="shared" si="1"/>
        <v>1167436</v>
      </c>
    </row>
    <row r="49" spans="2:7" x14ac:dyDescent="0.25">
      <c r="B49" s="9" t="s">
        <v>82</v>
      </c>
      <c r="C49" s="9"/>
      <c r="D49" s="8">
        <f>ROUND(32458664.89,0)</f>
        <v>32458665</v>
      </c>
      <c r="E49" s="18">
        <v>2.0945647426202144E-2</v>
      </c>
      <c r="G49" s="8">
        <f t="shared" si="1"/>
        <v>679868</v>
      </c>
    </row>
    <row r="50" spans="2:7" x14ac:dyDescent="0.25">
      <c r="B50" s="9" t="s">
        <v>96</v>
      </c>
      <c r="C50" s="9"/>
      <c r="D50" s="8">
        <f>ROUND(613424.43,0)</f>
        <v>613424</v>
      </c>
      <c r="E50" s="18">
        <v>2.0945647426202144E-2</v>
      </c>
      <c r="G50" s="8">
        <f t="shared" si="1"/>
        <v>12849</v>
      </c>
    </row>
    <row r="51" spans="2:7" x14ac:dyDescent="0.25">
      <c r="B51" s="9" t="s">
        <v>97</v>
      </c>
      <c r="C51" s="9"/>
      <c r="D51" s="8">
        <f>ROUND(2965011.63,0)</f>
        <v>2965012</v>
      </c>
      <c r="E51" s="18">
        <v>2.0945647426202144E-2</v>
      </c>
      <c r="G51" s="8">
        <f t="shared" si="1"/>
        <v>62104</v>
      </c>
    </row>
    <row r="52" spans="2:7" x14ac:dyDescent="0.25">
      <c r="B52" s="9" t="s">
        <v>83</v>
      </c>
      <c r="C52" s="9"/>
      <c r="D52" s="8">
        <f>ROUND(56237501.49,0)</f>
        <v>56237501</v>
      </c>
      <c r="E52" s="18">
        <v>2.0945647426202144E-2</v>
      </c>
      <c r="G52" s="8">
        <f t="shared" si="1"/>
        <v>1177931</v>
      </c>
    </row>
    <row r="53" spans="2:7" x14ac:dyDescent="0.25">
      <c r="B53" s="9" t="s">
        <v>84</v>
      </c>
      <c r="C53" s="9"/>
      <c r="D53" s="8">
        <f>ROUND(43569497.2,0)</f>
        <v>43569497</v>
      </c>
      <c r="E53" s="18">
        <v>2.0945647426202144E-2</v>
      </c>
      <c r="G53" s="8">
        <f t="shared" si="1"/>
        <v>912591</v>
      </c>
    </row>
    <row r="54" spans="2:7" x14ac:dyDescent="0.25">
      <c r="B54" s="9" t="s">
        <v>85</v>
      </c>
      <c r="C54" s="9"/>
      <c r="D54" s="8">
        <f>ROUND(53553847.6,0)</f>
        <v>53553848</v>
      </c>
      <c r="E54" s="18">
        <v>2.0945647426202144E-2</v>
      </c>
      <c r="G54" s="8">
        <f t="shared" si="1"/>
        <v>1121720</v>
      </c>
    </row>
    <row r="55" spans="2:7" x14ac:dyDescent="0.25">
      <c r="B55" s="9" t="s">
        <v>86</v>
      </c>
      <c r="C55" s="9"/>
      <c r="D55" s="8">
        <f>ROUND(35719946.95,0)</f>
        <v>35719947</v>
      </c>
      <c r="E55" s="18">
        <v>2.0945647426202144E-2</v>
      </c>
      <c r="G55" s="8">
        <f t="shared" si="1"/>
        <v>748177</v>
      </c>
    </row>
    <row r="56" spans="2:7" x14ac:dyDescent="0.25">
      <c r="B56" s="9" t="s">
        <v>87</v>
      </c>
      <c r="C56" s="9"/>
      <c r="D56" s="8">
        <f>ROUND(146490838.89,0)</f>
        <v>146490839</v>
      </c>
      <c r="E56" s="18">
        <v>2.0945647426202144E-2</v>
      </c>
      <c r="G56" s="8">
        <f t="shared" si="1"/>
        <v>3068345</v>
      </c>
    </row>
    <row r="57" spans="2:7" x14ac:dyDescent="0.25">
      <c r="B57" s="9" t="s">
        <v>201</v>
      </c>
      <c r="C57" s="9"/>
      <c r="D57" s="8">
        <f>ROUND(63256714.47,0)</f>
        <v>63256714</v>
      </c>
      <c r="E57" s="18">
        <v>2.0945647426202144E-2</v>
      </c>
      <c r="G57" s="8">
        <f t="shared" si="1"/>
        <v>1324953</v>
      </c>
    </row>
    <row r="58" spans="2:7" x14ac:dyDescent="0.25">
      <c r="B58" s="9" t="s">
        <v>89</v>
      </c>
      <c r="C58" s="9"/>
      <c r="D58" s="8">
        <f>ROUND(246684528.99,0)</f>
        <v>246684529</v>
      </c>
      <c r="E58" s="18">
        <v>2.0945647426202144E-2</v>
      </c>
      <c r="G58" s="8">
        <f t="shared" si="1"/>
        <v>5166967</v>
      </c>
    </row>
    <row r="59" spans="2:7" x14ac:dyDescent="0.25">
      <c r="B59" s="9" t="s">
        <v>90</v>
      </c>
      <c r="C59" s="9"/>
      <c r="D59" s="8">
        <f>ROUND(113972386.06,0)</f>
        <v>113972386</v>
      </c>
      <c r="E59" s="18">
        <v>2.0945647426202144E-2</v>
      </c>
      <c r="G59" s="8">
        <f t="shared" si="1"/>
        <v>2387225</v>
      </c>
    </row>
    <row r="60" spans="2:7" x14ac:dyDescent="0.25">
      <c r="B60" s="9" t="s">
        <v>91</v>
      </c>
      <c r="C60" s="9"/>
      <c r="D60" s="8">
        <f>ROUND(217329447.26,0)</f>
        <v>217329447</v>
      </c>
      <c r="E60" s="18">
        <v>2.0945647426202144E-2</v>
      </c>
      <c r="G60" s="8">
        <f t="shared" si="1"/>
        <v>4552106</v>
      </c>
    </row>
    <row r="61" spans="2:7" x14ac:dyDescent="0.25">
      <c r="B61" s="9" t="s">
        <v>193</v>
      </c>
      <c r="C61" s="9"/>
      <c r="D61" s="17">
        <f>ROUND(63633187.06,0)</f>
        <v>63633187</v>
      </c>
      <c r="E61" s="18">
        <v>2.0945647426202144E-2</v>
      </c>
      <c r="G61" s="8">
        <f t="shared" si="1"/>
        <v>1332838</v>
      </c>
    </row>
    <row r="62" spans="2:7" x14ac:dyDescent="0.25">
      <c r="B62" s="9" t="s">
        <v>198</v>
      </c>
      <c r="C62" s="9"/>
      <c r="D62" s="17">
        <f>ROUND(121967166.09,0)</f>
        <v>121967166</v>
      </c>
      <c r="E62" s="18">
        <v>2.0945647426202144E-2</v>
      </c>
      <c r="G62" s="8">
        <f t="shared" si="1"/>
        <v>2554681</v>
      </c>
    </row>
    <row r="63" spans="2:7" x14ac:dyDescent="0.25">
      <c r="B63" s="9" t="s">
        <v>213</v>
      </c>
      <c r="C63" s="9"/>
      <c r="D63" s="21">
        <f>ROUND(14607918.1,0)</f>
        <v>14607918</v>
      </c>
      <c r="E63" s="18">
        <v>2.0945647426202144E-2</v>
      </c>
      <c r="G63" s="8">
        <f t="shared" si="1"/>
        <v>305972</v>
      </c>
    </row>
    <row r="64" spans="2:7" x14ac:dyDescent="0.25">
      <c r="B64" s="8"/>
      <c r="C64" s="8"/>
      <c r="D64" s="58">
        <f>ROUND(SUM(D39:D63),0)</f>
        <v>1389545435</v>
      </c>
      <c r="E64" s="18"/>
      <c r="G64" s="58">
        <f>ROUND(SUM(G39:G63),0)</f>
        <v>29104928</v>
      </c>
    </row>
    <row r="65" spans="1:7" x14ac:dyDescent="0.25">
      <c r="A65" s="20" t="s">
        <v>98</v>
      </c>
      <c r="B65" s="2" t="s">
        <v>99</v>
      </c>
      <c r="C65" s="2"/>
      <c r="E65" s="18"/>
    </row>
    <row r="66" spans="1:7" x14ac:dyDescent="0.25">
      <c r="B66" s="9" t="s">
        <v>74</v>
      </c>
      <c r="C66" s="9"/>
      <c r="D66" s="34">
        <f>ROUND(106008.54,0)</f>
        <v>106009</v>
      </c>
      <c r="E66" s="18">
        <v>1.5436281906232058E-2</v>
      </c>
      <c r="G66" s="34">
        <f>D66*E66</f>
        <v>1636.3848085977543</v>
      </c>
    </row>
    <row r="67" spans="1:7" x14ac:dyDescent="0.25">
      <c r="B67" s="9" t="s">
        <v>75</v>
      </c>
      <c r="C67" s="9"/>
      <c r="D67" s="8">
        <f>ROUND(19998.97,0)</f>
        <v>19999</v>
      </c>
      <c r="E67" s="18">
        <v>1.5436281906232058E-2</v>
      </c>
      <c r="G67" s="8">
        <f>D67*E67</f>
        <v>308.71020184273493</v>
      </c>
    </row>
    <row r="68" spans="1:7" x14ac:dyDescent="0.25">
      <c r="B68" s="9" t="s">
        <v>76</v>
      </c>
      <c r="C68" s="9"/>
      <c r="D68" s="8">
        <f>ROUND(581177.52,0)</f>
        <v>581178</v>
      </c>
      <c r="E68" s="18">
        <v>1.5436281906232058E-2</v>
      </c>
      <c r="G68" s="8">
        <f>D68*E68</f>
        <v>8971.2274457001349</v>
      </c>
    </row>
    <row r="69" spans="1:7" x14ac:dyDescent="0.25">
      <c r="B69" s="9" t="s">
        <v>77</v>
      </c>
      <c r="C69" s="9"/>
      <c r="D69" s="8">
        <f>ROUND(9404418.95,0)</f>
        <v>9404419</v>
      </c>
      <c r="E69" s="18">
        <v>1.5436281906232058E-2</v>
      </c>
      <c r="G69" s="8">
        <f t="shared" ref="G69:G77" si="2">ROUND(D69*E69,0)</f>
        <v>145169</v>
      </c>
    </row>
    <row r="70" spans="1:7" x14ac:dyDescent="0.25">
      <c r="B70" s="9" t="s">
        <v>79</v>
      </c>
      <c r="C70" s="9"/>
      <c r="D70" s="8">
        <f>ROUND(7931772.69,0)</f>
        <v>7931773</v>
      </c>
      <c r="E70" s="18">
        <v>1.5436281906232058E-2</v>
      </c>
      <c r="G70" s="8">
        <f t="shared" si="2"/>
        <v>122437</v>
      </c>
    </row>
    <row r="71" spans="1:7" x14ac:dyDescent="0.25">
      <c r="B71" s="9" t="s">
        <v>81</v>
      </c>
      <c r="C71" s="9"/>
      <c r="D71" s="8">
        <f>ROUND(16728234.75,0)</f>
        <v>16728235</v>
      </c>
      <c r="E71" s="18">
        <v>1.5436281906232058E-2</v>
      </c>
      <c r="G71" s="8">
        <f t="shared" si="2"/>
        <v>258222</v>
      </c>
    </row>
    <row r="72" spans="1:7" x14ac:dyDescent="0.25">
      <c r="B72" s="9" t="s">
        <v>83</v>
      </c>
      <c r="C72" s="9"/>
      <c r="D72" s="8">
        <f>ROUND(14686467.88,0)</f>
        <v>14686468</v>
      </c>
      <c r="E72" s="18">
        <v>1.5436281906232058E-2</v>
      </c>
      <c r="G72" s="8">
        <f t="shared" si="2"/>
        <v>226704</v>
      </c>
    </row>
    <row r="73" spans="1:7" x14ac:dyDescent="0.25">
      <c r="B73" s="9" t="s">
        <v>85</v>
      </c>
      <c r="C73" s="9"/>
      <c r="D73" s="8">
        <f>ROUND(17110424.55,0)</f>
        <v>17110425</v>
      </c>
      <c r="E73" s="18">
        <v>1.5436281906232058E-2</v>
      </c>
      <c r="G73" s="8">
        <f t="shared" si="2"/>
        <v>264121</v>
      </c>
    </row>
    <row r="74" spans="1:7" x14ac:dyDescent="0.25">
      <c r="B74" s="9" t="s">
        <v>87</v>
      </c>
      <c r="C74" s="9"/>
      <c r="D74" s="8">
        <f>ROUND(31564298.46,0)</f>
        <v>31564298</v>
      </c>
      <c r="E74" s="18">
        <v>1.5436281906232058E-2</v>
      </c>
      <c r="G74" s="8">
        <f t="shared" si="2"/>
        <v>487235</v>
      </c>
    </row>
    <row r="75" spans="1:7" x14ac:dyDescent="0.25">
      <c r="B75" s="9" t="s">
        <v>89</v>
      </c>
      <c r="C75" s="9"/>
      <c r="D75" s="8">
        <f>ROUND(42570314.17,0)</f>
        <v>42570314</v>
      </c>
      <c r="E75" s="18">
        <v>1.5436281906232058E-2</v>
      </c>
      <c r="G75" s="8">
        <f t="shared" si="2"/>
        <v>657127</v>
      </c>
    </row>
    <row r="76" spans="1:7" x14ac:dyDescent="0.25">
      <c r="B76" s="9" t="s">
        <v>91</v>
      </c>
      <c r="C76" s="9"/>
      <c r="D76" s="17">
        <f>ROUND(56998844.55,0)</f>
        <v>56998845</v>
      </c>
      <c r="E76" s="18">
        <v>1.5436281906232058E-2</v>
      </c>
      <c r="G76" s="8">
        <f t="shared" si="2"/>
        <v>879850</v>
      </c>
    </row>
    <row r="77" spans="1:7" x14ac:dyDescent="0.25">
      <c r="B77" s="9" t="s">
        <v>198</v>
      </c>
      <c r="C77" s="9"/>
      <c r="D77" s="21">
        <f>ROUND(20515722.42,0)</f>
        <v>20515722</v>
      </c>
      <c r="E77" s="18">
        <v>1.5436281906232058E-2</v>
      </c>
      <c r="G77" s="21">
        <f t="shared" si="2"/>
        <v>316686</v>
      </c>
    </row>
    <row r="78" spans="1:7" x14ac:dyDescent="0.25">
      <c r="B78" s="9"/>
      <c r="C78" s="9"/>
      <c r="D78" s="34">
        <f>ROUND(SUM(D66:D77),0)</f>
        <v>218217685</v>
      </c>
      <c r="E78" s="18"/>
      <c r="G78" s="34">
        <f>ROUND(SUM(G66:G77),0)</f>
        <v>3368467</v>
      </c>
    </row>
    <row r="79" spans="1:7" x14ac:dyDescent="0.25">
      <c r="A79" s="20" t="s">
        <v>100</v>
      </c>
      <c r="B79" s="2" t="s">
        <v>101</v>
      </c>
      <c r="C79" s="2"/>
      <c r="E79" s="18"/>
    </row>
    <row r="80" spans="1:7" x14ac:dyDescent="0.25">
      <c r="B80" s="9" t="s">
        <v>74</v>
      </c>
      <c r="C80" s="9"/>
      <c r="D80" s="34">
        <f>ROUND(1883656.75,0)</f>
        <v>1883657</v>
      </c>
      <c r="E80" s="18">
        <v>1.21891860324985E-2</v>
      </c>
      <c r="G80" s="34">
        <f>D80*E80</f>
        <v>22960.245594418026</v>
      </c>
    </row>
    <row r="81" spans="2:7" x14ac:dyDescent="0.25">
      <c r="B81" s="9" t="s">
        <v>75</v>
      </c>
      <c r="C81" s="9"/>
      <c r="D81" s="8">
        <f>ROUND(1238068.17,0)</f>
        <v>1238068</v>
      </c>
      <c r="E81" s="18">
        <v>1.21891860324985E-2</v>
      </c>
      <c r="G81" s="8">
        <f>D81*E81</f>
        <v>15091.041172883353</v>
      </c>
    </row>
    <row r="82" spans="2:7" x14ac:dyDescent="0.25">
      <c r="B82" s="9" t="s">
        <v>76</v>
      </c>
      <c r="C82" s="9"/>
      <c r="D82" s="8">
        <f>ROUND(766540.46,0)</f>
        <v>766540</v>
      </c>
      <c r="E82" s="18">
        <v>1.21891860324985E-2</v>
      </c>
      <c r="G82" s="8">
        <f>D82*E82</f>
        <v>9343.4986613513993</v>
      </c>
    </row>
    <row r="83" spans="2:7" x14ac:dyDescent="0.25">
      <c r="B83" s="9" t="s">
        <v>77</v>
      </c>
      <c r="C83" s="9"/>
      <c r="D83" s="8">
        <f>ROUND(5920914.16,0)</f>
        <v>5920914</v>
      </c>
      <c r="E83" s="18">
        <v>1.21891860324985E-2</v>
      </c>
      <c r="G83" s="8">
        <f t="shared" ref="G83:G99" si="3">ROUND(D83*E83,0)</f>
        <v>72171</v>
      </c>
    </row>
    <row r="84" spans="2:7" x14ac:dyDescent="0.25">
      <c r="B84" s="9" t="s">
        <v>78</v>
      </c>
      <c r="C84" s="9"/>
      <c r="D84" s="8">
        <f>ROUND(987949.29,0)</f>
        <v>987949</v>
      </c>
      <c r="E84" s="18">
        <v>1.21891860324985E-2</v>
      </c>
      <c r="G84" s="8">
        <f t="shared" si="3"/>
        <v>12042</v>
      </c>
    </row>
    <row r="85" spans="2:7" x14ac:dyDescent="0.25">
      <c r="B85" s="9" t="s">
        <v>79</v>
      </c>
      <c r="C85" s="9"/>
      <c r="D85" s="8">
        <f>ROUND(9434824.98,0)</f>
        <v>9434825</v>
      </c>
      <c r="E85" s="18">
        <v>1.21891860324985E-2</v>
      </c>
      <c r="G85" s="8">
        <f t="shared" si="3"/>
        <v>115003</v>
      </c>
    </row>
    <row r="86" spans="2:7" x14ac:dyDescent="0.25">
      <c r="B86" s="9" t="s">
        <v>80</v>
      </c>
      <c r="C86" s="9"/>
      <c r="D86" s="8">
        <f>ROUND(2216498.71,0)</f>
        <v>2216499</v>
      </c>
      <c r="E86" s="18">
        <v>1.21891860324985E-2</v>
      </c>
      <c r="G86" s="8">
        <f t="shared" si="3"/>
        <v>27017</v>
      </c>
    </row>
    <row r="87" spans="2:7" x14ac:dyDescent="0.25">
      <c r="B87" s="9" t="s">
        <v>81</v>
      </c>
      <c r="C87" s="9"/>
      <c r="D87" s="8">
        <f>ROUND(12638294.41,0)</f>
        <v>12638294</v>
      </c>
      <c r="E87" s="18">
        <v>1.21891860324985E-2</v>
      </c>
      <c r="G87" s="8">
        <f t="shared" si="3"/>
        <v>154051</v>
      </c>
    </row>
    <row r="88" spans="2:7" x14ac:dyDescent="0.25">
      <c r="B88" s="9" t="s">
        <v>82</v>
      </c>
      <c r="C88" s="9"/>
      <c r="D88" s="8">
        <f>ROUND(2199914.62,0)</f>
        <v>2199915</v>
      </c>
      <c r="E88" s="18">
        <v>1.21891860324985E-2</v>
      </c>
      <c r="G88" s="8">
        <f t="shared" si="3"/>
        <v>26815</v>
      </c>
    </row>
    <row r="89" spans="2:7" x14ac:dyDescent="0.25">
      <c r="B89" s="9" t="s">
        <v>83</v>
      </c>
      <c r="C89" s="9"/>
      <c r="D89" s="8">
        <f>ROUND(15685071.52,0)</f>
        <v>15685072</v>
      </c>
      <c r="E89" s="18">
        <v>1.21891860324985E-2</v>
      </c>
      <c r="G89" s="8">
        <f t="shared" si="3"/>
        <v>191188</v>
      </c>
    </row>
    <row r="90" spans="2:7" x14ac:dyDescent="0.25">
      <c r="B90" s="9" t="s">
        <v>84</v>
      </c>
      <c r="C90" s="9"/>
      <c r="D90" s="8">
        <f>ROUND(5541694.53,0)</f>
        <v>5541695</v>
      </c>
      <c r="E90" s="18">
        <v>1.21891860324985E-2</v>
      </c>
      <c r="G90" s="8">
        <f t="shared" si="3"/>
        <v>67549</v>
      </c>
    </row>
    <row r="91" spans="2:7" x14ac:dyDescent="0.25">
      <c r="B91" s="9" t="s">
        <v>85</v>
      </c>
      <c r="C91" s="9"/>
      <c r="D91" s="8">
        <f>ROUND(7415270.57,0)</f>
        <v>7415271</v>
      </c>
      <c r="E91" s="18">
        <v>1.21891860324985E-2</v>
      </c>
      <c r="G91" s="8">
        <f t="shared" si="3"/>
        <v>90386</v>
      </c>
    </row>
    <row r="92" spans="2:7" x14ac:dyDescent="0.25">
      <c r="B92" s="9" t="s">
        <v>86</v>
      </c>
      <c r="C92" s="9"/>
      <c r="D92" s="8">
        <f>ROUND(4505053.12,0)</f>
        <v>4505053</v>
      </c>
      <c r="E92" s="18">
        <v>1.21891860324985E-2</v>
      </c>
      <c r="G92" s="8">
        <f t="shared" si="3"/>
        <v>54913</v>
      </c>
    </row>
    <row r="93" spans="2:7" x14ac:dyDescent="0.25">
      <c r="B93" s="9" t="s">
        <v>87</v>
      </c>
      <c r="C93" s="9"/>
      <c r="D93" s="8">
        <f>ROUND(15049879.52,0)</f>
        <v>15049880</v>
      </c>
      <c r="E93" s="18">
        <v>1.21891860324985E-2</v>
      </c>
      <c r="G93" s="8">
        <f t="shared" si="3"/>
        <v>183446</v>
      </c>
    </row>
    <row r="94" spans="2:7" x14ac:dyDescent="0.25">
      <c r="B94" s="9" t="s">
        <v>88</v>
      </c>
      <c r="C94" s="9"/>
      <c r="D94" s="8">
        <f>ROUND(2531772.82,0)</f>
        <v>2531773</v>
      </c>
      <c r="E94" s="18">
        <v>1.21891860324985E-2</v>
      </c>
      <c r="G94" s="8">
        <f t="shared" si="3"/>
        <v>30860</v>
      </c>
    </row>
    <row r="95" spans="2:7" x14ac:dyDescent="0.25">
      <c r="B95" s="9" t="s">
        <v>89</v>
      </c>
      <c r="C95" s="9"/>
      <c r="D95" s="8">
        <f>ROUND(24032540.98,0)</f>
        <v>24032541</v>
      </c>
      <c r="E95" s="18">
        <v>1.21891860324985E-2</v>
      </c>
      <c r="G95" s="8">
        <f t="shared" si="3"/>
        <v>292937</v>
      </c>
    </row>
    <row r="96" spans="2:7" x14ac:dyDescent="0.25">
      <c r="B96" s="9" t="s">
        <v>90</v>
      </c>
      <c r="C96" s="9"/>
      <c r="D96" s="8">
        <f>ROUND(5864978.88,0)</f>
        <v>5864979</v>
      </c>
      <c r="E96" s="18">
        <v>1.21891860324985E-2</v>
      </c>
      <c r="G96" s="8">
        <f t="shared" si="3"/>
        <v>71489</v>
      </c>
    </row>
    <row r="97" spans="1:7" x14ac:dyDescent="0.25">
      <c r="B97" s="9" t="s">
        <v>91</v>
      </c>
      <c r="C97" s="9"/>
      <c r="D97" s="8">
        <f>ROUND(49158460.56,0)</f>
        <v>49158461</v>
      </c>
      <c r="E97" s="18">
        <v>1.21891860324985E-2</v>
      </c>
      <c r="G97" s="8">
        <f t="shared" si="3"/>
        <v>599202</v>
      </c>
    </row>
    <row r="98" spans="1:7" x14ac:dyDescent="0.25">
      <c r="B98" s="9" t="s">
        <v>193</v>
      </c>
      <c r="C98" s="9"/>
      <c r="D98" s="17">
        <f>ROUND(2736920.21,0)</f>
        <v>2736920</v>
      </c>
      <c r="E98" s="18">
        <v>1.21891860324985E-2</v>
      </c>
      <c r="G98" s="8">
        <f t="shared" si="3"/>
        <v>33361</v>
      </c>
    </row>
    <row r="99" spans="1:7" x14ac:dyDescent="0.25">
      <c r="B99" s="9" t="s">
        <v>198</v>
      </c>
      <c r="C99" s="9"/>
      <c r="D99" s="21">
        <f>ROUND(8459460.79,0)</f>
        <v>8459461</v>
      </c>
      <c r="E99" s="18">
        <v>1.21891860324985E-2</v>
      </c>
      <c r="G99" s="21">
        <f t="shared" si="3"/>
        <v>103114</v>
      </c>
    </row>
    <row r="100" spans="1:7" x14ac:dyDescent="0.25">
      <c r="B100" s="9"/>
      <c r="C100" s="9"/>
      <c r="D100" s="34">
        <f>ROUND(SUM(D80:D99),0)</f>
        <v>178267767</v>
      </c>
      <c r="E100" s="18"/>
      <c r="G100" s="34">
        <f>ROUND(SUM(G80:G99),0)</f>
        <v>2172939</v>
      </c>
    </row>
    <row r="101" spans="1:7" x14ac:dyDescent="0.25">
      <c r="A101" s="20" t="s">
        <v>102</v>
      </c>
      <c r="B101" s="2" t="s">
        <v>103</v>
      </c>
      <c r="C101" s="2"/>
      <c r="E101" s="18"/>
    </row>
    <row r="102" spans="1:7" x14ac:dyDescent="0.25">
      <c r="B102" s="9" t="s">
        <v>74</v>
      </c>
      <c r="C102" s="9"/>
      <c r="D102" s="34">
        <f>ROUND(38746.19,0)</f>
        <v>38746</v>
      </c>
      <c r="E102" s="18">
        <v>2.8951450669245371E-2</v>
      </c>
      <c r="G102" s="34">
        <f>D102*E102</f>
        <v>1121.7529076305811</v>
      </c>
    </row>
    <row r="103" spans="1:7" x14ac:dyDescent="0.25">
      <c r="B103" s="9" t="s">
        <v>76</v>
      </c>
      <c r="C103" s="9"/>
      <c r="D103" s="8">
        <f>ROUND(11664.48,0)</f>
        <v>11664</v>
      </c>
      <c r="E103" s="18">
        <v>2.8951450669245371E-2</v>
      </c>
      <c r="G103" s="8">
        <f>D103*E103</f>
        <v>337.68972060607803</v>
      </c>
    </row>
    <row r="104" spans="1:7" x14ac:dyDescent="0.25">
      <c r="B104" s="9" t="s">
        <v>77</v>
      </c>
      <c r="C104" s="9"/>
      <c r="D104" s="8">
        <f>ROUND(87249.03,0)</f>
        <v>87249</v>
      </c>
      <c r="E104" s="18">
        <v>2.8951450669245371E-2</v>
      </c>
      <c r="G104" s="8">
        <f t="shared" ref="G104:G116" si="4">ROUND(D104*E104,0)</f>
        <v>2526</v>
      </c>
    </row>
    <row r="105" spans="1:7" x14ac:dyDescent="0.25">
      <c r="B105" s="9" t="s">
        <v>78</v>
      </c>
      <c r="C105" s="9"/>
      <c r="D105" s="8">
        <f>ROUND(6464.3,0)</f>
        <v>6464</v>
      </c>
      <c r="E105" s="18">
        <v>2.8951450669245371E-2</v>
      </c>
      <c r="G105" s="8">
        <f t="shared" si="4"/>
        <v>187</v>
      </c>
    </row>
    <row r="106" spans="1:7" x14ac:dyDescent="0.25">
      <c r="B106" s="9" t="s">
        <v>79</v>
      </c>
      <c r="C106" s="9"/>
      <c r="D106" s="8">
        <f>ROUND(96972.33,0)</f>
        <v>96972</v>
      </c>
      <c r="E106" s="18">
        <v>2.8951450669245371E-2</v>
      </c>
      <c r="G106" s="8">
        <f t="shared" si="4"/>
        <v>2807</v>
      </c>
    </row>
    <row r="107" spans="1:7" x14ac:dyDescent="0.25">
      <c r="B107" s="9" t="s">
        <v>80</v>
      </c>
      <c r="C107" s="9"/>
      <c r="D107" s="8">
        <f>ROUND(47299.47,0)</f>
        <v>47299</v>
      </c>
      <c r="E107" s="18">
        <v>2.8951450669245371E-2</v>
      </c>
      <c r="G107" s="8">
        <f t="shared" si="4"/>
        <v>1369</v>
      </c>
    </row>
    <row r="108" spans="1:7" x14ac:dyDescent="0.25">
      <c r="B108" s="9" t="s">
        <v>81</v>
      </c>
      <c r="C108" s="9"/>
      <c r="D108" s="8">
        <f>ROUND(2987195.98,0)</f>
        <v>2987196</v>
      </c>
      <c r="E108" s="18">
        <v>2.8951450669245371E-2</v>
      </c>
      <c r="G108" s="8">
        <f t="shared" si="4"/>
        <v>86484</v>
      </c>
    </row>
    <row r="109" spans="1:7" x14ac:dyDescent="0.25">
      <c r="B109" s="9" t="s">
        <v>82</v>
      </c>
      <c r="C109" s="9"/>
      <c r="D109" s="8">
        <f>ROUND(31568.91,0)</f>
        <v>31569</v>
      </c>
      <c r="E109" s="18">
        <v>2.8951450669245371E-2</v>
      </c>
      <c r="G109" s="8">
        <f t="shared" si="4"/>
        <v>914</v>
      </c>
    </row>
    <row r="110" spans="1:7" x14ac:dyDescent="0.25">
      <c r="B110" s="9" t="s">
        <v>83</v>
      </c>
      <c r="C110" s="9"/>
      <c r="D110" s="8">
        <f>ROUND(758151.11,0)</f>
        <v>758151</v>
      </c>
      <c r="E110" s="18">
        <v>2.8951450669245371E-2</v>
      </c>
      <c r="G110" s="8">
        <f t="shared" si="4"/>
        <v>21950</v>
      </c>
    </row>
    <row r="111" spans="1:7" x14ac:dyDescent="0.25">
      <c r="B111" s="9" t="s">
        <v>85</v>
      </c>
      <c r="C111" s="9"/>
      <c r="D111" s="8">
        <f>ROUND(125820.55,0)</f>
        <v>125821</v>
      </c>
      <c r="E111" s="18">
        <v>2.8951450669245371E-2</v>
      </c>
      <c r="G111" s="8">
        <f t="shared" si="4"/>
        <v>3643</v>
      </c>
    </row>
    <row r="112" spans="1:7" x14ac:dyDescent="0.25">
      <c r="B112" s="9" t="s">
        <v>87</v>
      </c>
      <c r="C112" s="9"/>
      <c r="D112" s="8">
        <f>ROUND(328574.63,0)</f>
        <v>328575</v>
      </c>
      <c r="E112" s="18">
        <v>2.8951450669245371E-2</v>
      </c>
      <c r="G112" s="8">
        <f t="shared" si="4"/>
        <v>9513</v>
      </c>
    </row>
    <row r="113" spans="1:7" x14ac:dyDescent="0.25">
      <c r="B113" s="9" t="s">
        <v>89</v>
      </c>
      <c r="C113" s="9"/>
      <c r="D113" s="8">
        <f>ROUND(7331264,0)</f>
        <v>7331264</v>
      </c>
      <c r="E113" s="18">
        <v>2.8951450669245371E-2</v>
      </c>
      <c r="G113" s="8">
        <f t="shared" si="4"/>
        <v>212251</v>
      </c>
    </row>
    <row r="114" spans="1:7" x14ac:dyDescent="0.25">
      <c r="B114" s="9" t="s">
        <v>90</v>
      </c>
      <c r="C114" s="9"/>
      <c r="D114" s="8">
        <f>ROUND(74850.95,0)</f>
        <v>74851</v>
      </c>
      <c r="E114" s="18">
        <v>2.8951450669245371E-2</v>
      </c>
      <c r="G114" s="8">
        <f t="shared" si="4"/>
        <v>2167</v>
      </c>
    </row>
    <row r="115" spans="1:7" x14ac:dyDescent="0.25">
      <c r="B115" s="9" t="s">
        <v>91</v>
      </c>
      <c r="C115" s="9"/>
      <c r="D115" s="17">
        <f>ROUND(2917560.39,0)</f>
        <v>2917560</v>
      </c>
      <c r="E115" s="18">
        <v>2.8951450669245371E-2</v>
      </c>
      <c r="G115" s="8">
        <f t="shared" si="4"/>
        <v>84468</v>
      </c>
    </row>
    <row r="116" spans="1:7" x14ac:dyDescent="0.25">
      <c r="B116" s="9" t="s">
        <v>198</v>
      </c>
      <c r="C116" s="9"/>
      <c r="D116" s="21">
        <f>ROUND(1608916.96,0)</f>
        <v>1608917</v>
      </c>
      <c r="E116" s="18">
        <v>2.8951450669245371E-2</v>
      </c>
      <c r="G116" s="21">
        <f t="shared" si="4"/>
        <v>46580</v>
      </c>
    </row>
    <row r="117" spans="1:7" x14ac:dyDescent="0.25">
      <c r="B117" s="9"/>
      <c r="C117" s="9"/>
      <c r="D117" s="34">
        <f>ROUND(SUM(D102:D116),0)</f>
        <v>16452298</v>
      </c>
      <c r="E117" s="18"/>
      <c r="G117" s="34">
        <f>ROUND(SUM(G102:G116),0)</f>
        <v>476318</v>
      </c>
    </row>
    <row r="118" spans="1:7" x14ac:dyDescent="0.25">
      <c r="B118" s="9"/>
      <c r="C118" s="9"/>
      <c r="E118" s="18"/>
    </row>
    <row r="119" spans="1:7" ht="18.75" x14ac:dyDescent="0.3">
      <c r="A119" s="20" t="s">
        <v>104</v>
      </c>
      <c r="B119" s="2" t="s">
        <v>166</v>
      </c>
      <c r="C119" s="2"/>
      <c r="D119" s="8">
        <f>ROUND(27798267.34,0)</f>
        <v>27798267</v>
      </c>
      <c r="E119" s="18"/>
    </row>
    <row r="120" spans="1:7" x14ac:dyDescent="0.25">
      <c r="B120" s="9"/>
      <c r="C120" s="9"/>
      <c r="E120" s="18"/>
    </row>
    <row r="121" spans="1:7" x14ac:dyDescent="0.25">
      <c r="B121" s="16" t="s">
        <v>105</v>
      </c>
      <c r="C121" s="2"/>
      <c r="D121" s="54">
        <f>ROUND(D119+D117+D100+D78+D64+D37+D14+D15,0)</f>
        <v>2160251683</v>
      </c>
      <c r="E121" s="18"/>
      <c r="G121" s="54">
        <f>G119+G117+G100+G78+G64+G37+G14</f>
        <v>39969640</v>
      </c>
    </row>
    <row r="122" spans="1:7" x14ac:dyDescent="0.25">
      <c r="B122" s="9"/>
      <c r="C122" s="9"/>
      <c r="E122" s="18"/>
    </row>
    <row r="123" spans="1:7" x14ac:dyDescent="0.25">
      <c r="A123" s="16" t="s">
        <v>106</v>
      </c>
      <c r="B123" s="9"/>
      <c r="C123" s="9"/>
      <c r="E123" s="18"/>
    </row>
    <row r="124" spans="1:7" x14ac:dyDescent="0.25">
      <c r="A124" s="16"/>
      <c r="B124" s="22" t="s">
        <v>114</v>
      </c>
      <c r="C124" s="22"/>
      <c r="E124" s="18"/>
    </row>
    <row r="125" spans="1:7" x14ac:dyDescent="0.25">
      <c r="B125" s="9" t="s">
        <v>113</v>
      </c>
      <c r="C125" s="9"/>
      <c r="D125" s="34">
        <v>6</v>
      </c>
      <c r="E125" s="18">
        <v>0</v>
      </c>
      <c r="G125" s="34">
        <f>D125*E125</f>
        <v>0</v>
      </c>
    </row>
    <row r="126" spans="1:7" x14ac:dyDescent="0.25">
      <c r="B126" s="9" t="s">
        <v>107</v>
      </c>
      <c r="C126" s="9"/>
      <c r="D126" s="8">
        <f>ROUND(4897071.78,0)</f>
        <v>4897072</v>
      </c>
      <c r="E126" s="18">
        <v>5.0852163665743369E-3</v>
      </c>
      <c r="G126" s="8">
        <f t="shared" ref="G126:G131" si="5">ROUND(D126*E126,0)</f>
        <v>24903</v>
      </c>
    </row>
    <row r="127" spans="1:7" x14ac:dyDescent="0.25">
      <c r="B127" s="9" t="s">
        <v>108</v>
      </c>
      <c r="C127" s="9"/>
      <c r="D127" s="8">
        <f>ROUND(11690251.61,0)</f>
        <v>11690252</v>
      </c>
      <c r="E127" s="18">
        <v>2.0510600551432202E-2</v>
      </c>
      <c r="G127" s="8">
        <f t="shared" si="5"/>
        <v>239774</v>
      </c>
    </row>
    <row r="128" spans="1:7" x14ac:dyDescent="0.25">
      <c r="B128" s="9" t="s">
        <v>109</v>
      </c>
      <c r="C128" s="9"/>
      <c r="D128" s="8">
        <f>ROUND(19945213.62,0)</f>
        <v>19945214</v>
      </c>
      <c r="E128" s="18">
        <v>1.2266586337606116E-2</v>
      </c>
      <c r="G128" s="8">
        <f t="shared" si="5"/>
        <v>244660</v>
      </c>
    </row>
    <row r="129" spans="1:7" x14ac:dyDescent="0.25">
      <c r="B129" s="9" t="s">
        <v>110</v>
      </c>
      <c r="C129" s="9"/>
      <c r="D129" s="8">
        <f>ROUND(5509836.22,0)</f>
        <v>5509836</v>
      </c>
      <c r="E129" s="18">
        <v>2.7495305145576753E-2</v>
      </c>
      <c r="G129" s="8">
        <f t="shared" si="5"/>
        <v>151495</v>
      </c>
    </row>
    <row r="130" spans="1:7" x14ac:dyDescent="0.25">
      <c r="B130" s="9" t="s">
        <v>111</v>
      </c>
      <c r="C130" s="9"/>
      <c r="D130" s="8">
        <f>ROUND(284788.68,0)</f>
        <v>284789</v>
      </c>
      <c r="E130" s="18">
        <v>3.345104762824809E-2</v>
      </c>
      <c r="G130" s="8">
        <f t="shared" si="5"/>
        <v>9526</v>
      </c>
    </row>
    <row r="131" spans="1:7" x14ac:dyDescent="0.25">
      <c r="B131" s="9" t="s">
        <v>112</v>
      </c>
      <c r="C131" s="9"/>
      <c r="D131" s="21">
        <f>ROUND(28796.63,0)</f>
        <v>28797</v>
      </c>
      <c r="E131" s="18">
        <v>1.5414002328209046E-2</v>
      </c>
      <c r="G131" s="21">
        <f t="shared" si="5"/>
        <v>444</v>
      </c>
    </row>
    <row r="132" spans="1:7" x14ac:dyDescent="0.25">
      <c r="B132" s="9"/>
      <c r="C132" s="9"/>
      <c r="D132" s="34">
        <f>ROUND(SUM(D125:D131),0)</f>
        <v>42355966</v>
      </c>
      <c r="E132" s="18"/>
      <c r="G132" s="34">
        <f>ROUND(SUM(G125:G131),0)</f>
        <v>670802</v>
      </c>
    </row>
    <row r="133" spans="1:7" x14ac:dyDescent="0.25">
      <c r="A133" s="16" t="s">
        <v>115</v>
      </c>
      <c r="B133" s="9"/>
      <c r="C133" s="9"/>
      <c r="E133" s="18"/>
    </row>
    <row r="134" spans="1:7" x14ac:dyDescent="0.25">
      <c r="B134" s="22" t="s">
        <v>116</v>
      </c>
      <c r="C134" s="22"/>
      <c r="E134" s="18"/>
    </row>
    <row r="135" spans="1:7" x14ac:dyDescent="0.25">
      <c r="B135" s="9" t="s">
        <v>113</v>
      </c>
      <c r="C135" s="9"/>
      <c r="D135" s="34">
        <f>ROUND(0.5,0)</f>
        <v>1</v>
      </c>
      <c r="E135" s="18">
        <v>0</v>
      </c>
      <c r="G135" s="34">
        <f>D135*E135</f>
        <v>0</v>
      </c>
    </row>
    <row r="136" spans="1:7" x14ac:dyDescent="0.25">
      <c r="B136" s="9" t="s">
        <v>107</v>
      </c>
      <c r="C136" s="9"/>
      <c r="D136" s="8">
        <f>ROUND(65796.14,0)</f>
        <v>65796</v>
      </c>
      <c r="E136" s="18">
        <v>1.0529821481372631E-2</v>
      </c>
      <c r="G136" s="8">
        <f>ROUND(D136*E136,0)</f>
        <v>693</v>
      </c>
    </row>
    <row r="137" spans="1:7" x14ac:dyDescent="0.25">
      <c r="B137" s="9" t="s">
        <v>111</v>
      </c>
      <c r="C137" s="9"/>
      <c r="D137" s="8">
        <f>ROUND(25458.41,0)</f>
        <v>25458</v>
      </c>
      <c r="E137" s="18">
        <v>3.4747923378229968E-2</v>
      </c>
      <c r="G137" s="8">
        <f>ROUND(D137*E137,0)</f>
        <v>885</v>
      </c>
    </row>
    <row r="138" spans="1:7" x14ac:dyDescent="0.25">
      <c r="B138" s="9" t="s">
        <v>112</v>
      </c>
      <c r="C138" s="9"/>
      <c r="D138" s="8">
        <f>ROUND(1133.98,0)</f>
        <v>1134</v>
      </c>
      <c r="E138" s="18">
        <v>1.4E-2</v>
      </c>
      <c r="G138" s="8">
        <f>D138*E138</f>
        <v>15.875999999999999</v>
      </c>
    </row>
    <row r="139" spans="1:7" ht="18.75" x14ac:dyDescent="0.3">
      <c r="B139" s="9" t="s">
        <v>180</v>
      </c>
      <c r="C139" s="9"/>
      <c r="D139" s="21">
        <f>ROUND(103528.98,0)</f>
        <v>103529</v>
      </c>
      <c r="E139" s="18"/>
      <c r="G139" s="21"/>
    </row>
    <row r="140" spans="1:7" x14ac:dyDescent="0.25">
      <c r="B140" s="9"/>
      <c r="C140" s="9"/>
      <c r="D140" s="34">
        <f>ROUND(SUM(D135:D139),0)</f>
        <v>195918</v>
      </c>
      <c r="E140" s="18"/>
      <c r="G140" s="34">
        <f>ROUND(SUM(G135:G139),0)</f>
        <v>1594</v>
      </c>
    </row>
    <row r="141" spans="1:7" x14ac:dyDescent="0.25">
      <c r="B141" s="9"/>
      <c r="C141" s="9"/>
      <c r="E141" s="18"/>
    </row>
    <row r="142" spans="1:7" x14ac:dyDescent="0.25">
      <c r="B142" s="22" t="s">
        <v>158</v>
      </c>
      <c r="C142" s="9"/>
      <c r="D142" s="54">
        <f>ROUND(D140+D132,0)</f>
        <v>42551884</v>
      </c>
      <c r="E142" s="18"/>
      <c r="G142" s="54">
        <f>ROUND(G140+G132,0)</f>
        <v>672396</v>
      </c>
    </row>
    <row r="143" spans="1:7" x14ac:dyDescent="0.25">
      <c r="B143" s="9"/>
      <c r="C143" s="9"/>
      <c r="E143" s="18"/>
    </row>
    <row r="144" spans="1:7" x14ac:dyDescent="0.25">
      <c r="A144" s="16" t="s">
        <v>0</v>
      </c>
      <c r="B144" s="9"/>
      <c r="C144" s="9"/>
      <c r="E144" s="18"/>
    </row>
    <row r="145" spans="1:7" x14ac:dyDescent="0.25">
      <c r="A145" s="20" t="s">
        <v>117</v>
      </c>
      <c r="B145" s="2" t="s">
        <v>118</v>
      </c>
      <c r="C145" s="2"/>
      <c r="D145" s="34">
        <f>ROUND(8132.93,0)</f>
        <v>8133</v>
      </c>
      <c r="E145" s="18">
        <v>0</v>
      </c>
      <c r="G145" s="78">
        <f>D145*E145</f>
        <v>0</v>
      </c>
    </row>
    <row r="146" spans="1:7" x14ac:dyDescent="0.25">
      <c r="A146" s="20" t="s">
        <v>119</v>
      </c>
      <c r="B146" s="2" t="s">
        <v>73</v>
      </c>
      <c r="C146" s="2"/>
      <c r="E146" s="18"/>
    </row>
    <row r="147" spans="1:7" x14ac:dyDescent="0.25">
      <c r="B147" s="9" t="s">
        <v>122</v>
      </c>
      <c r="C147" s="9"/>
      <c r="D147" s="34">
        <f>ROUND(211518.43,0)</f>
        <v>211518</v>
      </c>
      <c r="E147" s="18">
        <v>3.2683144690727098E-2</v>
      </c>
      <c r="G147" s="34">
        <f t="shared" ref="G147:G159" si="6">ROUND(D147*E147,0)</f>
        <v>6913</v>
      </c>
    </row>
    <row r="148" spans="1:7" x14ac:dyDescent="0.25">
      <c r="B148" s="9" t="s">
        <v>120</v>
      </c>
      <c r="C148" s="9"/>
      <c r="D148" s="8">
        <f>ROUND(8241.14,0)</f>
        <v>8241</v>
      </c>
      <c r="E148" s="18">
        <v>3.2683144690727098E-2</v>
      </c>
      <c r="G148" s="8">
        <f t="shared" si="6"/>
        <v>269</v>
      </c>
    </row>
    <row r="149" spans="1:7" x14ac:dyDescent="0.25">
      <c r="B149" s="9" t="s">
        <v>123</v>
      </c>
      <c r="C149" s="9"/>
      <c r="D149" s="8">
        <f>ROUND(64113.35,0)</f>
        <v>64113</v>
      </c>
      <c r="E149" s="18">
        <v>3.2683144690727098E-2</v>
      </c>
      <c r="G149" s="8">
        <f t="shared" si="6"/>
        <v>2095</v>
      </c>
    </row>
    <row r="150" spans="1:7" x14ac:dyDescent="0.25">
      <c r="B150" s="9" t="s">
        <v>124</v>
      </c>
      <c r="C150" s="9"/>
      <c r="D150" s="8">
        <f>ROUND(2158698.12,0)</f>
        <v>2158698</v>
      </c>
      <c r="E150" s="18">
        <v>3.2683144690727098E-2</v>
      </c>
      <c r="G150" s="8">
        <f t="shared" si="6"/>
        <v>70553</v>
      </c>
    </row>
    <row r="151" spans="1:7" x14ac:dyDescent="0.25">
      <c r="B151" s="9" t="s">
        <v>125</v>
      </c>
      <c r="C151" s="9"/>
      <c r="D151" s="8">
        <f>ROUND(858538.64,0)</f>
        <v>858539</v>
      </c>
      <c r="E151" s="18">
        <v>3.2683144690727098E-2</v>
      </c>
      <c r="G151" s="8">
        <f t="shared" si="6"/>
        <v>28060</v>
      </c>
    </row>
    <row r="152" spans="1:7" x14ac:dyDescent="0.25">
      <c r="B152" s="9" t="s">
        <v>126</v>
      </c>
      <c r="C152" s="9"/>
      <c r="D152" s="8">
        <f>ROUND(105977.86,0)</f>
        <v>105978</v>
      </c>
      <c r="E152" s="18">
        <v>3.2683144690727098E-2</v>
      </c>
      <c r="G152" s="8">
        <f t="shared" si="6"/>
        <v>3464</v>
      </c>
    </row>
    <row r="153" spans="1:7" x14ac:dyDescent="0.25">
      <c r="B153" s="9" t="s">
        <v>127</v>
      </c>
      <c r="C153" s="9"/>
      <c r="D153" s="8">
        <f>ROUND(144356.29,0)</f>
        <v>144356</v>
      </c>
      <c r="E153" s="18">
        <v>3.2683144690727098E-2</v>
      </c>
      <c r="G153" s="8">
        <f t="shared" si="6"/>
        <v>4718</v>
      </c>
    </row>
    <row r="154" spans="1:7" x14ac:dyDescent="0.25">
      <c r="B154" s="9" t="s">
        <v>128</v>
      </c>
      <c r="C154" s="9"/>
      <c r="D154" s="8">
        <f>ROUND(1555655.08,0)</f>
        <v>1555655</v>
      </c>
      <c r="E154" s="18">
        <v>3.2683144690727098E-2</v>
      </c>
      <c r="G154" s="8">
        <f t="shared" si="6"/>
        <v>50844</v>
      </c>
    </row>
    <row r="155" spans="1:7" x14ac:dyDescent="0.25">
      <c r="B155" s="9" t="s">
        <v>129</v>
      </c>
      <c r="C155" s="9"/>
      <c r="D155" s="8">
        <f>ROUND(1467923.89,0)</f>
        <v>1467924</v>
      </c>
      <c r="E155" s="18">
        <v>3.2683144690727098E-2</v>
      </c>
      <c r="G155" s="8">
        <f t="shared" si="6"/>
        <v>47976</v>
      </c>
    </row>
    <row r="156" spans="1:7" x14ac:dyDescent="0.25">
      <c r="B156" s="9" t="s">
        <v>130</v>
      </c>
      <c r="C156" s="9"/>
      <c r="D156" s="8">
        <f>ROUND(2083698.13,0)</f>
        <v>2083698</v>
      </c>
      <c r="E156" s="18">
        <v>3.2683144690727098E-2</v>
      </c>
      <c r="G156" s="8">
        <f t="shared" si="6"/>
        <v>68102</v>
      </c>
    </row>
    <row r="157" spans="1:7" x14ac:dyDescent="0.25">
      <c r="B157" s="9" t="s">
        <v>131</v>
      </c>
      <c r="C157" s="9"/>
      <c r="D157" s="8">
        <f>ROUND(2075526.5,0)</f>
        <v>2075527</v>
      </c>
      <c r="E157" s="18">
        <v>3.2683144690727098E-2</v>
      </c>
      <c r="G157" s="8">
        <f t="shared" si="6"/>
        <v>67835</v>
      </c>
    </row>
    <row r="158" spans="1:7" x14ac:dyDescent="0.25">
      <c r="B158" s="9" t="s">
        <v>132</v>
      </c>
      <c r="C158" s="9"/>
      <c r="D158" s="8">
        <f>ROUND(2137402.33,0)</f>
        <v>2137402</v>
      </c>
      <c r="E158" s="18">
        <v>3.2683144690727098E-2</v>
      </c>
      <c r="G158" s="8">
        <f t="shared" si="6"/>
        <v>69857</v>
      </c>
    </row>
    <row r="159" spans="1:7" x14ac:dyDescent="0.25">
      <c r="B159" s="9" t="s">
        <v>133</v>
      </c>
      <c r="C159" s="9"/>
      <c r="D159" s="21">
        <f>ROUND(2132789.69,0)</f>
        <v>2132790</v>
      </c>
      <c r="E159" s="18">
        <v>3.2683144690727098E-2</v>
      </c>
      <c r="G159" s="21">
        <f t="shared" si="6"/>
        <v>69706</v>
      </c>
    </row>
    <row r="160" spans="1:7" x14ac:dyDescent="0.25">
      <c r="B160" s="9"/>
      <c r="C160" s="9"/>
      <c r="D160" s="34">
        <f>ROUND(SUM(D147:D159),0)</f>
        <v>15004439</v>
      </c>
      <c r="E160" s="18"/>
      <c r="G160" s="34">
        <f>ROUND(SUM(G147:G159),0)</f>
        <v>490392</v>
      </c>
    </row>
    <row r="161" spans="1:7" x14ac:dyDescent="0.25">
      <c r="A161" s="20" t="s">
        <v>134</v>
      </c>
      <c r="B161" s="2" t="s">
        <v>135</v>
      </c>
      <c r="C161" s="2"/>
      <c r="E161" s="18"/>
    </row>
    <row r="162" spans="1:7" x14ac:dyDescent="0.25">
      <c r="B162" s="9" t="s">
        <v>122</v>
      </c>
      <c r="C162" s="9"/>
      <c r="D162" s="34">
        <f>ROUND(319042.17,0)</f>
        <v>319042</v>
      </c>
      <c r="E162" s="18">
        <v>3.8349922931822378E-2</v>
      </c>
      <c r="G162" s="34">
        <f t="shared" ref="G162:G176" si="7">ROUND(D162*E162,0)</f>
        <v>12235</v>
      </c>
    </row>
    <row r="163" spans="1:7" x14ac:dyDescent="0.25">
      <c r="B163" s="9" t="s">
        <v>120</v>
      </c>
      <c r="C163" s="9"/>
      <c r="D163" s="8">
        <f>ROUND(23433.81,0)</f>
        <v>23434</v>
      </c>
      <c r="E163" s="18">
        <v>3.8349922931822378E-2</v>
      </c>
      <c r="G163" s="8">
        <f t="shared" si="7"/>
        <v>899</v>
      </c>
    </row>
    <row r="164" spans="1:7" x14ac:dyDescent="0.25">
      <c r="B164" s="9" t="s">
        <v>121</v>
      </c>
      <c r="C164" s="9"/>
      <c r="D164" s="8">
        <f>ROUND(9237.57,0)</f>
        <v>9238</v>
      </c>
      <c r="E164" s="18">
        <v>3.8349922931822378E-2</v>
      </c>
      <c r="G164" s="8">
        <f t="shared" si="7"/>
        <v>354</v>
      </c>
    </row>
    <row r="165" spans="1:7" x14ac:dyDescent="0.25">
      <c r="B165" s="9" t="s">
        <v>123</v>
      </c>
      <c r="C165" s="9"/>
      <c r="D165" s="8">
        <f>ROUND(21667.08,0)</f>
        <v>21667</v>
      </c>
      <c r="E165" s="18">
        <v>3.8349922931822378E-2</v>
      </c>
      <c r="G165" s="8">
        <f t="shared" si="7"/>
        <v>831</v>
      </c>
    </row>
    <row r="166" spans="1:7" x14ac:dyDescent="0.25">
      <c r="B166" s="9" t="s">
        <v>124</v>
      </c>
      <c r="C166" s="9"/>
      <c r="D166" s="8">
        <f>ROUND(2255338.17,0)</f>
        <v>2255338</v>
      </c>
      <c r="E166" s="18">
        <v>3.8349922931822378E-2</v>
      </c>
      <c r="G166" s="8">
        <f t="shared" si="7"/>
        <v>86492</v>
      </c>
    </row>
    <row r="167" spans="1:7" x14ac:dyDescent="0.25">
      <c r="B167" s="9" t="s">
        <v>125</v>
      </c>
      <c r="C167" s="9"/>
      <c r="D167" s="8">
        <f>ROUND(846906.63,0)</f>
        <v>846907</v>
      </c>
      <c r="E167" s="18">
        <v>3.8349922931822378E-2</v>
      </c>
      <c r="G167" s="8">
        <f t="shared" si="7"/>
        <v>32479</v>
      </c>
    </row>
    <row r="168" spans="1:7" x14ac:dyDescent="0.25">
      <c r="B168" s="9" t="s">
        <v>126</v>
      </c>
      <c r="C168" s="9"/>
      <c r="D168" s="8">
        <f>ROUND(403060.13,0)</f>
        <v>403060</v>
      </c>
      <c r="E168" s="18">
        <v>3.8349922931822378E-2</v>
      </c>
      <c r="G168" s="8">
        <f t="shared" si="7"/>
        <v>15457</v>
      </c>
    </row>
    <row r="169" spans="1:7" x14ac:dyDescent="0.25">
      <c r="B169" s="9" t="s">
        <v>127</v>
      </c>
      <c r="C169" s="9"/>
      <c r="D169" s="8">
        <f>ROUND(141363.16,0)</f>
        <v>141363</v>
      </c>
      <c r="E169" s="18">
        <v>3.8349922931822378E-2</v>
      </c>
      <c r="G169" s="8">
        <f t="shared" si="7"/>
        <v>5421</v>
      </c>
    </row>
    <row r="170" spans="1:7" x14ac:dyDescent="0.25">
      <c r="B170" s="9" t="s">
        <v>128</v>
      </c>
      <c r="C170" s="9"/>
      <c r="D170" s="8">
        <f>ROUND(97996.9,0)</f>
        <v>97997</v>
      </c>
      <c r="E170" s="18">
        <v>3.8349922931822378E-2</v>
      </c>
      <c r="G170" s="8">
        <f t="shared" si="7"/>
        <v>3758</v>
      </c>
    </row>
    <row r="171" spans="1:7" x14ac:dyDescent="0.25">
      <c r="B171" s="9" t="s">
        <v>129</v>
      </c>
      <c r="C171" s="9"/>
      <c r="D171" s="8">
        <f>ROUND(97861.58,0)</f>
        <v>97862</v>
      </c>
      <c r="E171" s="18">
        <v>3.8349922931822378E-2</v>
      </c>
      <c r="G171" s="8">
        <f t="shared" si="7"/>
        <v>3753</v>
      </c>
    </row>
    <row r="172" spans="1:7" x14ac:dyDescent="0.25">
      <c r="B172" s="9" t="s">
        <v>136</v>
      </c>
      <c r="C172" s="9"/>
      <c r="D172" s="8">
        <f>ROUND(1998390.62,0)</f>
        <v>1998391</v>
      </c>
      <c r="E172" s="18">
        <v>3.8349922931822378E-2</v>
      </c>
      <c r="G172" s="8">
        <f t="shared" si="7"/>
        <v>76638</v>
      </c>
    </row>
    <row r="173" spans="1:7" x14ac:dyDescent="0.25">
      <c r="B173" s="9" t="s">
        <v>130</v>
      </c>
      <c r="C173" s="9"/>
      <c r="D173" s="8">
        <f>ROUND(338423.07,0)</f>
        <v>338423</v>
      </c>
      <c r="E173" s="18">
        <v>3.8349922931822378E-2</v>
      </c>
      <c r="G173" s="8">
        <f t="shared" si="7"/>
        <v>12978</v>
      </c>
    </row>
    <row r="174" spans="1:7" x14ac:dyDescent="0.25">
      <c r="B174" s="9" t="s">
        <v>131</v>
      </c>
      <c r="C174" s="9"/>
      <c r="D174" s="8">
        <f>ROUND(337096.18,0)</f>
        <v>337096</v>
      </c>
      <c r="E174" s="18">
        <v>3.8349922931822378E-2</v>
      </c>
      <c r="G174" s="8">
        <f t="shared" si="7"/>
        <v>12928</v>
      </c>
    </row>
    <row r="175" spans="1:7" x14ac:dyDescent="0.25">
      <c r="B175" s="9" t="s">
        <v>132</v>
      </c>
      <c r="C175" s="9"/>
      <c r="D175" s="8">
        <f>ROUND(347146.53,0)</f>
        <v>347147</v>
      </c>
      <c r="E175" s="18">
        <v>3.8349922931822378E-2</v>
      </c>
      <c r="G175" s="8">
        <f t="shared" si="7"/>
        <v>13313</v>
      </c>
    </row>
    <row r="176" spans="1:7" x14ac:dyDescent="0.25">
      <c r="B176" s="9" t="s">
        <v>133</v>
      </c>
      <c r="C176" s="9"/>
      <c r="D176" s="21">
        <f>ROUND(361860.02,0)</f>
        <v>361860</v>
      </c>
      <c r="E176" s="18">
        <v>3.8349922931822378E-2</v>
      </c>
      <c r="G176" s="21">
        <f t="shared" si="7"/>
        <v>13877</v>
      </c>
    </row>
    <row r="177" spans="1:7" x14ac:dyDescent="0.25">
      <c r="B177" s="9"/>
      <c r="C177" s="9"/>
      <c r="D177" s="34">
        <f>ROUND(SUM(D162:D176),0)</f>
        <v>7598825</v>
      </c>
      <c r="E177" s="18"/>
      <c r="G177" s="34">
        <f>ROUND(SUM(G162:G176),0)</f>
        <v>291413</v>
      </c>
    </row>
    <row r="178" spans="1:7" x14ac:dyDescent="0.25">
      <c r="A178" s="20" t="s">
        <v>137</v>
      </c>
      <c r="B178" s="2" t="s">
        <v>138</v>
      </c>
      <c r="C178" s="2"/>
      <c r="E178" s="18"/>
    </row>
    <row r="179" spans="1:7" x14ac:dyDescent="0.25">
      <c r="B179" s="9" t="s">
        <v>124</v>
      </c>
      <c r="C179" s="9"/>
      <c r="D179" s="34">
        <f>ROUND(20575460.98,0)</f>
        <v>20575461</v>
      </c>
      <c r="E179" s="18">
        <v>3.7957134143465326E-2</v>
      </c>
      <c r="G179" s="34">
        <f t="shared" ref="G179:G188" si="8">ROUND(D179*E179,0)</f>
        <v>780986</v>
      </c>
    </row>
    <row r="180" spans="1:7" x14ac:dyDescent="0.25">
      <c r="B180" s="9" t="s">
        <v>125</v>
      </c>
      <c r="C180" s="9"/>
      <c r="D180" s="8">
        <f>ROUND(15877891,0)</f>
        <v>15877891</v>
      </c>
      <c r="E180" s="18">
        <v>3.7957134143465326E-2</v>
      </c>
      <c r="G180" s="8">
        <f t="shared" si="8"/>
        <v>602679</v>
      </c>
    </row>
    <row r="181" spans="1:7" x14ac:dyDescent="0.25">
      <c r="B181" s="9" t="s">
        <v>126</v>
      </c>
      <c r="C181" s="9"/>
      <c r="D181" s="8">
        <f>ROUND(19951721.96,0)</f>
        <v>19951722</v>
      </c>
      <c r="E181" s="18">
        <v>3.7957134143465326E-2</v>
      </c>
      <c r="G181" s="8">
        <f t="shared" si="8"/>
        <v>757310</v>
      </c>
    </row>
    <row r="182" spans="1:7" x14ac:dyDescent="0.25">
      <c r="B182" s="9" t="s">
        <v>127</v>
      </c>
      <c r="C182" s="9"/>
      <c r="D182" s="8">
        <f>ROUND(18239647.01,0)</f>
        <v>18239647</v>
      </c>
      <c r="E182" s="18">
        <v>3.7957134143465326E-2</v>
      </c>
      <c r="G182" s="8">
        <f t="shared" si="8"/>
        <v>692325</v>
      </c>
    </row>
    <row r="183" spans="1:7" x14ac:dyDescent="0.25">
      <c r="B183" s="9" t="s">
        <v>128</v>
      </c>
      <c r="C183" s="9"/>
      <c r="D183" s="8">
        <f>ROUND(13538629.58,0)</f>
        <v>13538630</v>
      </c>
      <c r="E183" s="18">
        <v>3.7957134143465326E-2</v>
      </c>
      <c r="G183" s="8">
        <f t="shared" si="8"/>
        <v>513888</v>
      </c>
    </row>
    <row r="184" spans="1:7" x14ac:dyDescent="0.25">
      <c r="B184" s="9" t="s">
        <v>129</v>
      </c>
      <c r="C184" s="9"/>
      <c r="D184" s="8">
        <f>ROUND(13456801.43,0)</f>
        <v>13456801</v>
      </c>
      <c r="E184" s="18">
        <v>3.7957134143465326E-2</v>
      </c>
      <c r="G184" s="8">
        <f t="shared" si="8"/>
        <v>510782</v>
      </c>
    </row>
    <row r="185" spans="1:7" x14ac:dyDescent="0.25">
      <c r="B185" s="9" t="s">
        <v>130</v>
      </c>
      <c r="C185" s="9"/>
      <c r="D185" s="8">
        <f>ROUND(14040786.39,0)</f>
        <v>14040786</v>
      </c>
      <c r="E185" s="18">
        <v>3.7957134143465326E-2</v>
      </c>
      <c r="G185" s="8">
        <f t="shared" si="8"/>
        <v>532948</v>
      </c>
    </row>
    <row r="186" spans="1:7" x14ac:dyDescent="0.25">
      <c r="B186" s="9" t="s">
        <v>131</v>
      </c>
      <c r="C186" s="9"/>
      <c r="D186" s="8">
        <f>ROUND(13925741.6,0)</f>
        <v>13925742</v>
      </c>
      <c r="E186" s="18">
        <v>3.7957134143465326E-2</v>
      </c>
      <c r="G186" s="8">
        <f t="shared" si="8"/>
        <v>528581</v>
      </c>
    </row>
    <row r="187" spans="1:7" x14ac:dyDescent="0.25">
      <c r="B187" s="9" t="s">
        <v>132</v>
      </c>
      <c r="C187" s="9"/>
      <c r="D187" s="8">
        <f>ROUND(13836331.56,0)</f>
        <v>13836332</v>
      </c>
      <c r="E187" s="18">
        <v>3.7957134143465326E-2</v>
      </c>
      <c r="G187" s="8">
        <f t="shared" si="8"/>
        <v>525188</v>
      </c>
    </row>
    <row r="188" spans="1:7" x14ac:dyDescent="0.25">
      <c r="B188" s="9" t="s">
        <v>133</v>
      </c>
      <c r="C188" s="9"/>
      <c r="D188" s="21">
        <f>ROUND(13781724.09,0)</f>
        <v>13781724</v>
      </c>
      <c r="E188" s="18">
        <v>3.7957134143465326E-2</v>
      </c>
      <c r="G188" s="21">
        <f t="shared" si="8"/>
        <v>523115</v>
      </c>
    </row>
    <row r="189" spans="1:7" x14ac:dyDescent="0.25">
      <c r="B189" s="9"/>
      <c r="C189" s="9"/>
      <c r="D189" s="34">
        <f>ROUND(SUM(D179:D188),0)</f>
        <v>157224736</v>
      </c>
      <c r="E189" s="18"/>
      <c r="G189" s="34">
        <f>ROUND(SUM(G179:G188),0)</f>
        <v>5967802</v>
      </c>
    </row>
    <row r="190" spans="1:7" x14ac:dyDescent="0.25">
      <c r="A190" s="20" t="s">
        <v>139</v>
      </c>
      <c r="B190" s="2" t="s">
        <v>140</v>
      </c>
      <c r="C190" s="2"/>
      <c r="E190" s="18"/>
    </row>
    <row r="191" spans="1:7" x14ac:dyDescent="0.25">
      <c r="B191" s="9" t="s">
        <v>122</v>
      </c>
      <c r="C191" s="9"/>
      <c r="D191" s="34">
        <f>ROUND(2910123.6,0)</f>
        <v>2910124</v>
      </c>
      <c r="E191" s="18">
        <v>3.014392475589869E-2</v>
      </c>
      <c r="G191" s="34">
        <f t="shared" ref="G191:G204" si="9">ROUND(D191*E191,0)</f>
        <v>87723</v>
      </c>
    </row>
    <row r="192" spans="1:7" x14ac:dyDescent="0.25">
      <c r="B192" s="9" t="s">
        <v>120</v>
      </c>
      <c r="C192" s="9"/>
      <c r="D192" s="8">
        <f>ROUND(1827580.88,0)</f>
        <v>1827581</v>
      </c>
      <c r="E192" s="18">
        <v>3.014392475589869E-2</v>
      </c>
      <c r="G192" s="8">
        <f t="shared" si="9"/>
        <v>55090</v>
      </c>
    </row>
    <row r="193" spans="1:7" x14ac:dyDescent="0.25">
      <c r="B193" s="9" t="s">
        <v>121</v>
      </c>
      <c r="C193" s="9"/>
      <c r="D193" s="8">
        <f>ROUND(1523115.56,0)</f>
        <v>1523116</v>
      </c>
      <c r="E193" s="18">
        <v>3.014392475589869E-2</v>
      </c>
      <c r="G193" s="8">
        <f t="shared" si="9"/>
        <v>45913</v>
      </c>
    </row>
    <row r="194" spans="1:7" x14ac:dyDescent="0.25">
      <c r="B194" s="9" t="s">
        <v>123</v>
      </c>
      <c r="C194" s="9"/>
      <c r="D194" s="8">
        <f>ROUND(2991589.41,0)</f>
        <v>2991589</v>
      </c>
      <c r="E194" s="18">
        <v>3.014392475589869E-2</v>
      </c>
      <c r="G194" s="8">
        <f t="shared" si="9"/>
        <v>90178</v>
      </c>
    </row>
    <row r="195" spans="1:7" x14ac:dyDescent="0.25">
      <c r="B195" s="9" t="s">
        <v>124</v>
      </c>
      <c r="C195" s="9"/>
      <c r="D195" s="8">
        <f>ROUND(5859857.93,0)</f>
        <v>5859858</v>
      </c>
      <c r="E195" s="18">
        <v>3.014392475589869E-2</v>
      </c>
      <c r="G195" s="8">
        <f t="shared" si="9"/>
        <v>176639</v>
      </c>
    </row>
    <row r="196" spans="1:7" x14ac:dyDescent="0.25">
      <c r="B196" s="9" t="s">
        <v>125</v>
      </c>
      <c r="C196" s="9"/>
      <c r="D196" s="8">
        <f>ROUND(3249359.88,0)</f>
        <v>3249360</v>
      </c>
      <c r="E196" s="18">
        <v>3.014392475589869E-2</v>
      </c>
      <c r="G196" s="8">
        <f t="shared" si="9"/>
        <v>97948</v>
      </c>
    </row>
    <row r="197" spans="1:7" x14ac:dyDescent="0.25">
      <c r="B197" s="9" t="s">
        <v>126</v>
      </c>
      <c r="C197" s="9"/>
      <c r="D197" s="8">
        <f>ROUND(2417994.54,0)</f>
        <v>2417995</v>
      </c>
      <c r="E197" s="18">
        <v>3.014392475589869E-2</v>
      </c>
      <c r="G197" s="8">
        <f t="shared" si="9"/>
        <v>72888</v>
      </c>
    </row>
    <row r="198" spans="1:7" x14ac:dyDescent="0.25">
      <c r="B198" s="9" t="s">
        <v>127</v>
      </c>
      <c r="C198" s="9"/>
      <c r="D198" s="8">
        <f>ROUND(2421079.26,0)</f>
        <v>2421079</v>
      </c>
      <c r="E198" s="18">
        <v>3.014392475589869E-2</v>
      </c>
      <c r="G198" s="8">
        <f t="shared" si="9"/>
        <v>72981</v>
      </c>
    </row>
    <row r="199" spans="1:7" x14ac:dyDescent="0.25">
      <c r="B199" s="9" t="s">
        <v>128</v>
      </c>
      <c r="C199" s="9"/>
      <c r="D199" s="8">
        <f>ROUND(1539295.24,0)</f>
        <v>1539295</v>
      </c>
      <c r="E199" s="18">
        <v>3.014392475589869E-2</v>
      </c>
      <c r="G199" s="8">
        <f t="shared" si="9"/>
        <v>46400</v>
      </c>
    </row>
    <row r="200" spans="1:7" x14ac:dyDescent="0.25">
      <c r="B200" s="9" t="s">
        <v>129</v>
      </c>
      <c r="C200" s="9"/>
      <c r="D200" s="8">
        <f>ROUND(1537167.6,0)</f>
        <v>1537168</v>
      </c>
      <c r="E200" s="18">
        <v>3.014392475589869E-2</v>
      </c>
      <c r="G200" s="8">
        <f t="shared" si="9"/>
        <v>46336</v>
      </c>
    </row>
    <row r="201" spans="1:7" x14ac:dyDescent="0.25">
      <c r="B201" s="9" t="s">
        <v>130</v>
      </c>
      <c r="C201" s="9"/>
      <c r="D201" s="8">
        <f>ROUND(1726823.88,0)</f>
        <v>1726824</v>
      </c>
      <c r="E201" s="18">
        <v>3.014392475589869E-2</v>
      </c>
      <c r="G201" s="8">
        <f t="shared" si="9"/>
        <v>52053</v>
      </c>
    </row>
    <row r="202" spans="1:7" x14ac:dyDescent="0.25">
      <c r="B202" s="9" t="s">
        <v>131</v>
      </c>
      <c r="C202" s="9"/>
      <c r="D202" s="8">
        <f>ROUND(1717276.72,0)</f>
        <v>1717277</v>
      </c>
      <c r="E202" s="18">
        <v>3.014392475589869E-2</v>
      </c>
      <c r="G202" s="8">
        <f t="shared" si="9"/>
        <v>51765</v>
      </c>
    </row>
    <row r="203" spans="1:7" x14ac:dyDescent="0.25">
      <c r="B203" s="9" t="s">
        <v>132</v>
      </c>
      <c r="C203" s="9"/>
      <c r="D203" s="8">
        <f>ROUND(1728008.37,0)</f>
        <v>1728008</v>
      </c>
      <c r="E203" s="18">
        <v>3.014392475589869E-2</v>
      </c>
      <c r="G203" s="8">
        <f t="shared" si="9"/>
        <v>52089</v>
      </c>
    </row>
    <row r="204" spans="1:7" x14ac:dyDescent="0.25">
      <c r="B204" s="9" t="s">
        <v>133</v>
      </c>
      <c r="C204" s="9"/>
      <c r="D204" s="21">
        <f>ROUND(1722674.29,0)</f>
        <v>1722674</v>
      </c>
      <c r="E204" s="18">
        <v>3.014392475589869E-2</v>
      </c>
      <c r="G204" s="21">
        <f t="shared" si="9"/>
        <v>51928</v>
      </c>
    </row>
    <row r="205" spans="1:7" x14ac:dyDescent="0.25">
      <c r="B205" s="9"/>
      <c r="C205" s="9"/>
      <c r="D205" s="34">
        <f>ROUND(SUM(D191:D204),0)</f>
        <v>33171948</v>
      </c>
      <c r="E205" s="18"/>
      <c r="G205" s="34">
        <f>ROUND(SUM(G191:G204),0)</f>
        <v>999931</v>
      </c>
    </row>
    <row r="206" spans="1:7" x14ac:dyDescent="0.25">
      <c r="A206" s="20" t="s">
        <v>141</v>
      </c>
      <c r="B206" s="2" t="s">
        <v>142</v>
      </c>
      <c r="C206" s="2"/>
      <c r="E206" s="18"/>
    </row>
    <row r="207" spans="1:7" x14ac:dyDescent="0.25">
      <c r="B207" s="9" t="s">
        <v>122</v>
      </c>
      <c r="C207" s="9"/>
      <c r="D207" s="34">
        <f>ROUND(116627.22,0)</f>
        <v>116627</v>
      </c>
      <c r="E207" s="18">
        <v>3.3651583771638641E-2</v>
      </c>
      <c r="G207" s="34">
        <f>D207*E207</f>
        <v>3924.6832605348995</v>
      </c>
    </row>
    <row r="208" spans="1:7" x14ac:dyDescent="0.25">
      <c r="B208" s="9" t="s">
        <v>120</v>
      </c>
      <c r="C208" s="9"/>
      <c r="D208" s="8">
        <f>ROUND(44282.77,0)</f>
        <v>44283</v>
      </c>
      <c r="E208" s="18">
        <v>3.3651583771638641E-2</v>
      </c>
      <c r="G208" s="8">
        <f>D208*E208</f>
        <v>1490.193084159474</v>
      </c>
    </row>
    <row r="209" spans="1:7" x14ac:dyDescent="0.25">
      <c r="B209" s="9" t="s">
        <v>121</v>
      </c>
      <c r="C209" s="9"/>
      <c r="D209" s="8">
        <f>ROUND(68109.35,0)</f>
        <v>68109</v>
      </c>
      <c r="E209" s="18">
        <v>3.3651583771638641E-2</v>
      </c>
      <c r="G209" s="8">
        <f t="shared" ref="G209:G220" si="10">ROUND(D209*E209,0)</f>
        <v>2292</v>
      </c>
    </row>
    <row r="210" spans="1:7" x14ac:dyDescent="0.25">
      <c r="B210" s="9" t="s">
        <v>123</v>
      </c>
      <c r="C210" s="9"/>
      <c r="D210" s="8">
        <f>ROUND(912641.5,0)</f>
        <v>912642</v>
      </c>
      <c r="E210" s="18">
        <v>3.3651583771638641E-2</v>
      </c>
      <c r="G210" s="8">
        <f t="shared" si="10"/>
        <v>30712</v>
      </c>
    </row>
    <row r="211" spans="1:7" x14ac:dyDescent="0.25">
      <c r="B211" s="9" t="s">
        <v>124</v>
      </c>
      <c r="C211" s="9"/>
      <c r="D211" s="8">
        <f>ROUND(2778992.6,0)</f>
        <v>2778993</v>
      </c>
      <c r="E211" s="18">
        <v>3.3651583771638641E-2</v>
      </c>
      <c r="G211" s="8">
        <f t="shared" si="10"/>
        <v>93518</v>
      </c>
    </row>
    <row r="212" spans="1:7" x14ac:dyDescent="0.25">
      <c r="B212" s="9" t="s">
        <v>125</v>
      </c>
      <c r="C212" s="9"/>
      <c r="D212" s="8">
        <f>ROUND(2742562.59,0)</f>
        <v>2742563</v>
      </c>
      <c r="E212" s="18">
        <v>3.3651583771638641E-2</v>
      </c>
      <c r="G212" s="8">
        <f t="shared" si="10"/>
        <v>92292</v>
      </c>
    </row>
    <row r="213" spans="1:7" x14ac:dyDescent="0.25">
      <c r="B213" s="9" t="s">
        <v>126</v>
      </c>
      <c r="C213" s="9"/>
      <c r="D213" s="8">
        <f>ROUND(970189.22,0)</f>
        <v>970189</v>
      </c>
      <c r="E213" s="18">
        <v>3.3651583771638641E-2</v>
      </c>
      <c r="G213" s="8">
        <f t="shared" si="10"/>
        <v>32648</v>
      </c>
    </row>
    <row r="214" spans="1:7" x14ac:dyDescent="0.25">
      <c r="B214" s="9" t="s">
        <v>127</v>
      </c>
      <c r="C214" s="9"/>
      <c r="D214" s="8">
        <f>ROUND(953200.45,0)</f>
        <v>953200</v>
      </c>
      <c r="E214" s="18">
        <v>3.3651583771638641E-2</v>
      </c>
      <c r="G214" s="8">
        <f t="shared" si="10"/>
        <v>32077</v>
      </c>
    </row>
    <row r="215" spans="1:7" x14ac:dyDescent="0.25">
      <c r="B215" s="9" t="s">
        <v>128</v>
      </c>
      <c r="C215" s="9"/>
      <c r="D215" s="8">
        <f>ROUND(706963.22,0)</f>
        <v>706963</v>
      </c>
      <c r="E215" s="18">
        <v>3.3651583771638641E-2</v>
      </c>
      <c r="G215" s="8">
        <f t="shared" si="10"/>
        <v>23790</v>
      </c>
    </row>
    <row r="216" spans="1:7" x14ac:dyDescent="0.25">
      <c r="B216" s="9" t="s">
        <v>129</v>
      </c>
      <c r="C216" s="9"/>
      <c r="D216" s="8">
        <f>ROUND(1594892.41,0)</f>
        <v>1594892</v>
      </c>
      <c r="E216" s="18">
        <v>3.3651583771638641E-2</v>
      </c>
      <c r="G216" s="8">
        <f t="shared" si="10"/>
        <v>53671</v>
      </c>
    </row>
    <row r="217" spans="1:7" x14ac:dyDescent="0.25">
      <c r="B217" s="9" t="s">
        <v>130</v>
      </c>
      <c r="C217" s="9"/>
      <c r="D217" s="8">
        <f>ROUND(1843364.42,0)</f>
        <v>1843364</v>
      </c>
      <c r="E217" s="18">
        <v>3.3651583771638641E-2</v>
      </c>
      <c r="G217" s="8">
        <f t="shared" si="10"/>
        <v>62032</v>
      </c>
    </row>
    <row r="218" spans="1:7" x14ac:dyDescent="0.25">
      <c r="B218" s="9" t="s">
        <v>131</v>
      </c>
      <c r="C218" s="9"/>
      <c r="D218" s="8">
        <f>ROUND(1836141.17,0)</f>
        <v>1836141</v>
      </c>
      <c r="E218" s="18">
        <v>3.3651583771638641E-2</v>
      </c>
      <c r="G218" s="8">
        <f t="shared" si="10"/>
        <v>61789</v>
      </c>
    </row>
    <row r="219" spans="1:7" x14ac:dyDescent="0.25">
      <c r="B219" s="9" t="s">
        <v>132</v>
      </c>
      <c r="C219" s="9"/>
      <c r="D219" s="8">
        <f>ROUND(1890840.33,0)</f>
        <v>1890840</v>
      </c>
      <c r="E219" s="18">
        <v>3.3651583771638641E-2</v>
      </c>
      <c r="G219" s="8">
        <f t="shared" si="10"/>
        <v>63630</v>
      </c>
    </row>
    <row r="220" spans="1:7" x14ac:dyDescent="0.25">
      <c r="B220" s="9" t="s">
        <v>133</v>
      </c>
      <c r="C220" s="9"/>
      <c r="D220" s="21">
        <f>ROUND(4387836.09,0)</f>
        <v>4387836</v>
      </c>
      <c r="E220" s="18">
        <v>3.3651583771638641E-2</v>
      </c>
      <c r="G220" s="21">
        <f t="shared" si="10"/>
        <v>147658</v>
      </c>
    </row>
    <row r="221" spans="1:7" x14ac:dyDescent="0.25">
      <c r="B221" s="9"/>
      <c r="C221" s="9"/>
      <c r="D221" s="34">
        <f>ROUND(SUM(D207:D220),0)</f>
        <v>20846642</v>
      </c>
      <c r="E221" s="18"/>
      <c r="G221" s="34">
        <f>ROUND(SUM(G207:G220),0)</f>
        <v>701524</v>
      </c>
    </row>
    <row r="222" spans="1:7" x14ac:dyDescent="0.25">
      <c r="A222" s="20" t="s">
        <v>143</v>
      </c>
      <c r="B222" s="2" t="s">
        <v>103</v>
      </c>
      <c r="C222" s="2"/>
      <c r="E222" s="18"/>
    </row>
    <row r="223" spans="1:7" x14ac:dyDescent="0.25">
      <c r="B223" s="9" t="s">
        <v>120</v>
      </c>
      <c r="C223" s="9"/>
      <c r="D223" s="34">
        <f>ROUND(9488.39,0)</f>
        <v>9488</v>
      </c>
      <c r="E223" s="18">
        <v>3.362690176052606E-2</v>
      </c>
      <c r="G223" s="34">
        <f t="shared" ref="G223:G233" si="11">ROUND(D223*E223,0)</f>
        <v>319</v>
      </c>
    </row>
    <row r="224" spans="1:7" x14ac:dyDescent="0.25">
      <c r="B224" s="9" t="s">
        <v>121</v>
      </c>
      <c r="C224" s="9"/>
      <c r="D224" s="8">
        <f>ROUND(9494.38,0)</f>
        <v>9494</v>
      </c>
      <c r="E224" s="18">
        <v>3.362690176052606E-2</v>
      </c>
      <c r="G224" s="8">
        <f t="shared" si="11"/>
        <v>319</v>
      </c>
    </row>
    <row r="225" spans="1:7" x14ac:dyDescent="0.25">
      <c r="B225" s="9" t="s">
        <v>124</v>
      </c>
      <c r="C225" s="9"/>
      <c r="D225" s="8">
        <f>ROUND(1281034.19,0)</f>
        <v>1281034</v>
      </c>
      <c r="E225" s="18">
        <v>3.362690176052606E-2</v>
      </c>
      <c r="G225" s="8">
        <f t="shared" si="11"/>
        <v>43077</v>
      </c>
    </row>
    <row r="226" spans="1:7" x14ac:dyDescent="0.25">
      <c r="B226" s="9" t="s">
        <v>125</v>
      </c>
      <c r="C226" s="9"/>
      <c r="D226" s="8">
        <f>ROUND(2395225.12,0)</f>
        <v>2395225</v>
      </c>
      <c r="E226" s="18">
        <v>3.362690176052606E-2</v>
      </c>
      <c r="G226" s="8">
        <f t="shared" si="11"/>
        <v>80544</v>
      </c>
    </row>
    <row r="227" spans="1:7" x14ac:dyDescent="0.25">
      <c r="B227" s="9" t="s">
        <v>126</v>
      </c>
      <c r="C227" s="9"/>
      <c r="D227" s="8">
        <f>ROUND(22455.77,0)</f>
        <v>22456</v>
      </c>
      <c r="E227" s="18">
        <v>3.362690176052606E-2</v>
      </c>
      <c r="G227" s="8">
        <f t="shared" si="11"/>
        <v>755</v>
      </c>
    </row>
    <row r="228" spans="1:7" x14ac:dyDescent="0.25">
      <c r="B228" s="9" t="s">
        <v>127</v>
      </c>
      <c r="C228" s="9"/>
      <c r="D228" s="8">
        <f>ROUND(23047.78,0)</f>
        <v>23048</v>
      </c>
      <c r="E228" s="18">
        <v>3.362690176052606E-2</v>
      </c>
      <c r="G228" s="8">
        <f t="shared" si="11"/>
        <v>775</v>
      </c>
    </row>
    <row r="229" spans="1:7" x14ac:dyDescent="0.25">
      <c r="B229" s="9" t="s">
        <v>128</v>
      </c>
      <c r="C229" s="9"/>
      <c r="D229" s="8">
        <f>ROUND(14528.92,0)</f>
        <v>14529</v>
      </c>
      <c r="E229" s="18">
        <v>3.362690176052606E-2</v>
      </c>
      <c r="G229" s="8">
        <f t="shared" si="11"/>
        <v>489</v>
      </c>
    </row>
    <row r="230" spans="1:7" x14ac:dyDescent="0.25">
      <c r="B230" s="9" t="s">
        <v>130</v>
      </c>
      <c r="C230" s="9"/>
      <c r="D230" s="8">
        <f>ROUND(5204.51,0)</f>
        <v>5205</v>
      </c>
      <c r="E230" s="18">
        <v>3.362690176052606E-2</v>
      </c>
      <c r="G230" s="8">
        <f t="shared" si="11"/>
        <v>175</v>
      </c>
    </row>
    <row r="231" spans="1:7" x14ac:dyDescent="0.25">
      <c r="B231" s="9" t="s">
        <v>131</v>
      </c>
      <c r="C231" s="9"/>
      <c r="D231" s="8">
        <f>ROUND(5182.59,0)</f>
        <v>5183</v>
      </c>
      <c r="E231" s="18">
        <v>3.362690176052606E-2</v>
      </c>
      <c r="G231" s="8">
        <f t="shared" si="11"/>
        <v>174</v>
      </c>
    </row>
    <row r="232" spans="1:7" x14ac:dyDescent="0.25">
      <c r="B232" s="9" t="s">
        <v>132</v>
      </c>
      <c r="C232" s="9"/>
      <c r="D232" s="8">
        <f>ROUND(5328.44,0)</f>
        <v>5328</v>
      </c>
      <c r="E232" s="18">
        <v>3.362690176052606E-2</v>
      </c>
      <c r="G232" s="8">
        <f t="shared" si="11"/>
        <v>179</v>
      </c>
    </row>
    <row r="233" spans="1:7" x14ac:dyDescent="0.25">
      <c r="B233" s="9" t="s">
        <v>133</v>
      </c>
      <c r="C233" s="9"/>
      <c r="D233" s="21">
        <f>ROUND(25332.91,0)</f>
        <v>25333</v>
      </c>
      <c r="E233" s="18">
        <v>3.362690176052606E-2</v>
      </c>
      <c r="G233" s="21">
        <f t="shared" si="11"/>
        <v>852</v>
      </c>
    </row>
    <row r="234" spans="1:7" x14ac:dyDescent="0.25">
      <c r="B234" s="9"/>
      <c r="C234" s="9"/>
      <c r="D234" s="34">
        <f>ROUND(SUM(D223:D233),0)</f>
        <v>3796323</v>
      </c>
      <c r="E234" s="18"/>
      <c r="G234" s="34">
        <f>ROUND(SUM(G223:G233),0)</f>
        <v>127658</v>
      </c>
    </row>
    <row r="235" spans="1:7" x14ac:dyDescent="0.25">
      <c r="B235" s="9"/>
      <c r="C235" s="9"/>
      <c r="E235" s="18"/>
    </row>
    <row r="236" spans="1:7" ht="18.75" x14ac:dyDescent="0.3">
      <c r="A236" s="20" t="s">
        <v>144</v>
      </c>
      <c r="B236" s="38" t="s">
        <v>181</v>
      </c>
      <c r="C236" s="2"/>
      <c r="D236" s="8">
        <f>ROUND(38429.14,0)</f>
        <v>38429</v>
      </c>
      <c r="E236" s="18"/>
    </row>
    <row r="237" spans="1:7" x14ac:dyDescent="0.25">
      <c r="B237" s="9"/>
      <c r="C237" s="9"/>
      <c r="E237" s="18"/>
    </row>
    <row r="238" spans="1:7" x14ac:dyDescent="0.25">
      <c r="B238" s="16" t="s">
        <v>145</v>
      </c>
      <c r="C238" s="2"/>
      <c r="D238" s="54">
        <f>ROUND(D236+D234+D221+D205+D189+D177+D160+D145,0)</f>
        <v>237689475</v>
      </c>
      <c r="E238" s="18"/>
      <c r="G238" s="54">
        <f>ROUND(G236+G234+G221+G205+G189+G177+G160+G145,0)</f>
        <v>8578720</v>
      </c>
    </row>
    <row r="239" spans="1:7" s="23" customFormat="1" x14ac:dyDescent="0.25">
      <c r="D239" s="8"/>
      <c r="E239" s="24"/>
      <c r="G239" s="72"/>
    </row>
    <row r="240" spans="1:7" x14ac:dyDescent="0.25">
      <c r="A240" s="1" t="s">
        <v>173</v>
      </c>
      <c r="B240" s="23"/>
      <c r="C240" s="23"/>
      <c r="E240" s="18"/>
    </row>
    <row r="241" spans="1:7" x14ac:dyDescent="0.25">
      <c r="B241" s="25" t="s">
        <v>13</v>
      </c>
      <c r="C241" s="25"/>
      <c r="D241" s="34">
        <f>ROUND(1573048.99,0)</f>
        <v>1573049</v>
      </c>
      <c r="E241" s="18">
        <v>0</v>
      </c>
      <c r="G241" s="34">
        <f>D241*E241</f>
        <v>0</v>
      </c>
    </row>
    <row r="242" spans="1:7" x14ac:dyDescent="0.25">
      <c r="B242" s="25" t="s">
        <v>1</v>
      </c>
      <c r="C242" s="25"/>
      <c r="D242" s="8">
        <f>ROUND(7791510.59,0)</f>
        <v>7791511</v>
      </c>
      <c r="E242" s="18">
        <v>2.5999999999999999E-3</v>
      </c>
      <c r="G242" s="8">
        <f t="shared" ref="G242:G249" si="12">ROUND(D242*E242,0)</f>
        <v>20258</v>
      </c>
    </row>
    <row r="243" spans="1:7" x14ac:dyDescent="0.25">
      <c r="B243" s="25" t="s">
        <v>14</v>
      </c>
      <c r="C243" s="25"/>
      <c r="D243" s="8">
        <f>ROUND(6471400.2,0)</f>
        <v>6471400</v>
      </c>
      <c r="E243" s="18">
        <v>1.6799999999999999E-2</v>
      </c>
      <c r="G243" s="8">
        <f t="shared" si="12"/>
        <v>108720</v>
      </c>
    </row>
    <row r="244" spans="1:7" x14ac:dyDescent="0.25">
      <c r="B244" s="25" t="s">
        <v>2</v>
      </c>
      <c r="C244" s="25"/>
      <c r="D244" s="8">
        <f>ROUND(127692585.34,0)</f>
        <v>127692585</v>
      </c>
      <c r="E244" s="18">
        <v>7.9000000000000008E-3</v>
      </c>
      <c r="G244" s="8">
        <f t="shared" si="12"/>
        <v>1008771</v>
      </c>
    </row>
    <row r="245" spans="1:7" x14ac:dyDescent="0.25">
      <c r="B245" s="25" t="s">
        <v>9</v>
      </c>
      <c r="C245" s="25"/>
      <c r="D245" s="8">
        <f>ROUND(43126250.22,0)</f>
        <v>43126250</v>
      </c>
      <c r="E245" s="18">
        <v>4.0000000000000001E-3</v>
      </c>
      <c r="G245" s="8">
        <f t="shared" si="12"/>
        <v>172505</v>
      </c>
    </row>
    <row r="246" spans="1:7" x14ac:dyDescent="0.25">
      <c r="B246" s="25" t="s">
        <v>10</v>
      </c>
      <c r="C246" s="25"/>
      <c r="D246" s="8">
        <f>ROUND(53760275.05,0)</f>
        <v>53760275</v>
      </c>
      <c r="E246" s="18">
        <v>1.5599999999999999E-2</v>
      </c>
      <c r="G246" s="8">
        <f t="shared" si="12"/>
        <v>838660</v>
      </c>
    </row>
    <row r="247" spans="1:7" x14ac:dyDescent="0.25">
      <c r="B247" s="25" t="s">
        <v>58</v>
      </c>
      <c r="C247" s="25"/>
      <c r="D247" s="8">
        <f>ROUND(47544070.28,0)</f>
        <v>47544070</v>
      </c>
      <c r="E247" s="18">
        <v>4.7000000000000002E-3</v>
      </c>
      <c r="G247" s="8">
        <f t="shared" si="12"/>
        <v>223457</v>
      </c>
    </row>
    <row r="248" spans="1:7" x14ac:dyDescent="0.25">
      <c r="B248" s="25" t="s">
        <v>3</v>
      </c>
      <c r="C248" s="25"/>
      <c r="D248" s="17">
        <f>ROUND(2278627.52,0)</f>
        <v>2278628</v>
      </c>
      <c r="E248" s="18">
        <v>3.5000000000000001E-3</v>
      </c>
      <c r="G248" s="8">
        <f t="shared" si="12"/>
        <v>7975</v>
      </c>
    </row>
    <row r="249" spans="1:7" x14ac:dyDescent="0.25">
      <c r="B249" s="25" t="s">
        <v>8</v>
      </c>
      <c r="C249" s="25"/>
      <c r="D249" s="17">
        <f>ROUND(7425283.57,0)</f>
        <v>7425284</v>
      </c>
      <c r="E249" s="18">
        <v>2.1000000000000001E-2</v>
      </c>
      <c r="G249" s="8">
        <f t="shared" si="12"/>
        <v>155931</v>
      </c>
    </row>
    <row r="250" spans="1:7" x14ac:dyDescent="0.25">
      <c r="B250" s="25" t="s">
        <v>183</v>
      </c>
      <c r="C250" s="25"/>
      <c r="D250" s="21">
        <f>ROUND(13760.73+238693.59,0)</f>
        <v>252454</v>
      </c>
      <c r="E250" s="18"/>
    </row>
    <row r="251" spans="1:7" s="23" customFormat="1" x14ac:dyDescent="0.25">
      <c r="B251" s="16" t="s">
        <v>167</v>
      </c>
      <c r="C251" s="25"/>
      <c r="D251" s="54">
        <f>ROUND(SUM(D241:D250),0)</f>
        <v>297915506</v>
      </c>
      <c r="E251" s="24"/>
      <c r="G251" s="54">
        <f>ROUND(SUM(G241:G250),0)</f>
        <v>2536277</v>
      </c>
    </row>
    <row r="252" spans="1:7" x14ac:dyDescent="0.25">
      <c r="E252" s="18"/>
    </row>
    <row r="253" spans="1:7" x14ac:dyDescent="0.25">
      <c r="A253" s="1" t="s">
        <v>174</v>
      </c>
      <c r="B253" s="25"/>
      <c r="C253" s="25"/>
      <c r="E253" s="18"/>
    </row>
    <row r="254" spans="1:7" x14ac:dyDescent="0.25">
      <c r="B254" s="25" t="s">
        <v>15</v>
      </c>
      <c r="C254" s="25"/>
      <c r="D254" s="34">
        <f>ROUND(5348664.67,0)</f>
        <v>5348665</v>
      </c>
      <c r="E254" s="18">
        <v>0</v>
      </c>
      <c r="G254" s="34">
        <f>D254*E254</f>
        <v>0</v>
      </c>
    </row>
    <row r="255" spans="1:7" x14ac:dyDescent="0.25">
      <c r="B255" s="25" t="s">
        <v>208</v>
      </c>
      <c r="C255" s="25"/>
      <c r="D255" s="8">
        <f>ROUND(627087.6,0)</f>
        <v>627088</v>
      </c>
      <c r="E255" s="18">
        <v>0</v>
      </c>
      <c r="G255" s="8">
        <f t="shared" ref="G255:G267" si="13">ROUND(D255*E255,0)</f>
        <v>0</v>
      </c>
    </row>
    <row r="256" spans="1:7" x14ac:dyDescent="0.25">
      <c r="B256" s="25" t="s">
        <v>16</v>
      </c>
      <c r="C256" s="25"/>
      <c r="D256" s="8">
        <f>ROUND(4888254.44,0)</f>
        <v>4888254</v>
      </c>
      <c r="E256" s="18">
        <v>7.7999999999999996E-3</v>
      </c>
      <c r="G256" s="8">
        <f t="shared" si="13"/>
        <v>38128</v>
      </c>
    </row>
    <row r="257" spans="1:7" x14ac:dyDescent="0.25">
      <c r="B257" s="25" t="s">
        <v>17</v>
      </c>
      <c r="C257" s="25"/>
      <c r="D257" s="8">
        <f>ROUND(114763925.99,0)</f>
        <v>114763926</v>
      </c>
      <c r="E257" s="18">
        <v>1.5699999999999999E-2</v>
      </c>
      <c r="G257" s="8">
        <f t="shared" si="13"/>
        <v>1801794</v>
      </c>
    </row>
    <row r="258" spans="1:7" x14ac:dyDescent="0.25">
      <c r="B258" s="25" t="s">
        <v>4</v>
      </c>
      <c r="C258" s="25"/>
      <c r="D258" s="8">
        <f>ROUND(140371135.98,0)</f>
        <v>140371136</v>
      </c>
      <c r="E258" s="18">
        <v>1.77E-2</v>
      </c>
      <c r="G258" s="8">
        <f t="shared" si="13"/>
        <v>2484569</v>
      </c>
    </row>
    <row r="259" spans="1:7" x14ac:dyDescent="0.25">
      <c r="B259" s="25" t="s">
        <v>18</v>
      </c>
      <c r="C259" s="25"/>
      <c r="D259" s="8">
        <f>ROUND(241550956.02,0)</f>
        <v>241550956</v>
      </c>
      <c r="E259" s="18">
        <v>1.77E-2</v>
      </c>
      <c r="G259" s="8">
        <f t="shared" si="13"/>
        <v>4275452</v>
      </c>
    </row>
    <row r="260" spans="1:7" x14ac:dyDescent="0.25">
      <c r="B260" s="25" t="s">
        <v>5</v>
      </c>
      <c r="C260" s="25"/>
      <c r="D260" s="8">
        <f>ROUND(69033771.39,0)</f>
        <v>69033771</v>
      </c>
      <c r="E260" s="18">
        <v>1.03E-2</v>
      </c>
      <c r="G260" s="8">
        <f t="shared" si="13"/>
        <v>711048</v>
      </c>
    </row>
    <row r="261" spans="1:7" x14ac:dyDescent="0.25">
      <c r="B261" s="25" t="s">
        <v>6</v>
      </c>
      <c r="C261" s="25"/>
      <c r="D261" s="8">
        <f>ROUND(149365140.06,0)</f>
        <v>149365140</v>
      </c>
      <c r="E261" s="18">
        <v>1.09E-2</v>
      </c>
      <c r="G261" s="8">
        <f t="shared" si="13"/>
        <v>1628080</v>
      </c>
    </row>
    <row r="262" spans="1:7" x14ac:dyDescent="0.25">
      <c r="B262" s="25" t="s">
        <v>159</v>
      </c>
      <c r="C262" s="25"/>
      <c r="D262" s="8">
        <f>ROUND(140986633.86,0)</f>
        <v>140986634</v>
      </c>
      <c r="E262" s="18">
        <v>2.1299999999999999E-2</v>
      </c>
      <c r="G262" s="8">
        <f t="shared" si="13"/>
        <v>3003015</v>
      </c>
    </row>
    <row r="263" spans="1:7" x14ac:dyDescent="0.25">
      <c r="B263" s="25" t="s">
        <v>19</v>
      </c>
      <c r="C263" s="25"/>
      <c r="D263" s="8">
        <f>ROUND(6064960.75,0)</f>
        <v>6064961</v>
      </c>
      <c r="E263" s="18">
        <v>2.2700000000000001E-2</v>
      </c>
      <c r="G263" s="8">
        <f t="shared" si="13"/>
        <v>137675</v>
      </c>
    </row>
    <row r="264" spans="1:7" x14ac:dyDescent="0.25">
      <c r="B264" s="25" t="s">
        <v>20</v>
      </c>
      <c r="C264" s="25"/>
      <c r="D264" s="8">
        <f>ROUND(22341687.73,0)</f>
        <v>22341688</v>
      </c>
      <c r="E264" s="18">
        <v>1.12E-2</v>
      </c>
      <c r="G264" s="8">
        <f t="shared" si="13"/>
        <v>250227</v>
      </c>
    </row>
    <row r="265" spans="1:7" x14ac:dyDescent="0.25">
      <c r="B265" s="25" t="s">
        <v>160</v>
      </c>
      <c r="C265" s="25"/>
      <c r="D265" s="8">
        <f>ROUND(38125261.35,0)</f>
        <v>38125261</v>
      </c>
      <c r="E265" s="18">
        <v>9.1999999999999998E-3</v>
      </c>
      <c r="G265" s="8">
        <f t="shared" si="13"/>
        <v>350752</v>
      </c>
    </row>
    <row r="266" spans="1:7" x14ac:dyDescent="0.25">
      <c r="B266" s="25" t="s">
        <v>21</v>
      </c>
      <c r="C266" s="25"/>
      <c r="D266" s="8">
        <f>ROUND(35629640.02,0)</f>
        <v>35629640</v>
      </c>
      <c r="E266" s="18">
        <v>4.07E-2</v>
      </c>
      <c r="G266" s="8">
        <f t="shared" si="13"/>
        <v>1450126</v>
      </c>
    </row>
    <row r="267" spans="1:7" x14ac:dyDescent="0.25">
      <c r="B267" s="25" t="s">
        <v>194</v>
      </c>
      <c r="C267" s="25"/>
      <c r="D267" s="8">
        <f>ROUND(48916028.12,0)</f>
        <v>48916028</v>
      </c>
      <c r="E267" s="18">
        <v>2.76E-2</v>
      </c>
      <c r="G267" s="8">
        <f t="shared" si="13"/>
        <v>1350082</v>
      </c>
    </row>
    <row r="268" spans="1:7" ht="18.75" x14ac:dyDescent="0.3">
      <c r="B268" s="30" t="s">
        <v>182</v>
      </c>
      <c r="C268" s="25"/>
      <c r="D268" s="21">
        <f>ROUND(481206.24+145309.24,0)</f>
        <v>626515</v>
      </c>
      <c r="E268" s="18"/>
    </row>
    <row r="269" spans="1:7" s="23" customFormat="1" x14ac:dyDescent="0.25">
      <c r="B269" s="16" t="s">
        <v>168</v>
      </c>
      <c r="C269" s="25"/>
      <c r="D269" s="54">
        <f>ROUND(SUM(D254:D268),0)</f>
        <v>1018639663</v>
      </c>
      <c r="E269" s="24"/>
      <c r="G269" s="54">
        <f>ROUND(SUM(G254:G268),0)</f>
        <v>17480948</v>
      </c>
    </row>
    <row r="270" spans="1:7" s="23" customFormat="1" x14ac:dyDescent="0.25">
      <c r="B270" s="25"/>
      <c r="C270" s="25"/>
      <c r="D270" s="8"/>
      <c r="E270" s="24"/>
      <c r="G270" s="72"/>
    </row>
    <row r="271" spans="1:7" x14ac:dyDescent="0.25">
      <c r="A271" s="1" t="s">
        <v>175</v>
      </c>
      <c r="B271" s="25"/>
      <c r="C271" s="25"/>
      <c r="E271" s="18"/>
    </row>
    <row r="272" spans="1:7" x14ac:dyDescent="0.25">
      <c r="B272" s="25" t="s">
        <v>222</v>
      </c>
      <c r="C272" s="25"/>
      <c r="D272" s="34">
        <f>ROUND(1570997.82,0)</f>
        <v>1570998</v>
      </c>
      <c r="E272" s="18">
        <v>2.2200000000000001E-2</v>
      </c>
      <c r="G272" s="34">
        <f t="shared" ref="G272:G278" si="14">ROUND(D272*E272,0)</f>
        <v>34876</v>
      </c>
    </row>
    <row r="273" spans="1:7" x14ac:dyDescent="0.25">
      <c r="B273" s="25" t="s">
        <v>261</v>
      </c>
      <c r="C273" s="25"/>
      <c r="D273" s="8">
        <f>ROUND(682934.33,0)</f>
        <v>682934</v>
      </c>
      <c r="E273" s="18">
        <v>3.0300000000000001E-2</v>
      </c>
      <c r="G273" s="8">
        <f t="shared" si="14"/>
        <v>20693</v>
      </c>
    </row>
    <row r="274" spans="1:7" x14ac:dyDescent="0.25">
      <c r="B274" s="25" t="s">
        <v>225</v>
      </c>
      <c r="C274" s="25"/>
      <c r="D274" s="8">
        <f>ROUND(6692703,0)</f>
        <v>6692703</v>
      </c>
      <c r="E274" s="18">
        <v>2.23E-2</v>
      </c>
      <c r="G274" s="8">
        <f t="shared" si="14"/>
        <v>149247</v>
      </c>
    </row>
    <row r="275" spans="1:7" x14ac:dyDescent="0.25">
      <c r="B275" s="25" t="s">
        <v>22</v>
      </c>
      <c r="C275" s="25"/>
      <c r="D275" s="8">
        <f>ROUND(4652754.99,0)</f>
        <v>4652755</v>
      </c>
      <c r="E275" s="18">
        <v>4.2700000000000002E-2</v>
      </c>
      <c r="G275" s="8">
        <f t="shared" si="14"/>
        <v>198673</v>
      </c>
    </row>
    <row r="276" spans="1:7" x14ac:dyDescent="0.25">
      <c r="B276" s="25" t="s">
        <v>252</v>
      </c>
      <c r="C276" s="25"/>
      <c r="D276" s="8">
        <f>ROUND(1292580.47,0)</f>
        <v>1292580</v>
      </c>
      <c r="E276" s="18">
        <v>0</v>
      </c>
      <c r="G276" s="8">
        <f t="shared" si="14"/>
        <v>0</v>
      </c>
    </row>
    <row r="277" spans="1:7" x14ac:dyDescent="0.25">
      <c r="B277" s="25" t="s">
        <v>223</v>
      </c>
      <c r="C277" s="25"/>
      <c r="D277" s="17">
        <f>ROUND(151086.93,0)</f>
        <v>151087</v>
      </c>
      <c r="E277" s="18">
        <v>3.6900000000000002E-2</v>
      </c>
      <c r="G277" s="8">
        <f t="shared" si="14"/>
        <v>5575</v>
      </c>
    </row>
    <row r="278" spans="1:7" x14ac:dyDescent="0.25">
      <c r="B278" s="25" t="s">
        <v>224</v>
      </c>
      <c r="C278" s="25"/>
      <c r="D278" s="17">
        <f>ROUND(1110685,0)</f>
        <v>1110685</v>
      </c>
      <c r="E278" s="18">
        <v>2.6499999999999999E-2</v>
      </c>
      <c r="G278" s="8">
        <f t="shared" si="14"/>
        <v>29433</v>
      </c>
    </row>
    <row r="279" spans="1:7" s="23" customFormat="1" x14ac:dyDescent="0.25">
      <c r="B279" s="16" t="s">
        <v>169</v>
      </c>
      <c r="C279" s="25"/>
      <c r="D279" s="54">
        <f>ROUND(SUM(D272:D278),0)</f>
        <v>16153742</v>
      </c>
      <c r="E279" s="24"/>
      <c r="G279" s="54">
        <f>ROUND(SUM(G272:G278),0)</f>
        <v>438497</v>
      </c>
    </row>
    <row r="280" spans="1:7" s="23" customFormat="1" x14ac:dyDescent="0.25">
      <c r="B280" s="25"/>
      <c r="C280" s="25"/>
      <c r="D280" s="34"/>
      <c r="E280" s="24"/>
      <c r="G280" s="72"/>
    </row>
    <row r="281" spans="1:7" s="23" customFormat="1" ht="16.5" thickBot="1" x14ac:dyDescent="0.3">
      <c r="B281" s="26" t="s">
        <v>23</v>
      </c>
      <c r="C281" s="25"/>
      <c r="D281" s="55">
        <f>ROUND(D279+D269+D251+D238+D140+D132+D121+D11,0)</f>
        <v>3773204193</v>
      </c>
      <c r="E281" s="24"/>
      <c r="G281" s="55">
        <f>ROUND(G279+G269+G251+G238+G140+G132+G121+G11,0)</f>
        <v>69676478</v>
      </c>
    </row>
    <row r="282" spans="1:7" s="23" customFormat="1" ht="17.25" thickTop="1" thickBot="1" x14ac:dyDescent="0.3">
      <c r="B282" s="26"/>
      <c r="C282" s="25"/>
      <c r="D282" s="17"/>
      <c r="E282" s="24"/>
      <c r="G282" s="17"/>
    </row>
    <row r="283" spans="1:7" s="2" customFormat="1" x14ac:dyDescent="0.25">
      <c r="A283" s="42" t="s">
        <v>189</v>
      </c>
      <c r="B283" s="43"/>
      <c r="C283" s="43"/>
      <c r="D283" s="44"/>
      <c r="E283" s="43"/>
      <c r="F283" s="43"/>
      <c r="G283" s="73"/>
    </row>
    <row r="284" spans="1:7" s="2" customFormat="1" x14ac:dyDescent="0.25">
      <c r="A284" s="45"/>
      <c r="B284" s="51" t="str">
        <f>B39</f>
        <v>0103 Cane Run Locomotive</v>
      </c>
      <c r="C284" s="41"/>
      <c r="D284" s="5"/>
      <c r="E284" s="4"/>
      <c r="F284" s="4"/>
      <c r="G284" s="92">
        <f>-G39</f>
        <v>-1079.7271791732944</v>
      </c>
    </row>
    <row r="285" spans="1:7" s="2" customFormat="1" x14ac:dyDescent="0.25">
      <c r="A285" s="45"/>
      <c r="B285" s="51" t="str">
        <f>B40</f>
        <v>0104 Cane Run Rail Cars</v>
      </c>
      <c r="C285" s="41"/>
      <c r="D285" s="17"/>
      <c r="E285" s="4"/>
      <c r="F285" s="4"/>
      <c r="G285" s="66">
        <f>-G40</f>
        <v>-31456</v>
      </c>
    </row>
    <row r="286" spans="1:7" s="2" customFormat="1" x14ac:dyDescent="0.25">
      <c r="A286" s="45"/>
      <c r="B286" s="51" t="str">
        <f>B50</f>
        <v>0203 Mill Creek Locomotive</v>
      </c>
      <c r="C286" s="41"/>
      <c r="D286" s="17"/>
      <c r="E286" s="4"/>
      <c r="F286" s="4"/>
      <c r="G286" s="66">
        <f>-G50</f>
        <v>-12849</v>
      </c>
    </row>
    <row r="287" spans="1:7" s="2" customFormat="1" x14ac:dyDescent="0.25">
      <c r="A287" s="45"/>
      <c r="B287" s="51" t="str">
        <f>B51</f>
        <v>0204 Mill Creek Rail Cars</v>
      </c>
      <c r="C287" s="41"/>
      <c r="D287" s="17"/>
      <c r="E287" s="4"/>
      <c r="F287" s="4"/>
      <c r="G287" s="66">
        <f>-G51</f>
        <v>-62104</v>
      </c>
    </row>
    <row r="288" spans="1:7" s="2" customFormat="1" x14ac:dyDescent="0.25">
      <c r="A288" s="45"/>
      <c r="B288" s="51" t="str">
        <f>B172</f>
        <v>0473 Trimble County CT Pipeline</v>
      </c>
      <c r="C288" s="41"/>
      <c r="D288" s="17"/>
      <c r="E288" s="4"/>
      <c r="F288" s="4"/>
      <c r="G288" s="66">
        <f>-G172</f>
        <v>-76638</v>
      </c>
    </row>
    <row r="289" spans="1:7" s="2" customFormat="1" x14ac:dyDescent="0.25">
      <c r="A289" s="45"/>
      <c r="B289" s="51" t="str">
        <f>B272</f>
        <v>392.1 Transportation Equipment - Cars &amp; Light Trucks</v>
      </c>
      <c r="C289" s="41"/>
      <c r="D289" s="17"/>
      <c r="E289" s="4"/>
      <c r="F289" s="4"/>
      <c r="G289" s="66">
        <f>-G272</f>
        <v>-34876</v>
      </c>
    </row>
    <row r="290" spans="1:7" s="2" customFormat="1" x14ac:dyDescent="0.25">
      <c r="A290" s="45"/>
      <c r="B290" s="51" t="str">
        <f>B274</f>
        <v>392.3 Transportation Equipment - Heavy Trucks and Other</v>
      </c>
      <c r="C290" s="41"/>
      <c r="D290" s="17"/>
      <c r="E290" s="4"/>
      <c r="F290" s="4"/>
      <c r="G290" s="66">
        <f>-G274</f>
        <v>-149247</v>
      </c>
    </row>
    <row r="291" spans="1:7" s="2" customFormat="1" x14ac:dyDescent="0.25">
      <c r="A291" s="45"/>
      <c r="B291" s="51" t="str">
        <f>B276</f>
        <v>396.1 Power Operated Equipment - Small Machinery</v>
      </c>
      <c r="C291" s="41"/>
      <c r="D291" s="17"/>
      <c r="E291" s="4"/>
      <c r="F291" s="4"/>
      <c r="G291" s="66">
        <f>-G276</f>
        <v>0</v>
      </c>
    </row>
    <row r="292" spans="1:7" s="2" customFormat="1" x14ac:dyDescent="0.25">
      <c r="A292" s="45"/>
      <c r="B292" s="79" t="str">
        <f>B278</f>
        <v>396.3 Power Operated Equipment - Large Machinery</v>
      </c>
      <c r="C292" s="4"/>
      <c r="D292" s="5"/>
      <c r="E292" s="4"/>
      <c r="F292" s="4"/>
      <c r="G292" s="74">
        <f>-G278</f>
        <v>-29433</v>
      </c>
    </row>
    <row r="293" spans="1:7" s="2" customFormat="1" x14ac:dyDescent="0.25">
      <c r="A293" s="45"/>
      <c r="B293" s="79"/>
      <c r="C293" s="4"/>
      <c r="D293" s="5"/>
      <c r="E293" s="4"/>
      <c r="F293" s="4"/>
      <c r="G293" s="74"/>
    </row>
    <row r="294" spans="1:7" x14ac:dyDescent="0.25">
      <c r="A294" s="46" t="s">
        <v>190</v>
      </c>
      <c r="B294" s="10"/>
      <c r="C294" s="10"/>
      <c r="D294" s="17"/>
      <c r="E294" s="18"/>
      <c r="F294" s="10"/>
      <c r="G294" s="66">
        <f>-'ECR Annual Depr'!F28</f>
        <v>-1487940</v>
      </c>
    </row>
    <row r="295" spans="1:7" x14ac:dyDescent="0.25">
      <c r="A295" s="47"/>
      <c r="B295" s="10"/>
      <c r="C295" s="10"/>
      <c r="D295" s="17"/>
      <c r="E295" s="18"/>
      <c r="F295" s="10"/>
      <c r="G295" s="66"/>
    </row>
    <row r="296" spans="1:7" ht="16.5" thickBot="1" x14ac:dyDescent="0.3">
      <c r="A296" s="46" t="s">
        <v>191</v>
      </c>
      <c r="B296" s="10"/>
      <c r="C296" s="10"/>
      <c r="D296" s="17"/>
      <c r="E296" s="18"/>
      <c r="F296" s="10"/>
      <c r="G296" s="93">
        <f>ROUND(G281+SUM(G284:G294),0)</f>
        <v>67790855</v>
      </c>
    </row>
    <row r="297" spans="1:7" s="23" customFormat="1" ht="17.25" thickTop="1" thickBot="1" x14ac:dyDescent="0.3">
      <c r="A297" s="56"/>
      <c r="B297" s="52"/>
      <c r="C297" s="53"/>
      <c r="D297" s="50"/>
      <c r="E297" s="67"/>
      <c r="F297" s="68"/>
      <c r="G297" s="75"/>
    </row>
    <row r="298" spans="1:7" x14ac:dyDescent="0.25">
      <c r="B298" s="26"/>
      <c r="C298" s="26"/>
      <c r="E298" s="18"/>
    </row>
    <row r="299" spans="1:7" x14ac:dyDescent="0.25">
      <c r="A299" s="14" t="s">
        <v>65</v>
      </c>
      <c r="E299" s="18"/>
    </row>
    <row r="300" spans="1:7" x14ac:dyDescent="0.25">
      <c r="A300" s="16" t="s">
        <v>147</v>
      </c>
      <c r="B300" s="25"/>
      <c r="C300" s="25"/>
      <c r="D300" s="54">
        <f>ROUND(387.49,0)</f>
        <v>387</v>
      </c>
      <c r="E300" s="18">
        <v>0.10580000000000001</v>
      </c>
      <c r="G300" s="54">
        <f>D300*E300</f>
        <v>40.944600000000001</v>
      </c>
    </row>
    <row r="301" spans="1:7" x14ac:dyDescent="0.25">
      <c r="A301" s="16" t="s">
        <v>170</v>
      </c>
      <c r="C301" s="25"/>
      <c r="D301" s="3"/>
      <c r="E301" s="18"/>
    </row>
    <row r="302" spans="1:7" x14ac:dyDescent="0.25">
      <c r="B302" s="25" t="s">
        <v>24</v>
      </c>
      <c r="C302" s="25"/>
      <c r="D302" s="34">
        <f>ROUND(32864.07,0)</f>
        <v>32864</v>
      </c>
      <c r="E302" s="18">
        <v>0</v>
      </c>
      <c r="G302" s="34">
        <f>D302*E302</f>
        <v>0</v>
      </c>
    </row>
    <row r="303" spans="1:7" x14ac:dyDescent="0.25">
      <c r="B303" s="25" t="s">
        <v>25</v>
      </c>
      <c r="C303" s="25"/>
      <c r="D303" s="3">
        <f>ROUND(95613.59,0)</f>
        <v>95614</v>
      </c>
      <c r="E303" s="18">
        <v>5.5999999999999999E-3</v>
      </c>
      <c r="G303" s="8">
        <f t="shared" ref="G303:G318" si="15">ROUND(D303*E303,0)</f>
        <v>535</v>
      </c>
    </row>
    <row r="304" spans="1:7" x14ac:dyDescent="0.25">
      <c r="B304" s="25" t="s">
        <v>26</v>
      </c>
      <c r="C304" s="25"/>
      <c r="D304" s="61">
        <f>ROUND(5426009.54,0)</f>
        <v>5426010</v>
      </c>
      <c r="E304" s="18">
        <v>2.01E-2</v>
      </c>
      <c r="G304" s="8">
        <f t="shared" si="15"/>
        <v>109063</v>
      </c>
    </row>
    <row r="305" spans="2:7" x14ac:dyDescent="0.25">
      <c r="B305" s="25" t="s">
        <v>27</v>
      </c>
      <c r="C305" s="25"/>
      <c r="D305" s="61">
        <f>ROUND(33151.61,0)</f>
        <v>33152</v>
      </c>
      <c r="E305" s="18">
        <v>1.14E-2</v>
      </c>
      <c r="G305" s="8">
        <f t="shared" si="15"/>
        <v>378</v>
      </c>
    </row>
    <row r="306" spans="2:7" x14ac:dyDescent="0.25">
      <c r="B306" s="25" t="s">
        <v>28</v>
      </c>
      <c r="C306" s="25"/>
      <c r="D306" s="61">
        <f>ROUND(2652175.7,0)</f>
        <v>2652176</v>
      </c>
      <c r="E306" s="18">
        <v>1.8200000000000001E-2</v>
      </c>
      <c r="G306" s="8">
        <f t="shared" si="15"/>
        <v>48270</v>
      </c>
    </row>
    <row r="307" spans="2:7" x14ac:dyDescent="0.25">
      <c r="B307" s="25" t="s">
        <v>29</v>
      </c>
      <c r="C307" s="25"/>
      <c r="D307" s="61">
        <f>ROUND(2724714.27,0)</f>
        <v>2724714</v>
      </c>
      <c r="E307" s="18">
        <v>7.1999999999999998E-3</v>
      </c>
      <c r="G307" s="8">
        <f t="shared" si="15"/>
        <v>19618</v>
      </c>
    </row>
    <row r="308" spans="2:7" x14ac:dyDescent="0.25">
      <c r="B308" s="25" t="s">
        <v>197</v>
      </c>
      <c r="C308" s="25"/>
      <c r="D308" s="61">
        <f>ROUND(5793187.76,0)</f>
        <v>5793188</v>
      </c>
      <c r="E308" s="18">
        <v>2.7E-2</v>
      </c>
      <c r="G308" s="8">
        <f t="shared" si="15"/>
        <v>156416</v>
      </c>
    </row>
    <row r="309" spans="2:7" x14ac:dyDescent="0.25">
      <c r="B309" s="25" t="s">
        <v>196</v>
      </c>
      <c r="C309" s="25"/>
      <c r="D309" s="61">
        <f>ROUND(7475494.1,0)</f>
        <v>7475494</v>
      </c>
      <c r="E309" s="18">
        <v>2.7E-2</v>
      </c>
      <c r="G309" s="8">
        <f t="shared" si="15"/>
        <v>201838</v>
      </c>
    </row>
    <row r="310" spans="2:7" x14ac:dyDescent="0.25">
      <c r="B310" s="25" t="s">
        <v>30</v>
      </c>
      <c r="C310" s="25"/>
      <c r="D310" s="61">
        <f>ROUND(548241.14,0)</f>
        <v>548241</v>
      </c>
      <c r="E310" s="18">
        <v>0</v>
      </c>
      <c r="G310" s="8">
        <f t="shared" si="15"/>
        <v>0</v>
      </c>
    </row>
    <row r="311" spans="2:7" x14ac:dyDescent="0.25">
      <c r="B311" s="25" t="s">
        <v>31</v>
      </c>
      <c r="C311" s="25"/>
      <c r="D311" s="61">
        <f>ROUND(400511.4,0)</f>
        <v>400511</v>
      </c>
      <c r="E311" s="18">
        <v>0</v>
      </c>
      <c r="G311" s="8">
        <f t="shared" si="15"/>
        <v>0</v>
      </c>
    </row>
    <row r="312" spans="2:7" x14ac:dyDescent="0.25">
      <c r="B312" s="25" t="s">
        <v>32</v>
      </c>
      <c r="C312" s="25"/>
      <c r="D312" s="61">
        <f>ROUND(9648855,0)</f>
        <v>9648855</v>
      </c>
      <c r="E312" s="18">
        <v>8.3000000000000001E-3</v>
      </c>
      <c r="G312" s="8">
        <f t="shared" si="15"/>
        <v>80085</v>
      </c>
    </row>
    <row r="313" spans="2:7" x14ac:dyDescent="0.25">
      <c r="B313" s="25" t="s">
        <v>33</v>
      </c>
      <c r="C313" s="25"/>
      <c r="D313" s="61">
        <f>ROUND(1882661.68+257328.32,0)</f>
        <v>2139990</v>
      </c>
      <c r="E313" s="18">
        <v>0</v>
      </c>
      <c r="G313" s="8">
        <f t="shared" si="15"/>
        <v>0</v>
      </c>
    </row>
    <row r="314" spans="2:7" x14ac:dyDescent="0.25">
      <c r="B314" s="25" t="s">
        <v>34</v>
      </c>
      <c r="C314" s="25"/>
      <c r="D314" s="3">
        <f>ROUND(15285579.55,0)</f>
        <v>15285580</v>
      </c>
      <c r="E314" s="18">
        <v>1.8200000000000001E-2</v>
      </c>
      <c r="G314" s="8">
        <f t="shared" si="15"/>
        <v>278198</v>
      </c>
    </row>
    <row r="315" spans="2:7" x14ac:dyDescent="0.25">
      <c r="B315" s="25" t="s">
        <v>35</v>
      </c>
      <c r="C315" s="25"/>
      <c r="D315" s="61">
        <f>ROUND(17056347.99,0)</f>
        <v>17056348</v>
      </c>
      <c r="E315" s="18">
        <v>2.3699999999999999E-2</v>
      </c>
      <c r="G315" s="8">
        <f t="shared" si="15"/>
        <v>404235</v>
      </c>
    </row>
    <row r="316" spans="2:7" x14ac:dyDescent="0.25">
      <c r="B316" s="25" t="s">
        <v>36</v>
      </c>
      <c r="C316" s="25"/>
      <c r="D316" s="61">
        <f>ROUND(524849.76,0)</f>
        <v>524850</v>
      </c>
      <c r="E316" s="18">
        <v>1.5299999999999999E-2</v>
      </c>
      <c r="G316" s="8">
        <f t="shared" si="15"/>
        <v>8030</v>
      </c>
    </row>
    <row r="317" spans="2:7" x14ac:dyDescent="0.25">
      <c r="B317" s="25" t="s">
        <v>37</v>
      </c>
      <c r="C317" s="25"/>
      <c r="D317" s="61">
        <f>ROUND(13340431.35,0)</f>
        <v>13340431</v>
      </c>
      <c r="E317" s="18">
        <v>1.9699999999999999E-2</v>
      </c>
      <c r="G317" s="8">
        <f t="shared" si="15"/>
        <v>262806</v>
      </c>
    </row>
    <row r="318" spans="2:7" x14ac:dyDescent="0.25">
      <c r="B318" s="25" t="s">
        <v>151</v>
      </c>
      <c r="C318" s="25"/>
      <c r="D318" s="61">
        <f>ROUND(1719439.12,0)</f>
        <v>1719439</v>
      </c>
      <c r="E318" s="18">
        <v>2.2499999999999999E-2</v>
      </c>
      <c r="G318" s="8">
        <f t="shared" si="15"/>
        <v>38687</v>
      </c>
    </row>
    <row r="319" spans="2:7" x14ac:dyDescent="0.25">
      <c r="B319" s="25" t="s">
        <v>184</v>
      </c>
      <c r="C319" s="25"/>
      <c r="D319" s="62">
        <f>ROUND(30876.41+5170297.07,0)</f>
        <v>5201173</v>
      </c>
      <c r="E319" s="18"/>
    </row>
    <row r="320" spans="2:7" s="23" customFormat="1" x14ac:dyDescent="0.25">
      <c r="B320" s="39" t="s">
        <v>171</v>
      </c>
      <c r="C320" s="25"/>
      <c r="D320" s="54">
        <f>ROUND(SUM(D302:D319),0)</f>
        <v>90098630</v>
      </c>
      <c r="E320" s="24"/>
      <c r="G320" s="54">
        <f>ROUND(SUM(G302:G319),0)</f>
        <v>1608159</v>
      </c>
    </row>
    <row r="321" spans="1:7" s="23" customFormat="1" x14ac:dyDescent="0.25">
      <c r="B321" s="25"/>
      <c r="C321" s="25"/>
      <c r="D321" s="8"/>
      <c r="E321" s="24"/>
      <c r="G321" s="72"/>
    </row>
    <row r="322" spans="1:7" x14ac:dyDescent="0.25">
      <c r="A322" s="1" t="s">
        <v>176</v>
      </c>
      <c r="B322" s="25"/>
      <c r="C322" s="25"/>
      <c r="D322" s="3"/>
      <c r="E322" s="18"/>
    </row>
    <row r="323" spans="1:7" x14ac:dyDescent="0.25">
      <c r="B323" s="25" t="s">
        <v>38</v>
      </c>
      <c r="C323" s="25"/>
      <c r="D323" s="34">
        <f>ROUND(220659.05,0)</f>
        <v>220659</v>
      </c>
      <c r="E323" s="18">
        <v>1.6000000000000001E-3</v>
      </c>
      <c r="G323" s="34">
        <f>ROUND(D323*E323,0)</f>
        <v>353</v>
      </c>
    </row>
    <row r="324" spans="1:7" x14ac:dyDescent="0.25">
      <c r="B324" s="25" t="s">
        <v>39</v>
      </c>
      <c r="C324" s="25"/>
      <c r="D324" s="63">
        <f>ROUND(18939474.97,0)</f>
        <v>18939475</v>
      </c>
      <c r="E324" s="18">
        <v>7.9000000000000008E-3</v>
      </c>
      <c r="G324" s="8">
        <f>ROUND(D324*E324,0)</f>
        <v>149622</v>
      </c>
    </row>
    <row r="325" spans="1:7" x14ac:dyDescent="0.25">
      <c r="B325" s="30" t="s">
        <v>202</v>
      </c>
      <c r="C325" s="25"/>
      <c r="D325" s="62">
        <f>ROUND(3941518.65,0)</f>
        <v>3941519</v>
      </c>
      <c r="E325" s="18"/>
    </row>
    <row r="326" spans="1:7" s="23" customFormat="1" x14ac:dyDescent="0.25">
      <c r="B326" s="16" t="s">
        <v>167</v>
      </c>
      <c r="C326" s="25"/>
      <c r="D326" s="54">
        <f>ROUND(SUM(D323:D325),0)</f>
        <v>23101653</v>
      </c>
      <c r="E326" s="24"/>
      <c r="G326" s="54">
        <f>ROUND(SUM(G323:G325),0)</f>
        <v>149975</v>
      </c>
    </row>
    <row r="327" spans="1:7" s="23" customFormat="1" x14ac:dyDescent="0.25">
      <c r="B327" s="25"/>
      <c r="C327" s="25"/>
      <c r="D327" s="8"/>
      <c r="E327" s="24"/>
      <c r="G327" s="72"/>
    </row>
    <row r="328" spans="1:7" x14ac:dyDescent="0.25">
      <c r="A328" s="1" t="s">
        <v>177</v>
      </c>
      <c r="B328" s="25"/>
      <c r="C328" s="25"/>
      <c r="D328" s="3"/>
      <c r="E328" s="18"/>
    </row>
    <row r="329" spans="1:7" x14ac:dyDescent="0.25">
      <c r="B329" s="25" t="s">
        <v>40</v>
      </c>
      <c r="C329" s="25"/>
      <c r="D329" s="34">
        <f>ROUND(59724.58,0)</f>
        <v>59725</v>
      </c>
      <c r="E329" s="18">
        <v>0</v>
      </c>
      <c r="G329" s="34">
        <f>D329*E329</f>
        <v>0</v>
      </c>
    </row>
    <row r="330" spans="1:7" x14ac:dyDescent="0.25">
      <c r="B330" s="25" t="s">
        <v>150</v>
      </c>
      <c r="C330" s="25"/>
      <c r="D330" s="3">
        <f>ROUND(74018.23,0)</f>
        <v>74018</v>
      </c>
      <c r="E330" s="18">
        <v>0</v>
      </c>
      <c r="G330" s="8">
        <f t="shared" ref="G330:G340" si="16">ROUND(D330*E330,0)</f>
        <v>0</v>
      </c>
    </row>
    <row r="331" spans="1:7" x14ac:dyDescent="0.25">
      <c r="B331" s="25" t="s">
        <v>41</v>
      </c>
      <c r="C331" s="25"/>
      <c r="D331" s="61">
        <f>ROUND(367965.77,0)</f>
        <v>367966</v>
      </c>
      <c r="E331" s="18">
        <v>1.46E-2</v>
      </c>
      <c r="G331" s="8">
        <f t="shared" si="16"/>
        <v>5372</v>
      </c>
    </row>
    <row r="332" spans="1:7" x14ac:dyDescent="0.25">
      <c r="B332" s="25" t="s">
        <v>42</v>
      </c>
      <c r="C332" s="25"/>
      <c r="D332" s="61">
        <f>ROUND(532497.3,0)</f>
        <v>532497</v>
      </c>
      <c r="E332" s="18">
        <v>5.2600000000000001E-2</v>
      </c>
      <c r="G332" s="8">
        <f t="shared" si="16"/>
        <v>28009</v>
      </c>
    </row>
    <row r="333" spans="1:7" x14ac:dyDescent="0.25">
      <c r="B333" s="25" t="s">
        <v>43</v>
      </c>
      <c r="C333" s="25"/>
      <c r="D333" s="61">
        <f>ROUND(336076716.81,0)</f>
        <v>336076717</v>
      </c>
      <c r="E333" s="18">
        <v>1.89E-2</v>
      </c>
      <c r="G333" s="8">
        <f t="shared" si="16"/>
        <v>6351850</v>
      </c>
    </row>
    <row r="334" spans="1:7" x14ac:dyDescent="0.25">
      <c r="B334" s="25" t="s">
        <v>44</v>
      </c>
      <c r="C334" s="25"/>
      <c r="D334" s="61">
        <f>ROUND(12466709.02,0)</f>
        <v>12466709</v>
      </c>
      <c r="E334" s="18">
        <v>2.58E-2</v>
      </c>
      <c r="G334" s="8">
        <f t="shared" si="16"/>
        <v>321641</v>
      </c>
    </row>
    <row r="335" spans="1:7" x14ac:dyDescent="0.25">
      <c r="B335" s="25" t="s">
        <v>45</v>
      </c>
      <c r="C335" s="25"/>
      <c r="D335" s="61">
        <f>ROUND(4460808.49,0)</f>
        <v>4460808</v>
      </c>
      <c r="E335" s="18">
        <v>2.12E-2</v>
      </c>
      <c r="G335" s="8">
        <f t="shared" si="16"/>
        <v>94569</v>
      </c>
    </row>
    <row r="336" spans="1:7" x14ac:dyDescent="0.25">
      <c r="B336" s="25" t="s">
        <v>46</v>
      </c>
      <c r="C336" s="25"/>
      <c r="D336" s="61">
        <f>ROUND(195651821.21,0)</f>
        <v>195651821</v>
      </c>
      <c r="E336" s="18">
        <v>3.7900000000000003E-2</v>
      </c>
      <c r="G336" s="8">
        <f t="shared" si="16"/>
        <v>7415204</v>
      </c>
    </row>
    <row r="337" spans="1:7" x14ac:dyDescent="0.25">
      <c r="B337" s="25" t="s">
        <v>47</v>
      </c>
      <c r="C337" s="25"/>
      <c r="D337" s="3">
        <f>ROUND(39990525.16,0)</f>
        <v>39990525</v>
      </c>
      <c r="E337" s="18">
        <v>4.0300000000000002E-2</v>
      </c>
      <c r="G337" s="8">
        <f t="shared" si="16"/>
        <v>1611618</v>
      </c>
    </row>
    <row r="338" spans="1:7" x14ac:dyDescent="0.25">
      <c r="B338" s="25" t="s">
        <v>48</v>
      </c>
      <c r="C338" s="25"/>
      <c r="D338" s="29">
        <f>ROUND(23914705.78,0)</f>
        <v>23914706</v>
      </c>
      <c r="E338" s="18">
        <v>4.1000000000000002E-2</v>
      </c>
      <c r="G338" s="8">
        <f t="shared" si="16"/>
        <v>980503</v>
      </c>
    </row>
    <row r="339" spans="1:7" x14ac:dyDescent="0.25">
      <c r="B339" s="25" t="s">
        <v>49</v>
      </c>
      <c r="C339" s="25"/>
      <c r="D339" s="3">
        <f>ROUND(944360.15,0)</f>
        <v>944360</v>
      </c>
      <c r="E339" s="18">
        <v>2.8500000000000001E-2</v>
      </c>
      <c r="G339" s="8">
        <f t="shared" si="16"/>
        <v>26914</v>
      </c>
    </row>
    <row r="340" spans="1:7" x14ac:dyDescent="0.25">
      <c r="B340" s="25" t="s">
        <v>195</v>
      </c>
      <c r="C340" s="25"/>
      <c r="D340" s="3">
        <f>ROUND(51112.34,0)</f>
        <v>51112</v>
      </c>
      <c r="E340" s="18">
        <v>2.7799999999999998E-2</v>
      </c>
      <c r="G340" s="8">
        <f t="shared" si="16"/>
        <v>1421</v>
      </c>
    </row>
    <row r="341" spans="1:7" x14ac:dyDescent="0.25">
      <c r="B341" s="25" t="s">
        <v>185</v>
      </c>
      <c r="C341" s="25"/>
      <c r="D341" s="118">
        <f>ROUND(2962.94+11928646.51,0)</f>
        <v>11931609</v>
      </c>
      <c r="E341" s="18"/>
    </row>
    <row r="342" spans="1:7" s="23" customFormat="1" x14ac:dyDescent="0.25">
      <c r="B342" s="16" t="s">
        <v>168</v>
      </c>
      <c r="C342" s="25"/>
      <c r="D342" s="54">
        <f>ROUND(SUM(D329:D341),0)</f>
        <v>626522573</v>
      </c>
      <c r="E342" s="24"/>
      <c r="G342" s="54">
        <f>ROUND(SUM(G329:G341),0)</f>
        <v>16837101</v>
      </c>
    </row>
    <row r="343" spans="1:7" s="23" customFormat="1" x14ac:dyDescent="0.25">
      <c r="B343" s="25"/>
      <c r="C343" s="25"/>
      <c r="D343" s="8"/>
      <c r="E343" s="24"/>
      <c r="G343" s="72"/>
    </row>
    <row r="344" spans="1:7" x14ac:dyDescent="0.25">
      <c r="A344" s="16" t="s">
        <v>178</v>
      </c>
      <c r="C344" s="25"/>
      <c r="D344" s="3"/>
      <c r="E344" s="18"/>
    </row>
    <row r="345" spans="1:7" x14ac:dyDescent="0.25">
      <c r="B345" s="25" t="s">
        <v>222</v>
      </c>
      <c r="C345" s="25"/>
      <c r="D345" s="34">
        <v>250262.2</v>
      </c>
      <c r="E345" s="18">
        <v>2.63E-2</v>
      </c>
      <c r="G345" s="34">
        <f t="shared" ref="G345:G351" si="17">ROUND(D345*E345,0)</f>
        <v>6582</v>
      </c>
    </row>
    <row r="346" spans="1:7" x14ac:dyDescent="0.25">
      <c r="B346" s="25" t="s">
        <v>50</v>
      </c>
      <c r="C346" s="25"/>
      <c r="D346" s="3">
        <f>ROUND(599856.29,0)</f>
        <v>599856</v>
      </c>
      <c r="E346" s="18">
        <v>4.8000000000000001E-2</v>
      </c>
      <c r="G346" s="8">
        <f t="shared" si="17"/>
        <v>28793</v>
      </c>
    </row>
    <row r="347" spans="1:7" x14ac:dyDescent="0.25">
      <c r="B347" s="25" t="s">
        <v>225</v>
      </c>
      <c r="C347" s="25"/>
      <c r="D347" s="3">
        <f>ROUND(1131842.4,0)</f>
        <v>1131842</v>
      </c>
      <c r="E347" s="18">
        <v>1.7500000000000002E-2</v>
      </c>
      <c r="G347" s="8">
        <f t="shared" si="17"/>
        <v>19807</v>
      </c>
    </row>
    <row r="348" spans="1:7" x14ac:dyDescent="0.25">
      <c r="B348" s="25" t="s">
        <v>51</v>
      </c>
      <c r="C348" s="25"/>
      <c r="D348" s="3">
        <f>ROUND(4533726.39,0)</f>
        <v>4533726</v>
      </c>
      <c r="E348" s="18">
        <v>4.6600000000000003E-2</v>
      </c>
      <c r="G348" s="8">
        <f t="shared" si="17"/>
        <v>211272</v>
      </c>
    </row>
    <row r="349" spans="1:7" x14ac:dyDescent="0.25">
      <c r="B349" s="25" t="s">
        <v>252</v>
      </c>
      <c r="C349" s="25"/>
      <c r="D349" s="3">
        <v>105665.04</v>
      </c>
      <c r="E349" s="18">
        <v>0</v>
      </c>
      <c r="G349" s="8">
        <f t="shared" si="17"/>
        <v>0</v>
      </c>
    </row>
    <row r="350" spans="1:7" x14ac:dyDescent="0.25">
      <c r="B350" s="25" t="s">
        <v>223</v>
      </c>
      <c r="C350" s="25"/>
      <c r="D350" s="5">
        <f>ROUND(177781.8,0)</f>
        <v>177782</v>
      </c>
      <c r="E350" s="18">
        <v>5.8999999999999997E-2</v>
      </c>
      <c r="G350" s="8">
        <f t="shared" si="17"/>
        <v>10489</v>
      </c>
    </row>
    <row r="351" spans="1:7" x14ac:dyDescent="0.25">
      <c r="B351" s="25" t="s">
        <v>224</v>
      </c>
      <c r="C351" s="25"/>
      <c r="D351" s="118">
        <v>2181086.96</v>
      </c>
      <c r="E351" s="18">
        <v>1.1599999999999999E-2</v>
      </c>
      <c r="G351" s="8">
        <f t="shared" si="17"/>
        <v>25301</v>
      </c>
    </row>
    <row r="352" spans="1:7" s="23" customFormat="1" x14ac:dyDescent="0.25">
      <c r="B352" s="1" t="s">
        <v>169</v>
      </c>
      <c r="C352" s="25"/>
      <c r="D352" s="54">
        <f>ROUND(SUM(D345:D351),0)</f>
        <v>8980220</v>
      </c>
      <c r="E352" s="24"/>
      <c r="G352" s="54">
        <f>ROUND(SUM(G345:G351),0)</f>
        <v>302244</v>
      </c>
    </row>
    <row r="353" spans="1:7" s="23" customFormat="1" x14ac:dyDescent="0.25">
      <c r="B353" s="25"/>
      <c r="C353" s="25"/>
      <c r="D353" s="8"/>
      <c r="E353" s="24"/>
      <c r="G353" s="72"/>
    </row>
    <row r="354" spans="1:7" s="23" customFormat="1" ht="16.5" thickBot="1" x14ac:dyDescent="0.3">
      <c r="B354" s="26" t="s">
        <v>67</v>
      </c>
      <c r="C354" s="25"/>
      <c r="D354" s="55">
        <f>ROUND(D352+D342+D326+D320+D300,0)</f>
        <v>748703463</v>
      </c>
      <c r="E354" s="24"/>
      <c r="G354" s="55">
        <f>ROUND(G352+G342+G326+G320+G300,0)</f>
        <v>18897520</v>
      </c>
    </row>
    <row r="355" spans="1:7" s="23" customFormat="1" ht="17.25" thickTop="1" thickBot="1" x14ac:dyDescent="0.3">
      <c r="B355" s="26"/>
      <c r="C355" s="25"/>
      <c r="D355" s="17"/>
      <c r="E355" s="24"/>
      <c r="G355" s="72"/>
    </row>
    <row r="356" spans="1:7" s="2" customFormat="1" x14ac:dyDescent="0.25">
      <c r="A356" s="42" t="s">
        <v>189</v>
      </c>
      <c r="B356" s="43"/>
      <c r="C356" s="43"/>
      <c r="D356" s="44"/>
      <c r="E356" s="43"/>
      <c r="F356" s="43"/>
      <c r="G356" s="73"/>
    </row>
    <row r="357" spans="1:7" s="2" customFormat="1" x14ac:dyDescent="0.25">
      <c r="A357" s="45"/>
      <c r="B357" s="51" t="str">
        <f>B345</f>
        <v>392.1 Transportation Equipment - Cars &amp; Light Trucks</v>
      </c>
      <c r="C357" s="41"/>
      <c r="D357" s="17"/>
      <c r="E357" s="4"/>
      <c r="F357" s="4"/>
      <c r="G357" s="92">
        <f>-G345</f>
        <v>-6582</v>
      </c>
    </row>
    <row r="358" spans="1:7" s="2" customFormat="1" x14ac:dyDescent="0.25">
      <c r="A358" s="45"/>
      <c r="B358" s="51" t="str">
        <f>B347</f>
        <v>392.3 Transportation Equipment - Heavy Trucks and Other</v>
      </c>
      <c r="C358" s="41"/>
      <c r="D358" s="17"/>
      <c r="E358" s="4"/>
      <c r="F358" s="4"/>
      <c r="G358" s="66">
        <f>-G347</f>
        <v>-19807</v>
      </c>
    </row>
    <row r="359" spans="1:7" s="2" customFormat="1" x14ac:dyDescent="0.25">
      <c r="A359" s="45"/>
      <c r="B359" s="51" t="str">
        <f>B349</f>
        <v>396.1 Power Operated Equipment - Small Machinery</v>
      </c>
      <c r="C359" s="41"/>
      <c r="D359" s="17"/>
      <c r="E359" s="4"/>
      <c r="F359" s="4"/>
      <c r="G359" s="66">
        <f>-G349</f>
        <v>0</v>
      </c>
    </row>
    <row r="360" spans="1:7" x14ac:dyDescent="0.25">
      <c r="A360" s="47"/>
      <c r="B360" s="51" t="str">
        <f>B351</f>
        <v>396.3 Power Operated Equipment - Large Machinery</v>
      </c>
      <c r="C360" s="10"/>
      <c r="D360" s="17"/>
      <c r="E360" s="18"/>
      <c r="F360" s="10"/>
      <c r="G360" s="66">
        <f>-G351</f>
        <v>-25301</v>
      </c>
    </row>
    <row r="361" spans="1:7" ht="16.5" thickBot="1" x14ac:dyDescent="0.3">
      <c r="A361" s="46" t="s">
        <v>191</v>
      </c>
      <c r="B361" s="10"/>
      <c r="C361" s="10"/>
      <c r="D361" s="17"/>
      <c r="E361" s="18"/>
      <c r="F361" s="10"/>
      <c r="G361" s="93">
        <f>ROUND(SUM(G354:G360),0)</f>
        <v>18845830</v>
      </c>
    </row>
    <row r="362" spans="1:7" s="23" customFormat="1" ht="17.25" thickTop="1" thickBot="1" x14ac:dyDescent="0.3">
      <c r="A362" s="56"/>
      <c r="B362" s="52"/>
      <c r="C362" s="53"/>
      <c r="D362" s="50"/>
      <c r="E362" s="67"/>
      <c r="F362" s="68"/>
      <c r="G362" s="75"/>
    </row>
    <row r="363" spans="1:7" s="23" customFormat="1" x14ac:dyDescent="0.25">
      <c r="B363" s="26"/>
      <c r="C363" s="25"/>
      <c r="D363" s="17"/>
      <c r="E363" s="24"/>
      <c r="G363" s="72"/>
    </row>
    <row r="364" spans="1:7" x14ac:dyDescent="0.25">
      <c r="A364" s="14" t="s">
        <v>68</v>
      </c>
      <c r="D364" s="3"/>
      <c r="E364" s="18"/>
    </row>
    <row r="365" spans="1:7" x14ac:dyDescent="0.25">
      <c r="A365" s="16" t="s">
        <v>147</v>
      </c>
      <c r="B365" s="25"/>
      <c r="C365" s="25"/>
      <c r="D365" s="3"/>
      <c r="E365" s="18"/>
    </row>
    <row r="366" spans="1:7" x14ac:dyDescent="0.25">
      <c r="B366" s="25" t="s">
        <v>11</v>
      </c>
      <c r="C366" s="25"/>
      <c r="D366" s="34">
        <f>ROUND(83782.29,0)</f>
        <v>83782</v>
      </c>
      <c r="E366" s="18">
        <v>0</v>
      </c>
      <c r="G366" s="34">
        <f>D366*E366</f>
        <v>0</v>
      </c>
    </row>
    <row r="367" spans="1:7" x14ac:dyDescent="0.25">
      <c r="B367" s="25" t="s">
        <v>162</v>
      </c>
      <c r="C367" s="25"/>
      <c r="D367" s="3">
        <f>ROUND(21873636.33,0)</f>
        <v>21873636</v>
      </c>
      <c r="E367" s="18">
        <v>0.13969999999999999</v>
      </c>
      <c r="G367" s="8">
        <f>ROUND(D367*E367,0)</f>
        <v>3055747</v>
      </c>
    </row>
    <row r="368" spans="1:7" s="2" customFormat="1" x14ac:dyDescent="0.25">
      <c r="B368" s="25" t="s">
        <v>161</v>
      </c>
      <c r="C368" s="25"/>
      <c r="D368" s="21">
        <f>ROUND(44513679.94,0)</f>
        <v>44513680</v>
      </c>
      <c r="E368" s="18">
        <v>9.9199999999999997E-2</v>
      </c>
      <c r="G368" s="8">
        <f>ROUND(D368*E368,0)</f>
        <v>4415757</v>
      </c>
    </row>
    <row r="369" spans="1:7" s="16" customFormat="1" x14ac:dyDescent="0.25">
      <c r="B369" s="1" t="s">
        <v>172</v>
      </c>
      <c r="C369" s="25"/>
      <c r="D369" s="54">
        <f>ROUND(SUM(D366:D368),0)</f>
        <v>66471098</v>
      </c>
      <c r="E369" s="27"/>
      <c r="G369" s="54">
        <f>ROUND(SUM(G366:G368),0)</f>
        <v>7471504</v>
      </c>
    </row>
    <row r="370" spans="1:7" s="2" customFormat="1" x14ac:dyDescent="0.25">
      <c r="B370" s="25"/>
      <c r="C370" s="25"/>
      <c r="D370" s="17"/>
      <c r="E370" s="28"/>
      <c r="G370" s="69"/>
    </row>
    <row r="371" spans="1:7" x14ac:dyDescent="0.25">
      <c r="A371" s="1" t="s">
        <v>179</v>
      </c>
      <c r="B371" s="25"/>
      <c r="C371" s="25"/>
      <c r="E371" s="18"/>
    </row>
    <row r="372" spans="1:7" x14ac:dyDescent="0.25">
      <c r="B372" s="25" t="s">
        <v>52</v>
      </c>
      <c r="C372" s="25"/>
      <c r="D372" s="34">
        <f>ROUND(1685316.06,0)</f>
        <v>1685316</v>
      </c>
      <c r="E372" s="18">
        <v>0</v>
      </c>
      <c r="G372" s="34">
        <f>D372*E372</f>
        <v>0</v>
      </c>
    </row>
    <row r="373" spans="1:7" x14ac:dyDescent="0.25">
      <c r="B373" s="25" t="s">
        <v>53</v>
      </c>
      <c r="C373" s="25"/>
      <c r="D373" s="8">
        <f>ROUND(202094.94,0)</f>
        <v>202095</v>
      </c>
      <c r="E373" s="18">
        <v>0</v>
      </c>
      <c r="G373" s="8">
        <f t="shared" ref="G373:G396" si="18">ROUND(D373*E373,0)</f>
        <v>0</v>
      </c>
    </row>
    <row r="374" spans="1:7" x14ac:dyDescent="0.25">
      <c r="B374" s="25" t="s">
        <v>163</v>
      </c>
      <c r="C374" s="25"/>
      <c r="D374" s="8">
        <f>ROUND(61433239.99,0)</f>
        <v>61433240</v>
      </c>
      <c r="E374" s="18">
        <v>3.4000000000000002E-2</v>
      </c>
      <c r="G374" s="8">
        <f t="shared" si="18"/>
        <v>2088730</v>
      </c>
    </row>
    <row r="375" spans="1:7" x14ac:dyDescent="0.25">
      <c r="B375" s="25" t="s">
        <v>59</v>
      </c>
      <c r="C375" s="25"/>
      <c r="D375" s="8">
        <f>ROUND(412150.57,0)</f>
        <v>412151</v>
      </c>
      <c r="E375" s="18">
        <v>5.9799999999999999E-2</v>
      </c>
      <c r="G375" s="8">
        <f t="shared" si="18"/>
        <v>24647</v>
      </c>
    </row>
    <row r="376" spans="1:7" x14ac:dyDescent="0.25">
      <c r="B376" s="25" t="s">
        <v>60</v>
      </c>
      <c r="C376" s="25"/>
      <c r="D376" s="8">
        <f>ROUND(10750497.54,0)</f>
        <v>10750498</v>
      </c>
      <c r="E376" s="18">
        <v>1.9599999999999999E-2</v>
      </c>
      <c r="G376" s="8">
        <f t="shared" si="18"/>
        <v>210710</v>
      </c>
    </row>
    <row r="377" spans="1:7" x14ac:dyDescent="0.25">
      <c r="B377" s="25" t="s">
        <v>61</v>
      </c>
      <c r="C377" s="25"/>
      <c r="D377" s="8">
        <f>ROUND(536692.08,0)</f>
        <v>536692</v>
      </c>
      <c r="E377" s="18">
        <v>2.0500000000000001E-2</v>
      </c>
      <c r="G377" s="8">
        <f t="shared" si="18"/>
        <v>11002</v>
      </c>
    </row>
    <row r="378" spans="1:7" x14ac:dyDescent="0.25">
      <c r="B378" s="25" t="s">
        <v>62</v>
      </c>
      <c r="C378" s="25"/>
      <c r="D378" s="8">
        <f>ROUND(1078816.3,0)</f>
        <v>1078816</v>
      </c>
      <c r="E378" s="18">
        <v>2.3E-2</v>
      </c>
      <c r="G378" s="8">
        <f t="shared" si="18"/>
        <v>24813</v>
      </c>
    </row>
    <row r="379" spans="1:7" x14ac:dyDescent="0.25">
      <c r="B379" s="25" t="s">
        <v>152</v>
      </c>
      <c r="C379" s="25"/>
      <c r="D379" s="8">
        <f>ROUND(8673967.2,0)</f>
        <v>8673967</v>
      </c>
      <c r="E379" s="18">
        <v>0.19939999999999999</v>
      </c>
      <c r="G379" s="8">
        <f t="shared" si="18"/>
        <v>1729589</v>
      </c>
    </row>
    <row r="380" spans="1:7" x14ac:dyDescent="0.25">
      <c r="B380" s="25" t="s">
        <v>153</v>
      </c>
      <c r="C380" s="25"/>
      <c r="D380" s="8">
        <f>ROUND(2086579.53,0)</f>
        <v>2086580</v>
      </c>
      <c r="E380" s="18">
        <v>8.1600000000000006E-2</v>
      </c>
      <c r="G380" s="8">
        <f t="shared" si="18"/>
        <v>170265</v>
      </c>
    </row>
    <row r="381" spans="1:7" x14ac:dyDescent="0.25">
      <c r="B381" s="25" t="s">
        <v>154</v>
      </c>
      <c r="C381" s="25"/>
      <c r="D381" s="8">
        <f>ROUND(14508118.12,0)</f>
        <v>14508118</v>
      </c>
      <c r="E381" s="18">
        <v>3.4299999999999997E-2</v>
      </c>
      <c r="G381" s="8">
        <f t="shared" si="18"/>
        <v>497628</v>
      </c>
    </row>
    <row r="382" spans="1:7" x14ac:dyDescent="0.25">
      <c r="B382" s="30" t="s">
        <v>155</v>
      </c>
      <c r="C382" s="30"/>
      <c r="D382" s="8">
        <f>ROUND(4059068.43+77639.12,0)</f>
        <v>4136708</v>
      </c>
      <c r="E382" s="18">
        <v>0.21879999999999999</v>
      </c>
      <c r="G382" s="8">
        <f t="shared" si="18"/>
        <v>905112</v>
      </c>
    </row>
    <row r="383" spans="1:7" x14ac:dyDescent="0.25">
      <c r="B383" s="30" t="s">
        <v>156</v>
      </c>
      <c r="C383" s="30"/>
      <c r="D383" s="8">
        <f>ROUND(2241823.44,0)</f>
        <v>2241823</v>
      </c>
      <c r="E383" s="18">
        <v>0.18179999999999999</v>
      </c>
      <c r="G383" s="8">
        <f t="shared" si="18"/>
        <v>407563</v>
      </c>
    </row>
    <row r="384" spans="1:7" x14ac:dyDescent="0.25">
      <c r="B384" s="25" t="s">
        <v>222</v>
      </c>
      <c r="C384" s="25"/>
      <c r="D384" s="8">
        <f>ROUND(179512.9,0)</f>
        <v>179513</v>
      </c>
      <c r="E384" s="18">
        <v>0.1138</v>
      </c>
      <c r="G384" s="8">
        <f t="shared" si="18"/>
        <v>20429</v>
      </c>
    </row>
    <row r="385" spans="2:7" x14ac:dyDescent="0.25">
      <c r="B385" s="25" t="s">
        <v>226</v>
      </c>
      <c r="C385" s="25"/>
      <c r="D385" s="8">
        <f>ROUND(83874.3,0)</f>
        <v>83874</v>
      </c>
      <c r="E385" s="18">
        <v>6.3399999999999998E-2</v>
      </c>
      <c r="G385" s="8">
        <f t="shared" si="18"/>
        <v>5318</v>
      </c>
    </row>
    <row r="386" spans="2:7" x14ac:dyDescent="0.25">
      <c r="B386" s="25" t="s">
        <v>225</v>
      </c>
      <c r="C386" s="25"/>
      <c r="D386" s="8">
        <f>ROUND(65583.61,0)</f>
        <v>65584</v>
      </c>
      <c r="E386" s="18">
        <v>0</v>
      </c>
      <c r="G386" s="8">
        <f t="shared" si="18"/>
        <v>0</v>
      </c>
    </row>
    <row r="387" spans="2:7" x14ac:dyDescent="0.25">
      <c r="B387" s="25" t="s">
        <v>7</v>
      </c>
      <c r="C387" s="25"/>
      <c r="D387" s="8">
        <f>ROUND(1135864.09,0)</f>
        <v>1135864</v>
      </c>
      <c r="E387" s="18">
        <v>5.8200000000000002E-2</v>
      </c>
      <c r="G387" s="8">
        <f t="shared" si="18"/>
        <v>66107</v>
      </c>
    </row>
    <row r="388" spans="2:7" x14ac:dyDescent="0.25">
      <c r="B388" s="25" t="s">
        <v>51</v>
      </c>
      <c r="C388" s="25"/>
      <c r="D388" s="8">
        <f>ROUND(3624118.9,0)</f>
        <v>3624119</v>
      </c>
      <c r="E388" s="18">
        <v>5.04E-2</v>
      </c>
      <c r="G388" s="8">
        <f t="shared" si="18"/>
        <v>182656</v>
      </c>
    </row>
    <row r="389" spans="2:7" x14ac:dyDescent="0.25">
      <c r="B389" s="25" t="s">
        <v>223</v>
      </c>
      <c r="C389" s="25"/>
      <c r="D389" s="8">
        <f>ROUND(14147.08,0)</f>
        <v>14147</v>
      </c>
      <c r="E389" s="18">
        <v>6.5699999999999995E-2</v>
      </c>
      <c r="G389" s="8">
        <f t="shared" si="18"/>
        <v>929</v>
      </c>
    </row>
    <row r="390" spans="2:7" x14ac:dyDescent="0.25">
      <c r="B390" s="25" t="s">
        <v>224</v>
      </c>
      <c r="C390" s="25"/>
      <c r="D390" s="8">
        <f>ROUND(235831.06,0)</f>
        <v>235831</v>
      </c>
      <c r="E390" s="18">
        <v>1.1299999999999999E-2</v>
      </c>
      <c r="G390" s="8">
        <f t="shared" si="18"/>
        <v>2665</v>
      </c>
    </row>
    <row r="391" spans="2:7" x14ac:dyDescent="0.25">
      <c r="B391" s="25" t="s">
        <v>256</v>
      </c>
      <c r="C391" s="25"/>
      <c r="D391" s="8">
        <f>ROUND(29003599.78,0)</f>
        <v>29003600</v>
      </c>
      <c r="E391" s="18">
        <v>0.13139999999999999</v>
      </c>
      <c r="G391" s="8">
        <f t="shared" si="18"/>
        <v>3811073</v>
      </c>
    </row>
    <row r="392" spans="2:7" x14ac:dyDescent="0.25">
      <c r="B392" s="25" t="s">
        <v>257</v>
      </c>
      <c r="C392" s="25"/>
      <c r="D392" s="8">
        <f>ROUND(5292033.07,0)</f>
        <v>5292033</v>
      </c>
      <c r="E392" s="18">
        <v>4.8899999999999999E-2</v>
      </c>
      <c r="G392" s="8">
        <f t="shared" si="18"/>
        <v>258780</v>
      </c>
    </row>
    <row r="393" spans="2:7" x14ac:dyDescent="0.25">
      <c r="B393" s="25" t="s">
        <v>258</v>
      </c>
      <c r="C393" s="25"/>
      <c r="D393" s="8">
        <f>ROUND(11378217.07,0)</f>
        <v>11378217</v>
      </c>
      <c r="E393" s="18">
        <v>0</v>
      </c>
      <c r="G393" s="8">
        <f t="shared" si="18"/>
        <v>0</v>
      </c>
    </row>
    <row r="394" spans="2:7" x14ac:dyDescent="0.25">
      <c r="B394" s="25" t="s">
        <v>259</v>
      </c>
      <c r="C394" s="25"/>
      <c r="D394" s="8">
        <f>ROUND(2243314.65,0)</f>
        <v>2243315</v>
      </c>
      <c r="E394" s="18">
        <v>2.8400000000000002E-2</v>
      </c>
      <c r="G394" s="8">
        <f t="shared" si="18"/>
        <v>63710</v>
      </c>
    </row>
    <row r="395" spans="2:7" x14ac:dyDescent="0.25">
      <c r="B395" s="25" t="s">
        <v>260</v>
      </c>
      <c r="C395" s="25"/>
      <c r="D395" s="8">
        <f>ROUND(77122.64,0)</f>
        <v>77123</v>
      </c>
      <c r="E395" s="18">
        <v>2.7E-2</v>
      </c>
      <c r="G395" s="8">
        <f t="shared" si="18"/>
        <v>2082</v>
      </c>
    </row>
    <row r="396" spans="2:7" x14ac:dyDescent="0.25">
      <c r="B396" s="30" t="s">
        <v>157</v>
      </c>
      <c r="C396" s="30"/>
      <c r="D396" s="8">
        <f>ROUND(17206.03,0)</f>
        <v>17206</v>
      </c>
      <c r="E396" s="18">
        <v>0</v>
      </c>
      <c r="G396" s="8">
        <f t="shared" si="18"/>
        <v>0</v>
      </c>
    </row>
    <row r="397" spans="2:7" x14ac:dyDescent="0.25">
      <c r="B397" s="25" t="s">
        <v>186</v>
      </c>
      <c r="C397" s="25"/>
      <c r="D397" s="21">
        <f>ROUND(101389.77,0)</f>
        <v>101390</v>
      </c>
      <c r="E397" s="18"/>
    </row>
    <row r="398" spans="2:7" s="23" customFormat="1" x14ac:dyDescent="0.25">
      <c r="B398" s="1" t="s">
        <v>169</v>
      </c>
      <c r="C398" s="25"/>
      <c r="D398" s="54">
        <f>ROUND(SUM(D372:D397),0)</f>
        <v>161197820</v>
      </c>
      <c r="E398" s="24"/>
      <c r="G398" s="54">
        <f>ROUND(SUM(G372:G397),0)</f>
        <v>10483808</v>
      </c>
    </row>
    <row r="399" spans="2:7" x14ac:dyDescent="0.25">
      <c r="D399" s="17"/>
      <c r="E399" s="18"/>
    </row>
    <row r="400" spans="2:7" s="23" customFormat="1" ht="16.5" thickBot="1" x14ac:dyDescent="0.3">
      <c r="B400" s="26" t="s">
        <v>54</v>
      </c>
      <c r="C400" s="26"/>
      <c r="D400" s="55">
        <f>ROUND(D398+D369,0)</f>
        <v>227668918</v>
      </c>
      <c r="E400" s="24"/>
      <c r="G400" s="55">
        <f>ROUND(G398+G369,0)</f>
        <v>17955312</v>
      </c>
    </row>
    <row r="401" spans="1:7" ht="17.25" thickTop="1" thickBot="1" x14ac:dyDescent="0.3">
      <c r="E401" s="18"/>
    </row>
    <row r="402" spans="1:7" s="2" customFormat="1" x14ac:dyDescent="0.25">
      <c r="A402" s="42" t="s">
        <v>189</v>
      </c>
      <c r="B402" s="43"/>
      <c r="C402" s="43"/>
      <c r="D402" s="44"/>
      <c r="E402" s="43"/>
      <c r="F402" s="43"/>
      <c r="G402" s="73"/>
    </row>
    <row r="403" spans="1:7" s="2" customFormat="1" x14ac:dyDescent="0.25">
      <c r="A403" s="45"/>
      <c r="B403" s="40" t="str">
        <f>B384</f>
        <v>392.1 Transportation Equipment - Cars &amp; Light Trucks</v>
      </c>
      <c r="C403" s="41"/>
      <c r="D403" s="17"/>
      <c r="E403" s="4"/>
      <c r="F403" s="4"/>
      <c r="G403" s="92">
        <f>-G384</f>
        <v>-20429</v>
      </c>
    </row>
    <row r="404" spans="1:7" s="2" customFormat="1" x14ac:dyDescent="0.25">
      <c r="A404" s="45"/>
      <c r="B404" s="40" t="str">
        <f>B386</f>
        <v>392.3 Transportation Equipment - Heavy Trucks and Other</v>
      </c>
      <c r="C404" s="41"/>
      <c r="D404" s="17"/>
      <c r="E404" s="4"/>
      <c r="F404" s="4"/>
      <c r="G404" s="66">
        <f>-G386</f>
        <v>0</v>
      </c>
    </row>
    <row r="405" spans="1:7" s="2" customFormat="1" x14ac:dyDescent="0.25">
      <c r="A405" s="45"/>
      <c r="B405" s="40" t="str">
        <f>B390</f>
        <v>396.3 Power Operated Equipment - Large Machinery</v>
      </c>
      <c r="C405" s="41"/>
      <c r="D405" s="17"/>
      <c r="E405" s="4"/>
      <c r="F405" s="4"/>
      <c r="G405" s="66">
        <f>-G390</f>
        <v>-2665</v>
      </c>
    </row>
    <row r="406" spans="1:7" s="2" customFormat="1" x14ac:dyDescent="0.25">
      <c r="A406" s="45"/>
      <c r="B406" s="4"/>
      <c r="C406" s="4"/>
      <c r="D406" s="5"/>
      <c r="E406" s="4"/>
      <c r="F406" s="4"/>
      <c r="G406" s="74"/>
    </row>
    <row r="407" spans="1:7" s="2" customFormat="1" ht="16.5" thickBot="1" x14ac:dyDescent="0.3">
      <c r="A407" s="46" t="s">
        <v>191</v>
      </c>
      <c r="B407" s="4"/>
      <c r="C407" s="6"/>
      <c r="D407" s="5"/>
      <c r="E407" s="4"/>
      <c r="F407" s="4"/>
      <c r="G407" s="93">
        <f>ROUND(SUM(G400:G406),0)</f>
        <v>17932218</v>
      </c>
    </row>
    <row r="408" spans="1:7" ht="16.5" thickTop="1" x14ac:dyDescent="0.25">
      <c r="A408" s="47"/>
      <c r="B408" s="10"/>
      <c r="C408" s="10"/>
      <c r="D408" s="17"/>
      <c r="E408" s="18"/>
      <c r="F408" s="10"/>
      <c r="G408" s="66"/>
    </row>
    <row r="409" spans="1:7" ht="16.5" thickBot="1" x14ac:dyDescent="0.3">
      <c r="A409" s="48" t="s">
        <v>200</v>
      </c>
      <c r="B409" s="10"/>
      <c r="C409" s="10"/>
      <c r="D409" s="17"/>
      <c r="E409" s="18"/>
      <c r="F409" s="10"/>
      <c r="G409" s="93">
        <f>ROUND(G407*0.71,0)</f>
        <v>12731875</v>
      </c>
    </row>
    <row r="410" spans="1:7" ht="16.5" thickTop="1" x14ac:dyDescent="0.25">
      <c r="A410" s="47"/>
      <c r="B410" s="10"/>
      <c r="C410" s="10"/>
      <c r="D410" s="17"/>
      <c r="E410" s="18"/>
      <c r="F410" s="10"/>
      <c r="G410" s="66"/>
    </row>
    <row r="411" spans="1:7" ht="16.5" thickBot="1" x14ac:dyDescent="0.3">
      <c r="A411" s="48" t="s">
        <v>199</v>
      </c>
      <c r="B411" s="10"/>
      <c r="C411" s="10"/>
      <c r="D411" s="17"/>
      <c r="E411" s="5"/>
      <c r="F411" s="10"/>
      <c r="G411" s="93">
        <f>ROUND(G407*0.29,0)</f>
        <v>5200343</v>
      </c>
    </row>
    <row r="412" spans="1:7" ht="17.25" thickTop="1" thickBot="1" x14ac:dyDescent="0.3">
      <c r="A412" s="57"/>
      <c r="B412" s="49"/>
      <c r="C412" s="49"/>
      <c r="D412" s="50"/>
      <c r="E412" s="65"/>
      <c r="F412" s="49"/>
      <c r="G412" s="77"/>
    </row>
    <row r="413" spans="1:7" x14ac:dyDescent="0.25">
      <c r="E413" s="18"/>
    </row>
    <row r="414" spans="1:7" x14ac:dyDescent="0.25">
      <c r="D414" s="17"/>
      <c r="E414" s="18"/>
    </row>
    <row r="415" spans="1:7" s="16" customFormat="1" ht="16.5" customHeight="1" thickBot="1" x14ac:dyDescent="0.3">
      <c r="A415" s="1" t="s">
        <v>69</v>
      </c>
      <c r="C415" s="1"/>
      <c r="D415" s="55">
        <f>ROUND(D400+D354+D281,0)</f>
        <v>4749576574</v>
      </c>
      <c r="E415" s="27"/>
      <c r="G415" s="76"/>
    </row>
    <row r="416" spans="1:7" s="2" customFormat="1" ht="12.75" customHeight="1" thickTop="1" x14ac:dyDescent="0.25">
      <c r="D416" s="3"/>
      <c r="E416" s="28"/>
      <c r="G416" s="69"/>
    </row>
    <row r="417" spans="2:5" x14ac:dyDescent="0.25">
      <c r="B417" s="31"/>
      <c r="C417" s="31"/>
      <c r="E417" s="18"/>
    </row>
    <row r="418" spans="2:5" ht="18.75" x14ac:dyDescent="0.3">
      <c r="B418" s="37" t="s">
        <v>165</v>
      </c>
      <c r="C418" s="31"/>
      <c r="E418" s="32"/>
    </row>
    <row r="419" spans="2:5" x14ac:dyDescent="0.25">
      <c r="B419" s="31"/>
      <c r="C419" s="31"/>
      <c r="E419" s="32"/>
    </row>
    <row r="420" spans="2:5" x14ac:dyDescent="0.25">
      <c r="E420" s="7"/>
    </row>
    <row r="421" spans="2:5" x14ac:dyDescent="0.25">
      <c r="E421" s="7"/>
    </row>
    <row r="422" spans="2:5" x14ac:dyDescent="0.25">
      <c r="E422" s="7"/>
    </row>
    <row r="423" spans="2:5" x14ac:dyDescent="0.25">
      <c r="E423" s="7"/>
    </row>
    <row r="424" spans="2:5" x14ac:dyDescent="0.25">
      <c r="E424" s="7"/>
    </row>
    <row r="425" spans="2:5" x14ac:dyDescent="0.25">
      <c r="E425" s="7"/>
    </row>
    <row r="426" spans="2:5" x14ac:dyDescent="0.25">
      <c r="E426" s="7"/>
    </row>
    <row r="427" spans="2:5" x14ac:dyDescent="0.25">
      <c r="E427" s="7"/>
    </row>
    <row r="428" spans="2:5" x14ac:dyDescent="0.25">
      <c r="E428" s="7"/>
    </row>
    <row r="429" spans="2:5" x14ac:dyDescent="0.25">
      <c r="E429" s="7"/>
    </row>
    <row r="430" spans="2:5" x14ac:dyDescent="0.25">
      <c r="E430" s="7"/>
    </row>
    <row r="431" spans="2:5" x14ac:dyDescent="0.25">
      <c r="E431" s="7"/>
    </row>
    <row r="432" spans="2:5" x14ac:dyDescent="0.25">
      <c r="E432" s="7"/>
    </row>
    <row r="433" spans="5:5" x14ac:dyDescent="0.25">
      <c r="E433" s="7"/>
    </row>
    <row r="434" spans="5:5" x14ac:dyDescent="0.25">
      <c r="E434" s="7"/>
    </row>
    <row r="435" spans="5:5" x14ac:dyDescent="0.25">
      <c r="E435" s="7"/>
    </row>
    <row r="436" spans="5:5" x14ac:dyDescent="0.25">
      <c r="E436" s="7"/>
    </row>
    <row r="437" spans="5:5" x14ac:dyDescent="0.25">
      <c r="E437" s="7"/>
    </row>
    <row r="438" spans="5:5" x14ac:dyDescent="0.25">
      <c r="E438" s="7"/>
    </row>
    <row r="439" spans="5:5" x14ac:dyDescent="0.25">
      <c r="E439" s="7"/>
    </row>
    <row r="440" spans="5:5" x14ac:dyDescent="0.25">
      <c r="E440" s="7"/>
    </row>
    <row r="441" spans="5:5" x14ac:dyDescent="0.25">
      <c r="E441" s="7"/>
    </row>
    <row r="442" spans="5:5" x14ac:dyDescent="0.25">
      <c r="E442" s="7"/>
    </row>
    <row r="443" spans="5:5" x14ac:dyDescent="0.25">
      <c r="E443" s="7"/>
    </row>
    <row r="444" spans="5:5" x14ac:dyDescent="0.25">
      <c r="E444" s="7"/>
    </row>
    <row r="445" spans="5:5" x14ac:dyDescent="0.25">
      <c r="E445" s="7"/>
    </row>
    <row r="446" spans="5:5" x14ac:dyDescent="0.25">
      <c r="E446" s="7"/>
    </row>
    <row r="447" spans="5:5" x14ac:dyDescent="0.25">
      <c r="E447" s="7"/>
    </row>
    <row r="448" spans="5:5" x14ac:dyDescent="0.25">
      <c r="E448" s="7"/>
    </row>
    <row r="449" spans="5:5" x14ac:dyDescent="0.25">
      <c r="E449" s="7"/>
    </row>
    <row r="450" spans="5:5" x14ac:dyDescent="0.25">
      <c r="E450" s="7"/>
    </row>
    <row r="451" spans="5:5" x14ac:dyDescent="0.25">
      <c r="E451" s="7"/>
    </row>
    <row r="452" spans="5:5" x14ac:dyDescent="0.25">
      <c r="E452" s="7"/>
    </row>
    <row r="453" spans="5:5" x14ac:dyDescent="0.25">
      <c r="E453" s="7"/>
    </row>
    <row r="454" spans="5:5" x14ac:dyDescent="0.25">
      <c r="E454" s="7"/>
    </row>
    <row r="455" spans="5:5" x14ac:dyDescent="0.25">
      <c r="E455" s="7"/>
    </row>
    <row r="456" spans="5:5" x14ac:dyDescent="0.25">
      <c r="E456" s="7"/>
    </row>
    <row r="457" spans="5:5" x14ac:dyDescent="0.25">
      <c r="E457" s="7"/>
    </row>
    <row r="458" spans="5:5" x14ac:dyDescent="0.25">
      <c r="E458" s="7"/>
    </row>
    <row r="459" spans="5:5" x14ac:dyDescent="0.25">
      <c r="E459" s="7"/>
    </row>
    <row r="460" spans="5:5" x14ac:dyDescent="0.25">
      <c r="E460" s="7"/>
    </row>
    <row r="461" spans="5:5" x14ac:dyDescent="0.25">
      <c r="E461" s="7"/>
    </row>
    <row r="462" spans="5:5" x14ac:dyDescent="0.25">
      <c r="E462" s="7"/>
    </row>
    <row r="463" spans="5:5" x14ac:dyDescent="0.25">
      <c r="E463" s="7"/>
    </row>
    <row r="464" spans="5:5" x14ac:dyDescent="0.25">
      <c r="E464" s="7"/>
    </row>
    <row r="465" spans="5:5" x14ac:dyDescent="0.25">
      <c r="E465" s="7"/>
    </row>
    <row r="466" spans="5:5" x14ac:dyDescent="0.25">
      <c r="E466" s="7"/>
    </row>
    <row r="467" spans="5:5" x14ac:dyDescent="0.25">
      <c r="E467" s="7"/>
    </row>
    <row r="468" spans="5:5" x14ac:dyDescent="0.25">
      <c r="E468" s="7"/>
    </row>
    <row r="469" spans="5:5" x14ac:dyDescent="0.25">
      <c r="E469" s="7"/>
    </row>
    <row r="470" spans="5:5" x14ac:dyDescent="0.25">
      <c r="E470" s="7"/>
    </row>
    <row r="471" spans="5:5" x14ac:dyDescent="0.25">
      <c r="E471" s="7"/>
    </row>
    <row r="472" spans="5:5" x14ac:dyDescent="0.25">
      <c r="E472" s="7"/>
    </row>
    <row r="473" spans="5:5" x14ac:dyDescent="0.25">
      <c r="E473" s="7"/>
    </row>
    <row r="474" spans="5:5" x14ac:dyDescent="0.25">
      <c r="E474" s="7"/>
    </row>
    <row r="475" spans="5:5" x14ac:dyDescent="0.25">
      <c r="E475" s="7"/>
    </row>
    <row r="476" spans="5:5" x14ac:dyDescent="0.25">
      <c r="E476" s="7"/>
    </row>
    <row r="477" spans="5:5" x14ac:dyDescent="0.25">
      <c r="E477" s="7"/>
    </row>
    <row r="478" spans="5:5" x14ac:dyDescent="0.25">
      <c r="E478" s="7"/>
    </row>
    <row r="479" spans="5:5" x14ac:dyDescent="0.25">
      <c r="E479" s="7"/>
    </row>
    <row r="480" spans="5:5" x14ac:dyDescent="0.25">
      <c r="E480" s="7"/>
    </row>
    <row r="481" spans="5:5" x14ac:dyDescent="0.25">
      <c r="E481" s="7"/>
    </row>
    <row r="482" spans="5:5" x14ac:dyDescent="0.25">
      <c r="E482" s="7"/>
    </row>
    <row r="483" spans="5:5" x14ac:dyDescent="0.25">
      <c r="E483" s="7"/>
    </row>
    <row r="484" spans="5:5" x14ac:dyDescent="0.25">
      <c r="E484" s="7"/>
    </row>
    <row r="485" spans="5:5" x14ac:dyDescent="0.25">
      <c r="E485" s="7"/>
    </row>
    <row r="486" spans="5:5" x14ac:dyDescent="0.25">
      <c r="E486" s="7"/>
    </row>
    <row r="487" spans="5:5" x14ac:dyDescent="0.25">
      <c r="E487" s="7"/>
    </row>
    <row r="488" spans="5:5" x14ac:dyDescent="0.25">
      <c r="E488" s="7"/>
    </row>
    <row r="489" spans="5:5" x14ac:dyDescent="0.25">
      <c r="E489" s="7"/>
    </row>
    <row r="490" spans="5:5" x14ac:dyDescent="0.25">
      <c r="E490" s="7"/>
    </row>
    <row r="491" spans="5:5" x14ac:dyDescent="0.25">
      <c r="E491" s="7"/>
    </row>
    <row r="492" spans="5:5" x14ac:dyDescent="0.25">
      <c r="E492" s="7"/>
    </row>
    <row r="493" spans="5:5" x14ac:dyDescent="0.25">
      <c r="E493" s="7"/>
    </row>
    <row r="494" spans="5:5" x14ac:dyDescent="0.25">
      <c r="E494" s="7"/>
    </row>
    <row r="495" spans="5:5" x14ac:dyDescent="0.25">
      <c r="E495" s="7"/>
    </row>
    <row r="496" spans="5:5" x14ac:dyDescent="0.25">
      <c r="E496" s="7"/>
    </row>
    <row r="497" spans="5:5" x14ac:dyDescent="0.25">
      <c r="E497" s="7"/>
    </row>
    <row r="498" spans="5:5" x14ac:dyDescent="0.25">
      <c r="E498" s="7"/>
    </row>
    <row r="499" spans="5:5" x14ac:dyDescent="0.25">
      <c r="E499" s="7"/>
    </row>
    <row r="500" spans="5:5" x14ac:dyDescent="0.25">
      <c r="E500" s="7"/>
    </row>
    <row r="501" spans="5:5" x14ac:dyDescent="0.25">
      <c r="E501" s="7"/>
    </row>
    <row r="502" spans="5:5" x14ac:dyDescent="0.25">
      <c r="E502" s="7"/>
    </row>
    <row r="503" spans="5:5" x14ac:dyDescent="0.25">
      <c r="E503" s="7"/>
    </row>
    <row r="504" spans="5:5" x14ac:dyDescent="0.25">
      <c r="E504" s="7"/>
    </row>
    <row r="505" spans="5:5" x14ac:dyDescent="0.25">
      <c r="E505" s="7"/>
    </row>
    <row r="506" spans="5:5" x14ac:dyDescent="0.25">
      <c r="E506" s="7"/>
    </row>
    <row r="507" spans="5:5" x14ac:dyDescent="0.25">
      <c r="E507" s="7"/>
    </row>
    <row r="508" spans="5:5" x14ac:dyDescent="0.25">
      <c r="E508" s="7"/>
    </row>
    <row r="509" spans="5:5" x14ac:dyDescent="0.25">
      <c r="E509" s="7"/>
    </row>
    <row r="510" spans="5:5" x14ac:dyDescent="0.25">
      <c r="E510" s="7"/>
    </row>
    <row r="511" spans="5:5" x14ac:dyDescent="0.25">
      <c r="E511" s="7"/>
    </row>
    <row r="512" spans="5:5" x14ac:dyDescent="0.25">
      <c r="E512" s="7"/>
    </row>
    <row r="513" spans="5:5" x14ac:dyDescent="0.25">
      <c r="E513" s="7"/>
    </row>
    <row r="514" spans="5:5" x14ac:dyDescent="0.25">
      <c r="E514" s="7"/>
    </row>
    <row r="515" spans="5:5" x14ac:dyDescent="0.25">
      <c r="E515" s="7"/>
    </row>
    <row r="516" spans="5:5" x14ac:dyDescent="0.25">
      <c r="E516" s="7"/>
    </row>
    <row r="517" spans="5:5" x14ac:dyDescent="0.25">
      <c r="E517" s="7"/>
    </row>
    <row r="518" spans="5:5" x14ac:dyDescent="0.25">
      <c r="E518" s="7"/>
    </row>
    <row r="519" spans="5:5" x14ac:dyDescent="0.25">
      <c r="E519" s="7"/>
    </row>
    <row r="520" spans="5:5" x14ac:dyDescent="0.25">
      <c r="E520" s="7"/>
    </row>
    <row r="521" spans="5:5" x14ac:dyDescent="0.25">
      <c r="E521" s="7"/>
    </row>
    <row r="522" spans="5:5" x14ac:dyDescent="0.25">
      <c r="E522" s="7"/>
    </row>
    <row r="523" spans="5:5" x14ac:dyDescent="0.25">
      <c r="E523" s="7"/>
    </row>
    <row r="524" spans="5:5" x14ac:dyDescent="0.25">
      <c r="E524" s="7"/>
    </row>
    <row r="525" spans="5:5" x14ac:dyDescent="0.25">
      <c r="E525" s="7"/>
    </row>
    <row r="526" spans="5:5" x14ac:dyDescent="0.25">
      <c r="E526" s="7"/>
    </row>
    <row r="527" spans="5:5" x14ac:dyDescent="0.25">
      <c r="E527" s="7"/>
    </row>
    <row r="528" spans="5:5" x14ac:dyDescent="0.25">
      <c r="E528" s="7"/>
    </row>
    <row r="529" spans="5:5" x14ac:dyDescent="0.25">
      <c r="E529" s="7"/>
    </row>
    <row r="530" spans="5:5" x14ac:dyDescent="0.25">
      <c r="E530" s="7"/>
    </row>
    <row r="531" spans="5:5" x14ac:dyDescent="0.25">
      <c r="E531" s="7"/>
    </row>
    <row r="532" spans="5:5" x14ac:dyDescent="0.25">
      <c r="E532" s="7"/>
    </row>
    <row r="533" spans="5:5" x14ac:dyDescent="0.25">
      <c r="E533" s="7"/>
    </row>
    <row r="534" spans="5:5" x14ac:dyDescent="0.25">
      <c r="E534" s="7"/>
    </row>
    <row r="535" spans="5:5" x14ac:dyDescent="0.25">
      <c r="E535" s="7"/>
    </row>
    <row r="536" spans="5:5" x14ac:dyDescent="0.25">
      <c r="E536" s="7"/>
    </row>
    <row r="537" spans="5:5" x14ac:dyDescent="0.25">
      <c r="E537" s="7"/>
    </row>
    <row r="538" spans="5:5" x14ac:dyDescent="0.25">
      <c r="E538" s="7"/>
    </row>
    <row r="539" spans="5:5" x14ac:dyDescent="0.25">
      <c r="E539" s="7"/>
    </row>
    <row r="540" spans="5:5" x14ac:dyDescent="0.25">
      <c r="E540" s="7"/>
    </row>
    <row r="541" spans="5:5" x14ac:dyDescent="0.25">
      <c r="E541" s="7"/>
    </row>
    <row r="542" spans="5:5" x14ac:dyDescent="0.25">
      <c r="E542" s="7"/>
    </row>
    <row r="543" spans="5:5" x14ac:dyDescent="0.25">
      <c r="E543" s="7"/>
    </row>
    <row r="544" spans="5:5" x14ac:dyDescent="0.25">
      <c r="E544" s="7"/>
    </row>
    <row r="545" spans="5:5" x14ac:dyDescent="0.25">
      <c r="E545" s="7"/>
    </row>
    <row r="546" spans="5:5" x14ac:dyDescent="0.25">
      <c r="E546" s="7"/>
    </row>
    <row r="547" spans="5:5" x14ac:dyDescent="0.25">
      <c r="E547" s="7"/>
    </row>
  </sheetData>
  <mergeCells count="5">
    <mergeCell ref="A1:G1"/>
    <mergeCell ref="A2:G2"/>
    <mergeCell ref="A3:G3"/>
    <mergeCell ref="B4:D4"/>
    <mergeCell ref="A8:B8"/>
  </mergeCells>
  <printOptions horizontalCentered="1"/>
  <pageMargins left="1.25" right="0" top="1" bottom="0.5" header="0.5" footer="0.5"/>
  <pageSetup scale="70" fitToHeight="9" orientation="portrait" r:id="rId1"/>
  <headerFooter alignWithMargins="0">
    <oddHeader xml:space="preserve">&amp;R&amp;14Exhibit___(LK-22)
Page 6 of 14&amp;"Times New Roman,Bold"&amp;12
</oddHeader>
  </headerFooter>
  <rowBreaks count="10" manualBreakCount="10">
    <brk id="37" max="16383" man="1"/>
    <brk id="78" max="16383" man="1"/>
    <brk id="121" max="16383" man="1"/>
    <brk id="160" max="16383" man="1"/>
    <brk id="205" max="16383" man="1"/>
    <brk id="239" max="16383" man="1"/>
    <brk id="270" max="16383" man="1"/>
    <brk id="298" max="16383" man="1"/>
    <brk id="327" max="16383" man="1"/>
    <brk id="3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F20" sqref="F20"/>
    </sheetView>
  </sheetViews>
  <sheetFormatPr defaultColWidth="9.140625" defaultRowHeight="15.75" x14ac:dyDescent="0.25"/>
  <cols>
    <col min="1" max="1" width="3.5703125" style="123" customWidth="1"/>
    <col min="2" max="2" width="9.140625" style="123"/>
    <col min="3" max="3" width="42.5703125" style="123" customWidth="1"/>
    <col min="4" max="4" width="17.7109375" style="123" customWidth="1"/>
    <col min="5" max="5" width="9.140625" style="123"/>
    <col min="6" max="6" width="14.42578125" style="123" customWidth="1"/>
    <col min="7" max="16384" width="9.140625" style="123"/>
  </cols>
  <sheetData>
    <row r="1" spans="2:6" x14ac:dyDescent="0.25">
      <c r="B1" s="164" t="s">
        <v>295</v>
      </c>
      <c r="C1" s="164"/>
      <c r="D1" s="164"/>
    </row>
    <row r="2" spans="2:6" x14ac:dyDescent="0.25">
      <c r="B2" s="163" t="s">
        <v>300</v>
      </c>
      <c r="C2" s="163"/>
      <c r="D2" s="163"/>
    </row>
    <row r="4" spans="2:6" ht="20.25" x14ac:dyDescent="0.55000000000000004">
      <c r="B4" s="162" t="s">
        <v>273</v>
      </c>
      <c r="C4" s="162"/>
      <c r="D4" s="162"/>
    </row>
    <row r="5" spans="2:6" ht="20.25" x14ac:dyDescent="0.55000000000000004">
      <c r="B5" s="140"/>
      <c r="C5" s="140"/>
      <c r="D5" s="143" t="s">
        <v>291</v>
      </c>
      <c r="F5" s="145" t="s">
        <v>293</v>
      </c>
    </row>
    <row r="6" spans="2:6" x14ac:dyDescent="0.25">
      <c r="D6" s="147" t="s">
        <v>292</v>
      </c>
      <c r="F6" s="147" t="s">
        <v>294</v>
      </c>
    </row>
    <row r="7" spans="2:6" x14ac:dyDescent="0.25">
      <c r="B7" s="120" t="s">
        <v>274</v>
      </c>
      <c r="D7" s="124">
        <f>ROUND('As FiledECR Proposed Depr Rates'!F17,0)</f>
        <v>54143</v>
      </c>
      <c r="F7" s="124">
        <f>ROUND('KIUC ECR Proposed Depr Rates'!F17,0)</f>
        <v>30137</v>
      </c>
    </row>
    <row r="8" spans="2:6" x14ac:dyDescent="0.25">
      <c r="B8" s="121" t="s">
        <v>265</v>
      </c>
      <c r="D8" s="118">
        <f>ROUND(-(1878+2.72+1557.59+773.89+1040.91),0)</f>
        <v>-5253</v>
      </c>
      <c r="F8" s="118">
        <f>ROUND(-(1878+2.72+1557.59+773.89+1040.91),0)</f>
        <v>-5253</v>
      </c>
    </row>
    <row r="9" spans="2:6" x14ac:dyDescent="0.25">
      <c r="B9" s="121" t="s">
        <v>266</v>
      </c>
      <c r="D9" s="124">
        <f>D7+D8</f>
        <v>48890</v>
      </c>
      <c r="F9" s="124">
        <f>F7+F8</f>
        <v>24884</v>
      </c>
    </row>
    <row r="10" spans="2:6" x14ac:dyDescent="0.25">
      <c r="B10" s="121"/>
      <c r="C10" s="120" t="s">
        <v>267</v>
      </c>
      <c r="D10" s="118">
        <v>12</v>
      </c>
      <c r="F10" s="118">
        <v>12</v>
      </c>
    </row>
    <row r="11" spans="2:6" x14ac:dyDescent="0.25">
      <c r="B11" s="122" t="s">
        <v>268</v>
      </c>
      <c r="D11" s="125">
        <f>D9*D10</f>
        <v>586680</v>
      </c>
      <c r="F11" s="125">
        <f>F9*F10</f>
        <v>298608</v>
      </c>
    </row>
    <row r="12" spans="2:6" x14ac:dyDescent="0.25">
      <c r="B12" s="119"/>
    </row>
    <row r="13" spans="2:6" x14ac:dyDescent="0.25">
      <c r="B13" s="120" t="s">
        <v>275</v>
      </c>
      <c r="D13" s="124">
        <f>ROUND('As FiledECR Proposed Depr Rates'!F40,0)</f>
        <v>108851</v>
      </c>
      <c r="F13" s="124">
        <f>ROUND('KIUC ECR Proposed Depr Rates'!F40,0)</f>
        <v>86139</v>
      </c>
    </row>
    <row r="14" spans="2:6" x14ac:dyDescent="0.25">
      <c r="B14" s="119"/>
      <c r="C14" s="120" t="s">
        <v>267</v>
      </c>
      <c r="D14" s="118">
        <v>12</v>
      </c>
      <c r="F14" s="118">
        <v>12</v>
      </c>
    </row>
    <row r="15" spans="2:6" x14ac:dyDescent="0.25">
      <c r="B15" s="122" t="s">
        <v>270</v>
      </c>
      <c r="D15" s="125">
        <f>D13*D14</f>
        <v>1306212</v>
      </c>
      <c r="F15" s="125">
        <f>F13*F14</f>
        <v>1033668</v>
      </c>
    </row>
    <row r="16" spans="2:6" x14ac:dyDescent="0.25">
      <c r="B16" s="119"/>
    </row>
    <row r="17" spans="2:6" ht="16.5" thickBot="1" x14ac:dyDescent="0.3">
      <c r="B17" s="120" t="s">
        <v>271</v>
      </c>
      <c r="D17" s="126">
        <f>D15+D11</f>
        <v>1892892</v>
      </c>
      <c r="F17" s="126">
        <f>F15+F11</f>
        <v>1332276</v>
      </c>
    </row>
    <row r="18" spans="2:6" ht="16.5" thickTop="1" x14ac:dyDescent="0.25"/>
    <row r="20" spans="2:6" ht="20.25" x14ac:dyDescent="0.55000000000000004">
      <c r="B20" s="146" t="s">
        <v>276</v>
      </c>
      <c r="C20" s="146"/>
      <c r="D20" s="146"/>
      <c r="F20" s="146"/>
    </row>
    <row r="22" spans="2:6" x14ac:dyDescent="0.25">
      <c r="B22" s="120" t="s">
        <v>277</v>
      </c>
      <c r="D22" s="127">
        <f>D17</f>
        <v>1892892</v>
      </c>
      <c r="F22" s="127">
        <f>F17</f>
        <v>1332276</v>
      </c>
    </row>
    <row r="23" spans="2:6" x14ac:dyDescent="0.25">
      <c r="B23" s="119"/>
    </row>
    <row r="24" spans="2:6" x14ac:dyDescent="0.25">
      <c r="B24" s="120" t="s">
        <v>278</v>
      </c>
      <c r="D24" s="124">
        <f>ROUND('As FiledECR Proposed Depr Rates'!F43,0)</f>
        <v>18066</v>
      </c>
      <c r="F24" s="124">
        <f>ROUND('KIUC ECR Proposed Depr Rates'!F43,0)</f>
        <v>12972</v>
      </c>
    </row>
    <row r="25" spans="2:6" x14ac:dyDescent="0.25">
      <c r="B25" s="119"/>
      <c r="C25" s="120" t="s">
        <v>267</v>
      </c>
      <c r="D25" s="118">
        <v>12</v>
      </c>
      <c r="F25" s="118">
        <v>12</v>
      </c>
    </row>
    <row r="26" spans="2:6" x14ac:dyDescent="0.25">
      <c r="B26" s="122" t="s">
        <v>269</v>
      </c>
      <c r="D26" s="124">
        <f>D24*D25</f>
        <v>216792</v>
      </c>
      <c r="F26" s="124">
        <f>F24*F25</f>
        <v>155664</v>
      </c>
    </row>
    <row r="27" spans="2:6" x14ac:dyDescent="0.25">
      <c r="B27" s="119"/>
    </row>
    <row r="28" spans="2:6" ht="16.5" thickBot="1" x14ac:dyDescent="0.3">
      <c r="B28" s="122" t="s">
        <v>272</v>
      </c>
      <c r="D28" s="126">
        <f>D17+D26</f>
        <v>2109684</v>
      </c>
      <c r="F28" s="126">
        <f>F17+F26</f>
        <v>1487940</v>
      </c>
    </row>
    <row r="29" spans="2:6" ht="16.5" thickTop="1" x14ac:dyDescent="0.25"/>
  </sheetData>
  <mergeCells count="3">
    <mergeCell ref="B4:D4"/>
    <mergeCell ref="B2:D2"/>
    <mergeCell ref="B1:D1"/>
  </mergeCells>
  <pageMargins left="1.25" right="0.7" top="1.25" bottom="0.75" header="0.55000000000000004" footer="0.3"/>
  <pageSetup scale="72" orientation="portrait" r:id="rId1"/>
  <headerFooter>
    <oddHeader>&amp;R&amp;14Exhibit___(LK-22)
Page 13 of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="89" zoomScaleNormal="89" workbookViewId="0">
      <pane ySplit="6" topLeftCell="A28" activePane="bottomLeft" state="frozen"/>
      <selection activeCell="A15" sqref="A15"/>
      <selection pane="bottomLeft" activeCell="E23" sqref="E23"/>
    </sheetView>
  </sheetViews>
  <sheetFormatPr defaultColWidth="9.140625" defaultRowHeight="15.75" x14ac:dyDescent="0.25"/>
  <cols>
    <col min="1" max="1" width="7" style="2" customWidth="1"/>
    <col min="2" max="2" width="43" style="2" bestFit="1" customWidth="1"/>
    <col min="3" max="3" width="19.42578125" style="60" customWidth="1"/>
    <col min="4" max="4" width="12.5703125" style="2" customWidth="1"/>
    <col min="5" max="5" width="12.140625" style="2" customWidth="1"/>
    <col min="6" max="6" width="18.28515625" style="2" customWidth="1"/>
    <col min="7" max="16384" width="9.140625" style="2"/>
  </cols>
  <sheetData>
    <row r="1" spans="1:6" x14ac:dyDescent="0.25">
      <c r="A1" s="160" t="s">
        <v>12</v>
      </c>
      <c r="B1" s="160"/>
      <c r="C1" s="160"/>
      <c r="D1" s="160"/>
      <c r="E1" s="160"/>
      <c r="F1" s="160"/>
    </row>
    <row r="2" spans="1:6" x14ac:dyDescent="0.25">
      <c r="A2" s="160" t="s">
        <v>212</v>
      </c>
      <c r="B2" s="160"/>
      <c r="C2" s="160"/>
      <c r="D2" s="160"/>
      <c r="E2" s="160"/>
      <c r="F2" s="160"/>
    </row>
    <row r="3" spans="1:6" x14ac:dyDescent="0.25">
      <c r="A3" s="165">
        <v>40999</v>
      </c>
      <c r="B3" s="165"/>
      <c r="C3" s="165"/>
      <c r="D3" s="165"/>
      <c r="E3" s="165"/>
      <c r="F3" s="165"/>
    </row>
    <row r="5" spans="1:6" ht="15.75" customHeight="1" x14ac:dyDescent="0.25"/>
    <row r="6" spans="1:6" s="85" customFormat="1" ht="49.5" customHeight="1" x14ac:dyDescent="0.25">
      <c r="A6" s="81" t="s">
        <v>209</v>
      </c>
      <c r="B6" s="81" t="s">
        <v>210</v>
      </c>
      <c r="C6" s="82" t="s">
        <v>211</v>
      </c>
      <c r="D6" s="81" t="s">
        <v>207</v>
      </c>
      <c r="E6" s="83" t="s">
        <v>217</v>
      </c>
      <c r="F6" s="84" t="s">
        <v>214</v>
      </c>
    </row>
    <row r="7" spans="1:6" x14ac:dyDescent="0.25">
      <c r="A7" s="86">
        <v>2005</v>
      </c>
      <c r="B7" s="86" t="s">
        <v>247</v>
      </c>
      <c r="C7" s="88">
        <v>100000</v>
      </c>
      <c r="D7" s="117">
        <v>310.2</v>
      </c>
      <c r="E7" s="89">
        <v>0</v>
      </c>
      <c r="F7" s="88">
        <f t="shared" ref="F7:F16" si="0">(C7*E7)/12</f>
        <v>0</v>
      </c>
    </row>
    <row r="8" spans="1:6" x14ac:dyDescent="0.25">
      <c r="A8" s="86">
        <v>2005</v>
      </c>
      <c r="B8" s="86" t="s">
        <v>247</v>
      </c>
      <c r="C8" s="88">
        <v>3036367.19</v>
      </c>
      <c r="D8" s="117">
        <v>311</v>
      </c>
      <c r="E8" s="86">
        <v>1.8499999999999999E-2</v>
      </c>
      <c r="F8" s="88">
        <f t="shared" si="0"/>
        <v>4681.0660845833327</v>
      </c>
    </row>
    <row r="9" spans="1:6" x14ac:dyDescent="0.25">
      <c r="A9" s="86">
        <v>2005</v>
      </c>
      <c r="B9" s="86" t="s">
        <v>247</v>
      </c>
      <c r="C9" s="88">
        <v>1587131.44</v>
      </c>
      <c r="D9" s="117">
        <v>312</v>
      </c>
      <c r="E9" s="86">
        <v>2.7799999999999998E-2</v>
      </c>
      <c r="F9" s="88">
        <f t="shared" si="0"/>
        <v>3676.8545026666666</v>
      </c>
    </row>
    <row r="10" spans="1:6" x14ac:dyDescent="0.25">
      <c r="A10" s="86">
        <v>2005</v>
      </c>
      <c r="B10" s="86" t="s">
        <v>244</v>
      </c>
      <c r="C10" s="88">
        <v>94931</v>
      </c>
      <c r="D10" s="117">
        <v>312</v>
      </c>
      <c r="E10" s="89">
        <v>1.7999999999999999E-2</v>
      </c>
      <c r="F10" s="88">
        <f t="shared" si="0"/>
        <v>142.39649999999997</v>
      </c>
    </row>
    <row r="11" spans="1:6" x14ac:dyDescent="0.25">
      <c r="A11" s="86">
        <v>2005</v>
      </c>
      <c r="B11" s="86" t="s">
        <v>236</v>
      </c>
      <c r="C11" s="88">
        <v>2462471.5</v>
      </c>
      <c r="D11" s="117">
        <v>311</v>
      </c>
      <c r="E11" s="89">
        <v>0.09</v>
      </c>
      <c r="F11" s="88">
        <f t="shared" si="0"/>
        <v>18468.536250000001</v>
      </c>
    </row>
    <row r="12" spans="1:6" x14ac:dyDescent="0.25">
      <c r="A12" s="86">
        <v>2005</v>
      </c>
      <c r="B12" s="86" t="s">
        <v>236</v>
      </c>
      <c r="C12" s="88">
        <v>144456.79999999999</v>
      </c>
      <c r="D12" s="117">
        <v>312</v>
      </c>
      <c r="E12" s="86">
        <v>0.1573</v>
      </c>
      <c r="F12" s="88">
        <f t="shared" si="0"/>
        <v>1893.5878866666665</v>
      </c>
    </row>
    <row r="13" spans="1:6" x14ac:dyDescent="0.25">
      <c r="A13" s="86">
        <v>2005</v>
      </c>
      <c r="B13" s="86" t="s">
        <v>243</v>
      </c>
      <c r="C13" s="88">
        <v>2988137</v>
      </c>
      <c r="D13" s="117">
        <v>312</v>
      </c>
      <c r="E13" s="86">
        <v>5.74E-2</v>
      </c>
      <c r="F13" s="88">
        <f t="shared" si="0"/>
        <v>14293.255316666668</v>
      </c>
    </row>
    <row r="14" spans="1:6" x14ac:dyDescent="0.25">
      <c r="A14" s="86">
        <v>2005</v>
      </c>
      <c r="B14" s="86" t="s">
        <v>245</v>
      </c>
      <c r="C14" s="88">
        <v>850100.28</v>
      </c>
      <c r="D14" s="117">
        <v>312</v>
      </c>
      <c r="E14" s="86">
        <v>1.3899999999999999E-2</v>
      </c>
      <c r="F14" s="88">
        <f t="shared" si="0"/>
        <v>984.69949099999997</v>
      </c>
    </row>
    <row r="15" spans="1:6" x14ac:dyDescent="0.25">
      <c r="A15" s="86">
        <v>2005</v>
      </c>
      <c r="B15" s="86" t="s">
        <v>242</v>
      </c>
      <c r="C15" s="88">
        <v>308507.28000000003</v>
      </c>
      <c r="D15" s="117">
        <v>312</v>
      </c>
      <c r="E15" s="86">
        <v>5.74E-2</v>
      </c>
      <c r="F15" s="88">
        <f t="shared" si="0"/>
        <v>1475.6931560000003</v>
      </c>
    </row>
    <row r="16" spans="1:6" x14ac:dyDescent="0.25">
      <c r="A16" s="86">
        <v>2005</v>
      </c>
      <c r="B16" s="87" t="s">
        <v>246</v>
      </c>
      <c r="C16" s="88">
        <v>7361077.4800000004</v>
      </c>
      <c r="D16" s="117">
        <v>312</v>
      </c>
      <c r="E16" s="89">
        <v>1.3899999999999999E-2</v>
      </c>
      <c r="F16" s="88">
        <f t="shared" si="0"/>
        <v>8526.5814143333337</v>
      </c>
    </row>
    <row r="17" spans="1:6" x14ac:dyDescent="0.25">
      <c r="A17" s="86"/>
      <c r="B17" s="111" t="s">
        <v>253</v>
      </c>
      <c r="C17" s="112"/>
      <c r="D17" s="113"/>
      <c r="E17" s="114"/>
      <c r="F17" s="112">
        <f>SUM(F7:F16)</f>
        <v>54142.670601916674</v>
      </c>
    </row>
    <row r="18" spans="1:6" x14ac:dyDescent="0.25">
      <c r="A18" s="86">
        <v>2006</v>
      </c>
      <c r="B18" s="87" t="s">
        <v>227</v>
      </c>
      <c r="C18" s="88">
        <v>176605.5</v>
      </c>
      <c r="D18" s="117">
        <v>311</v>
      </c>
      <c r="E18" s="89">
        <v>2.18E-2</v>
      </c>
      <c r="F18" s="88">
        <f>ROUND((C18*E18)/12,2)</f>
        <v>320.83</v>
      </c>
    </row>
    <row r="19" spans="1:6" x14ac:dyDescent="0.25">
      <c r="A19" s="86">
        <v>2006</v>
      </c>
      <c r="B19" s="87" t="s">
        <v>227</v>
      </c>
      <c r="C19" s="88">
        <v>42033278.490000002</v>
      </c>
      <c r="D19" s="117">
        <v>312</v>
      </c>
      <c r="E19" s="86">
        <v>2.5600000000000001E-2</v>
      </c>
      <c r="F19" s="88">
        <f t="shared" ref="F19:F42" si="1">(C19*E19)/12</f>
        <v>89670.994112</v>
      </c>
    </row>
    <row r="20" spans="1:6" x14ac:dyDescent="0.25">
      <c r="A20" s="86">
        <v>2006</v>
      </c>
      <c r="B20" s="87" t="s">
        <v>227</v>
      </c>
      <c r="C20" s="88">
        <v>1529926.6099999999</v>
      </c>
      <c r="D20" s="117">
        <v>315</v>
      </c>
      <c r="E20" s="86">
        <v>2.3699999999999999E-2</v>
      </c>
      <c r="F20" s="88">
        <f t="shared" si="1"/>
        <v>3021.6050547499995</v>
      </c>
    </row>
    <row r="21" spans="1:6" x14ac:dyDescent="0.25">
      <c r="A21" s="86">
        <v>2006</v>
      </c>
      <c r="B21" s="86" t="s">
        <v>280</v>
      </c>
      <c r="C21" s="88">
        <v>496613.07</v>
      </c>
      <c r="D21" s="117">
        <v>312</v>
      </c>
      <c r="E21" s="86">
        <v>2.5600000000000001E-2</v>
      </c>
      <c r="F21" s="88">
        <f t="shared" si="1"/>
        <v>1059.4412159999999</v>
      </c>
    </row>
    <row r="22" spans="1:6" x14ac:dyDescent="0.25">
      <c r="A22" s="86">
        <v>2006</v>
      </c>
      <c r="B22" s="86" t="s">
        <v>249</v>
      </c>
      <c r="C22" s="88">
        <v>468282.66</v>
      </c>
      <c r="D22" s="117">
        <v>311</v>
      </c>
      <c r="E22" s="89">
        <v>1.7000000000000001E-2</v>
      </c>
      <c r="F22" s="88">
        <f t="shared" si="1"/>
        <v>663.40043500000002</v>
      </c>
    </row>
    <row r="23" spans="1:6" x14ac:dyDescent="0.25">
      <c r="A23" s="86">
        <v>2006</v>
      </c>
      <c r="B23" s="86" t="s">
        <v>249</v>
      </c>
      <c r="C23" s="88">
        <v>2971793.7</v>
      </c>
      <c r="D23" s="117">
        <v>312</v>
      </c>
      <c r="E23" s="86">
        <v>1.3899999999999999E-2</v>
      </c>
      <c r="F23" s="88">
        <f t="shared" si="1"/>
        <v>3442.3277025000002</v>
      </c>
    </row>
    <row r="24" spans="1:6" x14ac:dyDescent="0.25">
      <c r="A24" s="86">
        <v>2006</v>
      </c>
      <c r="B24" s="86" t="s">
        <v>237</v>
      </c>
      <c r="C24" s="88">
        <v>27584</v>
      </c>
      <c r="D24" s="117">
        <v>312</v>
      </c>
      <c r="E24" s="86">
        <v>0.1573</v>
      </c>
      <c r="F24" s="88">
        <f t="shared" si="1"/>
        <v>361.58026666666666</v>
      </c>
    </row>
    <row r="25" spans="1:6" x14ac:dyDescent="0.25">
      <c r="A25" s="86">
        <v>2006</v>
      </c>
      <c r="B25" s="86" t="s">
        <v>241</v>
      </c>
      <c r="C25" s="88">
        <v>38545</v>
      </c>
      <c r="D25" s="117">
        <v>312</v>
      </c>
      <c r="E25" s="86">
        <v>2.7799999999999998E-2</v>
      </c>
      <c r="F25" s="88">
        <f t="shared" si="1"/>
        <v>89.295916666666656</v>
      </c>
    </row>
    <row r="26" spans="1:6" x14ac:dyDescent="0.25">
      <c r="A26" s="86">
        <v>2006</v>
      </c>
      <c r="B26" s="86" t="s">
        <v>250</v>
      </c>
      <c r="C26" s="88">
        <v>20073</v>
      </c>
      <c r="D26" s="117">
        <v>312</v>
      </c>
      <c r="E26" s="86">
        <v>1.3899999999999999E-2</v>
      </c>
      <c r="F26" s="88">
        <f t="shared" si="1"/>
        <v>23.251225000000002</v>
      </c>
    </row>
    <row r="27" spans="1:6" x14ac:dyDescent="0.25">
      <c r="A27" s="86">
        <v>2006</v>
      </c>
      <c r="B27" s="86" t="s">
        <v>279</v>
      </c>
      <c r="C27" s="88">
        <v>77639</v>
      </c>
      <c r="D27" s="117">
        <v>391.3</v>
      </c>
      <c r="E27" s="86">
        <v>3.4299999999999997E-2</v>
      </c>
      <c r="F27" s="88">
        <f t="shared" si="1"/>
        <v>221.91814166666666</v>
      </c>
    </row>
    <row r="28" spans="1:6" x14ac:dyDescent="0.25">
      <c r="A28" s="86">
        <v>2006</v>
      </c>
      <c r="B28" s="91" t="s">
        <v>229</v>
      </c>
      <c r="C28" s="88">
        <v>172485.23</v>
      </c>
      <c r="D28" s="117">
        <v>312</v>
      </c>
      <c r="E28" s="86">
        <v>9.7100000000000006E-2</v>
      </c>
      <c r="F28" s="88">
        <f t="shared" si="1"/>
        <v>1395.6929860833334</v>
      </c>
    </row>
    <row r="29" spans="1:6" x14ac:dyDescent="0.25">
      <c r="A29" s="86">
        <v>2006</v>
      </c>
      <c r="B29" s="91" t="s">
        <v>230</v>
      </c>
      <c r="C29" s="88">
        <v>172485.23</v>
      </c>
      <c r="D29" s="117">
        <v>312</v>
      </c>
      <c r="E29" s="86">
        <v>0.15579999999999999</v>
      </c>
      <c r="F29" s="88">
        <f t="shared" si="1"/>
        <v>2239.4332361666666</v>
      </c>
    </row>
    <row r="30" spans="1:6" x14ac:dyDescent="0.25">
      <c r="A30" s="86">
        <v>2006</v>
      </c>
      <c r="B30" s="90" t="s">
        <v>231</v>
      </c>
      <c r="C30" s="88">
        <v>172485.23</v>
      </c>
      <c r="D30" s="117">
        <v>312</v>
      </c>
      <c r="E30" s="86">
        <v>0.1573</v>
      </c>
      <c r="F30" s="88">
        <f t="shared" si="1"/>
        <v>2260.9938899166668</v>
      </c>
    </row>
    <row r="31" spans="1:6" x14ac:dyDescent="0.25">
      <c r="A31" s="86">
        <v>2006</v>
      </c>
      <c r="B31" s="90" t="s">
        <v>232</v>
      </c>
      <c r="C31" s="88">
        <v>299141.12</v>
      </c>
      <c r="D31" s="117">
        <v>312</v>
      </c>
      <c r="E31" s="86">
        <v>2.87E-2</v>
      </c>
      <c r="F31" s="88">
        <f t="shared" si="1"/>
        <v>715.4458453333333</v>
      </c>
    </row>
    <row r="32" spans="1:6" x14ac:dyDescent="0.25">
      <c r="A32" s="86">
        <v>2006</v>
      </c>
      <c r="B32" s="90" t="s">
        <v>233</v>
      </c>
      <c r="C32" s="88">
        <v>299141.13</v>
      </c>
      <c r="D32" s="117">
        <v>312</v>
      </c>
      <c r="E32" s="86">
        <v>3.15E-2</v>
      </c>
      <c r="F32" s="88">
        <f t="shared" si="1"/>
        <v>785.24546625000005</v>
      </c>
    </row>
    <row r="33" spans="1:6" x14ac:dyDescent="0.25">
      <c r="A33" s="86">
        <v>2006</v>
      </c>
      <c r="B33" s="90" t="s">
        <v>234</v>
      </c>
      <c r="C33" s="88">
        <v>299141.13</v>
      </c>
      <c r="D33" s="117">
        <v>312</v>
      </c>
      <c r="E33" s="86">
        <v>2.9100000000000001E-2</v>
      </c>
      <c r="F33" s="88">
        <f t="shared" si="1"/>
        <v>725.41724024999996</v>
      </c>
    </row>
    <row r="34" spans="1:6" x14ac:dyDescent="0.25">
      <c r="A34" s="86">
        <v>2006</v>
      </c>
      <c r="B34" s="90" t="s">
        <v>235</v>
      </c>
      <c r="C34" s="88">
        <v>299141.13</v>
      </c>
      <c r="D34" s="117">
        <v>312</v>
      </c>
      <c r="E34" s="86">
        <v>2.7799999999999998E-2</v>
      </c>
      <c r="F34" s="88">
        <f t="shared" si="1"/>
        <v>693.01028450000001</v>
      </c>
    </row>
    <row r="35" spans="1:6" x14ac:dyDescent="0.25">
      <c r="A35" s="86">
        <v>2006</v>
      </c>
      <c r="B35" s="90" t="s">
        <v>251</v>
      </c>
      <c r="C35" s="88">
        <v>172485.23</v>
      </c>
      <c r="D35" s="117">
        <v>312</v>
      </c>
      <c r="E35" s="86">
        <v>1.3899999999999999E-2</v>
      </c>
      <c r="F35" s="88">
        <f t="shared" si="1"/>
        <v>199.79539141666666</v>
      </c>
    </row>
    <row r="36" spans="1:6" x14ac:dyDescent="0.25">
      <c r="A36" s="86">
        <v>2006</v>
      </c>
      <c r="B36" s="90" t="s">
        <v>238</v>
      </c>
      <c r="C36" s="88">
        <v>72995</v>
      </c>
      <c r="D36" s="117">
        <v>312</v>
      </c>
      <c r="E36" s="86">
        <v>2.87E-2</v>
      </c>
      <c r="F36" s="88">
        <f t="shared" si="1"/>
        <v>174.57970833333331</v>
      </c>
    </row>
    <row r="37" spans="1:6" x14ac:dyDescent="0.25">
      <c r="A37" s="86">
        <v>2006</v>
      </c>
      <c r="B37" s="90" t="s">
        <v>239</v>
      </c>
      <c r="C37" s="88">
        <v>86735</v>
      </c>
      <c r="D37" s="117">
        <v>312</v>
      </c>
      <c r="E37" s="86">
        <v>3.15E-2</v>
      </c>
      <c r="F37" s="88">
        <f t="shared" si="1"/>
        <v>227.67937500000002</v>
      </c>
    </row>
    <row r="38" spans="1:6" x14ac:dyDescent="0.25">
      <c r="A38" s="86">
        <v>2006</v>
      </c>
      <c r="B38" s="90" t="s">
        <v>240</v>
      </c>
      <c r="C38" s="88">
        <v>87746</v>
      </c>
      <c r="D38" s="117">
        <v>312</v>
      </c>
      <c r="E38" s="86">
        <v>2.9100000000000001E-2</v>
      </c>
      <c r="F38" s="88">
        <f t="shared" si="1"/>
        <v>212.78405000000001</v>
      </c>
    </row>
    <row r="39" spans="1:6" x14ac:dyDescent="0.25">
      <c r="A39" s="86">
        <v>2006</v>
      </c>
      <c r="B39" s="90" t="s">
        <v>248</v>
      </c>
      <c r="C39" s="88">
        <v>149675</v>
      </c>
      <c r="D39" s="117">
        <v>312</v>
      </c>
      <c r="E39" s="86">
        <v>2.7799999999999998E-2</v>
      </c>
      <c r="F39" s="88">
        <f t="shared" si="1"/>
        <v>346.74708333333336</v>
      </c>
    </row>
    <row r="40" spans="1:6" x14ac:dyDescent="0.25">
      <c r="A40" s="86"/>
      <c r="B40" s="115" t="s">
        <v>254</v>
      </c>
      <c r="C40" s="112"/>
      <c r="D40" s="116"/>
      <c r="E40" s="113"/>
      <c r="F40" s="112">
        <f>SUM(F18:F39)</f>
        <v>108851.46862683336</v>
      </c>
    </row>
    <row r="41" spans="1:6" x14ac:dyDescent="0.25">
      <c r="A41" s="86">
        <v>2009</v>
      </c>
      <c r="B41" s="90" t="s">
        <v>228</v>
      </c>
      <c r="C41" s="88">
        <v>7586250.2599999998</v>
      </c>
      <c r="D41" s="117">
        <v>311</v>
      </c>
      <c r="E41" s="86">
        <v>2.18E-2</v>
      </c>
      <c r="F41" s="88">
        <f t="shared" si="1"/>
        <v>13781.687972333333</v>
      </c>
    </row>
    <row r="42" spans="1:6" x14ac:dyDescent="0.25">
      <c r="A42" s="86">
        <v>2009</v>
      </c>
      <c r="B42" s="90" t="s">
        <v>228</v>
      </c>
      <c r="C42" s="88">
        <v>2008096.85</v>
      </c>
      <c r="D42" s="117">
        <v>312</v>
      </c>
      <c r="E42" s="86">
        <v>2.5600000000000001E-2</v>
      </c>
      <c r="F42" s="88">
        <f t="shared" si="1"/>
        <v>4283.9399466666673</v>
      </c>
    </row>
    <row r="43" spans="1:6" x14ac:dyDescent="0.25">
      <c r="A43" s="86"/>
      <c r="B43" s="115" t="s">
        <v>255</v>
      </c>
      <c r="C43" s="112"/>
      <c r="D43" s="116"/>
      <c r="E43" s="113"/>
      <c r="F43" s="112">
        <f>F41+F42</f>
        <v>18065.627918999999</v>
      </c>
    </row>
  </sheetData>
  <sortState ref="A7:H58">
    <sortCondition ref="B7:B58"/>
    <sortCondition ref="D7:D58"/>
    <sortCondition ref="A7:A58"/>
  </sortState>
  <mergeCells count="3">
    <mergeCell ref="A1:F1"/>
    <mergeCell ref="A2:F2"/>
    <mergeCell ref="A3:F3"/>
  </mergeCells>
  <conditionalFormatting sqref="E6 B6:B65520">
    <cfRule type="cellIs" dxfId="1" priority="4" stopIfTrue="1" operator="equal">
      <formula>0</formula>
    </cfRule>
  </conditionalFormatting>
  <printOptions horizontalCentered="1"/>
  <pageMargins left="1.25" right="0.2" top="1.25" bottom="0.75" header="0.3" footer="0.3"/>
  <pageSetup scale="80" orientation="portrait" r:id="rId1"/>
  <headerFooter>
    <oddHeader>&amp;R&amp;"Times New Roman,Bold"&amp;12Attachment to Response to LGE PSC-2 Question No. 64(b)
Page &amp;P of &amp;N
Charnas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="89" zoomScaleNormal="89" workbookViewId="0">
      <pane ySplit="6" topLeftCell="A7" activePane="bottomLeft" state="frozen"/>
      <selection activeCell="A15" sqref="A15"/>
      <selection pane="bottomLeft" activeCell="E16" sqref="E16"/>
    </sheetView>
  </sheetViews>
  <sheetFormatPr defaultColWidth="9.140625" defaultRowHeight="15.75" x14ac:dyDescent="0.25"/>
  <cols>
    <col min="1" max="1" width="7" style="2" customWidth="1"/>
    <col min="2" max="2" width="43" style="2" bestFit="1" customWidth="1"/>
    <col min="3" max="3" width="19.42578125" style="119" customWidth="1"/>
    <col min="4" max="4" width="12.5703125" style="2" customWidth="1"/>
    <col min="5" max="5" width="12.140625" style="2" customWidth="1"/>
    <col min="6" max="6" width="18.28515625" style="2" customWidth="1"/>
    <col min="7" max="16384" width="9.140625" style="2"/>
  </cols>
  <sheetData>
    <row r="1" spans="1:6" x14ac:dyDescent="0.25">
      <c r="A1" s="160" t="s">
        <v>12</v>
      </c>
      <c r="B1" s="160"/>
      <c r="C1" s="160"/>
      <c r="D1" s="160"/>
      <c r="E1" s="160"/>
      <c r="F1" s="160"/>
    </row>
    <row r="2" spans="1:6" x14ac:dyDescent="0.25">
      <c r="A2" s="160" t="s">
        <v>299</v>
      </c>
      <c r="B2" s="160"/>
      <c r="C2" s="160"/>
      <c r="D2" s="160"/>
      <c r="E2" s="160"/>
      <c r="F2" s="160"/>
    </row>
    <row r="3" spans="1:6" x14ac:dyDescent="0.25">
      <c r="A3" s="165">
        <v>40999</v>
      </c>
      <c r="B3" s="165"/>
      <c r="C3" s="165"/>
      <c r="D3" s="165"/>
      <c r="E3" s="165"/>
      <c r="F3" s="165"/>
    </row>
    <row r="5" spans="1:6" ht="15.75" customHeight="1" x14ac:dyDescent="0.25"/>
    <row r="6" spans="1:6" s="85" customFormat="1" ht="49.5" customHeight="1" x14ac:dyDescent="0.25">
      <c r="A6" s="81" t="s">
        <v>209</v>
      </c>
      <c r="B6" s="81" t="s">
        <v>210</v>
      </c>
      <c r="C6" s="82" t="s">
        <v>211</v>
      </c>
      <c r="D6" s="81" t="s">
        <v>207</v>
      </c>
      <c r="E6" s="83" t="s">
        <v>217</v>
      </c>
      <c r="F6" s="84" t="s">
        <v>214</v>
      </c>
    </row>
    <row r="7" spans="1:6" x14ac:dyDescent="0.25">
      <c r="A7" s="86">
        <v>2005</v>
      </c>
      <c r="B7" s="86" t="s">
        <v>247</v>
      </c>
      <c r="C7" s="88">
        <v>100000</v>
      </c>
      <c r="D7" s="117">
        <v>310.2</v>
      </c>
      <c r="E7" s="89">
        <v>0</v>
      </c>
      <c r="F7" s="88">
        <f t="shared" ref="F7:F16" si="0">(C7*E7)/12</f>
        <v>0</v>
      </c>
    </row>
    <row r="8" spans="1:6" x14ac:dyDescent="0.25">
      <c r="A8" s="86">
        <v>2005</v>
      </c>
      <c r="B8" s="86" t="s">
        <v>247</v>
      </c>
      <c r="C8" s="88">
        <v>3036367.19</v>
      </c>
      <c r="D8" s="117">
        <v>311</v>
      </c>
      <c r="E8" s="148">
        <f>'KIUC Adjust LGE Annualized Depr'!E32</f>
        <v>1.4974766568775093E-2</v>
      </c>
      <c r="F8" s="88">
        <f t="shared" si="0"/>
        <v>3789.0741572781312</v>
      </c>
    </row>
    <row r="9" spans="1:6" x14ac:dyDescent="0.25">
      <c r="A9" s="86">
        <v>2005</v>
      </c>
      <c r="B9" s="86" t="s">
        <v>247</v>
      </c>
      <c r="C9" s="88">
        <v>1587131.44</v>
      </c>
      <c r="D9" s="117">
        <v>312</v>
      </c>
      <c r="E9" s="148">
        <f>'KIUC Adjust LGE Annualized Depr'!E58</f>
        <v>2.0945647426202144E-2</v>
      </c>
      <c r="F9" s="88">
        <f t="shared" si="0"/>
        <v>2770.2912967733751</v>
      </c>
    </row>
    <row r="10" spans="1:6" x14ac:dyDescent="0.25">
      <c r="A10" s="86">
        <v>2005</v>
      </c>
      <c r="B10" s="86" t="s">
        <v>244</v>
      </c>
      <c r="C10" s="88">
        <v>94931</v>
      </c>
      <c r="D10" s="117">
        <v>312</v>
      </c>
      <c r="E10" s="153">
        <f>'KIUC Adjust LGE Annualized Depr'!E59</f>
        <v>2.0945647426202144E-2</v>
      </c>
      <c r="F10" s="88">
        <f t="shared" si="0"/>
        <v>165.69927131806631</v>
      </c>
    </row>
    <row r="11" spans="1:6" x14ac:dyDescent="0.25">
      <c r="A11" s="86">
        <v>2005</v>
      </c>
      <c r="B11" s="86" t="s">
        <v>236</v>
      </c>
      <c r="C11" s="88">
        <v>2462471.5</v>
      </c>
      <c r="D11" s="117">
        <v>311</v>
      </c>
      <c r="E11" s="153">
        <f>'KIUC Adjust LGE Annualized Depr'!E24</f>
        <v>1.4974766568775093E-2</v>
      </c>
      <c r="F11" s="88">
        <f t="shared" si="0"/>
        <v>3072.9113245634549</v>
      </c>
    </row>
    <row r="12" spans="1:6" x14ac:dyDescent="0.25">
      <c r="A12" s="86">
        <v>2005</v>
      </c>
      <c r="B12" s="86" t="s">
        <v>236</v>
      </c>
      <c r="C12" s="88">
        <v>144456.79999999999</v>
      </c>
      <c r="D12" s="117">
        <v>312</v>
      </c>
      <c r="E12" s="148">
        <f>'KIUC Adjust LGE Annualized Depr'!E48</f>
        <v>2.0945647426202144E-2</v>
      </c>
      <c r="F12" s="88">
        <f t="shared" si="0"/>
        <v>252.1451000931165</v>
      </c>
    </row>
    <row r="13" spans="1:6" x14ac:dyDescent="0.25">
      <c r="A13" s="86">
        <v>2005</v>
      </c>
      <c r="B13" s="86" t="s">
        <v>243</v>
      </c>
      <c r="C13" s="88">
        <v>2988137</v>
      </c>
      <c r="D13" s="117">
        <v>312</v>
      </c>
      <c r="E13" s="148">
        <f>'KIUC Adjust LGE Annualized Depr'!E49</f>
        <v>2.0945647426202144E-2</v>
      </c>
      <c r="F13" s="88">
        <f t="shared" si="0"/>
        <v>5215.7053385991167</v>
      </c>
    </row>
    <row r="14" spans="1:6" x14ac:dyDescent="0.25">
      <c r="A14" s="86">
        <v>2005</v>
      </c>
      <c r="B14" s="86" t="s">
        <v>245</v>
      </c>
      <c r="C14" s="88">
        <v>850100.28</v>
      </c>
      <c r="D14" s="117">
        <v>312</v>
      </c>
      <c r="E14" s="148">
        <f>'KIUC Adjust LGE Annualized Depr'!E61</f>
        <v>2.0945647426202144E-2</v>
      </c>
      <c r="F14" s="88">
        <f t="shared" si="0"/>
        <v>1483.8250618163102</v>
      </c>
    </row>
    <row r="15" spans="1:6" x14ac:dyDescent="0.25">
      <c r="A15" s="86">
        <v>2005</v>
      </c>
      <c r="B15" s="86" t="s">
        <v>242</v>
      </c>
      <c r="C15" s="88">
        <v>308507.28000000003</v>
      </c>
      <c r="D15" s="117">
        <v>312</v>
      </c>
      <c r="E15" s="148">
        <f>'KIUC Adjust LGE Annualized Depr'!E49</f>
        <v>2.0945647426202144E-2</v>
      </c>
      <c r="F15" s="88">
        <f t="shared" si="0"/>
        <v>538.49039294138538</v>
      </c>
    </row>
    <row r="16" spans="1:6" x14ac:dyDescent="0.25">
      <c r="A16" s="86">
        <v>2005</v>
      </c>
      <c r="B16" s="87" t="s">
        <v>246</v>
      </c>
      <c r="C16" s="88">
        <v>7361077.4800000004</v>
      </c>
      <c r="D16" s="117">
        <v>312</v>
      </c>
      <c r="E16" s="153">
        <f>'KIUC Adjust LGE Annualized Depr'!E61</f>
        <v>2.0945647426202144E-2</v>
      </c>
      <c r="F16" s="88">
        <f t="shared" si="0"/>
        <v>12848.544464419714</v>
      </c>
    </row>
    <row r="17" spans="1:7" x14ac:dyDescent="0.25">
      <c r="A17" s="86"/>
      <c r="B17" s="111" t="s">
        <v>253</v>
      </c>
      <c r="C17" s="112"/>
      <c r="D17" s="113"/>
      <c r="E17" s="114"/>
      <c r="F17" s="112">
        <f>SUM(F7:F16)</f>
        <v>30136.68640780267</v>
      </c>
    </row>
    <row r="18" spans="1:7" x14ac:dyDescent="0.25">
      <c r="A18" s="86">
        <v>2006</v>
      </c>
      <c r="B18" s="87" t="s">
        <v>227</v>
      </c>
      <c r="C18" s="88">
        <v>176605.5</v>
      </c>
      <c r="D18" s="117">
        <v>311</v>
      </c>
      <c r="E18" s="153">
        <f>'KIUC Adjust LGE Annualized Depr'!E36</f>
        <v>1.4974766568775093E-2</v>
      </c>
      <c r="F18" s="88">
        <f>ROUND((C18*E18)/12,2)</f>
        <v>220.39</v>
      </c>
    </row>
    <row r="19" spans="1:7" x14ac:dyDescent="0.25">
      <c r="A19" s="86">
        <v>2006</v>
      </c>
      <c r="B19" s="87" t="s">
        <v>227</v>
      </c>
      <c r="C19" s="88">
        <v>42033278.490000002</v>
      </c>
      <c r="D19" s="117">
        <v>312</v>
      </c>
      <c r="E19" s="148">
        <f>'KIUC Adjust LGE Annualized Depr'!E63</f>
        <v>2.0945647426202144E-2</v>
      </c>
      <c r="F19" s="88">
        <f t="shared" ref="F19:F42" si="1">(C19*E19)/12</f>
        <v>73367.852618242207</v>
      </c>
    </row>
    <row r="20" spans="1:7" x14ac:dyDescent="0.25">
      <c r="A20" s="86">
        <v>2006</v>
      </c>
      <c r="B20" s="87" t="s">
        <v>227</v>
      </c>
      <c r="C20" s="88">
        <v>1529926.6099999999</v>
      </c>
      <c r="D20" s="117">
        <v>315</v>
      </c>
      <c r="E20" s="148">
        <f>'KIUC Adjust LGE Annualized Depr'!E99</f>
        <v>1.21891860324985E-2</v>
      </c>
      <c r="F20" s="88">
        <f t="shared" si="1"/>
        <v>1554.046672113315</v>
      </c>
    </row>
    <row r="21" spans="1:7" x14ac:dyDescent="0.25">
      <c r="A21" s="86">
        <v>2006</v>
      </c>
      <c r="B21" s="86" t="s">
        <v>280</v>
      </c>
      <c r="C21" s="88">
        <v>496613.07</v>
      </c>
      <c r="D21" s="117">
        <v>312</v>
      </c>
      <c r="E21" s="148">
        <f>'KIUC Adjust LGE Annualized Depr'!E63</f>
        <v>2.0945647426202144E-2</v>
      </c>
      <c r="F21" s="88">
        <f t="shared" si="1"/>
        <v>866.82352262198719</v>
      </c>
    </row>
    <row r="22" spans="1:7" x14ac:dyDescent="0.25">
      <c r="A22" s="86">
        <v>2006</v>
      </c>
      <c r="B22" s="86" t="s">
        <v>249</v>
      </c>
      <c r="C22" s="88">
        <v>468282.66</v>
      </c>
      <c r="D22" s="117">
        <v>311</v>
      </c>
      <c r="E22" s="153">
        <f>'KIUC Adjust LGE Annualized Depr'!E34</f>
        <v>1.4974766568775093E-2</v>
      </c>
      <c r="F22" s="88">
        <f t="shared" si="1"/>
        <v>584.36862680875618</v>
      </c>
    </row>
    <row r="23" spans="1:7" x14ac:dyDescent="0.25">
      <c r="A23" s="86">
        <v>2006</v>
      </c>
      <c r="B23" s="86" t="s">
        <v>249</v>
      </c>
      <c r="C23" s="88">
        <v>2971793.7</v>
      </c>
      <c r="D23" s="117">
        <v>312</v>
      </c>
      <c r="E23" s="148">
        <f>'KIUC Adjust LGE Annualized Depr'!E61</f>
        <v>2.0945647426202144E-2</v>
      </c>
      <c r="F23" s="88">
        <f t="shared" si="1"/>
        <v>5187.1785886340631</v>
      </c>
    </row>
    <row r="24" spans="1:7" x14ac:dyDescent="0.25">
      <c r="A24" s="86">
        <v>2006</v>
      </c>
      <c r="B24" s="86" t="s">
        <v>237</v>
      </c>
      <c r="C24" s="88">
        <v>27584</v>
      </c>
      <c r="D24" s="117">
        <v>312</v>
      </c>
      <c r="E24" s="148">
        <f>'KIUC Adjust LGE Annualized Depr'!E48</f>
        <v>2.0945647426202144E-2</v>
      </c>
      <c r="F24" s="88">
        <f t="shared" si="1"/>
        <v>48.147061550363333</v>
      </c>
      <c r="G24" s="149"/>
    </row>
    <row r="25" spans="1:7" x14ac:dyDescent="0.25">
      <c r="A25" s="86">
        <v>2006</v>
      </c>
      <c r="B25" s="86" t="s">
        <v>241</v>
      </c>
      <c r="C25" s="88">
        <v>38545</v>
      </c>
      <c r="D25" s="117">
        <v>312</v>
      </c>
      <c r="E25" s="148">
        <f>'KIUC Adjust LGE Annualized Depr'!E58</f>
        <v>2.0945647426202144E-2</v>
      </c>
      <c r="F25" s="88">
        <f t="shared" si="1"/>
        <v>67.279165003580133</v>
      </c>
    </row>
    <row r="26" spans="1:7" x14ac:dyDescent="0.25">
      <c r="A26" s="86">
        <v>2006</v>
      </c>
      <c r="B26" s="86" t="s">
        <v>250</v>
      </c>
      <c r="C26" s="88">
        <v>20073</v>
      </c>
      <c r="D26" s="117">
        <v>312</v>
      </c>
      <c r="E26" s="148">
        <f>'KIUC Adjust LGE Annualized Depr'!E61</f>
        <v>2.0945647426202144E-2</v>
      </c>
      <c r="F26" s="88">
        <f t="shared" si="1"/>
        <v>35.036831732179635</v>
      </c>
    </row>
    <row r="27" spans="1:7" x14ac:dyDescent="0.25">
      <c r="A27" s="86">
        <v>2006</v>
      </c>
      <c r="B27" s="86" t="s">
        <v>279</v>
      </c>
      <c r="C27" s="88">
        <v>77639</v>
      </c>
      <c r="D27" s="117">
        <v>391.3</v>
      </c>
      <c r="E27" s="148">
        <f>'KIUC Adjust LGE Annualized Depr'!E381</f>
        <v>3.4299999999999997E-2</v>
      </c>
      <c r="F27" s="88">
        <f t="shared" si="1"/>
        <v>221.91814166666666</v>
      </c>
    </row>
    <row r="28" spans="1:7" x14ac:dyDescent="0.25">
      <c r="A28" s="86">
        <v>2006</v>
      </c>
      <c r="B28" s="91" t="s">
        <v>229</v>
      </c>
      <c r="C28" s="88">
        <v>172485.23</v>
      </c>
      <c r="D28" s="117">
        <v>312</v>
      </c>
      <c r="E28" s="148">
        <f>'KIUC Adjust LGE Annualized Depr'!E44</f>
        <v>2.0945647426202144E-2</v>
      </c>
      <c r="F28" s="88">
        <f t="shared" si="1"/>
        <v>301.06790115061546</v>
      </c>
    </row>
    <row r="29" spans="1:7" x14ac:dyDescent="0.25">
      <c r="A29" s="86">
        <v>2006</v>
      </c>
      <c r="B29" s="91" t="s">
        <v>230</v>
      </c>
      <c r="C29" s="88">
        <v>172485.23</v>
      </c>
      <c r="D29" s="117">
        <v>312</v>
      </c>
      <c r="E29" s="148">
        <f>'KIUC Adjust LGE Annualized Depr'!E46</f>
        <v>2.0945647426202144E-2</v>
      </c>
      <c r="F29" s="88">
        <f t="shared" si="1"/>
        <v>301.06790115061546</v>
      </c>
    </row>
    <row r="30" spans="1:7" x14ac:dyDescent="0.25">
      <c r="A30" s="86">
        <v>2006</v>
      </c>
      <c r="B30" s="90" t="s">
        <v>231</v>
      </c>
      <c r="C30" s="88">
        <v>172485.23</v>
      </c>
      <c r="D30" s="117">
        <v>312</v>
      </c>
      <c r="E30" s="148">
        <f>'KIUC Adjust LGE Annualized Depr'!E48</f>
        <v>2.0945647426202144E-2</v>
      </c>
      <c r="F30" s="88">
        <f t="shared" si="1"/>
        <v>301.06790115061546</v>
      </c>
    </row>
    <row r="31" spans="1:7" x14ac:dyDescent="0.25">
      <c r="A31" s="86">
        <v>2006</v>
      </c>
      <c r="B31" s="90" t="s">
        <v>232</v>
      </c>
      <c r="C31" s="88">
        <v>299141.12</v>
      </c>
      <c r="D31" s="117">
        <v>312</v>
      </c>
      <c r="E31" s="148">
        <f>'KIUC Adjust LGE Annualized Depr'!E52</f>
        <v>2.0945647426202144E-2</v>
      </c>
      <c r="F31" s="88">
        <f t="shared" si="1"/>
        <v>522.1420358499355</v>
      </c>
    </row>
    <row r="32" spans="1:7" x14ac:dyDescent="0.25">
      <c r="A32" s="86">
        <v>2006</v>
      </c>
      <c r="B32" s="90" t="s">
        <v>233</v>
      </c>
      <c r="C32" s="88">
        <v>299141.13</v>
      </c>
      <c r="D32" s="117">
        <v>312</v>
      </c>
      <c r="E32" s="148">
        <f>'KIUC Adjust LGE Annualized Depr'!E54</f>
        <v>2.0945647426202144E-2</v>
      </c>
      <c r="F32" s="88">
        <f t="shared" si="1"/>
        <v>522.14205330464176</v>
      </c>
    </row>
    <row r="33" spans="1:6" x14ac:dyDescent="0.25">
      <c r="A33" s="86">
        <v>2006</v>
      </c>
      <c r="B33" s="90" t="s">
        <v>234</v>
      </c>
      <c r="C33" s="88">
        <v>299141.13</v>
      </c>
      <c r="D33" s="117">
        <v>312</v>
      </c>
      <c r="E33" s="148">
        <f>'KIUC Adjust LGE Annualized Depr'!E56</f>
        <v>2.0945647426202144E-2</v>
      </c>
      <c r="F33" s="88">
        <f t="shared" si="1"/>
        <v>522.14205330464176</v>
      </c>
    </row>
    <row r="34" spans="1:6" x14ac:dyDescent="0.25">
      <c r="A34" s="86">
        <v>2006</v>
      </c>
      <c r="B34" s="90" t="s">
        <v>235</v>
      </c>
      <c r="C34" s="88">
        <v>299141.13</v>
      </c>
      <c r="D34" s="117">
        <v>312</v>
      </c>
      <c r="E34" s="148">
        <f>'KIUC Adjust LGE Annualized Depr'!E58</f>
        <v>2.0945647426202144E-2</v>
      </c>
      <c r="F34" s="88">
        <f t="shared" si="1"/>
        <v>522.14205330464176</v>
      </c>
    </row>
    <row r="35" spans="1:6" x14ac:dyDescent="0.25">
      <c r="A35" s="86">
        <v>2006</v>
      </c>
      <c r="B35" s="90" t="s">
        <v>251</v>
      </c>
      <c r="C35" s="88">
        <v>172485.23</v>
      </c>
      <c r="D35" s="117">
        <v>312</v>
      </c>
      <c r="E35" s="148">
        <f>'KIUC Adjust LGE Annualized Depr'!E61</f>
        <v>2.0945647426202144E-2</v>
      </c>
      <c r="F35" s="88">
        <f t="shared" si="1"/>
        <v>301.06790115061546</v>
      </c>
    </row>
    <row r="36" spans="1:6" x14ac:dyDescent="0.25">
      <c r="A36" s="86">
        <v>2006</v>
      </c>
      <c r="B36" s="90" t="s">
        <v>238</v>
      </c>
      <c r="C36" s="88">
        <v>72995</v>
      </c>
      <c r="D36" s="117">
        <v>312</v>
      </c>
      <c r="E36" s="148">
        <f>'KIUC Adjust LGE Annualized Depr'!E52</f>
        <v>2.0945647426202144E-2</v>
      </c>
      <c r="F36" s="88">
        <f t="shared" si="1"/>
        <v>127.41062782296881</v>
      </c>
    </row>
    <row r="37" spans="1:6" x14ac:dyDescent="0.25">
      <c r="A37" s="86">
        <v>2006</v>
      </c>
      <c r="B37" s="90" t="s">
        <v>239</v>
      </c>
      <c r="C37" s="88">
        <v>86735</v>
      </c>
      <c r="D37" s="117">
        <v>312</v>
      </c>
      <c r="E37" s="148">
        <f>'KIUC Adjust LGE Annualized Depr'!E54</f>
        <v>2.0945647426202144E-2</v>
      </c>
      <c r="F37" s="88">
        <f t="shared" si="1"/>
        <v>151.39339412597025</v>
      </c>
    </row>
    <row r="38" spans="1:6" x14ac:dyDescent="0.25">
      <c r="A38" s="86">
        <v>2006</v>
      </c>
      <c r="B38" s="90" t="s">
        <v>240</v>
      </c>
      <c r="C38" s="88">
        <v>87746</v>
      </c>
      <c r="D38" s="117">
        <v>312</v>
      </c>
      <c r="E38" s="148">
        <f>'KIUC Adjust LGE Annualized Depr'!E56</f>
        <v>2.0945647426202144E-2</v>
      </c>
      <c r="F38" s="88">
        <f t="shared" si="1"/>
        <v>153.15806492162778</v>
      </c>
    </row>
    <row r="39" spans="1:6" x14ac:dyDescent="0.25">
      <c r="A39" s="86">
        <v>2006</v>
      </c>
      <c r="B39" s="90" t="s">
        <v>248</v>
      </c>
      <c r="C39" s="88">
        <v>149675</v>
      </c>
      <c r="D39" s="117">
        <v>312</v>
      </c>
      <c r="E39" s="148">
        <f>'KIUC Adjust LGE Annualized Depr'!E58</f>
        <v>2.0945647426202144E-2</v>
      </c>
      <c r="F39" s="88">
        <f t="shared" si="1"/>
        <v>261.25331487640051</v>
      </c>
    </row>
    <row r="40" spans="1:6" x14ac:dyDescent="0.25">
      <c r="A40" s="86"/>
      <c r="B40" s="115" t="s">
        <v>254</v>
      </c>
      <c r="C40" s="112"/>
      <c r="D40" s="116"/>
      <c r="E40" s="113"/>
      <c r="F40" s="112">
        <f>SUM(F18:F39)</f>
        <v>86139.096430486446</v>
      </c>
    </row>
    <row r="41" spans="1:6" x14ac:dyDescent="0.25">
      <c r="A41" s="86">
        <v>2009</v>
      </c>
      <c r="B41" s="90" t="s">
        <v>228</v>
      </c>
      <c r="C41" s="88">
        <v>7586250.2599999998</v>
      </c>
      <c r="D41" s="117">
        <v>311</v>
      </c>
      <c r="E41" s="148">
        <f>'KIUC Adjust LGE Annualized Depr'!E36</f>
        <v>1.4974766568775093E-2</v>
      </c>
      <c r="F41" s="88">
        <f t="shared" si="1"/>
        <v>9466.8605646507804</v>
      </c>
    </row>
    <row r="42" spans="1:6" x14ac:dyDescent="0.25">
      <c r="A42" s="86">
        <v>2009</v>
      </c>
      <c r="B42" s="90" t="s">
        <v>228</v>
      </c>
      <c r="C42" s="88">
        <v>2008096.85</v>
      </c>
      <c r="D42" s="117">
        <v>312</v>
      </c>
      <c r="E42" s="148">
        <f>'KIUC Adjust LGE Annualized Depr'!E63</f>
        <v>2.0945647426202144E-2</v>
      </c>
      <c r="F42" s="88">
        <f t="shared" si="1"/>
        <v>3505.0740514805948</v>
      </c>
    </row>
    <row r="43" spans="1:6" x14ac:dyDescent="0.25">
      <c r="A43" s="86"/>
      <c r="B43" s="115" t="s">
        <v>255</v>
      </c>
      <c r="C43" s="112"/>
      <c r="D43" s="116"/>
      <c r="E43" s="113"/>
      <c r="F43" s="112">
        <f>F41+F42</f>
        <v>12971.934616131375</v>
      </c>
    </row>
  </sheetData>
  <mergeCells count="3">
    <mergeCell ref="A1:F1"/>
    <mergeCell ref="A2:F2"/>
    <mergeCell ref="A3:F3"/>
  </mergeCells>
  <conditionalFormatting sqref="E6 B6:B65520">
    <cfRule type="cellIs" dxfId="0" priority="1" stopIfTrue="1" operator="equal">
      <formula>0</formula>
    </cfRule>
  </conditionalFormatting>
  <printOptions horizontalCentered="1"/>
  <pageMargins left="0.5" right="0.7" top="1.25" bottom="0.75" header="0.55000000000000004" footer="0.3"/>
  <pageSetup scale="72" orientation="portrait" r:id="rId1"/>
  <headerFooter>
    <oddHeader>&amp;R&amp;14Exhibit___(LK-22-C)
Page 14 of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LGE 1.12</vt:lpstr>
      <vt:lpstr>LGE Annualized Depr</vt:lpstr>
      <vt:lpstr>KIUC Adjust LGE Annualized Depr</vt:lpstr>
      <vt:lpstr>ECR Annual Depr</vt:lpstr>
      <vt:lpstr>As FiledECR Proposed Depr Rates</vt:lpstr>
      <vt:lpstr>KIUC ECR Proposed Depr Rates</vt:lpstr>
      <vt:lpstr>'KIUC Adjust LGE Annualized Depr'!Print_Titles</vt:lpstr>
      <vt:lpstr>'LGE Annualized Depr'!Print_Titles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2012-09-19T13:53:12Z</dcterms:created>
  <dcterms:modified xsi:type="dcterms:W3CDTF">2012-10-02T19:08:21Z</dcterms:modified>
</cp:coreProperties>
</file>