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55" windowHeight="8955" activeTab="0"/>
  </bookViews>
  <sheets>
    <sheet name="Tab1-3" sheetId="1" r:id="rId1"/>
    <sheet name="2012-1K" sheetId="2" r:id="rId2"/>
    <sheet name="CT-Hrs2010" sheetId="3" r:id="rId3"/>
  </sheets>
  <definedNames/>
  <calcPr fullCalcOnLoad="1"/>
</workbook>
</file>

<file path=xl/comments2.xml><?xml version="1.0" encoding="utf-8"?>
<comments xmlns="http://schemas.openxmlformats.org/spreadsheetml/2006/main">
  <authors>
    <author>Dennis Goins</author>
  </authors>
  <commentList>
    <comment ref="V10" authorId="0">
      <text>
        <r>
          <rPr>
            <b/>
            <sz val="8"/>
            <rFont val="Tahoma"/>
            <family val="0"/>
          </rPr>
          <t>Dennis Goins:</t>
        </r>
        <r>
          <rPr>
            <sz val="8"/>
            <rFont val="Tahoma"/>
            <family val="0"/>
          </rPr>
          <t xml:space="preserve">
kW billing</t>
        </r>
      </text>
    </comment>
    <comment ref="V13" authorId="0">
      <text>
        <r>
          <rPr>
            <b/>
            <sz val="8"/>
            <rFont val="Tahoma"/>
            <family val="0"/>
          </rPr>
          <t>Dennis Goins:</t>
        </r>
        <r>
          <rPr>
            <sz val="8"/>
            <rFont val="Tahoma"/>
            <family val="0"/>
          </rPr>
          <t xml:space="preserve">
kVA billing</t>
        </r>
      </text>
    </comment>
  </commentList>
</comments>
</file>

<file path=xl/sharedStrings.xml><?xml version="1.0" encoding="utf-8"?>
<sst xmlns="http://schemas.openxmlformats.org/spreadsheetml/2006/main" count="124" uniqueCount="65">
  <si>
    <t>Primary</t>
  </si>
  <si>
    <t>Transmission</t>
  </si>
  <si>
    <t>kW</t>
  </si>
  <si>
    <t>KU</t>
  </si>
  <si>
    <t>Brown</t>
  </si>
  <si>
    <t>Paddy's Run 13</t>
  </si>
  <si>
    <t>Haefling</t>
  </si>
  <si>
    <t>Trimble County</t>
  </si>
  <si>
    <t>LG&amp;E</t>
  </si>
  <si>
    <t>Paddy's Run</t>
  </si>
  <si>
    <t>Cane Run</t>
  </si>
  <si>
    <t>Zorn</t>
  </si>
  <si>
    <t>Hrs</t>
  </si>
  <si>
    <t>Wtd Hrs</t>
  </si>
  <si>
    <t>MW</t>
  </si>
  <si>
    <t>Hrs = hours connected to load</t>
  </si>
  <si>
    <t>KU and LG&amp;E CT Data</t>
  </si>
  <si>
    <t>MW = net continuous capability (MW)</t>
  </si>
  <si>
    <t>Plant</t>
  </si>
  <si>
    <t>Total</t>
  </si>
  <si>
    <t>Source:  KU and LGE 2007 and 2008 FERC Form 1 beginning at 402.</t>
  </si>
  <si>
    <t>CSR10</t>
  </si>
  <si>
    <t>CSR30</t>
  </si>
  <si>
    <t>Curtailment Hours</t>
  </si>
  <si>
    <t>Physical</t>
  </si>
  <si>
    <t>Buy-Through</t>
  </si>
  <si>
    <t>Notice (minutes)</t>
  </si>
  <si>
    <t>Customers</t>
  </si>
  <si>
    <t>Credit ($/kW-mo)</t>
  </si>
  <si>
    <t>Item</t>
  </si>
  <si>
    <t>Rate</t>
  </si>
  <si>
    <t>PS-Pri</t>
  </si>
  <si>
    <t>Unit</t>
  </si>
  <si>
    <t>KW</t>
  </si>
  <si>
    <t>Summer</t>
  </si>
  <si>
    <t>Winter</t>
  </si>
  <si>
    <t>Avg</t>
  </si>
  <si>
    <t>Present</t>
  </si>
  <si>
    <t>Proposed</t>
  </si>
  <si>
    <t>Weights</t>
  </si>
  <si>
    <t>KU_pres</t>
  </si>
  <si>
    <t>KU_prop</t>
  </si>
  <si>
    <t>CSR/Firm Ratio</t>
  </si>
  <si>
    <t>Pri</t>
  </si>
  <si>
    <t>Tran</t>
  </si>
  <si>
    <t>Change</t>
  </si>
  <si>
    <t>TODP</t>
  </si>
  <si>
    <t>kVA</t>
  </si>
  <si>
    <t>RTS</t>
  </si>
  <si>
    <t>FLS-Pri</t>
  </si>
  <si>
    <t>FLS-Tra</t>
  </si>
  <si>
    <t>Target Ratio</t>
  </si>
  <si>
    <t>Implied CSR @ Target</t>
  </si>
  <si>
    <t>Trans</t>
  </si>
  <si>
    <t>Voltage</t>
  </si>
  <si>
    <t>Increase</t>
  </si>
  <si>
    <t>Prop</t>
  </si>
  <si>
    <t>Pres</t>
  </si>
  <si>
    <t>Chng</t>
  </si>
  <si>
    <t>Table 2.  KU/LG&amp;E:  Proposed CSR Credits</t>
  </si>
  <si>
    <t>Table 1.  KU/LG&amp;E:  Current CSR Rates</t>
  </si>
  <si>
    <t>Proposed CSR credits = $/kVA-mo. Credits shown above assume PF=1, where PF is Power Factor.</t>
  </si>
  <si>
    <t>Source: 2011 Joint Integrated Resource Plan of Louisville Gas and Electric Company and Kentucky Utilities Company, Volume 1, 8-75 and 8-76.</t>
  </si>
  <si>
    <t>Table 3.  KIUC:  Proposed CSR Credits</t>
  </si>
  <si>
    <t>Table x.  KU/LG&amp;E:  DSM Costs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</si>
</sst>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00000_);\(#,##0.000000\)"/>
    <numFmt numFmtId="166" formatCode="&quot;$&quot;#,##0.000000_);\(&quot;$&quot;#,##0.000000\)"/>
    <numFmt numFmtId="167" formatCode="#,##0.0000_);\(#,##0.0000\)"/>
    <numFmt numFmtId="168" formatCode="&quot;$&quot;#,##0.0000_);\(&quot;$&quot;#,##0.0000\)"/>
    <numFmt numFmtId="169" formatCode="#,##0.00;[Red]#,##0.00"/>
    <numFmt numFmtId="170" formatCode="0.00_);\(0.00\)"/>
  </numFmts>
  <fonts count="9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left" indent="1"/>
    </xf>
    <xf numFmtId="164" fontId="1" fillId="0" borderId="0" xfId="0" applyNumberFormat="1" applyFont="1" applyAlignment="1">
      <alignment horizontal="right" inden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164" fontId="1" fillId="0" borderId="0" xfId="0" applyNumberFormat="1" applyFont="1" applyAlignment="1">
      <alignment horizontal="right" indent="2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 indent="1"/>
    </xf>
    <xf numFmtId="0" fontId="1" fillId="0" borderId="0" xfId="0" applyFont="1" applyBorder="1" applyAlignment="1">
      <alignment horizontal="right" indent="1"/>
    </xf>
    <xf numFmtId="164" fontId="1" fillId="0" borderId="0" xfId="0" applyNumberFormat="1" applyFont="1" applyBorder="1" applyAlignment="1">
      <alignment horizontal="right" indent="1"/>
    </xf>
    <xf numFmtId="164" fontId="1" fillId="0" borderId="0" xfId="0" applyNumberFormat="1" applyFont="1" applyBorder="1" applyAlignment="1">
      <alignment horizontal="right" indent="2"/>
    </xf>
    <xf numFmtId="39" fontId="0" fillId="0" borderId="0" xfId="0" applyNumberFormat="1" applyAlignment="1">
      <alignment/>
    </xf>
    <xf numFmtId="0" fontId="0" fillId="0" borderId="0" xfId="0" applyAlignment="1">
      <alignment horizontal="right"/>
    </xf>
    <xf numFmtId="37" fontId="1" fillId="0" borderId="0" xfId="0" applyNumberFormat="1" applyFont="1" applyAlignment="1">
      <alignment/>
    </xf>
    <xf numFmtId="0" fontId="1" fillId="0" borderId="1" xfId="0" applyFont="1" applyBorder="1" applyAlignment="1">
      <alignment horizontal="left" indent="1"/>
    </xf>
    <xf numFmtId="37" fontId="1" fillId="0" borderId="1" xfId="0" applyNumberFormat="1" applyFont="1" applyBorder="1" applyAlignment="1">
      <alignment/>
    </xf>
    <xf numFmtId="0" fontId="2" fillId="0" borderId="2" xfId="0" applyFont="1" applyBorder="1" applyAlignment="1">
      <alignment horizontal="center"/>
    </xf>
    <xf numFmtId="37" fontId="1" fillId="0" borderId="3" xfId="0" applyNumberFormat="1" applyFont="1" applyBorder="1" applyAlignment="1">
      <alignment/>
    </xf>
    <xf numFmtId="0" fontId="2" fillId="0" borderId="0" xfId="0" applyFont="1" applyAlignment="1">
      <alignment horizontal="left" inden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 indent="2"/>
    </xf>
    <xf numFmtId="164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164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 indent="1"/>
    </xf>
    <xf numFmtId="0" fontId="1" fillId="0" borderId="0" xfId="0" applyNumberFormat="1" applyFont="1" applyAlignment="1">
      <alignment/>
    </xf>
    <xf numFmtId="0" fontId="1" fillId="0" borderId="0" xfId="0" applyNumberFormat="1" applyFont="1" applyAlignment="1">
      <alignment horizontal="right" indent="2"/>
    </xf>
    <xf numFmtId="0" fontId="1" fillId="0" borderId="0" xfId="0" applyFont="1" applyAlignment="1">
      <alignment horizontal="right" indent="2"/>
    </xf>
    <xf numFmtId="39" fontId="1" fillId="0" borderId="0" xfId="0" applyNumberFormat="1" applyFont="1" applyAlignment="1">
      <alignment horizontal="right" indent="2"/>
    </xf>
    <xf numFmtId="49" fontId="1" fillId="0" borderId="0" xfId="0" applyNumberFormat="1" applyFont="1" applyAlignment="1">
      <alignment horizontal="right" indent="2"/>
    </xf>
    <xf numFmtId="0" fontId="6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right" indent="2"/>
    </xf>
    <xf numFmtId="0" fontId="1" fillId="0" borderId="0" xfId="0" applyNumberFormat="1" applyFont="1" applyAlignment="1">
      <alignment horizontal="right" indent="1"/>
    </xf>
    <xf numFmtId="0" fontId="1" fillId="0" borderId="0" xfId="0" applyNumberFormat="1" applyFont="1" applyBorder="1" applyAlignment="1">
      <alignment horizontal="right" indent="1"/>
    </xf>
    <xf numFmtId="49" fontId="1" fillId="0" borderId="0" xfId="0" applyNumberFormat="1" applyFont="1" applyAlignment="1">
      <alignment horizontal="right" indent="1"/>
    </xf>
    <xf numFmtId="39" fontId="1" fillId="0" borderId="0" xfId="0" applyNumberFormat="1" applyFont="1" applyAlignment="1">
      <alignment horizontal="right" indent="1"/>
    </xf>
    <xf numFmtId="0" fontId="3" fillId="0" borderId="0" xfId="0" applyFont="1" applyAlignment="1">
      <alignment horizontal="center"/>
    </xf>
    <xf numFmtId="10" fontId="0" fillId="0" borderId="0" xfId="0" applyNumberFormat="1" applyAlignment="1">
      <alignment/>
    </xf>
    <xf numFmtId="0" fontId="3" fillId="0" borderId="0" xfId="0" applyFont="1" applyAlignment="1">
      <alignment horizontal="right"/>
    </xf>
    <xf numFmtId="0" fontId="3" fillId="0" borderId="2" xfId="0" applyFont="1" applyBorder="1" applyAlignment="1">
      <alignment horizontal="center"/>
    </xf>
    <xf numFmtId="0" fontId="2" fillId="0" borderId="0" xfId="0" applyFont="1" applyBorder="1" applyAlignment="1">
      <alignment horizontal="right" indent="1"/>
    </xf>
    <xf numFmtId="164" fontId="2" fillId="0" borderId="0" xfId="0" applyNumberFormat="1" applyFont="1" applyBorder="1" applyAlignment="1">
      <alignment horizontal="center"/>
    </xf>
    <xf numFmtId="9" fontId="1" fillId="0" borderId="0" xfId="0" applyNumberFormat="1" applyFont="1" applyAlignment="1">
      <alignment horizontal="right" indent="1"/>
    </xf>
    <xf numFmtId="39" fontId="1" fillId="0" borderId="0" xfId="0" applyNumberFormat="1" applyFont="1" applyAlignment="1">
      <alignment horizontal="center"/>
    </xf>
    <xf numFmtId="0" fontId="1" fillId="2" borderId="0" xfId="0" applyFont="1" applyFill="1" applyAlignment="1">
      <alignment horizontal="left" indent="1"/>
    </xf>
    <xf numFmtId="164" fontId="1" fillId="0" borderId="0" xfId="0" applyNumberFormat="1" applyFont="1" applyBorder="1" applyAlignment="1">
      <alignment/>
    </xf>
    <xf numFmtId="164" fontId="1" fillId="0" borderId="0" xfId="0" applyNumberFormat="1" applyFont="1" applyBorder="1" applyAlignment="1">
      <alignment horizontal="left" indent="1"/>
    </xf>
    <xf numFmtId="49" fontId="1" fillId="0" borderId="0" xfId="0" applyNumberFormat="1" applyFont="1" applyBorder="1" applyAlignment="1">
      <alignment horizontal="right" indent="1"/>
    </xf>
    <xf numFmtId="170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1" xfId="0" applyNumberFormat="1" applyFont="1" applyBorder="1" applyAlignment="1">
      <alignment horizontal="center"/>
    </xf>
    <xf numFmtId="37" fontId="1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wrapText="1"/>
    </xf>
    <xf numFmtId="0" fontId="2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G54"/>
  <sheetViews>
    <sheetView tabSelected="1" workbookViewId="0" topLeftCell="A1">
      <selection activeCell="B6" sqref="B6"/>
    </sheetView>
  </sheetViews>
  <sheetFormatPr defaultColWidth="9.140625" defaultRowHeight="12.75"/>
  <cols>
    <col min="1" max="1" width="1.7109375" style="1" customWidth="1"/>
    <col min="2" max="2" width="13.28125" style="1" bestFit="1" customWidth="1"/>
    <col min="3" max="3" width="0.85546875" style="1" customWidth="1"/>
    <col min="4" max="4" width="7.7109375" style="1" customWidth="1"/>
    <col min="5" max="5" width="0.85546875" style="1" customWidth="1"/>
    <col min="6" max="6" width="7.7109375" style="1" customWidth="1"/>
    <col min="7" max="7" width="0.85546875" style="1" customWidth="1"/>
    <col min="8" max="8" width="7.7109375" style="1" customWidth="1"/>
    <col min="9" max="9" width="0.85546875" style="1" customWidth="1"/>
    <col min="10" max="10" width="7.7109375" style="1" customWidth="1"/>
    <col min="11" max="11" width="1.7109375" style="1" customWidth="1"/>
    <col min="12" max="12" width="9.140625" style="1" customWidth="1"/>
    <col min="13" max="13" width="1.7109375" style="1" customWidth="1"/>
    <col min="14" max="14" width="9.140625" style="1" customWidth="1"/>
    <col min="15" max="15" width="1.7109375" style="1" customWidth="1"/>
    <col min="16" max="16" width="11.8515625" style="1" customWidth="1"/>
    <col min="17" max="17" width="1.7109375" style="1" customWidth="1"/>
    <col min="18" max="18" width="7.7109375" style="1" customWidth="1"/>
    <col min="19" max="19" width="0.85546875" style="1" customWidth="1"/>
    <col min="20" max="20" width="6.28125" style="1" customWidth="1"/>
    <col min="21" max="21" width="0.85546875" style="1" customWidth="1"/>
    <col min="22" max="22" width="6.421875" style="1" customWidth="1"/>
    <col min="23" max="23" width="9.140625" style="1" customWidth="1"/>
    <col min="24" max="24" width="7.7109375" style="1" customWidth="1"/>
    <col min="25" max="25" width="0.85546875" style="1" customWidth="1"/>
    <col min="26" max="26" width="7.7109375" style="1" customWidth="1"/>
    <col min="27" max="27" width="0.85546875" style="1" customWidth="1"/>
    <col min="28" max="28" width="7.7109375" style="1" customWidth="1"/>
    <col min="29" max="29" width="0.85546875" style="1" customWidth="1"/>
    <col min="30" max="30" width="9.140625" style="1" customWidth="1"/>
    <col min="31" max="31" width="0.85546875" style="1" customWidth="1"/>
    <col min="32" max="16384" width="9.140625" style="1" customWidth="1"/>
  </cols>
  <sheetData>
    <row r="1" ht="11.25">
      <c r="B1" s="25"/>
    </row>
    <row r="2" ht="12.75">
      <c r="B2" s="29"/>
    </row>
    <row r="3" spans="2:8" ht="11.25">
      <c r="B3" s="26"/>
      <c r="C3" s="12"/>
      <c r="D3" s="12"/>
      <c r="E3" s="12"/>
      <c r="F3" s="12"/>
      <c r="G3" s="12"/>
      <c r="H3" s="12"/>
    </row>
    <row r="4" spans="2:10" ht="11.25">
      <c r="B4" s="30"/>
      <c r="C4" s="9"/>
      <c r="D4" s="8"/>
      <c r="E4" s="9"/>
      <c r="F4" s="64"/>
      <c r="G4" s="64"/>
      <c r="H4" s="64"/>
      <c r="I4" s="10"/>
      <c r="J4" s="10"/>
    </row>
    <row r="5" spans="2:10" ht="11.25">
      <c r="B5" s="30"/>
      <c r="C5" s="9"/>
      <c r="D5" s="31"/>
      <c r="E5" s="32"/>
      <c r="F5" s="31"/>
      <c r="G5" s="9"/>
      <c r="H5" s="8"/>
      <c r="I5" s="9"/>
      <c r="J5" s="8"/>
    </row>
    <row r="6" spans="2:8" ht="12">
      <c r="B6" s="40" t="s">
        <v>60</v>
      </c>
      <c r="C6" s="12"/>
      <c r="D6" s="12"/>
      <c r="E6" s="12"/>
      <c r="F6" s="12"/>
      <c r="G6" s="12"/>
      <c r="H6" s="12"/>
    </row>
    <row r="7" spans="2:15" ht="12">
      <c r="B7" s="26"/>
      <c r="C7" s="12"/>
      <c r="D7" s="14"/>
      <c r="E7" s="12"/>
      <c r="F7" s="15"/>
      <c r="G7" s="15"/>
      <c r="H7" s="16"/>
      <c r="J7" s="12"/>
      <c r="O7" s="40"/>
    </row>
    <row r="8" spans="2:28" ht="12.75" customHeight="1">
      <c r="B8" s="5" t="s">
        <v>29</v>
      </c>
      <c r="D8" s="5" t="s">
        <v>21</v>
      </c>
      <c r="E8" s="4"/>
      <c r="F8" s="5" t="s">
        <v>22</v>
      </c>
      <c r="G8" s="33"/>
      <c r="H8" s="8"/>
      <c r="J8" s="8"/>
      <c r="O8" s="26"/>
      <c r="Y8" s="50"/>
      <c r="Z8" s="12"/>
      <c r="AA8" s="12"/>
      <c r="AB8" s="12"/>
    </row>
    <row r="9" spans="2:28" ht="6" customHeight="1">
      <c r="B9" s="25"/>
      <c r="G9" s="7"/>
      <c r="H9" s="16"/>
      <c r="J9" s="12"/>
      <c r="Y9" s="8"/>
      <c r="Z9" s="8"/>
      <c r="AA9" s="8"/>
      <c r="AB9" s="12"/>
    </row>
    <row r="10" spans="2:28" ht="11.25">
      <c r="B10" s="28" t="s">
        <v>26</v>
      </c>
      <c r="D10" s="59">
        <v>10</v>
      </c>
      <c r="E10" s="59"/>
      <c r="F10" s="59">
        <v>30</v>
      </c>
      <c r="G10" s="42"/>
      <c r="H10" s="43"/>
      <c r="I10" s="37"/>
      <c r="J10" s="27"/>
      <c r="Y10" s="12"/>
      <c r="Z10" s="12"/>
      <c r="AA10" s="12"/>
      <c r="AB10" s="12"/>
    </row>
    <row r="11" spans="2:23" ht="6" customHeight="1">
      <c r="B11" s="25"/>
      <c r="D11" s="59"/>
      <c r="E11" s="59"/>
      <c r="F11" s="59"/>
      <c r="G11" s="42"/>
      <c r="H11" s="42"/>
      <c r="I11" s="37"/>
      <c r="J11" s="27"/>
      <c r="N11" s="12"/>
      <c r="O11" s="12"/>
      <c r="W11" s="42"/>
    </row>
    <row r="12" spans="2:23" ht="11.25">
      <c r="B12" s="28" t="s">
        <v>23</v>
      </c>
      <c r="D12" s="59"/>
      <c r="E12" s="59"/>
      <c r="F12" s="59"/>
      <c r="G12" s="42"/>
      <c r="H12" s="42"/>
      <c r="I12" s="37"/>
      <c r="J12" s="27"/>
      <c r="N12" s="12"/>
      <c r="O12" s="8"/>
      <c r="W12" s="42"/>
    </row>
    <row r="13" spans="2:23" ht="11.25">
      <c r="B13" s="34" t="s">
        <v>24</v>
      </c>
      <c r="D13" s="59">
        <v>100</v>
      </c>
      <c r="E13" s="59"/>
      <c r="F13" s="59">
        <v>100</v>
      </c>
      <c r="G13" s="42"/>
      <c r="H13" s="42"/>
      <c r="I13" s="37"/>
      <c r="J13" s="27"/>
      <c r="O13" s="25"/>
      <c r="W13" s="37"/>
    </row>
    <row r="14" spans="2:10" ht="11.25">
      <c r="B14" s="34" t="s">
        <v>25</v>
      </c>
      <c r="D14" s="60">
        <v>275</v>
      </c>
      <c r="E14" s="59"/>
      <c r="F14" s="60">
        <v>250</v>
      </c>
      <c r="G14" s="42"/>
      <c r="H14" s="43"/>
      <c r="I14" s="37"/>
      <c r="J14" s="27"/>
    </row>
    <row r="15" spans="2:10" ht="11.25">
      <c r="B15" s="34" t="s">
        <v>19</v>
      </c>
      <c r="D15" s="59">
        <f>SUM(D13:D14)</f>
        <v>375</v>
      </c>
      <c r="E15" s="59"/>
      <c r="F15" s="59">
        <f>SUM(F13:F14)</f>
        <v>350</v>
      </c>
      <c r="G15" s="42"/>
      <c r="H15" s="42"/>
      <c r="I15" s="37"/>
      <c r="J15" s="27"/>
    </row>
    <row r="16" spans="2:10" ht="6" customHeight="1">
      <c r="B16" s="25"/>
      <c r="D16" s="59"/>
      <c r="E16" s="59"/>
      <c r="F16" s="59"/>
      <c r="G16" s="42"/>
      <c r="H16" s="42"/>
      <c r="I16" s="37"/>
      <c r="J16" s="27"/>
    </row>
    <row r="17" spans="2:10" ht="11.25">
      <c r="B17" s="1" t="s">
        <v>28</v>
      </c>
      <c r="D17" s="59"/>
      <c r="E17" s="59"/>
      <c r="F17" s="59"/>
      <c r="G17" s="42"/>
      <c r="H17" s="42"/>
      <c r="I17" s="37"/>
      <c r="J17" s="27"/>
    </row>
    <row r="18" spans="2:10" ht="11.25">
      <c r="B18" s="6" t="s">
        <v>0</v>
      </c>
      <c r="D18" s="58">
        <f>5.5</f>
        <v>5.5</v>
      </c>
      <c r="E18" s="58"/>
      <c r="F18" s="58">
        <f>4.4</f>
        <v>4.4</v>
      </c>
      <c r="G18" s="44"/>
      <c r="H18" s="44"/>
      <c r="I18" s="38"/>
      <c r="J18" s="41"/>
    </row>
    <row r="19" spans="2:10" ht="11.25">
      <c r="B19" s="6" t="s">
        <v>1</v>
      </c>
      <c r="D19" s="58">
        <f>5.4</f>
        <v>5.4</v>
      </c>
      <c r="E19" s="58"/>
      <c r="F19" s="58">
        <f>4.3</f>
        <v>4.3</v>
      </c>
      <c r="G19" s="44"/>
      <c r="H19" s="44"/>
      <c r="I19" s="38"/>
      <c r="J19" s="41"/>
    </row>
    <row r="20" spans="2:10" ht="6" customHeight="1">
      <c r="B20" s="25"/>
      <c r="D20" s="59"/>
      <c r="E20" s="59"/>
      <c r="F20" s="59"/>
      <c r="G20" s="42"/>
      <c r="H20" s="42"/>
      <c r="I20" s="37"/>
      <c r="J20" s="27"/>
    </row>
    <row r="21" spans="2:10" ht="11.25">
      <c r="B21" s="25" t="s">
        <v>27</v>
      </c>
      <c r="D21" s="59"/>
      <c r="E21" s="59"/>
      <c r="F21" s="59"/>
      <c r="G21" s="42"/>
      <c r="H21" s="42"/>
      <c r="I21" s="37"/>
      <c r="J21" s="27"/>
    </row>
    <row r="22" spans="2:21" ht="11.25">
      <c r="B22" s="6" t="s">
        <v>3</v>
      </c>
      <c r="D22" s="61">
        <f>3</f>
        <v>3</v>
      </c>
      <c r="E22" s="61"/>
      <c r="F22" s="61">
        <f>0</f>
        <v>0</v>
      </c>
      <c r="G22" s="44"/>
      <c r="H22" s="44"/>
      <c r="I22" s="39"/>
      <c r="J22" s="27"/>
      <c r="Q22" s="12"/>
      <c r="R22" s="12"/>
      <c r="S22" s="12"/>
      <c r="T22" s="12"/>
      <c r="U22" s="12"/>
    </row>
    <row r="23" spans="2:31" ht="12">
      <c r="B23" s="6" t="s">
        <v>8</v>
      </c>
      <c r="D23" s="61">
        <f>1</f>
        <v>1</v>
      </c>
      <c r="E23" s="61"/>
      <c r="F23" s="61">
        <f>1</f>
        <v>1</v>
      </c>
      <c r="G23" s="44"/>
      <c r="H23" s="44"/>
      <c r="I23" s="39"/>
      <c r="J23" s="27"/>
      <c r="P23" s="40" t="s">
        <v>59</v>
      </c>
      <c r="Q23" s="12"/>
      <c r="R23" s="12"/>
      <c r="S23" s="12"/>
      <c r="T23" s="12"/>
      <c r="U23" s="12"/>
      <c r="Z23" s="40" t="s">
        <v>64</v>
      </c>
      <c r="AA23" s="12"/>
      <c r="AB23" s="12"/>
      <c r="AC23" s="12"/>
      <c r="AD23" s="12"/>
      <c r="AE23" s="12"/>
    </row>
    <row r="24" spans="4:29" ht="6.75" customHeight="1">
      <c r="D24" s="35"/>
      <c r="E24" s="35"/>
      <c r="F24" s="35"/>
      <c r="G24" s="35"/>
      <c r="H24" s="35"/>
      <c r="J24" s="12"/>
      <c r="S24" s="15"/>
      <c r="AC24" s="15"/>
    </row>
    <row r="25" spans="4:32" ht="11.25">
      <c r="D25" s="35"/>
      <c r="E25" s="35"/>
      <c r="F25" s="35"/>
      <c r="G25" s="35"/>
      <c r="H25" s="35"/>
      <c r="R25" s="62" t="s">
        <v>28</v>
      </c>
      <c r="S25" s="62"/>
      <c r="T25" s="62"/>
      <c r="U25" s="62"/>
      <c r="V25" s="62"/>
      <c r="AB25" s="62"/>
      <c r="AC25" s="62"/>
      <c r="AD25" s="62"/>
      <c r="AE25" s="62"/>
      <c r="AF25" s="62"/>
    </row>
    <row r="26" spans="4:32" ht="11.25">
      <c r="D26" s="35"/>
      <c r="E26" s="35"/>
      <c r="F26" s="35"/>
      <c r="G26" s="35"/>
      <c r="H26" s="35"/>
      <c r="P26" s="12"/>
      <c r="R26" s="22" t="s">
        <v>57</v>
      </c>
      <c r="S26" s="4"/>
      <c r="T26" s="22" t="s">
        <v>56</v>
      </c>
      <c r="U26" s="4"/>
      <c r="V26" s="22" t="s">
        <v>58</v>
      </c>
      <c r="Z26" s="12"/>
      <c r="AB26" s="22"/>
      <c r="AC26" s="4"/>
      <c r="AD26" s="22"/>
      <c r="AE26" s="4"/>
      <c r="AF26" s="22"/>
    </row>
    <row r="27" spans="4:32" ht="11.25">
      <c r="D27" s="35"/>
      <c r="E27" s="35"/>
      <c r="F27" s="35"/>
      <c r="G27" s="35"/>
      <c r="H27" s="35"/>
      <c r="P27" s="5" t="s">
        <v>21</v>
      </c>
      <c r="Q27" s="12"/>
      <c r="R27" s="12"/>
      <c r="S27" s="12"/>
      <c r="T27" s="12"/>
      <c r="V27" s="45"/>
      <c r="Z27" s="5"/>
      <c r="AA27" s="12"/>
      <c r="AB27" s="12"/>
      <c r="AC27" s="12"/>
      <c r="AD27" s="12"/>
      <c r="AF27" s="45"/>
    </row>
    <row r="28" spans="16:32" ht="11.25">
      <c r="P28" s="6" t="s">
        <v>0</v>
      </c>
      <c r="R28" s="53">
        <f>5.5</f>
        <v>5.5</v>
      </c>
      <c r="S28" s="53"/>
      <c r="T28" s="53">
        <f>2.8</f>
        <v>2.8</v>
      </c>
      <c r="V28" s="52">
        <f>(T28/R28)-1</f>
        <v>-0.49090909090909096</v>
      </c>
      <c r="Z28" s="54"/>
      <c r="AB28" s="53"/>
      <c r="AC28" s="53"/>
      <c r="AD28" s="53"/>
      <c r="AF28" s="52"/>
    </row>
    <row r="29" spans="16:32" ht="11.25">
      <c r="P29" s="6" t="s">
        <v>1</v>
      </c>
      <c r="R29" s="53">
        <f>5.4</f>
        <v>5.4</v>
      </c>
      <c r="S29" s="53"/>
      <c r="T29" s="53">
        <f>2.75</f>
        <v>2.75</v>
      </c>
      <c r="U29" s="11"/>
      <c r="V29" s="52">
        <f>(T29/R29)-1</f>
        <v>-0.4907407407407408</v>
      </c>
      <c r="Z29" s="6"/>
      <c r="AB29" s="53"/>
      <c r="AC29" s="53"/>
      <c r="AD29" s="53"/>
      <c r="AE29" s="11"/>
      <c r="AF29" s="52"/>
    </row>
    <row r="30" spans="16:31" ht="6.75" customHeight="1">
      <c r="P30" s="12"/>
      <c r="U30" s="42"/>
      <c r="Z30" s="12"/>
      <c r="AE30" s="42"/>
    </row>
    <row r="31" spans="16:31" ht="11.25">
      <c r="P31" s="5" t="s">
        <v>22</v>
      </c>
      <c r="U31" s="42"/>
      <c r="Z31" s="5"/>
      <c r="AE31" s="42"/>
    </row>
    <row r="32" spans="16:32" ht="11.25">
      <c r="P32" s="6" t="s">
        <v>0</v>
      </c>
      <c r="R32" s="53">
        <f>4.4</f>
        <v>4.4</v>
      </c>
      <c r="S32" s="53"/>
      <c r="T32" s="53">
        <f>2.3</f>
        <v>2.3</v>
      </c>
      <c r="V32" s="52">
        <f>(T32/R32)-1</f>
        <v>-0.4772727272727274</v>
      </c>
      <c r="Z32" s="6"/>
      <c r="AB32" s="53"/>
      <c r="AC32" s="53"/>
      <c r="AD32" s="53"/>
      <c r="AF32" s="52"/>
    </row>
    <row r="33" spans="16:32" ht="11.25">
      <c r="P33" s="6" t="s">
        <v>1</v>
      </c>
      <c r="R33" s="53">
        <f>4.3</f>
        <v>4.3</v>
      </c>
      <c r="S33" s="53"/>
      <c r="T33" s="53">
        <f>2.25</f>
        <v>2.25</v>
      </c>
      <c r="U33" s="11"/>
      <c r="V33" s="52">
        <f>(T33/R33)-1</f>
        <v>-0.4767441860465116</v>
      </c>
      <c r="Z33" s="6"/>
      <c r="AB33" s="53"/>
      <c r="AC33" s="53"/>
      <c r="AD33" s="53"/>
      <c r="AE33" s="11"/>
      <c r="AF33" s="52"/>
    </row>
    <row r="34" ht="6" customHeight="1"/>
    <row r="35" spans="16:33" ht="11.25">
      <c r="P35" s="63" t="s">
        <v>61</v>
      </c>
      <c r="Q35" s="63"/>
      <c r="R35" s="63"/>
      <c r="S35" s="63"/>
      <c r="T35" s="63"/>
      <c r="U35" s="63"/>
      <c r="V35" s="63"/>
      <c r="W35" s="63"/>
      <c r="Z35" s="25" t="s">
        <v>62</v>
      </c>
      <c r="AA35" s="25"/>
      <c r="AB35" s="25"/>
      <c r="AC35" s="25"/>
      <c r="AD35" s="25"/>
      <c r="AE35" s="25"/>
      <c r="AF35" s="25"/>
      <c r="AG35" s="25"/>
    </row>
    <row r="36" spans="16:33" ht="11.25">
      <c r="P36" s="63"/>
      <c r="Q36" s="63"/>
      <c r="R36" s="63"/>
      <c r="S36" s="63"/>
      <c r="T36" s="63"/>
      <c r="U36" s="63"/>
      <c r="V36" s="63"/>
      <c r="W36" s="63"/>
      <c r="Z36" s="25"/>
      <c r="AA36" s="25"/>
      <c r="AB36" s="25"/>
      <c r="AC36" s="25"/>
      <c r="AD36" s="25"/>
      <c r="AE36" s="25"/>
      <c r="AF36" s="25"/>
      <c r="AG36" s="25"/>
    </row>
    <row r="38" spans="2:10" ht="11.25">
      <c r="B38" s="25"/>
      <c r="D38" s="36"/>
      <c r="E38" s="36"/>
      <c r="F38" s="36"/>
      <c r="G38" s="36"/>
      <c r="H38" s="36"/>
      <c r="I38" s="37"/>
      <c r="J38" s="37"/>
    </row>
    <row r="39" spans="2:10" ht="11.25">
      <c r="B39" s="6"/>
      <c r="D39" s="39"/>
      <c r="E39" s="39"/>
      <c r="F39" s="39"/>
      <c r="G39" s="39"/>
      <c r="H39" s="39"/>
      <c r="I39" s="39"/>
      <c r="J39" s="37"/>
    </row>
    <row r="40" spans="2:21" ht="12">
      <c r="B40" s="40"/>
      <c r="C40" s="12"/>
      <c r="D40" s="12"/>
      <c r="E40" s="12"/>
      <c r="F40" s="12"/>
      <c r="G40" s="12"/>
      <c r="H40" s="12"/>
      <c r="I40" s="41"/>
      <c r="J40" s="27"/>
      <c r="P40" s="40" t="s">
        <v>63</v>
      </c>
      <c r="Q40" s="12"/>
      <c r="R40" s="12"/>
      <c r="S40" s="12"/>
      <c r="T40" s="12"/>
      <c r="U40" s="12"/>
    </row>
    <row r="41" spans="2:19" ht="6.75" customHeight="1">
      <c r="B41" s="26"/>
      <c r="C41" s="12"/>
      <c r="D41" s="14"/>
      <c r="E41" s="12"/>
      <c r="F41" s="15"/>
      <c r="G41" s="15"/>
      <c r="H41" s="16"/>
      <c r="I41" s="12"/>
      <c r="J41" s="12"/>
      <c r="S41" s="15"/>
    </row>
    <row r="42" spans="2:22" ht="11.25" customHeight="1">
      <c r="B42" s="8"/>
      <c r="C42" s="12"/>
      <c r="D42" s="8"/>
      <c r="E42" s="8"/>
      <c r="F42" s="8"/>
      <c r="G42" s="51"/>
      <c r="H42" s="8"/>
      <c r="I42" s="12"/>
      <c r="J42" s="12"/>
      <c r="R42" s="62" t="s">
        <v>28</v>
      </c>
      <c r="S42" s="62"/>
      <c r="T42" s="62"/>
      <c r="U42" s="62"/>
      <c r="V42" s="62"/>
    </row>
    <row r="43" spans="2:22" ht="11.25" customHeight="1">
      <c r="B43" s="26"/>
      <c r="C43" s="12"/>
      <c r="D43" s="12"/>
      <c r="E43" s="12"/>
      <c r="F43" s="12"/>
      <c r="G43" s="15"/>
      <c r="H43" s="16"/>
      <c r="I43" s="12"/>
      <c r="J43" s="12"/>
      <c r="P43" s="12"/>
      <c r="R43" s="22" t="s">
        <v>57</v>
      </c>
      <c r="S43" s="4"/>
      <c r="T43" s="22" t="s">
        <v>56</v>
      </c>
      <c r="U43" s="4"/>
      <c r="V43" s="22" t="s">
        <v>58</v>
      </c>
    </row>
    <row r="44" spans="2:22" ht="11.25">
      <c r="B44" s="55"/>
      <c r="C44" s="12"/>
      <c r="D44" s="14"/>
      <c r="E44" s="43"/>
      <c r="F44" s="43"/>
      <c r="G44" s="43"/>
      <c r="H44" s="43"/>
      <c r="I44" s="12"/>
      <c r="J44" s="12"/>
      <c r="P44" s="5" t="s">
        <v>21</v>
      </c>
      <c r="Q44" s="12"/>
      <c r="R44" s="12"/>
      <c r="S44" s="12"/>
      <c r="T44" s="12"/>
      <c r="V44" s="45"/>
    </row>
    <row r="45" spans="2:22" ht="11.25" customHeight="1">
      <c r="B45" s="26"/>
      <c r="C45" s="12"/>
      <c r="D45" s="14"/>
      <c r="E45" s="43"/>
      <c r="F45" s="43"/>
      <c r="G45" s="43"/>
      <c r="H45" s="43"/>
      <c r="I45" s="12"/>
      <c r="J45" s="12"/>
      <c r="P45" s="6" t="s">
        <v>0</v>
      </c>
      <c r="R45" s="53">
        <f>5.5</f>
        <v>5.5</v>
      </c>
      <c r="S45" s="53"/>
      <c r="T45" s="53">
        <f>'2012-1K'!AF34</f>
        <v>5.64</v>
      </c>
      <c r="V45" s="52">
        <f>(T45/R45)-1</f>
        <v>0.025454545454545396</v>
      </c>
    </row>
    <row r="46" spans="2:22" ht="11.25">
      <c r="B46" s="55"/>
      <c r="C46" s="12"/>
      <c r="D46" s="14"/>
      <c r="E46" s="43"/>
      <c r="F46" s="43"/>
      <c r="G46" s="43"/>
      <c r="H46" s="43"/>
      <c r="I46" s="12"/>
      <c r="J46" s="12"/>
      <c r="P46" s="6" t="s">
        <v>1</v>
      </c>
      <c r="R46" s="53">
        <f>5.4</f>
        <v>5.4</v>
      </c>
      <c r="S46" s="53"/>
      <c r="T46" s="53">
        <f>'2012-1K'!AF32</f>
        <v>5.54</v>
      </c>
      <c r="U46" s="11"/>
      <c r="V46" s="52">
        <f>(T46/R46)-1</f>
        <v>0.025925925925925908</v>
      </c>
    </row>
    <row r="47" spans="2:21" ht="6.75" customHeight="1">
      <c r="B47" s="56"/>
      <c r="C47" s="12"/>
      <c r="D47" s="14"/>
      <c r="E47" s="43"/>
      <c r="F47" s="43"/>
      <c r="G47" s="43"/>
      <c r="H47" s="43"/>
      <c r="I47" s="12"/>
      <c r="J47" s="12"/>
      <c r="P47" s="12"/>
      <c r="U47" s="42"/>
    </row>
    <row r="48" spans="2:21" ht="11.25">
      <c r="B48" s="56"/>
      <c r="C48" s="12"/>
      <c r="D48" s="14"/>
      <c r="E48" s="43"/>
      <c r="F48" s="43"/>
      <c r="G48" s="43"/>
      <c r="H48" s="43"/>
      <c r="I48" s="12"/>
      <c r="J48" s="12"/>
      <c r="P48" s="5" t="s">
        <v>22</v>
      </c>
      <c r="U48" s="42"/>
    </row>
    <row r="49" spans="2:22" ht="11.25" customHeight="1">
      <c r="B49" s="56"/>
      <c r="C49" s="12"/>
      <c r="D49" s="14"/>
      <c r="E49" s="43"/>
      <c r="F49" s="43"/>
      <c r="G49" s="43"/>
      <c r="H49" s="43"/>
      <c r="I49" s="12"/>
      <c r="J49" s="12"/>
      <c r="P49" s="6" t="s">
        <v>0</v>
      </c>
      <c r="R49" s="53">
        <f>4.4</f>
        <v>4.4</v>
      </c>
      <c r="S49" s="53"/>
      <c r="T49" s="53">
        <f>'2012-1K'!AJ34</f>
        <v>4.510000000000001</v>
      </c>
      <c r="V49" s="52">
        <f>(T49/R49)-1</f>
        <v>0.025000000000000133</v>
      </c>
    </row>
    <row r="50" spans="2:22" ht="11.25" customHeight="1">
      <c r="B50" s="26"/>
      <c r="C50" s="12"/>
      <c r="D50" s="43"/>
      <c r="E50" s="43"/>
      <c r="F50" s="43"/>
      <c r="G50" s="43"/>
      <c r="H50" s="43"/>
      <c r="I50" s="12"/>
      <c r="J50" s="12"/>
      <c r="P50" s="6" t="s">
        <v>1</v>
      </c>
      <c r="R50" s="53">
        <f>4.3</f>
        <v>4.3</v>
      </c>
      <c r="S50" s="53"/>
      <c r="T50" s="53">
        <f>'2012-1K'!AJ32</f>
        <v>4.41</v>
      </c>
      <c r="U50" s="11"/>
      <c r="V50" s="52">
        <f>(T50/R50)-1</f>
        <v>0.0255813953488373</v>
      </c>
    </row>
    <row r="51" spans="2:10" ht="6.75" customHeight="1">
      <c r="B51" s="12"/>
      <c r="C51" s="12"/>
      <c r="D51" s="43"/>
      <c r="E51" s="43"/>
      <c r="F51" s="43"/>
      <c r="G51" s="43"/>
      <c r="H51" s="43"/>
      <c r="I51" s="12"/>
      <c r="J51" s="12"/>
    </row>
    <row r="52" spans="2:23" ht="11.25" customHeight="1">
      <c r="B52" s="13"/>
      <c r="C52" s="12"/>
      <c r="D52" s="43"/>
      <c r="E52" s="57"/>
      <c r="F52" s="57"/>
      <c r="G52" s="57"/>
      <c r="H52" s="57"/>
      <c r="I52" s="12"/>
      <c r="J52" s="12"/>
      <c r="P52" s="63" t="s">
        <v>61</v>
      </c>
      <c r="Q52" s="63"/>
      <c r="R52" s="63"/>
      <c r="S52" s="63"/>
      <c r="T52" s="63"/>
      <c r="U52" s="63"/>
      <c r="V52" s="63"/>
      <c r="W52" s="63"/>
    </row>
    <row r="53" spans="2:23" ht="11.25">
      <c r="B53" s="13"/>
      <c r="C53" s="12"/>
      <c r="D53" s="43"/>
      <c r="E53" s="57"/>
      <c r="F53" s="57"/>
      <c r="G53" s="57"/>
      <c r="H53" s="57"/>
      <c r="I53" s="12"/>
      <c r="J53" s="12"/>
      <c r="P53" s="63"/>
      <c r="Q53" s="63"/>
      <c r="R53" s="63"/>
      <c r="S53" s="63"/>
      <c r="T53" s="63"/>
      <c r="U53" s="63"/>
      <c r="V53" s="63"/>
      <c r="W53" s="63"/>
    </row>
    <row r="54" spans="2:10" ht="11.25">
      <c r="B54" s="12"/>
      <c r="C54" s="12"/>
      <c r="D54" s="12"/>
      <c r="E54" s="12"/>
      <c r="F54" s="12"/>
      <c r="G54" s="12"/>
      <c r="H54" s="12"/>
      <c r="I54" s="12"/>
      <c r="J54" s="12"/>
    </row>
  </sheetData>
  <mergeCells count="6">
    <mergeCell ref="AB25:AF25"/>
    <mergeCell ref="R42:V42"/>
    <mergeCell ref="P52:W53"/>
    <mergeCell ref="F4:H4"/>
    <mergeCell ref="R25:V25"/>
    <mergeCell ref="P35:W36"/>
  </mergeCells>
  <printOptions horizontalCentered="1" verticalCentered="1"/>
  <pageMargins left="0.75" right="0.75" top="1" bottom="1" header="0.5" footer="0.5"/>
  <pageSetup fitToHeight="1" fitToWidth="1" horizontalDpi="300" verticalDpi="300" orientation="landscape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AJ41"/>
  <sheetViews>
    <sheetView workbookViewId="0" topLeftCell="L5">
      <selection activeCell="AJ38" sqref="AJ38"/>
    </sheetView>
  </sheetViews>
  <sheetFormatPr defaultColWidth="9.140625" defaultRowHeight="12.75"/>
  <cols>
    <col min="1" max="1" width="1.7109375" style="0" customWidth="1"/>
    <col min="3" max="3" width="1.7109375" style="0" customWidth="1"/>
    <col min="4" max="4" width="4.57421875" style="0" customWidth="1"/>
    <col min="5" max="5" width="1.7109375" style="0" customWidth="1"/>
    <col min="7" max="7" width="1.7109375" style="0" customWidth="1"/>
    <col min="9" max="9" width="1.7109375" style="0" customWidth="1"/>
    <col min="11" max="11" width="1.7109375" style="0" customWidth="1"/>
    <col min="13" max="13" width="1.7109375" style="0" customWidth="1"/>
    <col min="15" max="15" width="1.7109375" style="0" customWidth="1"/>
    <col min="17" max="17" width="1.7109375" style="0" customWidth="1"/>
    <col min="19" max="19" width="1.7109375" style="0" customWidth="1"/>
    <col min="21" max="21" width="1.7109375" style="0" customWidth="1"/>
    <col min="23" max="23" width="1.7109375" style="0" customWidth="1"/>
    <col min="25" max="25" width="1.7109375" style="0" customWidth="1"/>
    <col min="27" max="27" width="1.7109375" style="0" customWidth="1"/>
    <col min="29" max="29" width="1.7109375" style="0" customWidth="1"/>
    <col min="31" max="31" width="0.85546875" style="0" customWidth="1"/>
    <col min="32" max="32" width="9.57421875" style="0" bestFit="1" customWidth="1"/>
    <col min="33" max="33" width="1.7109375" style="0" customWidth="1"/>
    <col min="35" max="35" width="0.85546875" style="0" customWidth="1"/>
    <col min="36" max="36" width="9.57421875" style="0" bestFit="1" customWidth="1"/>
    <col min="37" max="37" width="1.7109375" style="0" customWidth="1"/>
  </cols>
  <sheetData>
    <row r="3" spans="14:18" ht="12.75">
      <c r="N3" t="s">
        <v>42</v>
      </c>
      <c r="R3" s="3" t="s">
        <v>52</v>
      </c>
    </row>
    <row r="4" spans="2:20" ht="12.75">
      <c r="B4" s="46" t="s">
        <v>30</v>
      </c>
      <c r="C4" s="46"/>
      <c r="D4" s="46" t="s">
        <v>32</v>
      </c>
      <c r="E4" s="46"/>
      <c r="G4" s="46"/>
      <c r="H4" s="46" t="s">
        <v>34</v>
      </c>
      <c r="I4" s="46"/>
      <c r="J4" s="46" t="s">
        <v>35</v>
      </c>
      <c r="K4" s="46"/>
      <c r="L4" s="46" t="s">
        <v>36</v>
      </c>
      <c r="N4" s="46" t="s">
        <v>21</v>
      </c>
      <c r="O4" s="46"/>
      <c r="P4" s="46" t="s">
        <v>22</v>
      </c>
      <c r="R4" s="46" t="s">
        <v>21</v>
      </c>
      <c r="S4" s="46"/>
      <c r="T4" s="46" t="s">
        <v>22</v>
      </c>
    </row>
    <row r="5" ht="12.75">
      <c r="V5" t="s">
        <v>39</v>
      </c>
    </row>
    <row r="6" spans="2:24" ht="12.75">
      <c r="B6" t="s">
        <v>31</v>
      </c>
      <c r="D6" t="s">
        <v>33</v>
      </c>
      <c r="F6" t="s">
        <v>37</v>
      </c>
      <c r="H6">
        <v>13.72</v>
      </c>
      <c r="J6">
        <v>11.45</v>
      </c>
      <c r="L6" s="17">
        <f>H6*$X$6+J6*$X$7</f>
        <v>12.395833333333332</v>
      </c>
      <c r="N6" s="47">
        <f>$X$11/$L6</f>
        <v>0.44369747899159667</v>
      </c>
      <c r="O6" s="47"/>
      <c r="P6" s="47">
        <f>$Z$11/$L6</f>
        <v>0.35495798319327737</v>
      </c>
      <c r="V6" t="s">
        <v>34</v>
      </c>
      <c r="X6">
        <f>5/12</f>
        <v>0.4166666666666667</v>
      </c>
    </row>
    <row r="7" spans="14:24" ht="12.75">
      <c r="N7" s="47"/>
      <c r="O7" s="47"/>
      <c r="P7" s="47"/>
      <c r="V7" t="s">
        <v>35</v>
      </c>
      <c r="X7">
        <f>1-X6</f>
        <v>0.5833333333333333</v>
      </c>
    </row>
    <row r="8" spans="6:20" ht="12.75">
      <c r="F8" t="s">
        <v>38</v>
      </c>
      <c r="H8">
        <v>14.75</v>
      </c>
      <c r="J8">
        <v>12.73</v>
      </c>
      <c r="L8" s="17">
        <f>H8*$X$6+J8*$X$7</f>
        <v>13.571666666666665</v>
      </c>
      <c r="N8" s="47">
        <f>$X$14/$L8</f>
        <v>0.2063121699619305</v>
      </c>
      <c r="O8" s="47"/>
      <c r="P8" s="47">
        <f>$Z$14/$L8</f>
        <v>0.16947071104015718</v>
      </c>
      <c r="R8" s="17">
        <f>$X$23*$L8</f>
        <v>10.178749999999999</v>
      </c>
      <c r="T8" s="17">
        <f>$X$24*$L8</f>
        <v>7.464416666666667</v>
      </c>
    </row>
    <row r="9" spans="24:26" ht="12.75">
      <c r="X9" s="46" t="s">
        <v>21</v>
      </c>
      <c r="Y9" s="46"/>
      <c r="Z9" s="46" t="s">
        <v>22</v>
      </c>
    </row>
    <row r="10" ht="12.75">
      <c r="V10" t="s">
        <v>40</v>
      </c>
    </row>
    <row r="11" spans="2:28" ht="12.75">
      <c r="B11" t="s">
        <v>46</v>
      </c>
      <c r="D11" t="s">
        <v>47</v>
      </c>
      <c r="F11" t="s">
        <v>37</v>
      </c>
      <c r="H11" s="17">
        <f>1.28+2.31+3.67</f>
        <v>7.26</v>
      </c>
      <c r="I11" s="17"/>
      <c r="J11" s="17"/>
      <c r="L11" s="17">
        <f>H11</f>
        <v>7.26</v>
      </c>
      <c r="N11" s="47">
        <f>$X$12/$L11</f>
        <v>0.7438016528925621</v>
      </c>
      <c r="O11" s="47"/>
      <c r="P11" s="47">
        <f>$Z$12/$L11</f>
        <v>0.5922865013774105</v>
      </c>
      <c r="V11" s="18" t="s">
        <v>43</v>
      </c>
      <c r="X11" s="17">
        <v>5.5</v>
      </c>
      <c r="Y11" s="17"/>
      <c r="Z11" s="17">
        <v>4.4</v>
      </c>
      <c r="AB11" s="47">
        <f>Z11/X11</f>
        <v>0.8</v>
      </c>
    </row>
    <row r="12" spans="8:28" ht="12.75">
      <c r="H12" s="17"/>
      <c r="I12" s="17"/>
      <c r="J12" s="17"/>
      <c r="V12" s="18" t="s">
        <v>44</v>
      </c>
      <c r="X12" s="17">
        <v>5.4</v>
      </c>
      <c r="Y12" s="17"/>
      <c r="Z12" s="17">
        <v>4.3</v>
      </c>
      <c r="AB12" s="47">
        <f>Z12/X12</f>
        <v>0.7962962962962962</v>
      </c>
    </row>
    <row r="13" spans="6:26" ht="12.75">
      <c r="F13" t="s">
        <v>38</v>
      </c>
      <c r="H13" s="17">
        <f>1.6+2.7+4.3</f>
        <v>8.600000000000001</v>
      </c>
      <c r="I13" s="17"/>
      <c r="J13" s="17"/>
      <c r="L13" s="17">
        <f>H13</f>
        <v>8.600000000000001</v>
      </c>
      <c r="N13" s="47">
        <f>$X$15/$L13</f>
        <v>0.3197674418604651</v>
      </c>
      <c r="O13" s="47"/>
      <c r="P13" s="47">
        <f>$Z$15/$L13</f>
        <v>0.26162790697674415</v>
      </c>
      <c r="R13" s="17">
        <f>$X$23*$L13</f>
        <v>6.450000000000001</v>
      </c>
      <c r="T13" s="17">
        <f>$X$24*$L13</f>
        <v>4.730000000000001</v>
      </c>
      <c r="V13" t="s">
        <v>41</v>
      </c>
      <c r="X13" s="17"/>
      <c r="Y13" s="17"/>
      <c r="Z13" s="17"/>
    </row>
    <row r="14" spans="8:28" ht="12.75">
      <c r="H14" s="17"/>
      <c r="I14" s="17"/>
      <c r="J14" s="17"/>
      <c r="V14" s="18" t="s">
        <v>43</v>
      </c>
      <c r="X14" s="17">
        <v>2.8</v>
      </c>
      <c r="Y14" s="17"/>
      <c r="Z14" s="17">
        <v>2.3</v>
      </c>
      <c r="AB14" s="47">
        <f>Z14/X14</f>
        <v>0.8214285714285714</v>
      </c>
    </row>
    <row r="15" spans="8:28" ht="12.75">
      <c r="H15" s="17"/>
      <c r="I15" s="17"/>
      <c r="J15" s="17"/>
      <c r="V15" s="18" t="s">
        <v>44</v>
      </c>
      <c r="X15" s="17">
        <v>2.75</v>
      </c>
      <c r="Y15" s="17"/>
      <c r="Z15" s="17">
        <v>2.25</v>
      </c>
      <c r="AB15" s="47">
        <f>Z15/X15</f>
        <v>0.8181818181818182</v>
      </c>
    </row>
    <row r="16" spans="2:16" ht="12.75">
      <c r="B16" t="s">
        <v>48</v>
      </c>
      <c r="D16" t="s">
        <v>47</v>
      </c>
      <c r="F16" t="s">
        <v>37</v>
      </c>
      <c r="H16" s="17">
        <f>0.85+2.3+3.54</f>
        <v>6.6899999999999995</v>
      </c>
      <c r="I16" s="17"/>
      <c r="J16" s="17"/>
      <c r="L16" s="17">
        <f>H16</f>
        <v>6.6899999999999995</v>
      </c>
      <c r="N16" s="47">
        <f>$X$12/$L16</f>
        <v>0.8071748878923768</v>
      </c>
      <c r="O16" s="47"/>
      <c r="P16" s="47">
        <f>$Z$12/$L16</f>
        <v>0.6427503736920778</v>
      </c>
    </row>
    <row r="17" spans="8:22" ht="12.75">
      <c r="H17" s="17"/>
      <c r="I17" s="17"/>
      <c r="J17" s="17"/>
      <c r="V17" t="s">
        <v>45</v>
      </c>
    </row>
    <row r="18" spans="6:26" ht="12.75">
      <c r="F18" t="s">
        <v>38</v>
      </c>
      <c r="H18" s="17">
        <f>1.3+2.9+3.9</f>
        <v>8.1</v>
      </c>
      <c r="I18" s="17"/>
      <c r="J18" s="17"/>
      <c r="L18" s="17">
        <f>H18</f>
        <v>8.1</v>
      </c>
      <c r="N18" s="47">
        <f>$X$15/$L18</f>
        <v>0.3395061728395062</v>
      </c>
      <c r="O18" s="47"/>
      <c r="P18" s="47">
        <f>$Z$15/$L18</f>
        <v>0.2777777777777778</v>
      </c>
      <c r="R18" s="17">
        <f>$X$23*$L18</f>
        <v>6.074999999999999</v>
      </c>
      <c r="T18" s="17">
        <f>$X$24*$L18</f>
        <v>4.455</v>
      </c>
      <c r="V18" s="18" t="s">
        <v>43</v>
      </c>
      <c r="X18" s="47">
        <f>X14/X11-1</f>
        <v>-0.49090909090909096</v>
      </c>
      <c r="Y18" s="47"/>
      <c r="Z18" s="47">
        <f>Z14/Z11-1</f>
        <v>-0.4772727272727274</v>
      </c>
    </row>
    <row r="19" spans="8:26" ht="12.75">
      <c r="H19" s="17"/>
      <c r="I19" s="17"/>
      <c r="J19" s="17"/>
      <c r="V19" s="18" t="s">
        <v>44</v>
      </c>
      <c r="X19" s="47">
        <f>X15/X12-1</f>
        <v>-0.4907407407407408</v>
      </c>
      <c r="Y19" s="47"/>
      <c r="Z19" s="47">
        <f>Z15/Z12-1</f>
        <v>-0.4767441860465116</v>
      </c>
    </row>
    <row r="20" spans="8:10" ht="12.75">
      <c r="H20" s="17"/>
      <c r="I20" s="17"/>
      <c r="J20" s="17"/>
    </row>
    <row r="21" spans="2:16" ht="12.75">
      <c r="B21" t="s">
        <v>49</v>
      </c>
      <c r="D21" t="s">
        <v>47</v>
      </c>
      <c r="F21" t="s">
        <v>37</v>
      </c>
      <c r="H21" s="17">
        <f>1.57+1.41+2.3</f>
        <v>5.279999999999999</v>
      </c>
      <c r="I21" s="17"/>
      <c r="J21" s="17"/>
      <c r="L21" s="17">
        <f>H21</f>
        <v>5.279999999999999</v>
      </c>
      <c r="N21" s="47">
        <f>$X$11/$L21</f>
        <v>1.0416666666666667</v>
      </c>
      <c r="O21" s="47"/>
      <c r="P21" s="47">
        <f>$Z$11/$L21</f>
        <v>0.8333333333333335</v>
      </c>
    </row>
    <row r="22" spans="8:22" ht="12.75">
      <c r="H22" s="17"/>
      <c r="I22" s="17"/>
      <c r="J22" s="17"/>
      <c r="N22" s="47"/>
      <c r="O22" s="47"/>
      <c r="P22" s="47"/>
      <c r="V22" t="s">
        <v>51</v>
      </c>
    </row>
    <row r="23" spans="6:24" ht="12.75">
      <c r="F23" t="s">
        <v>38</v>
      </c>
      <c r="H23" s="17">
        <f>1.75+1.44+2.4</f>
        <v>5.59</v>
      </c>
      <c r="I23" s="17"/>
      <c r="J23" s="17"/>
      <c r="L23" s="17">
        <f>H23</f>
        <v>5.59</v>
      </c>
      <c r="N23" s="47">
        <f>$X$14/$L23</f>
        <v>0.5008944543828264</v>
      </c>
      <c r="O23" s="47"/>
      <c r="P23" s="47">
        <f>$Z$14/$L23</f>
        <v>0.41144901610017887</v>
      </c>
      <c r="R23" s="17">
        <f>$X$23*$L23</f>
        <v>4.1925</v>
      </c>
      <c r="T23" s="17">
        <f>$X$24*$L23</f>
        <v>3.0745</v>
      </c>
      <c r="V23" s="18" t="s">
        <v>21</v>
      </c>
      <c r="X23" s="17">
        <v>0.75</v>
      </c>
    </row>
    <row r="24" spans="8:24" ht="12.75">
      <c r="H24" s="17"/>
      <c r="I24" s="17"/>
      <c r="J24" s="17"/>
      <c r="V24" s="18" t="s">
        <v>22</v>
      </c>
      <c r="X24" s="17">
        <f>X23-0.2</f>
        <v>0.55</v>
      </c>
    </row>
    <row r="25" spans="2:16" ht="12.75">
      <c r="B25" t="s">
        <v>50</v>
      </c>
      <c r="D25" t="s">
        <v>47</v>
      </c>
      <c r="F25" t="s">
        <v>37</v>
      </c>
      <c r="H25" s="17">
        <f>0.82+1.41+2.3</f>
        <v>4.529999999999999</v>
      </c>
      <c r="I25" s="17"/>
      <c r="J25" s="17"/>
      <c r="L25" s="17">
        <f>H25</f>
        <v>4.529999999999999</v>
      </c>
      <c r="N25" s="47">
        <f>$X$12/$L25</f>
        <v>1.1920529801324506</v>
      </c>
      <c r="O25" s="47"/>
      <c r="P25" s="47">
        <f>$Z$12/$L25</f>
        <v>0.9492273730684327</v>
      </c>
    </row>
    <row r="26" spans="8:10" ht="12.75">
      <c r="H26" s="17"/>
      <c r="I26" s="17"/>
      <c r="J26" s="17"/>
    </row>
    <row r="27" spans="6:20" ht="12.75">
      <c r="F27" t="s">
        <v>38</v>
      </c>
      <c r="H27" s="17">
        <f>1+1.44+2.4</f>
        <v>4.84</v>
      </c>
      <c r="I27" s="17"/>
      <c r="J27" s="17"/>
      <c r="L27" s="17">
        <f>H27</f>
        <v>4.84</v>
      </c>
      <c r="N27" s="47">
        <f>$X$15/$L27</f>
        <v>0.5681818181818182</v>
      </c>
      <c r="O27" s="47"/>
      <c r="P27" s="47">
        <f>$Z$15/$L27</f>
        <v>0.46487603305785125</v>
      </c>
      <c r="R27" s="17">
        <f>$X$23*$L27</f>
        <v>3.63</v>
      </c>
      <c r="T27" s="17">
        <f>$X$24*$L27</f>
        <v>2.662</v>
      </c>
    </row>
    <row r="28" spans="8:10" ht="12.75">
      <c r="H28" s="17"/>
      <c r="I28" s="17"/>
      <c r="J28" s="17"/>
    </row>
    <row r="29" spans="8:36" ht="12.75">
      <c r="H29" s="17"/>
      <c r="I29" s="17"/>
      <c r="J29" s="17"/>
      <c r="AD29" s="65" t="s">
        <v>21</v>
      </c>
      <c r="AE29" s="65"/>
      <c r="AF29" s="65"/>
      <c r="AH29" s="65" t="s">
        <v>22</v>
      </c>
      <c r="AI29" s="65"/>
      <c r="AJ29" s="65"/>
    </row>
    <row r="30" spans="8:36" ht="12.75">
      <c r="H30" s="17"/>
      <c r="I30" s="17"/>
      <c r="J30" s="17" t="str">
        <f>B6</f>
        <v>PS-Pri</v>
      </c>
      <c r="L30" s="47">
        <f>L8/L6-1</f>
        <v>0.09485714285714297</v>
      </c>
      <c r="AB30" s="49" t="s">
        <v>54</v>
      </c>
      <c r="AD30" s="49" t="s">
        <v>37</v>
      </c>
      <c r="AE30" s="48"/>
      <c r="AF30" s="49" t="s">
        <v>38</v>
      </c>
      <c r="AG30" s="48"/>
      <c r="AH30" s="49" t="s">
        <v>37</v>
      </c>
      <c r="AI30" s="48"/>
      <c r="AJ30" s="49" t="s">
        <v>38</v>
      </c>
    </row>
    <row r="31" spans="8:12" ht="12.75">
      <c r="H31" s="17"/>
      <c r="I31" s="17"/>
      <c r="J31" s="17" t="str">
        <f>B11</f>
        <v>TODP</v>
      </c>
      <c r="L31" s="47">
        <f>L13/L11-1</f>
        <v>0.18457300275482114</v>
      </c>
    </row>
    <row r="32" spans="8:36" ht="12.75">
      <c r="H32" s="17"/>
      <c r="I32" s="17"/>
      <c r="J32" s="17" t="str">
        <f>B16</f>
        <v>RTS</v>
      </c>
      <c r="L32" s="47">
        <f>L18/L16-1</f>
        <v>0.21076233183856496</v>
      </c>
      <c r="AB32" t="s">
        <v>53</v>
      </c>
      <c r="AD32" s="17">
        <f>$X$12</f>
        <v>5.4</v>
      </c>
      <c r="AF32" s="17">
        <f>AD32+AF38</f>
        <v>5.54</v>
      </c>
      <c r="AH32" s="17">
        <f>$Z$12</f>
        <v>4.3</v>
      </c>
      <c r="AJ32" s="17">
        <f>AH32+AJ38</f>
        <v>4.41</v>
      </c>
    </row>
    <row r="33" spans="8:12" ht="12.75">
      <c r="H33" s="17"/>
      <c r="I33" s="17"/>
      <c r="J33" s="17" t="str">
        <f>B21</f>
        <v>FLS-Pri</v>
      </c>
      <c r="L33" s="47">
        <f>L23/L21-1</f>
        <v>0.058712121212121327</v>
      </c>
    </row>
    <row r="34" spans="8:36" ht="12.75">
      <c r="H34" s="17"/>
      <c r="I34" s="17"/>
      <c r="J34" s="17" t="str">
        <f>B25</f>
        <v>FLS-Tra</v>
      </c>
      <c r="L34" s="47">
        <f>L27/L25-1</f>
        <v>0.06843267108167783</v>
      </c>
      <c r="AB34" t="s">
        <v>0</v>
      </c>
      <c r="AD34" s="17">
        <f>$X$11</f>
        <v>5.5</v>
      </c>
      <c r="AF34" s="17">
        <f>AD34+AF40</f>
        <v>5.64</v>
      </c>
      <c r="AH34" s="17">
        <f>$Z$11</f>
        <v>4.4</v>
      </c>
      <c r="AJ34" s="17">
        <f>AH34+AJ40</f>
        <v>4.510000000000001</v>
      </c>
    </row>
    <row r="35" spans="8:10" ht="12.75">
      <c r="H35" s="17"/>
      <c r="I35" s="17"/>
      <c r="J35" s="17"/>
    </row>
    <row r="36" spans="8:10" ht="12.75">
      <c r="H36" s="17"/>
      <c r="I36" s="17"/>
      <c r="J36" s="17"/>
    </row>
    <row r="37" spans="8:10" ht="12.75">
      <c r="H37" s="17"/>
      <c r="I37" s="17"/>
      <c r="J37" s="17"/>
    </row>
    <row r="38" spans="8:36" ht="12.75">
      <c r="H38" s="17"/>
      <c r="I38" s="17"/>
      <c r="J38" s="17"/>
      <c r="Z38" t="s">
        <v>55</v>
      </c>
      <c r="AB38" t="s">
        <v>53</v>
      </c>
      <c r="AF38" s="17">
        <v>0.14</v>
      </c>
      <c r="AG38" s="17"/>
      <c r="AH38" s="17"/>
      <c r="AI38" s="17"/>
      <c r="AJ38" s="17">
        <v>0.11</v>
      </c>
    </row>
    <row r="39" spans="8:36" ht="12.75">
      <c r="H39" s="17"/>
      <c r="I39" s="17"/>
      <c r="J39" s="17"/>
      <c r="AF39" s="17"/>
      <c r="AG39" s="17"/>
      <c r="AH39" s="17"/>
      <c r="AI39" s="17"/>
      <c r="AJ39" s="17"/>
    </row>
    <row r="40" spans="8:36" ht="12.75">
      <c r="H40" s="17"/>
      <c r="I40" s="17"/>
      <c r="J40" s="17"/>
      <c r="AB40" t="s">
        <v>0</v>
      </c>
      <c r="AF40" s="17">
        <f>AF38</f>
        <v>0.14</v>
      </c>
      <c r="AG40" s="17"/>
      <c r="AH40" s="17"/>
      <c r="AI40" s="17"/>
      <c r="AJ40" s="17">
        <f>AJ38</f>
        <v>0.11</v>
      </c>
    </row>
    <row r="41" spans="8:10" ht="12.75">
      <c r="H41" s="17"/>
      <c r="I41" s="17"/>
      <c r="J41" s="17"/>
    </row>
  </sheetData>
  <mergeCells count="2">
    <mergeCell ref="AD29:AF29"/>
    <mergeCell ref="AH29:AJ29"/>
  </mergeCells>
  <printOptions/>
  <pageMargins left="0.75" right="0.75" top="1" bottom="1" header="0.5" footer="0.5"/>
  <pageSetup horizontalDpi="300" verticalDpi="300"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3:P25"/>
  <sheetViews>
    <sheetView workbookViewId="0" topLeftCell="A1">
      <selection activeCell="B3" sqref="B3"/>
    </sheetView>
  </sheetViews>
  <sheetFormatPr defaultColWidth="9.140625" defaultRowHeight="12.75"/>
  <cols>
    <col min="1" max="1" width="1.7109375" style="1" customWidth="1"/>
    <col min="2" max="2" width="13.57421875" style="1" bestFit="1" customWidth="1"/>
    <col min="3" max="3" width="1.7109375" style="1" customWidth="1"/>
    <col min="4" max="4" width="5.7109375" style="1" customWidth="1"/>
    <col min="5" max="5" width="0.85546875" style="1" customWidth="1"/>
    <col min="6" max="6" width="5.7109375" style="1" customWidth="1"/>
    <col min="7" max="7" width="0.85546875" style="1" customWidth="1"/>
    <col min="8" max="8" width="7.140625" style="1" customWidth="1"/>
    <col min="9" max="9" width="2.28125" style="1" customWidth="1"/>
    <col min="10" max="10" width="5.7109375" style="1" customWidth="1"/>
    <col min="11" max="11" width="0.85546875" style="1" customWidth="1"/>
    <col min="12" max="12" width="5.7109375" style="1" customWidth="1"/>
    <col min="13" max="13" width="1.7109375" style="1" customWidth="1"/>
    <col min="14" max="14" width="7.140625" style="1" customWidth="1"/>
    <col min="15" max="15" width="1.7109375" style="1" customWidth="1"/>
    <col min="16" max="16" width="9.140625" style="1" customWidth="1"/>
    <col min="17" max="17" width="1.7109375" style="1" customWidth="1"/>
    <col min="18" max="18" width="9.140625" style="1" customWidth="1"/>
    <col min="19" max="19" width="1.7109375" style="1" customWidth="1"/>
    <col min="20" max="20" width="9.140625" style="1" customWidth="1"/>
    <col min="21" max="21" width="1.7109375" style="1" customWidth="1"/>
    <col min="22" max="22" width="9.140625" style="1" customWidth="1"/>
    <col min="23" max="23" width="1.7109375" style="1" customWidth="1"/>
    <col min="24" max="24" width="9.140625" style="1" customWidth="1"/>
    <col min="25" max="25" width="1.7109375" style="1" customWidth="1"/>
    <col min="26" max="26" width="9.140625" style="1" customWidth="1"/>
    <col min="27" max="27" width="1.7109375" style="1" customWidth="1"/>
    <col min="28" max="28" width="9.140625" style="1" customWidth="1"/>
    <col min="29" max="29" width="1.7109375" style="1" customWidth="1"/>
    <col min="30" max="16384" width="9.140625" style="1" customWidth="1"/>
  </cols>
  <sheetData>
    <row r="3" ht="11.25">
      <c r="B3" s="2" t="s">
        <v>16</v>
      </c>
    </row>
    <row r="5" spans="4:14" ht="11.25">
      <c r="D5" s="62">
        <v>2007</v>
      </c>
      <c r="E5" s="62"/>
      <c r="F5" s="62"/>
      <c r="G5" s="62"/>
      <c r="H5" s="62"/>
      <c r="I5" s="2"/>
      <c r="J5" s="62">
        <v>2008</v>
      </c>
      <c r="K5" s="62"/>
      <c r="L5" s="62"/>
      <c r="M5" s="62"/>
      <c r="N5" s="62"/>
    </row>
    <row r="6" spans="2:14" ht="11.25">
      <c r="B6" s="5" t="s">
        <v>18</v>
      </c>
      <c r="D6" s="22" t="s">
        <v>14</v>
      </c>
      <c r="E6" s="4"/>
      <c r="F6" s="22" t="s">
        <v>12</v>
      </c>
      <c r="G6" s="4"/>
      <c r="H6" s="22" t="s">
        <v>13</v>
      </c>
      <c r="I6" s="4"/>
      <c r="J6" s="22" t="s">
        <v>2</v>
      </c>
      <c r="K6" s="4"/>
      <c r="L6" s="22" t="s">
        <v>12</v>
      </c>
      <c r="M6" s="4"/>
      <c r="N6" s="22" t="s">
        <v>13</v>
      </c>
    </row>
    <row r="7" spans="2:14" ht="11.25">
      <c r="B7" s="8"/>
      <c r="D7" s="8"/>
      <c r="E7" s="4"/>
      <c r="F7" s="8"/>
      <c r="G7" s="4"/>
      <c r="H7" s="8"/>
      <c r="I7" s="4"/>
      <c r="J7" s="8"/>
      <c r="K7" s="4"/>
      <c r="L7" s="8"/>
      <c r="M7" s="4"/>
      <c r="N7" s="8"/>
    </row>
    <row r="8" ht="11.25">
      <c r="B8" s="1" t="s">
        <v>3</v>
      </c>
    </row>
    <row r="9" spans="2:14" ht="11.25">
      <c r="B9" s="6" t="s">
        <v>4</v>
      </c>
      <c r="D9" s="19">
        <v>670</v>
      </c>
      <c r="E9" s="19"/>
      <c r="F9" s="19">
        <v>317</v>
      </c>
      <c r="G9" s="19"/>
      <c r="H9" s="19">
        <f>D9/$D$20*F9</f>
        <v>102.80251694094869</v>
      </c>
      <c r="I9" s="19"/>
      <c r="J9" s="19">
        <v>836</v>
      </c>
      <c r="K9" s="19"/>
      <c r="L9" s="19">
        <v>121</v>
      </c>
      <c r="M9" s="19"/>
      <c r="N9" s="19">
        <f>J9/$J$20*L9</f>
        <v>42.02575820523473</v>
      </c>
    </row>
    <row r="10" spans="2:14" ht="11.25">
      <c r="B10" s="6" t="s">
        <v>5</v>
      </c>
      <c r="D10" s="19">
        <v>74</v>
      </c>
      <c r="E10" s="19"/>
      <c r="F10" s="19">
        <v>165</v>
      </c>
      <c r="G10" s="19"/>
      <c r="H10" s="19">
        <f>D10/$D$20*F10</f>
        <v>5.909970958373669</v>
      </c>
      <c r="I10" s="19"/>
      <c r="J10" s="19">
        <v>82</v>
      </c>
      <c r="K10" s="19"/>
      <c r="L10" s="19">
        <v>51</v>
      </c>
      <c r="M10" s="19"/>
      <c r="N10" s="19">
        <f>J10/$J$20*L10</f>
        <v>1.7374324885749897</v>
      </c>
    </row>
    <row r="11" spans="2:14" ht="11.25">
      <c r="B11" s="6" t="s">
        <v>6</v>
      </c>
      <c r="D11" s="19">
        <v>36</v>
      </c>
      <c r="E11" s="19"/>
      <c r="F11" s="19">
        <v>10</v>
      </c>
      <c r="G11" s="19"/>
      <c r="H11" s="19">
        <f>D11/$D$20*F11</f>
        <v>0.17424975798644726</v>
      </c>
      <c r="I11" s="19"/>
      <c r="J11" s="19">
        <v>42</v>
      </c>
      <c r="K11" s="19"/>
      <c r="L11" s="19">
        <v>3</v>
      </c>
      <c r="M11" s="19"/>
      <c r="N11" s="19">
        <f>J11/$J$20*L11</f>
        <v>0.05234732031574574</v>
      </c>
    </row>
    <row r="12" spans="2:14" ht="11.25">
      <c r="B12" s="6" t="s">
        <v>7</v>
      </c>
      <c r="D12" s="19">
        <v>630</v>
      </c>
      <c r="E12" s="19"/>
      <c r="F12" s="19">
        <v>1014</v>
      </c>
      <c r="G12" s="19"/>
      <c r="H12" s="19">
        <f>D12/$D$20*F12</f>
        <v>309.2061955469506</v>
      </c>
      <c r="I12" s="19"/>
      <c r="J12" s="19">
        <v>709</v>
      </c>
      <c r="K12" s="19"/>
      <c r="L12" s="19">
        <v>533</v>
      </c>
      <c r="M12" s="19"/>
      <c r="N12" s="19">
        <f>J12/$J$20*L12</f>
        <v>156.9991690901537</v>
      </c>
    </row>
    <row r="13" spans="2:14" ht="11.25">
      <c r="B13" s="1" t="s">
        <v>8</v>
      </c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</row>
    <row r="14" spans="2:14" ht="11.25">
      <c r="B14" s="6" t="s">
        <v>4</v>
      </c>
      <c r="D14" s="19">
        <v>179</v>
      </c>
      <c r="E14" s="19"/>
      <c r="F14" s="19">
        <v>317</v>
      </c>
      <c r="G14" s="19"/>
      <c r="H14" s="19">
        <f>D14/$D$20*F14</f>
        <v>27.46515004840271</v>
      </c>
      <c r="I14" s="19"/>
      <c r="J14" s="19">
        <v>203</v>
      </c>
      <c r="K14" s="19"/>
      <c r="L14" s="19">
        <v>121</v>
      </c>
      <c r="M14" s="19"/>
      <c r="N14" s="19">
        <f>J14/$J$20*L14</f>
        <v>10.204819277108433</v>
      </c>
    </row>
    <row r="15" spans="2:14" ht="11.25">
      <c r="B15" s="6" t="s">
        <v>10</v>
      </c>
      <c r="D15" s="19">
        <v>14</v>
      </c>
      <c r="E15" s="19"/>
      <c r="F15" s="19">
        <v>33</v>
      </c>
      <c r="G15" s="19"/>
      <c r="H15" s="19">
        <f>D15/$D$20*F15</f>
        <v>0.22362052274927396</v>
      </c>
      <c r="I15" s="19"/>
      <c r="J15" s="19">
        <v>14</v>
      </c>
      <c r="K15" s="19"/>
      <c r="L15" s="19">
        <v>1</v>
      </c>
      <c r="M15" s="19"/>
      <c r="N15" s="19">
        <f>J15/$J$20*L15</f>
        <v>0.005816368923971749</v>
      </c>
    </row>
    <row r="16" spans="2:14" ht="11.25">
      <c r="B16" s="6" t="s">
        <v>9</v>
      </c>
      <c r="D16" s="19">
        <v>119</v>
      </c>
      <c r="E16" s="19"/>
      <c r="F16" s="19">
        <v>165</v>
      </c>
      <c r="G16" s="19"/>
      <c r="H16" s="19">
        <f>D16/$D$20*F16</f>
        <v>9.503872216844142</v>
      </c>
      <c r="I16" s="19"/>
      <c r="J16" s="19">
        <v>134</v>
      </c>
      <c r="K16" s="19"/>
      <c r="L16" s="19">
        <v>17</v>
      </c>
      <c r="M16" s="19"/>
      <c r="N16" s="19">
        <f>J16/$J$20*L16</f>
        <v>0.9464063149148317</v>
      </c>
    </row>
    <row r="17" spans="2:16" ht="11.25">
      <c r="B17" s="6" t="s">
        <v>7</v>
      </c>
      <c r="D17" s="19">
        <v>330</v>
      </c>
      <c r="E17" s="19"/>
      <c r="F17" s="19">
        <v>1014</v>
      </c>
      <c r="G17" s="19"/>
      <c r="H17" s="19">
        <f>D17/$D$20*F17</f>
        <v>161.9651500484027</v>
      </c>
      <c r="I17" s="19"/>
      <c r="J17" s="19">
        <v>371</v>
      </c>
      <c r="K17" s="19"/>
      <c r="L17" s="19">
        <v>533</v>
      </c>
      <c r="M17" s="19"/>
      <c r="N17" s="19">
        <f>J17/$J$20*L17</f>
        <v>82.15330286663897</v>
      </c>
      <c r="P17" s="19"/>
    </row>
    <row r="18" spans="2:14" ht="11.25">
      <c r="B18" s="20" t="s">
        <v>11</v>
      </c>
      <c r="D18" s="21">
        <v>14</v>
      </c>
      <c r="E18" s="19"/>
      <c r="F18" s="21">
        <v>24</v>
      </c>
      <c r="G18" s="19"/>
      <c r="H18" s="21">
        <f>D18/$D$20*F18</f>
        <v>0.16263310745401743</v>
      </c>
      <c r="I18" s="19"/>
      <c r="J18" s="21">
        <v>16</v>
      </c>
      <c r="K18" s="19"/>
      <c r="L18" s="21">
        <v>0</v>
      </c>
      <c r="M18" s="19"/>
      <c r="N18" s="21">
        <f>J18/$J$20*L18</f>
        <v>0</v>
      </c>
    </row>
    <row r="19" spans="4:14" ht="11.25"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</row>
    <row r="20" spans="2:14" ht="12" thickBot="1">
      <c r="B20" s="24" t="s">
        <v>19</v>
      </c>
      <c r="D20" s="19">
        <f>SUM(D9:D19)</f>
        <v>2066</v>
      </c>
      <c r="E20" s="19"/>
      <c r="F20" s="19">
        <f>SUM(F9:F19)</f>
        <v>3059</v>
      </c>
      <c r="G20" s="19"/>
      <c r="H20" s="23">
        <f>SUM(H9:H19)</f>
        <v>617.4133591481122</v>
      </c>
      <c r="I20" s="19"/>
      <c r="J20" s="19">
        <f>SUM(J9:J19)</f>
        <v>2407</v>
      </c>
      <c r="K20" s="19"/>
      <c r="L20" s="19">
        <f>SUM(L9:L19)</f>
        <v>1380</v>
      </c>
      <c r="M20" s="19"/>
      <c r="N20" s="23">
        <f>SUM(N9:N19)</f>
        <v>294.1250519318654</v>
      </c>
    </row>
    <row r="21" ht="12" thickTop="1"/>
    <row r="22" ht="11.25">
      <c r="B22" s="1" t="s">
        <v>17</v>
      </c>
    </row>
    <row r="23" ht="11.25">
      <c r="B23" s="1" t="s">
        <v>15</v>
      </c>
    </row>
    <row r="25" ht="11.25">
      <c r="B25" s="1" t="s">
        <v>20</v>
      </c>
    </row>
  </sheetData>
  <mergeCells count="2">
    <mergeCell ref="D5:H5"/>
    <mergeCell ref="J5:N5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Potomac Management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KIUC KU 2012-00221/222</dc:title>
  <dc:subject/>
  <dc:creator>Dennis Goins</dc:creator>
  <cp:keywords/>
  <dc:description/>
  <cp:lastModifiedBy>Dennis Goins</cp:lastModifiedBy>
  <cp:lastPrinted>2012-09-24T11:54:34Z</cp:lastPrinted>
  <dcterms:created xsi:type="dcterms:W3CDTF">2009-12-01T20:17:26Z</dcterms:created>
  <dcterms:modified xsi:type="dcterms:W3CDTF">2012-10-01T22:04:36Z</dcterms:modified>
  <cp:category/>
  <cp:version/>
  <cp:contentType/>
  <cp:contentStatus/>
</cp:coreProperties>
</file>